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dsanchez\Documents\"/>
    </mc:Choice>
  </mc:AlternateContent>
  <bookViews>
    <workbookView xWindow="0" yWindow="0" windowWidth="15360" windowHeight="7695" tabRatio="530" firstSheet="2" activeTab="2"/>
  </bookViews>
  <sheets>
    <sheet name="ACE" sheetId="9" state="hidden" r:id="rId1"/>
    <sheet name="IFS" sheetId="11" state="hidden" r:id="rId2"/>
    <sheet name="Resumen" sheetId="13" r:id="rId3"/>
    <sheet name="Gráficos" sheetId="16" state="hidden" r:id="rId4"/>
    <sheet name="TABLA" sheetId="18" state="hidden" r:id="rId5"/>
    <sheet name="ENPS" sheetId="1" state="hidden" r:id="rId6"/>
    <sheet name="Reev" sheetId="7" state="hidden" r:id="rId7"/>
    <sheet name="QP" sheetId="23" state="hidden" r:id="rId8"/>
    <sheet name="Datos" sheetId="20" state="hidden" r:id="rId9"/>
    <sheet name="FFEE y CogSoc" sheetId="5" state="hidden" r:id="rId10"/>
    <sheet name="WAIS" sheetId="6" state="hidden" r:id="rId11"/>
    <sheet name="Tablas" sheetId="12" state="hidden" r:id="rId12"/>
    <sheet name="Caso " sheetId="14" state="hidden" r:id="rId13"/>
    <sheet name="WAIStablas" sheetId="15" state="hidden" r:id="rId14"/>
    <sheet name="AUX" sheetId="10" state="hidden" r:id="rId15"/>
  </sheets>
  <definedNames>
    <definedName name="_xlnm.Print_Area" localSheetId="2">Resumen!$G$3</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23" i="15" l="1"/>
  <c r="A48" i="15"/>
  <c r="B9" i="6"/>
  <c r="A47" i="15"/>
  <c r="D47" i="15"/>
  <c r="B47" i="15"/>
  <c r="N47" i="15"/>
  <c r="A49" i="15"/>
  <c r="C2" i="13"/>
  <c r="B4" i="6"/>
  <c r="A22" i="15"/>
  <c r="D22" i="15"/>
  <c r="B22" i="15"/>
  <c r="G22" i="15"/>
  <c r="A24" i="15"/>
  <c r="C3" i="13"/>
  <c r="B112" i="10"/>
  <c r="C112" i="10"/>
  <c r="B4" i="13"/>
  <c r="H2" i="20"/>
  <c r="A53" i="10"/>
  <c r="A55" i="10"/>
  <c r="C54" i="10"/>
  <c r="D54" i="10"/>
  <c r="F38" i="1"/>
  <c r="K16" i="1"/>
  <c r="F19" i="1"/>
  <c r="G19" i="1"/>
  <c r="A213" i="1"/>
  <c r="F37" i="1"/>
  <c r="G37" i="1"/>
  <c r="A216" i="1"/>
  <c r="A218" i="1"/>
  <c r="H38" i="1"/>
  <c r="B234" i="1"/>
  <c r="A234" i="1"/>
  <c r="A232" i="1"/>
  <c r="G38" i="1"/>
  <c r="E236" i="1"/>
  <c r="A236" i="1"/>
  <c r="F56" i="1"/>
  <c r="E56" i="1"/>
  <c r="G56" i="1"/>
  <c r="H56" i="1"/>
  <c r="A238" i="1"/>
  <c r="A251" i="1"/>
  <c r="A253" i="1"/>
  <c r="E5" i="1"/>
  <c r="B339" i="1"/>
  <c r="B330" i="1"/>
  <c r="B340" i="1"/>
  <c r="C358" i="1"/>
  <c r="B331" i="1"/>
  <c r="B341" i="1"/>
  <c r="C359" i="1"/>
  <c r="B332" i="1"/>
  <c r="B337" i="1"/>
  <c r="C342" i="1"/>
  <c r="B342" i="1"/>
  <c r="C360" i="1"/>
  <c r="B343" i="1"/>
  <c r="B344" i="1"/>
  <c r="H343" i="1"/>
  <c r="C361" i="1"/>
  <c r="C362" i="1"/>
  <c r="B336" i="1"/>
  <c r="B346" i="1"/>
  <c r="C363" i="1"/>
  <c r="C368" i="1"/>
  <c r="C370" i="1"/>
  <c r="A369" i="1"/>
  <c r="H344" i="1"/>
  <c r="A362" i="1"/>
  <c r="A360" i="1"/>
  <c r="A361" i="1"/>
  <c r="B333" i="1"/>
  <c r="B345" i="1"/>
  <c r="B335" i="1"/>
  <c r="B334" i="1"/>
  <c r="G5" i="1"/>
  <c r="A326" i="1"/>
  <c r="E7" i="1"/>
  <c r="G7" i="1"/>
  <c r="A153" i="1"/>
  <c r="E8" i="1"/>
  <c r="G8" i="1"/>
  <c r="C157" i="1"/>
  <c r="B157" i="1"/>
  <c r="A157" i="1"/>
  <c r="A538" i="1"/>
  <c r="A567" i="1"/>
  <c r="F565" i="1"/>
  <c r="G565" i="1"/>
  <c r="A564" i="1"/>
  <c r="A554" i="1"/>
  <c r="C543" i="1"/>
  <c r="C540" i="1"/>
  <c r="A549" i="1"/>
  <c r="C548" i="1"/>
  <c r="B537" i="1"/>
  <c r="A546" i="1"/>
  <c r="A547" i="1"/>
  <c r="K13" i="1"/>
  <c r="B73" i="1"/>
  <c r="K14" i="1"/>
  <c r="C73" i="1"/>
  <c r="K2" i="1"/>
  <c r="B77" i="1"/>
  <c r="C77" i="1"/>
  <c r="A476" i="1"/>
  <c r="D477" i="1"/>
  <c r="D478" i="1"/>
  <c r="D479" i="1"/>
  <c r="E477" i="1"/>
  <c r="F477" i="1"/>
  <c r="D480" i="1"/>
  <c r="D481" i="1"/>
  <c r="E480" i="1"/>
  <c r="F480" i="1"/>
  <c r="D482" i="1"/>
  <c r="D483" i="1"/>
  <c r="D484" i="1"/>
  <c r="E482" i="1"/>
  <c r="F482" i="1"/>
  <c r="A490" i="1"/>
  <c r="D485" i="1"/>
  <c r="D486" i="1"/>
  <c r="E485" i="1"/>
  <c r="F485" i="1"/>
  <c r="D487" i="1"/>
  <c r="E487" i="1"/>
  <c r="F487" i="1"/>
  <c r="A489" i="1"/>
  <c r="A492" i="1"/>
  <c r="I77" i="1"/>
  <c r="A504" i="1"/>
  <c r="K25" i="1"/>
  <c r="E24" i="1"/>
  <c r="Y9" i="1"/>
  <c r="Y10" i="1"/>
  <c r="K4" i="1"/>
  <c r="Y3" i="1"/>
  <c r="Y4" i="1"/>
  <c r="K6" i="1"/>
  <c r="Y6" i="1"/>
  <c r="Y5" i="1"/>
  <c r="Y11" i="1"/>
  <c r="Y12" i="1"/>
  <c r="F24" i="1"/>
  <c r="G24" i="1"/>
  <c r="A506" i="1"/>
  <c r="A511" i="1"/>
  <c r="K82" i="1"/>
  <c r="B405" i="1"/>
  <c r="E6" i="12"/>
  <c r="E34" i="12"/>
  <c r="F34" i="12"/>
  <c r="F1" i="14"/>
  <c r="D7" i="14"/>
  <c r="F6" i="12"/>
  <c r="J7" i="14"/>
  <c r="O1" i="14"/>
  <c r="P7" i="14"/>
  <c r="U7" i="14"/>
  <c r="F20" i="1"/>
  <c r="C405" i="1"/>
  <c r="A405" i="1"/>
  <c r="A627" i="1"/>
  <c r="P2" i="20"/>
  <c r="V2" i="20"/>
  <c r="A618" i="1"/>
  <c r="B602" i="1"/>
  <c r="A616" i="1"/>
  <c r="B603" i="1"/>
  <c r="A617" i="1"/>
  <c r="A622" i="1"/>
  <c r="O2" i="20"/>
  <c r="X2" i="20"/>
  <c r="B594" i="1"/>
  <c r="B595" i="1"/>
  <c r="B596" i="1"/>
  <c r="C596" i="1"/>
  <c r="B597" i="1"/>
  <c r="B598" i="1"/>
  <c r="A612" i="1"/>
  <c r="B600" i="1"/>
  <c r="C600" i="1"/>
  <c r="A614" i="1"/>
  <c r="A613" i="1"/>
  <c r="A621" i="1"/>
  <c r="N2" i="20"/>
  <c r="Y2" i="20"/>
  <c r="B591" i="1"/>
  <c r="A607" i="1"/>
  <c r="B592" i="1"/>
  <c r="A608" i="1"/>
  <c r="A620" i="1"/>
  <c r="M2" i="20"/>
  <c r="B604" i="1"/>
  <c r="C594" i="1"/>
  <c r="G236" i="1"/>
  <c r="E22" i="12"/>
  <c r="F22" i="12"/>
  <c r="D23" i="14"/>
  <c r="E50" i="12"/>
  <c r="F50" i="12"/>
  <c r="J23" i="14"/>
  <c r="P23" i="14"/>
  <c r="U23" i="14"/>
  <c r="E17" i="1"/>
  <c r="G17" i="1"/>
  <c r="A448" i="1"/>
  <c r="E16" i="1"/>
  <c r="G16" i="1"/>
  <c r="A445" i="1"/>
  <c r="B448" i="1"/>
  <c r="A447" i="1"/>
  <c r="H37" i="1"/>
  <c r="H19" i="1"/>
  <c r="A211" i="1"/>
  <c r="A220" i="1"/>
  <c r="E21" i="12"/>
  <c r="F21" i="12"/>
  <c r="D22" i="14"/>
  <c r="E49" i="12"/>
  <c r="F49" i="12"/>
  <c r="J22" i="14"/>
  <c r="P22" i="14"/>
  <c r="U22" i="14"/>
  <c r="E5" i="12"/>
  <c r="F5" i="12"/>
  <c r="D6" i="14"/>
  <c r="E33" i="12"/>
  <c r="F33" i="12"/>
  <c r="J6" i="14"/>
  <c r="P6" i="14"/>
  <c r="U6" i="14"/>
  <c r="B224" i="1"/>
  <c r="D224" i="1"/>
  <c r="E224" i="1"/>
  <c r="C224" i="1"/>
  <c r="J77" i="1"/>
  <c r="A209" i="1"/>
  <c r="A225" i="1"/>
  <c r="A215" i="1"/>
  <c r="B216" i="1"/>
  <c r="A223" i="1"/>
  <c r="A227" i="1"/>
  <c r="B10" i="16"/>
  <c r="F2" i="18"/>
  <c r="F2" i="1"/>
  <c r="E14" i="1"/>
  <c r="F14" i="1"/>
  <c r="A247" i="1"/>
  <c r="E15" i="1"/>
  <c r="F15" i="1"/>
  <c r="A279" i="1"/>
  <c r="A285" i="1"/>
  <c r="G14" i="1"/>
  <c r="A241" i="1"/>
  <c r="F77" i="1"/>
  <c r="A243" i="1"/>
  <c r="A245" i="1"/>
  <c r="A250" i="1"/>
  <c r="B82" i="1"/>
  <c r="A82" i="1"/>
  <c r="W82" i="1"/>
  <c r="Z2" i="20"/>
  <c r="B584" i="1"/>
  <c r="A587" i="1"/>
  <c r="B585" i="1"/>
  <c r="P21" i="14"/>
  <c r="E20" i="12"/>
  <c r="E160" i="12"/>
  <c r="F160" i="12"/>
  <c r="D21" i="14"/>
  <c r="E48" i="12"/>
  <c r="F48" i="12"/>
  <c r="F20" i="12"/>
  <c r="J21" i="14"/>
  <c r="U21" i="14"/>
  <c r="F36" i="1"/>
  <c r="F29" i="18"/>
  <c r="E36" i="1"/>
  <c r="E29" i="18"/>
  <c r="J160" i="12"/>
  <c r="C21" i="14"/>
  <c r="J48" i="12"/>
  <c r="J20" i="12"/>
  <c r="N21" i="14"/>
  <c r="B21" i="14"/>
  <c r="H21" i="14"/>
  <c r="S21" i="14"/>
  <c r="D29" i="18"/>
  <c r="M21" i="14"/>
  <c r="A21" i="14"/>
  <c r="G21" i="14"/>
  <c r="R21" i="14"/>
  <c r="C29" i="18"/>
  <c r="E145" i="12"/>
  <c r="F145" i="12"/>
  <c r="A194" i="1"/>
  <c r="E3" i="1"/>
  <c r="G3" i="1"/>
  <c r="E4" i="1"/>
  <c r="G4" i="1"/>
  <c r="H3" i="1"/>
  <c r="A187" i="1"/>
  <c r="A461" i="1"/>
  <c r="P20" i="14"/>
  <c r="E19" i="12"/>
  <c r="E159" i="12"/>
  <c r="F159" i="12"/>
  <c r="D20" i="14"/>
  <c r="E47" i="12"/>
  <c r="F47" i="12"/>
  <c r="F19" i="12"/>
  <c r="J20" i="14"/>
  <c r="U20" i="14"/>
  <c r="F35" i="1"/>
  <c r="G35" i="1"/>
  <c r="A463" i="1"/>
  <c r="E77" i="1"/>
  <c r="A466" i="1"/>
  <c r="K23" i="1"/>
  <c r="H36" i="1"/>
  <c r="E62" i="1"/>
  <c r="B62" i="1"/>
  <c r="C62" i="1"/>
  <c r="A467" i="1"/>
  <c r="A470" i="1"/>
  <c r="E35" i="1"/>
  <c r="D27" i="14"/>
  <c r="E26" i="12"/>
  <c r="F26" i="12"/>
  <c r="E166" i="12"/>
  <c r="F166" i="12"/>
  <c r="E54" i="12"/>
  <c r="F54" i="12"/>
  <c r="J27" i="14"/>
  <c r="P27" i="14"/>
  <c r="J26" i="12"/>
  <c r="K26" i="12"/>
  <c r="J166" i="12"/>
  <c r="K166" i="12"/>
  <c r="J54" i="12"/>
  <c r="K54" i="12"/>
  <c r="O27" i="14"/>
  <c r="U27" i="14"/>
  <c r="P26" i="14"/>
  <c r="D26" i="14"/>
  <c r="E25" i="12"/>
  <c r="J25" i="12"/>
  <c r="K25" i="12"/>
  <c r="J165" i="12"/>
  <c r="K165" i="12"/>
  <c r="J53" i="12"/>
  <c r="K53" i="12"/>
  <c r="O26" i="14"/>
  <c r="E165" i="12"/>
  <c r="F165" i="12"/>
  <c r="E53" i="12"/>
  <c r="F53" i="12"/>
  <c r="F25" i="12"/>
  <c r="J26" i="14"/>
  <c r="U26" i="14"/>
  <c r="P28" i="14"/>
  <c r="E27" i="12"/>
  <c r="E167" i="12"/>
  <c r="F167" i="12"/>
  <c r="D28" i="14"/>
  <c r="E55" i="12"/>
  <c r="F55" i="12"/>
  <c r="F27" i="12"/>
  <c r="J28" i="14"/>
  <c r="U28" i="14"/>
  <c r="V26" i="14"/>
  <c r="E17" i="12"/>
  <c r="E129" i="12"/>
  <c r="F129" i="12"/>
  <c r="E16" i="12"/>
  <c r="E128" i="12"/>
  <c r="F128" i="12"/>
  <c r="K19" i="1"/>
  <c r="J5" i="12"/>
  <c r="K5" i="12"/>
  <c r="J145" i="12"/>
  <c r="K145" i="12"/>
  <c r="J33" i="12"/>
  <c r="K33" i="12"/>
  <c r="O6" i="14"/>
  <c r="J162" i="12"/>
  <c r="K162" i="12"/>
  <c r="J22" i="12"/>
  <c r="K22" i="12"/>
  <c r="J50" i="12"/>
  <c r="K50" i="12"/>
  <c r="O23" i="14"/>
  <c r="E162" i="12"/>
  <c r="F162" i="12"/>
  <c r="B8" i="16"/>
  <c r="E24" i="12"/>
  <c r="E164" i="12"/>
  <c r="F164" i="12"/>
  <c r="D25" i="14"/>
  <c r="E52" i="12"/>
  <c r="F52" i="12"/>
  <c r="F24" i="12"/>
  <c r="J25" i="14"/>
  <c r="P25" i="14"/>
  <c r="U25" i="14"/>
  <c r="B20" i="16"/>
  <c r="B5" i="16"/>
  <c r="E35" i="6"/>
  <c r="I29" i="6"/>
  <c r="I30" i="6"/>
  <c r="I31" i="6"/>
  <c r="L36" i="6"/>
  <c r="F32" i="6"/>
  <c r="L35" i="6"/>
  <c r="L34" i="6"/>
  <c r="E34" i="6"/>
  <c r="H29" i="6"/>
  <c r="H30" i="6"/>
  <c r="H31" i="6"/>
  <c r="K36" i="6"/>
  <c r="K35" i="6"/>
  <c r="K34" i="6"/>
  <c r="I32" i="6"/>
  <c r="H32" i="6"/>
  <c r="E27" i="6"/>
  <c r="F27" i="6"/>
  <c r="G27" i="6"/>
  <c r="H27" i="6"/>
  <c r="I27" i="6"/>
  <c r="C24" i="6"/>
  <c r="D24" i="6"/>
  <c r="D27" i="6"/>
  <c r="C4" i="6"/>
  <c r="C6" i="6"/>
  <c r="B8" i="6"/>
  <c r="A122" i="15"/>
  <c r="B122" i="15"/>
  <c r="A73" i="15"/>
  <c r="A98" i="15"/>
  <c r="A123" i="15"/>
  <c r="H122" i="15"/>
  <c r="E122" i="15"/>
  <c r="D122" i="15"/>
  <c r="A124" i="15"/>
  <c r="C8" i="6"/>
  <c r="B10" i="6"/>
  <c r="A72" i="15"/>
  <c r="B72" i="15"/>
  <c r="H72" i="15"/>
  <c r="E72" i="15"/>
  <c r="D72" i="15"/>
  <c r="A74" i="15"/>
  <c r="C10" i="6"/>
  <c r="C11" i="6"/>
  <c r="C13" i="6"/>
  <c r="C17" i="6"/>
  <c r="D3" i="6"/>
  <c r="B5" i="6"/>
  <c r="A172" i="15"/>
  <c r="B172" i="15"/>
  <c r="A148" i="15"/>
  <c r="A173" i="15"/>
  <c r="H172" i="15"/>
  <c r="E172" i="15"/>
  <c r="D172" i="15"/>
  <c r="A174" i="15"/>
  <c r="D5" i="6"/>
  <c r="D7" i="6"/>
  <c r="D9" i="6"/>
  <c r="D12" i="6"/>
  <c r="D17" i="6"/>
  <c r="C24" i="5"/>
  <c r="B35" i="5"/>
  <c r="C35" i="5"/>
  <c r="C36" i="5"/>
  <c r="D36" i="5"/>
  <c r="D35" i="5"/>
  <c r="C25" i="5"/>
  <c r="C26" i="5"/>
  <c r="E26" i="5"/>
  <c r="D24" i="5"/>
  <c r="B11" i="5"/>
  <c r="B12" i="5"/>
  <c r="B13" i="5"/>
  <c r="E13" i="5"/>
  <c r="D12" i="5"/>
  <c r="D11" i="5"/>
  <c r="D4" i="5"/>
  <c r="D5" i="5"/>
  <c r="D6" i="5"/>
  <c r="D7" i="5"/>
  <c r="D8" i="5"/>
  <c r="D9" i="5"/>
  <c r="E9" i="5"/>
  <c r="C9" i="5"/>
  <c r="B4" i="5"/>
  <c r="B5" i="5"/>
  <c r="B6" i="5"/>
  <c r="B7" i="5"/>
  <c r="B8" i="5"/>
  <c r="B9" i="5"/>
  <c r="E18" i="12"/>
  <c r="J158" i="12"/>
  <c r="K158" i="12"/>
  <c r="D19" i="14"/>
  <c r="J46" i="12"/>
  <c r="K46" i="12"/>
  <c r="J18" i="12"/>
  <c r="K18" i="12"/>
  <c r="O19" i="14"/>
  <c r="P19" i="14"/>
  <c r="E158" i="12"/>
  <c r="F158" i="12"/>
  <c r="E46" i="12"/>
  <c r="F46" i="12"/>
  <c r="F18" i="12"/>
  <c r="J19" i="14"/>
  <c r="U19" i="14"/>
  <c r="F34" i="1"/>
  <c r="H34" i="1"/>
  <c r="A556" i="1"/>
  <c r="A559" i="1"/>
  <c r="A562" i="1"/>
  <c r="A570" i="1"/>
  <c r="A574" i="1"/>
  <c r="H7" i="1"/>
  <c r="A575" i="1"/>
  <c r="A572" i="1"/>
  <c r="A578" i="1"/>
  <c r="A581" i="1"/>
  <c r="A496" i="1"/>
  <c r="A498" i="1"/>
  <c r="H77" i="1"/>
  <c r="A494" i="1"/>
  <c r="A501" i="1"/>
  <c r="A514" i="1"/>
  <c r="A530" i="1"/>
  <c r="A533" i="1"/>
  <c r="A455" i="1"/>
  <c r="J6" i="12"/>
  <c r="K6" i="12"/>
  <c r="J34" i="12"/>
  <c r="K34" i="12"/>
  <c r="O7" i="14"/>
  <c r="H20" i="1"/>
  <c r="A404" i="1"/>
  <c r="E7" i="12"/>
  <c r="F7" i="12"/>
  <c r="D8" i="14"/>
  <c r="E35" i="12"/>
  <c r="F35" i="12"/>
  <c r="J8" i="14"/>
  <c r="P8" i="14"/>
  <c r="J7" i="12"/>
  <c r="K7" i="12"/>
  <c r="J35" i="12"/>
  <c r="K35" i="12"/>
  <c r="O8" i="14"/>
  <c r="U8" i="14"/>
  <c r="F21" i="1"/>
  <c r="G21" i="1"/>
  <c r="A407" i="1"/>
  <c r="E21" i="1"/>
  <c r="H21" i="1"/>
  <c r="E19" i="1"/>
  <c r="A408" i="1"/>
  <c r="I60" i="1"/>
  <c r="K18" i="1"/>
  <c r="H60" i="1"/>
  <c r="B60" i="1"/>
  <c r="A401" i="1"/>
  <c r="A428" i="1"/>
  <c r="E8" i="12"/>
  <c r="F8" i="12"/>
  <c r="D9" i="14"/>
  <c r="E36" i="12"/>
  <c r="F36" i="12"/>
  <c r="J9" i="14"/>
  <c r="P9" i="14"/>
  <c r="J8" i="12"/>
  <c r="K8" i="12"/>
  <c r="J36" i="12"/>
  <c r="K36" i="12"/>
  <c r="O9" i="14"/>
  <c r="U9" i="14"/>
  <c r="F22" i="1"/>
  <c r="G22" i="1"/>
  <c r="A412" i="1"/>
  <c r="A410" i="1"/>
  <c r="A429" i="1"/>
  <c r="E22" i="1"/>
  <c r="A414" i="1"/>
  <c r="A416" i="1"/>
  <c r="A430" i="1"/>
  <c r="A431" i="1"/>
  <c r="E9" i="12"/>
  <c r="F9" i="12"/>
  <c r="D10" i="14"/>
  <c r="E37" i="12"/>
  <c r="F37" i="12"/>
  <c r="J10" i="14"/>
  <c r="P10" i="14"/>
  <c r="J9" i="12"/>
  <c r="K9" i="12"/>
  <c r="J37" i="12"/>
  <c r="K37" i="12"/>
  <c r="O10" i="14"/>
  <c r="U10" i="14"/>
  <c r="F23" i="1"/>
  <c r="G23" i="1"/>
  <c r="A421" i="1"/>
  <c r="H23" i="1"/>
  <c r="A423" i="1"/>
  <c r="E23" i="1"/>
  <c r="A425" i="1"/>
  <c r="A434" i="1"/>
  <c r="A436" i="1"/>
  <c r="A328" i="1"/>
  <c r="A339" i="1"/>
  <c r="A324" i="1"/>
  <c r="A367" i="1"/>
  <c r="A358" i="1"/>
  <c r="A359" i="1"/>
  <c r="D342" i="1"/>
  <c r="E342" i="1"/>
  <c r="F342" i="1"/>
  <c r="D343" i="1"/>
  <c r="E343" i="1"/>
  <c r="F343" i="1"/>
  <c r="D344" i="1"/>
  <c r="E344" i="1"/>
  <c r="F344" i="1"/>
  <c r="G342" i="1"/>
  <c r="D346" i="1"/>
  <c r="E346" i="1"/>
  <c r="F346" i="1"/>
  <c r="D347" i="1"/>
  <c r="E347" i="1"/>
  <c r="F347" i="1"/>
  <c r="D348" i="1"/>
  <c r="E348" i="1"/>
  <c r="F348" i="1"/>
  <c r="G346" i="1"/>
  <c r="A363" i="1"/>
  <c r="E359" i="1"/>
  <c r="E360" i="1"/>
  <c r="E363" i="1"/>
  <c r="F358" i="1"/>
  <c r="A368" i="1"/>
  <c r="G359" i="1"/>
  <c r="G360" i="1"/>
  <c r="G363" i="1"/>
  <c r="H358" i="1"/>
  <c r="H359" i="1"/>
  <c r="H360" i="1"/>
  <c r="A371" i="1"/>
  <c r="E249" i="12"/>
  <c r="F249" i="12"/>
  <c r="E333" i="12"/>
  <c r="F333" i="12"/>
  <c r="J333" i="12"/>
  <c r="K333" i="12"/>
  <c r="F45" i="1"/>
  <c r="G45" i="1"/>
  <c r="A379" i="1"/>
  <c r="E45" i="1"/>
  <c r="A381" i="1"/>
  <c r="A383" i="1"/>
  <c r="A387" i="1"/>
  <c r="F43" i="1"/>
  <c r="G43" i="1"/>
  <c r="A376" i="1"/>
  <c r="A374" i="1"/>
  <c r="A386" i="1"/>
  <c r="A388" i="1"/>
  <c r="A390" i="1"/>
  <c r="A392" i="1"/>
  <c r="F42" i="1"/>
  <c r="A319" i="1"/>
  <c r="D17" i="14"/>
  <c r="F16" i="12"/>
  <c r="E44" i="12"/>
  <c r="F44" i="12"/>
  <c r="J17" i="14"/>
  <c r="P17" i="14"/>
  <c r="J16" i="12"/>
  <c r="K16" i="12"/>
  <c r="J44" i="12"/>
  <c r="K44" i="12"/>
  <c r="O17" i="14"/>
  <c r="U17" i="14"/>
  <c r="F32" i="1"/>
  <c r="G32" i="1"/>
  <c r="A259" i="1"/>
  <c r="A282" i="1"/>
  <c r="D18" i="14"/>
  <c r="F17" i="12"/>
  <c r="E45" i="12"/>
  <c r="F45" i="12"/>
  <c r="J18" i="14"/>
  <c r="P18" i="14"/>
  <c r="J17" i="12"/>
  <c r="K17" i="12"/>
  <c r="J45" i="12"/>
  <c r="K45" i="12"/>
  <c r="O18" i="14"/>
  <c r="U18" i="14"/>
  <c r="F33" i="1"/>
  <c r="G33" i="1"/>
  <c r="B262" i="1"/>
  <c r="A261" i="1"/>
  <c r="A262" i="1"/>
  <c r="A283" i="1"/>
  <c r="A284" i="1"/>
  <c r="B14" i="6"/>
  <c r="A147" i="15"/>
  <c r="H147" i="15"/>
  <c r="B147" i="15"/>
  <c r="E147" i="15"/>
  <c r="D147" i="15"/>
  <c r="A149" i="15"/>
  <c r="B113" i="10"/>
  <c r="C113" i="10"/>
  <c r="G15" i="1"/>
  <c r="A275" i="1"/>
  <c r="A277" i="1"/>
  <c r="H32" i="1"/>
  <c r="H33" i="1"/>
  <c r="A271" i="1"/>
  <c r="A273" i="1"/>
  <c r="A288" i="1"/>
  <c r="A189" i="1"/>
  <c r="A185" i="1"/>
  <c r="A201" i="1"/>
  <c r="A198" i="1"/>
  <c r="A196" i="1"/>
  <c r="A192" i="1"/>
  <c r="A200" i="1"/>
  <c r="A202" i="1"/>
  <c r="A203" i="1"/>
  <c r="B164" i="1"/>
  <c r="A181" i="1"/>
  <c r="A172" i="1"/>
  <c r="A155" i="1"/>
  <c r="A174" i="1"/>
  <c r="A132" i="1"/>
  <c r="A145" i="1"/>
  <c r="A170" i="1"/>
  <c r="A177" i="1"/>
  <c r="E6" i="1"/>
  <c r="G6" i="1"/>
  <c r="A147" i="1"/>
  <c r="A149" i="1"/>
  <c r="A156" i="1"/>
  <c r="A159" i="1"/>
  <c r="A151" i="1"/>
  <c r="A161" i="1"/>
  <c r="A179" i="1"/>
  <c r="E2" i="1"/>
  <c r="G2" i="1"/>
  <c r="A134" i="1"/>
  <c r="A136" i="1"/>
  <c r="A138" i="1"/>
  <c r="A140" i="1"/>
  <c r="X82" i="1"/>
  <c r="V82" i="1"/>
  <c r="U82" i="1"/>
  <c r="O82" i="1"/>
  <c r="N82" i="1"/>
  <c r="M82" i="1"/>
  <c r="L82" i="1"/>
  <c r="J82" i="1"/>
  <c r="I82" i="1"/>
  <c r="H82" i="1"/>
  <c r="G82" i="1"/>
  <c r="F82" i="1"/>
  <c r="E82" i="1"/>
  <c r="D82" i="1"/>
  <c r="C82" i="1"/>
  <c r="K12" i="1"/>
  <c r="K11" i="1"/>
  <c r="K10" i="1"/>
  <c r="K9" i="1"/>
  <c r="K7" i="1"/>
  <c r="K8" i="1"/>
  <c r="K5" i="1"/>
  <c r="K3" i="1"/>
  <c r="E23" i="12"/>
  <c r="F23" i="12"/>
  <c r="D24" i="14"/>
  <c r="E163" i="12"/>
  <c r="F163" i="12"/>
  <c r="E51" i="12"/>
  <c r="F51" i="12"/>
  <c r="J24" i="14"/>
  <c r="P24" i="14"/>
  <c r="J23" i="12"/>
  <c r="K23" i="12"/>
  <c r="J163" i="12"/>
  <c r="K163" i="12"/>
  <c r="J51" i="12"/>
  <c r="K51" i="12"/>
  <c r="O24" i="14"/>
  <c r="U24" i="14"/>
  <c r="D14" i="6"/>
  <c r="B15" i="6"/>
  <c r="A97" i="15"/>
  <c r="B97" i="15"/>
  <c r="H97" i="15"/>
  <c r="E97" i="15"/>
  <c r="D97" i="15"/>
  <c r="A99" i="15"/>
  <c r="C15" i="6"/>
  <c r="E22" i="15"/>
  <c r="A322" i="15"/>
  <c r="A297" i="15"/>
  <c r="A272" i="15"/>
  <c r="A247" i="15"/>
  <c r="A222" i="15"/>
  <c r="A197" i="15"/>
  <c r="E47" i="15"/>
  <c r="E13" i="1"/>
  <c r="H13" i="1"/>
  <c r="H8" i="1"/>
  <c r="E9" i="1"/>
  <c r="H9" i="1"/>
  <c r="E10" i="1"/>
  <c r="H10" i="1"/>
  <c r="E11" i="1"/>
  <c r="H11" i="1"/>
  <c r="E12" i="1"/>
  <c r="H12" i="1"/>
  <c r="E327" i="12"/>
  <c r="F327" i="12"/>
  <c r="J327" i="12"/>
  <c r="K327" i="12"/>
  <c r="J19" i="12"/>
  <c r="K19" i="12"/>
  <c r="J159" i="12"/>
  <c r="K159" i="12"/>
  <c r="J47" i="12"/>
  <c r="K47" i="12"/>
  <c r="O20" i="14"/>
  <c r="H35" i="1"/>
  <c r="K20" i="12"/>
  <c r="K160" i="12"/>
  <c r="K48" i="12"/>
  <c r="O21" i="14"/>
  <c r="E26" i="1"/>
  <c r="E10" i="12"/>
  <c r="F10" i="12"/>
  <c r="D11" i="14"/>
  <c r="E38" i="12"/>
  <c r="F38" i="12"/>
  <c r="J11" i="14"/>
  <c r="P11" i="14"/>
  <c r="J10" i="12"/>
  <c r="K10" i="12"/>
  <c r="J38" i="12"/>
  <c r="K38" i="12"/>
  <c r="O11" i="14"/>
  <c r="U11" i="14"/>
  <c r="F26" i="1"/>
  <c r="G26" i="1"/>
  <c r="A517" i="1"/>
  <c r="A524" i="1"/>
  <c r="E13" i="12"/>
  <c r="F13" i="12"/>
  <c r="D14" i="14"/>
  <c r="E41" i="12"/>
  <c r="F41" i="12"/>
  <c r="J14" i="14"/>
  <c r="P14" i="14"/>
  <c r="J13" i="12"/>
  <c r="K13" i="12"/>
  <c r="J41" i="12"/>
  <c r="K41" i="12"/>
  <c r="O14" i="14"/>
  <c r="U14" i="14"/>
  <c r="F29" i="1"/>
  <c r="G29" i="1"/>
  <c r="B520" i="1"/>
  <c r="A526" i="1"/>
  <c r="A528" i="1"/>
  <c r="J21" i="12"/>
  <c r="K21" i="12"/>
  <c r="J49" i="12"/>
  <c r="K49" i="12"/>
  <c r="O22" i="14"/>
  <c r="E3" i="12"/>
  <c r="F3" i="12"/>
  <c r="D4" i="14"/>
  <c r="E31" i="12"/>
  <c r="F31" i="12"/>
  <c r="J4" i="14"/>
  <c r="P4" i="14"/>
  <c r="J3" i="12"/>
  <c r="K3" i="12"/>
  <c r="J31" i="12"/>
  <c r="K31" i="12"/>
  <c r="O4" i="14"/>
  <c r="U4" i="14"/>
  <c r="F16" i="1"/>
  <c r="E4" i="12"/>
  <c r="F4" i="12"/>
  <c r="D5" i="14"/>
  <c r="E32" i="12"/>
  <c r="F32" i="12"/>
  <c r="J5" i="14"/>
  <c r="P5" i="14"/>
  <c r="J4" i="12"/>
  <c r="K4" i="12"/>
  <c r="J32" i="12"/>
  <c r="K32" i="12"/>
  <c r="O5" i="14"/>
  <c r="U5" i="14"/>
  <c r="F17" i="1"/>
  <c r="G20" i="1"/>
  <c r="A442" i="1"/>
  <c r="C448" i="1"/>
  <c r="E18" i="1"/>
  <c r="G18" i="1"/>
  <c r="A451" i="1"/>
  <c r="A453" i="1"/>
  <c r="B114" i="10"/>
  <c r="D114" i="10"/>
  <c r="E114" i="10"/>
  <c r="B17" i="16"/>
  <c r="B16" i="16"/>
  <c r="B7" i="16"/>
  <c r="B2" i="16"/>
  <c r="G247" i="15"/>
  <c r="A198" i="15"/>
  <c r="A223" i="15"/>
  <c r="A248" i="15"/>
  <c r="B247" i="15"/>
  <c r="A249" i="15"/>
  <c r="G322" i="15"/>
  <c r="A273" i="15"/>
  <c r="A298" i="15"/>
  <c r="A323" i="15"/>
  <c r="B322" i="15"/>
  <c r="A324" i="15"/>
  <c r="G222" i="15"/>
  <c r="B222" i="15"/>
  <c r="A224" i="15"/>
  <c r="G297" i="15"/>
  <c r="B297" i="15"/>
  <c r="A299" i="15"/>
  <c r="G197" i="15"/>
  <c r="B197" i="15"/>
  <c r="A199" i="15"/>
  <c r="G272" i="15"/>
  <c r="B272" i="15"/>
  <c r="A274" i="15"/>
  <c r="N322" i="15"/>
  <c r="M322" i="15"/>
  <c r="L322" i="15"/>
  <c r="K322" i="15"/>
  <c r="J322" i="15"/>
  <c r="I322" i="15"/>
  <c r="H322" i="15"/>
  <c r="F322" i="15"/>
  <c r="E322" i="15"/>
  <c r="D322" i="15"/>
  <c r="C322" i="15"/>
  <c r="N297" i="15"/>
  <c r="M297" i="15"/>
  <c r="L297" i="15"/>
  <c r="K297" i="15"/>
  <c r="J297" i="15"/>
  <c r="I297" i="15"/>
  <c r="H297" i="15"/>
  <c r="F297" i="15"/>
  <c r="E297" i="15"/>
  <c r="D297" i="15"/>
  <c r="C297" i="15"/>
  <c r="N272" i="15"/>
  <c r="M272" i="15"/>
  <c r="L272" i="15"/>
  <c r="K272" i="15"/>
  <c r="J272" i="15"/>
  <c r="I272" i="15"/>
  <c r="H272" i="15"/>
  <c r="F272" i="15"/>
  <c r="E272" i="15"/>
  <c r="D272" i="15"/>
  <c r="C272" i="15"/>
  <c r="N247" i="15"/>
  <c r="M247" i="15"/>
  <c r="L247" i="15"/>
  <c r="K247" i="15"/>
  <c r="J247" i="15"/>
  <c r="I247" i="15"/>
  <c r="H247" i="15"/>
  <c r="F247" i="15"/>
  <c r="E247" i="15"/>
  <c r="D247" i="15"/>
  <c r="C247" i="15"/>
  <c r="N222" i="15"/>
  <c r="M222" i="15"/>
  <c r="L222" i="15"/>
  <c r="K222" i="15"/>
  <c r="J222" i="15"/>
  <c r="I222" i="15"/>
  <c r="H222" i="15"/>
  <c r="F222" i="15"/>
  <c r="E222" i="15"/>
  <c r="D222" i="15"/>
  <c r="C222" i="15"/>
  <c r="N197" i="15"/>
  <c r="M197" i="15"/>
  <c r="L197" i="15"/>
  <c r="K197" i="15"/>
  <c r="J197" i="15"/>
  <c r="I197" i="15"/>
  <c r="H197" i="15"/>
  <c r="F197" i="15"/>
  <c r="E197" i="15"/>
  <c r="D197" i="15"/>
  <c r="C197" i="15"/>
  <c r="B33" i="10"/>
  <c r="B34" i="10"/>
  <c r="C34" i="10"/>
  <c r="B35" i="10"/>
  <c r="F32" i="11"/>
  <c r="F359" i="1"/>
  <c r="F360" i="1"/>
  <c r="G358" i="1"/>
  <c r="E358" i="1"/>
  <c r="K368" i="1"/>
  <c r="BB2" i="20"/>
  <c r="BG2" i="20"/>
  <c r="BF2" i="20"/>
  <c r="B508" i="1"/>
  <c r="B506" i="1"/>
  <c r="A512" i="1"/>
  <c r="A520" i="1"/>
  <c r="A525" i="1"/>
  <c r="A527" i="1"/>
  <c r="BK2" i="20"/>
  <c r="E27" i="1"/>
  <c r="F27" i="1"/>
  <c r="G27" i="1"/>
  <c r="G9" i="1"/>
  <c r="G10" i="1"/>
  <c r="G11" i="1"/>
  <c r="G12" i="1"/>
  <c r="G13" i="1"/>
  <c r="G34" i="1"/>
  <c r="G36" i="1"/>
  <c r="BE2" i="20"/>
  <c r="BD2" i="20"/>
  <c r="A450" i="1"/>
  <c r="A443" i="1"/>
  <c r="BC2" i="20"/>
  <c r="A397" i="1"/>
  <c r="A399" i="1"/>
  <c r="A403" i="1"/>
  <c r="A419" i="1"/>
  <c r="H22" i="1"/>
  <c r="B55" i="1"/>
  <c r="D56" i="1"/>
  <c r="D60" i="10"/>
  <c r="B60" i="10"/>
  <c r="C60" i="10"/>
  <c r="E60" i="10"/>
  <c r="F60" i="10"/>
  <c r="K66" i="10"/>
  <c r="B107" i="10"/>
  <c r="C107" i="10"/>
  <c r="B98" i="10"/>
  <c r="B101" i="10"/>
  <c r="O107" i="10"/>
  <c r="B106" i="10"/>
  <c r="A100" i="10"/>
  <c r="N106" i="10"/>
  <c r="E41" i="1"/>
  <c r="A101" i="10"/>
  <c r="N107" i="10"/>
  <c r="E39" i="1"/>
  <c r="E40" i="1"/>
  <c r="E42" i="1"/>
  <c r="A295" i="1"/>
  <c r="C106" i="10"/>
  <c r="B100" i="10"/>
  <c r="O106" i="10"/>
  <c r="F41" i="1"/>
  <c r="H41" i="1"/>
  <c r="H42" i="1"/>
  <c r="F39" i="1"/>
  <c r="H39" i="1"/>
  <c r="F40" i="1"/>
  <c r="H40" i="1"/>
  <c r="C296" i="1"/>
  <c r="C301" i="1"/>
  <c r="C300" i="1"/>
  <c r="C302" i="1"/>
  <c r="C297" i="1"/>
  <c r="C298" i="1"/>
  <c r="C299" i="1"/>
  <c r="A317" i="1"/>
  <c r="J24" i="12"/>
  <c r="K24" i="12"/>
  <c r="J164" i="12"/>
  <c r="K164" i="12"/>
  <c r="J52" i="12"/>
  <c r="K52" i="12"/>
  <c r="O25" i="14"/>
  <c r="A40" i="10"/>
  <c r="A41" i="10"/>
  <c r="B40" i="10"/>
  <c r="B41" i="10"/>
  <c r="C40" i="10"/>
  <c r="C41" i="10"/>
  <c r="D41" i="10"/>
  <c r="F41" i="11"/>
  <c r="A350" i="1"/>
  <c r="B350" i="1"/>
  <c r="B351" i="1"/>
  <c r="B352" i="1"/>
  <c r="A355" i="1"/>
  <c r="B353" i="1"/>
  <c r="A293" i="1"/>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B104" i="10"/>
  <c r="A98" i="10"/>
  <c r="N104"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B105" i="10"/>
  <c r="A99" i="10"/>
  <c r="N105" i="10"/>
  <c r="C104" i="10"/>
  <c r="O104" i="10"/>
  <c r="C105" i="10"/>
  <c r="B99" i="10"/>
  <c r="O105" i="10"/>
  <c r="A316" i="1"/>
  <c r="D302" i="1"/>
  <c r="G39" i="1"/>
  <c r="B307" i="1"/>
  <c r="C307" i="1"/>
  <c r="F302" i="1"/>
  <c r="E302" i="1"/>
  <c r="G302" i="1"/>
  <c r="D299" i="1"/>
  <c r="B310" i="1"/>
  <c r="C310" i="1"/>
  <c r="F299" i="1"/>
  <c r="E299" i="1"/>
  <c r="G299" i="1"/>
  <c r="BA2" i="20"/>
  <c r="D297" i="1"/>
  <c r="G40" i="1"/>
  <c r="B308" i="1"/>
  <c r="B312" i="1"/>
  <c r="C312" i="1"/>
  <c r="F297" i="1"/>
  <c r="E297" i="1"/>
  <c r="G297" i="1"/>
  <c r="E298" i="1"/>
  <c r="D298" i="1"/>
  <c r="B311" i="1"/>
  <c r="C311" i="1"/>
  <c r="F298" i="1"/>
  <c r="G298" i="1"/>
  <c r="E300" i="1"/>
  <c r="D300" i="1"/>
  <c r="G41" i="1"/>
  <c r="B309" i="1"/>
  <c r="C309" i="1"/>
  <c r="F300" i="1"/>
  <c r="G300" i="1"/>
  <c r="E301" i="1"/>
  <c r="D301" i="1"/>
  <c r="C308" i="1"/>
  <c r="F301" i="1"/>
  <c r="G301" i="1"/>
  <c r="B313" i="1"/>
  <c r="C313" i="1"/>
  <c r="G42" i="1"/>
  <c r="AZ2" i="20"/>
  <c r="A269" i="1"/>
  <c r="B57" i="1"/>
  <c r="A264" i="1"/>
  <c r="G166" i="9"/>
  <c r="G165" i="9"/>
  <c r="G164" i="9"/>
  <c r="G163" i="9"/>
  <c r="G162" i="9"/>
  <c r="B28" i="10"/>
  <c r="B29" i="10"/>
  <c r="D28" i="10"/>
  <c r="D29" i="10"/>
  <c r="E28" i="10"/>
  <c r="E28" i="11"/>
  <c r="AY2" i="20"/>
  <c r="AW2" i="20"/>
  <c r="A113" i="1"/>
  <c r="G77" i="1"/>
  <c r="D77" i="1"/>
  <c r="A77" i="1"/>
  <c r="AS2" i="20"/>
  <c r="AB2" i="20"/>
  <c r="AC2" i="20"/>
  <c r="AD2" i="20"/>
  <c r="AE2" i="20"/>
  <c r="AF2" i="20"/>
  <c r="AG2" i="20"/>
  <c r="AH2" i="20"/>
  <c r="AI2" i="20"/>
  <c r="AJ2" i="20"/>
  <c r="AK2" i="20"/>
  <c r="AL2" i="20"/>
  <c r="AM2" i="20"/>
  <c r="AN2" i="20"/>
  <c r="AO2" i="20"/>
  <c r="AP2" i="20"/>
  <c r="AQ2" i="20"/>
  <c r="AR2" i="20"/>
  <c r="AA2" i="20"/>
  <c r="F28" i="1"/>
  <c r="F30" i="1"/>
  <c r="F31" i="1"/>
  <c r="F44" i="1"/>
  <c r="E46" i="1"/>
  <c r="E47" i="1"/>
  <c r="B70" i="1"/>
  <c r="C70" i="1"/>
  <c r="C71" i="1"/>
  <c r="D70" i="1"/>
  <c r="F46" i="1"/>
  <c r="D71" i="1"/>
  <c r="E70" i="1"/>
  <c r="F47" i="1"/>
  <c r="E71" i="1"/>
  <c r="F71" i="1"/>
  <c r="G25" i="1"/>
  <c r="E28" i="1"/>
  <c r="G28" i="1"/>
  <c r="G30" i="1"/>
  <c r="G31" i="1"/>
  <c r="G44" i="1"/>
  <c r="G71" i="1"/>
  <c r="G46" i="1"/>
  <c r="G47" i="1"/>
  <c r="AV2" i="20"/>
  <c r="A173" i="1"/>
  <c r="A175" i="1"/>
  <c r="A178" i="1"/>
  <c r="AU2" i="20"/>
  <c r="AT2" i="20"/>
  <c r="EY2" i="20"/>
  <c r="EX2" i="20"/>
  <c r="EW2" i="20"/>
  <c r="EV2" i="20"/>
  <c r="EU2" i="20"/>
  <c r="ET2" i="20"/>
  <c r="ES2" i="20"/>
  <c r="ER2" i="20"/>
  <c r="EQ2" i="20"/>
  <c r="EP2" i="20"/>
  <c r="EO2" i="20"/>
  <c r="EN2" i="20"/>
  <c r="EM2" i="20"/>
  <c r="EL2" i="20"/>
  <c r="EK2" i="20"/>
  <c r="EJ2" i="20"/>
  <c r="DU2" i="20"/>
  <c r="EI2" i="20"/>
  <c r="EA2" i="20"/>
  <c r="EH2" i="20"/>
  <c r="DZ2" i="20"/>
  <c r="EG2" i="20"/>
  <c r="DY2" i="20"/>
  <c r="EF2" i="20"/>
  <c r="DX2" i="20"/>
  <c r="EE2" i="20"/>
  <c r="DW2" i="20"/>
  <c r="ED2" i="20"/>
  <c r="DV2" i="20"/>
  <c r="EC2" i="20"/>
  <c r="EB2" i="20"/>
  <c r="DT2" i="20"/>
  <c r="DO2" i="20"/>
  <c r="DS2" i="20"/>
  <c r="DN2" i="20"/>
  <c r="DR2" i="20"/>
  <c r="DQ2" i="20"/>
  <c r="DP2" i="20"/>
  <c r="DI2" i="20"/>
  <c r="DM2" i="20"/>
  <c r="DL2" i="20"/>
  <c r="DK2" i="20"/>
  <c r="DJ2" i="20"/>
  <c r="DH2" i="20"/>
  <c r="DG2" i="20"/>
  <c r="DD2" i="20"/>
  <c r="DF2" i="20"/>
  <c r="DE2" i="20"/>
  <c r="DC2" i="20"/>
  <c r="DB2" i="20"/>
  <c r="DA2" i="20"/>
  <c r="CX2" i="20"/>
  <c r="CZ2" i="20"/>
  <c r="CY2" i="20"/>
  <c r="CW2" i="20"/>
  <c r="CT2" i="20"/>
  <c r="CV2" i="20"/>
  <c r="CU2" i="20"/>
  <c r="CP2" i="20"/>
  <c r="CS2" i="20"/>
  <c r="CR2" i="20"/>
  <c r="CQ2" i="20"/>
  <c r="CO2" i="20"/>
  <c r="CN2" i="20"/>
  <c r="CM2" i="20"/>
  <c r="CL2" i="20"/>
  <c r="CK2" i="20"/>
  <c r="CJ2" i="20"/>
  <c r="CI2" i="20"/>
  <c r="CH2" i="20"/>
  <c r="CG2" i="20"/>
  <c r="CF2" i="20"/>
  <c r="CE2" i="20"/>
  <c r="CD2" i="20"/>
  <c r="CC2" i="20"/>
  <c r="CB2" i="20"/>
  <c r="CA2" i="20"/>
  <c r="BZ2" i="20"/>
  <c r="BY2" i="20"/>
  <c r="BX2" i="20"/>
  <c r="BW2" i="20"/>
  <c r="BV2" i="20"/>
  <c r="BU2" i="20"/>
  <c r="BT2" i="20"/>
  <c r="BS2" i="20"/>
  <c r="BR2" i="20"/>
  <c r="BQ2" i="20"/>
  <c r="BP2" i="20"/>
  <c r="BO2" i="20"/>
  <c r="BN2" i="20"/>
  <c r="BM2" i="20"/>
  <c r="BL2" i="20"/>
  <c r="W2" i="20"/>
  <c r="U2" i="20"/>
  <c r="T2" i="20"/>
  <c r="S2" i="20"/>
  <c r="R2" i="20"/>
  <c r="Q2" i="20"/>
  <c r="K21" i="1"/>
  <c r="B50" i="1"/>
  <c r="C50" i="1"/>
  <c r="D50" i="1"/>
  <c r="G50" i="1"/>
  <c r="H50" i="1"/>
  <c r="B51" i="1"/>
  <c r="C51" i="1"/>
  <c r="D51" i="1"/>
  <c r="G51" i="1"/>
  <c r="L2" i="20"/>
  <c r="K2" i="20"/>
  <c r="J2" i="20"/>
  <c r="I2" i="20"/>
  <c r="G2" i="20"/>
  <c r="F2" i="20"/>
  <c r="E2" i="20"/>
  <c r="D2" i="20"/>
  <c r="C2" i="20"/>
  <c r="B2" i="20"/>
  <c r="A2" i="20"/>
  <c r="F22" i="18"/>
  <c r="F7" i="1"/>
  <c r="F5" i="18"/>
  <c r="F5" i="7"/>
  <c r="F8" i="1"/>
  <c r="F6" i="18"/>
  <c r="F6" i="7"/>
  <c r="F9" i="1"/>
  <c r="F7" i="18"/>
  <c r="F7" i="7"/>
  <c r="F11" i="1"/>
  <c r="F8" i="18"/>
  <c r="F8" i="7"/>
  <c r="F10" i="1"/>
  <c r="F9" i="18"/>
  <c r="F9" i="7"/>
  <c r="F12" i="1"/>
  <c r="F10" i="18"/>
  <c r="F10" i="7"/>
  <c r="F13" i="1"/>
  <c r="F11" i="18"/>
  <c r="F11" i="7"/>
  <c r="F12" i="18"/>
  <c r="F12" i="7"/>
  <c r="F13" i="18"/>
  <c r="F13" i="7"/>
  <c r="F14" i="18"/>
  <c r="F14" i="7"/>
  <c r="F15" i="18"/>
  <c r="F15" i="7"/>
  <c r="F17" i="18"/>
  <c r="F17" i="7"/>
  <c r="F18" i="18"/>
  <c r="F18" i="7"/>
  <c r="F19" i="18"/>
  <c r="F19" i="7"/>
  <c r="F20" i="18"/>
  <c r="F20" i="7"/>
  <c r="F21" i="18"/>
  <c r="F21" i="7"/>
  <c r="F22" i="7"/>
  <c r="F23" i="18"/>
  <c r="F23" i="7"/>
  <c r="F24" i="18"/>
  <c r="F24" i="7"/>
  <c r="F25" i="18"/>
  <c r="F25" i="7"/>
  <c r="F26" i="18"/>
  <c r="F26" i="7"/>
  <c r="F27" i="18"/>
  <c r="F27" i="7"/>
  <c r="F28" i="18"/>
  <c r="F28" i="7"/>
  <c r="F29" i="7"/>
  <c r="F30" i="18"/>
  <c r="F30" i="7"/>
  <c r="F31" i="18"/>
  <c r="F31" i="7"/>
  <c r="F32" i="18"/>
  <c r="F32" i="7"/>
  <c r="F33" i="18"/>
  <c r="F33" i="7"/>
  <c r="F34" i="18"/>
  <c r="F34" i="7"/>
  <c r="F35" i="18"/>
  <c r="F35" i="7"/>
  <c r="F36" i="18"/>
  <c r="F36" i="7"/>
  <c r="F37" i="18"/>
  <c r="F37" i="7"/>
  <c r="E3" i="18"/>
  <c r="E3" i="7"/>
  <c r="E4" i="18"/>
  <c r="E4" i="7"/>
  <c r="E5" i="18"/>
  <c r="E5" i="7"/>
  <c r="E6" i="18"/>
  <c r="E6" i="7"/>
  <c r="E7" i="18"/>
  <c r="E7" i="7"/>
  <c r="E8" i="18"/>
  <c r="E8" i="7"/>
  <c r="E9" i="18"/>
  <c r="E9" i="7"/>
  <c r="E10" i="18"/>
  <c r="E10" i="7"/>
  <c r="E11" i="18"/>
  <c r="E11" i="7"/>
  <c r="E12" i="18"/>
  <c r="E12" i="7"/>
  <c r="E13" i="18"/>
  <c r="E13" i="7"/>
  <c r="E14" i="18"/>
  <c r="E14" i="7"/>
  <c r="E15" i="18"/>
  <c r="E15" i="7"/>
  <c r="E16" i="18"/>
  <c r="E16" i="7"/>
  <c r="E17" i="18"/>
  <c r="E17" i="7"/>
  <c r="E20" i="1"/>
  <c r="E18" i="18"/>
  <c r="E18" i="7"/>
  <c r="E19" i="18"/>
  <c r="E19" i="7"/>
  <c r="E20" i="18"/>
  <c r="E20" i="7"/>
  <c r="E21" i="18"/>
  <c r="E21" i="7"/>
  <c r="E22" i="18"/>
  <c r="E22" i="7"/>
  <c r="E23" i="18"/>
  <c r="E23" i="7"/>
  <c r="E24" i="18"/>
  <c r="E24" i="7"/>
  <c r="E32" i="1"/>
  <c r="E25" i="18"/>
  <c r="E25" i="7"/>
  <c r="E33" i="1"/>
  <c r="E26" i="18"/>
  <c r="E26" i="7"/>
  <c r="E34" i="1"/>
  <c r="E27" i="18"/>
  <c r="E27" i="7"/>
  <c r="E28" i="18"/>
  <c r="E28" i="7"/>
  <c r="E29" i="7"/>
  <c r="E37" i="1"/>
  <c r="E30" i="18"/>
  <c r="E30" i="7"/>
  <c r="E38" i="1"/>
  <c r="E31" i="18"/>
  <c r="E31" i="7"/>
  <c r="E32" i="18"/>
  <c r="E32" i="7"/>
  <c r="E33" i="18"/>
  <c r="E33" i="7"/>
  <c r="E34" i="18"/>
  <c r="E34" i="7"/>
  <c r="E35" i="18"/>
  <c r="E35" i="7"/>
  <c r="E43" i="1"/>
  <c r="E36" i="18"/>
  <c r="E36" i="7"/>
  <c r="E37" i="18"/>
  <c r="E37" i="7"/>
  <c r="E2" i="18"/>
  <c r="E2" i="7"/>
  <c r="D3" i="7"/>
  <c r="D4" i="7"/>
  <c r="D5" i="7"/>
  <c r="D6" i="7"/>
  <c r="D7" i="7"/>
  <c r="D8" i="7"/>
  <c r="D9" i="7"/>
  <c r="D10" i="7"/>
  <c r="D11" i="7"/>
  <c r="D12" i="7"/>
  <c r="D13" i="7"/>
  <c r="C4" i="14"/>
  <c r="N4" i="14"/>
  <c r="B4" i="14"/>
  <c r="H4" i="14"/>
  <c r="S4" i="14"/>
  <c r="D14" i="18"/>
  <c r="D14" i="7"/>
  <c r="C5" i="14"/>
  <c r="N5" i="14"/>
  <c r="B5" i="14"/>
  <c r="H5" i="14"/>
  <c r="S5" i="14"/>
  <c r="D15" i="18"/>
  <c r="D15" i="7"/>
  <c r="D16" i="7"/>
  <c r="C6" i="14"/>
  <c r="N6" i="14"/>
  <c r="B6" i="14"/>
  <c r="H6" i="14"/>
  <c r="S6" i="14"/>
  <c r="D17" i="18"/>
  <c r="D17" i="7"/>
  <c r="C7" i="14"/>
  <c r="N7" i="14"/>
  <c r="B7" i="14"/>
  <c r="H7" i="14"/>
  <c r="S7" i="14"/>
  <c r="D18" i="18"/>
  <c r="D18" i="7"/>
  <c r="C8" i="14"/>
  <c r="N8" i="14"/>
  <c r="B8" i="14"/>
  <c r="H8" i="14"/>
  <c r="S8" i="14"/>
  <c r="D19" i="18"/>
  <c r="D19" i="7"/>
  <c r="C9" i="14"/>
  <c r="N9" i="14"/>
  <c r="B9" i="14"/>
  <c r="H9" i="14"/>
  <c r="S9" i="14"/>
  <c r="D20" i="18"/>
  <c r="D20" i="7"/>
  <c r="C10" i="14"/>
  <c r="N10" i="14"/>
  <c r="B10" i="14"/>
  <c r="H10" i="14"/>
  <c r="S10" i="14"/>
  <c r="D21" i="18"/>
  <c r="D21" i="7"/>
  <c r="D22" i="7"/>
  <c r="C11" i="14"/>
  <c r="N11" i="14"/>
  <c r="B11" i="14"/>
  <c r="H11" i="14"/>
  <c r="S11" i="14"/>
  <c r="D23" i="18"/>
  <c r="D23" i="7"/>
  <c r="C14" i="14"/>
  <c r="N14" i="14"/>
  <c r="B14" i="14"/>
  <c r="H14" i="14"/>
  <c r="S14" i="14"/>
  <c r="D24" i="18"/>
  <c r="D24" i="7"/>
  <c r="C17" i="14"/>
  <c r="J128" i="12"/>
  <c r="N17" i="14"/>
  <c r="B17" i="14"/>
  <c r="H17" i="14"/>
  <c r="S17" i="14"/>
  <c r="D25" i="18"/>
  <c r="D25" i="7"/>
  <c r="C18" i="14"/>
  <c r="J129" i="12"/>
  <c r="N18" i="14"/>
  <c r="B18" i="14"/>
  <c r="H18" i="14"/>
  <c r="S18" i="14"/>
  <c r="D26" i="18"/>
  <c r="D26" i="7"/>
  <c r="C19" i="14"/>
  <c r="N19" i="14"/>
  <c r="B19" i="14"/>
  <c r="H19" i="14"/>
  <c r="S19" i="14"/>
  <c r="D27" i="18"/>
  <c r="D27" i="7"/>
  <c r="C20" i="14"/>
  <c r="N20" i="14"/>
  <c r="B20" i="14"/>
  <c r="H20" i="14"/>
  <c r="S20" i="14"/>
  <c r="D28" i="18"/>
  <c r="D28" i="7"/>
  <c r="D29" i="7"/>
  <c r="C22" i="14"/>
  <c r="N22" i="14"/>
  <c r="B22" i="14"/>
  <c r="H22" i="14"/>
  <c r="S22" i="14"/>
  <c r="D30" i="18"/>
  <c r="D30" i="7"/>
  <c r="C23" i="14"/>
  <c r="N23" i="14"/>
  <c r="B23" i="14"/>
  <c r="H23" i="14"/>
  <c r="S23" i="14"/>
  <c r="D31" i="18"/>
  <c r="D31" i="7"/>
  <c r="D32" i="7"/>
  <c r="D33" i="7"/>
  <c r="D34" i="7"/>
  <c r="D35" i="7"/>
  <c r="C25" i="14"/>
  <c r="N25" i="14"/>
  <c r="B25" i="14"/>
  <c r="H25" i="14"/>
  <c r="S25" i="14"/>
  <c r="C24" i="14"/>
  <c r="N24" i="14"/>
  <c r="B24" i="14"/>
  <c r="H24" i="14"/>
  <c r="S24" i="14"/>
  <c r="D36" i="18"/>
  <c r="D36" i="7"/>
  <c r="C26" i="14"/>
  <c r="J249" i="12"/>
  <c r="N26" i="14"/>
  <c r="B26" i="14"/>
  <c r="H26" i="14"/>
  <c r="S26" i="14"/>
  <c r="D37" i="18"/>
  <c r="D37" i="7"/>
  <c r="D2" i="7"/>
  <c r="C3" i="7"/>
  <c r="C4" i="7"/>
  <c r="C5" i="7"/>
  <c r="C6" i="7"/>
  <c r="C7" i="7"/>
  <c r="C8" i="7"/>
  <c r="C9" i="7"/>
  <c r="C10" i="7"/>
  <c r="C11" i="7"/>
  <c r="C12" i="7"/>
  <c r="C13" i="7"/>
  <c r="M4" i="14"/>
  <c r="A4" i="14"/>
  <c r="G4" i="14"/>
  <c r="R4" i="14"/>
  <c r="C14" i="18"/>
  <c r="C14" i="7"/>
  <c r="M5" i="14"/>
  <c r="A5" i="14"/>
  <c r="G5" i="14"/>
  <c r="R5" i="14"/>
  <c r="C15" i="18"/>
  <c r="C15" i="7"/>
  <c r="C16" i="7"/>
  <c r="M6" i="14"/>
  <c r="A6" i="14"/>
  <c r="G6" i="14"/>
  <c r="L6" i="14"/>
  <c r="R6" i="14"/>
  <c r="C17" i="18"/>
  <c r="C17" i="7"/>
  <c r="M7" i="14"/>
  <c r="A7" i="14"/>
  <c r="G7" i="14"/>
  <c r="R7" i="14"/>
  <c r="C18" i="18"/>
  <c r="C18" i="7"/>
  <c r="M8" i="14"/>
  <c r="A8" i="14"/>
  <c r="G8" i="14"/>
  <c r="R8" i="14"/>
  <c r="C19" i="18"/>
  <c r="C19" i="7"/>
  <c r="M9" i="14"/>
  <c r="A9" i="14"/>
  <c r="G9" i="14"/>
  <c r="R9" i="14"/>
  <c r="C20" i="18"/>
  <c r="C20" i="7"/>
  <c r="M10" i="14"/>
  <c r="A10" i="14"/>
  <c r="G10" i="14"/>
  <c r="L10" i="14"/>
  <c r="R10" i="14"/>
  <c r="C21" i="18"/>
  <c r="C21" i="7"/>
  <c r="C22" i="7"/>
  <c r="C23" i="18"/>
  <c r="C23" i="7"/>
  <c r="C24" i="18"/>
  <c r="C24" i="7"/>
  <c r="M17" i="14"/>
  <c r="A17" i="14"/>
  <c r="G17" i="14"/>
  <c r="R17" i="14"/>
  <c r="C25" i="18"/>
  <c r="C25" i="7"/>
  <c r="M18" i="14"/>
  <c r="A18" i="14"/>
  <c r="G18" i="14"/>
  <c r="R18" i="14"/>
  <c r="C26" i="18"/>
  <c r="C26" i="7"/>
  <c r="M19" i="14"/>
  <c r="A19" i="14"/>
  <c r="G19" i="14"/>
  <c r="R19" i="14"/>
  <c r="C27" i="18"/>
  <c r="C27" i="7"/>
  <c r="M20" i="14"/>
  <c r="A20" i="14"/>
  <c r="G20" i="14"/>
  <c r="R20" i="14"/>
  <c r="C28" i="18"/>
  <c r="C28" i="7"/>
  <c r="L21" i="14"/>
  <c r="C29" i="7"/>
  <c r="M22" i="14"/>
  <c r="A22" i="14"/>
  <c r="G22" i="14"/>
  <c r="R22" i="14"/>
  <c r="C30" i="18"/>
  <c r="C30" i="7"/>
  <c r="M23" i="14"/>
  <c r="A23" i="14"/>
  <c r="G23" i="14"/>
  <c r="R23" i="14"/>
  <c r="C31" i="18"/>
  <c r="C31" i="7"/>
  <c r="C32" i="7"/>
  <c r="C33" i="7"/>
  <c r="C34" i="7"/>
  <c r="C35" i="7"/>
  <c r="C36" i="18"/>
  <c r="C36" i="7"/>
  <c r="M26" i="14"/>
  <c r="A26" i="14"/>
  <c r="G26" i="14"/>
  <c r="R26" i="14"/>
  <c r="C37" i="18"/>
  <c r="C37" i="7"/>
  <c r="A23" i="7"/>
  <c r="X23" i="7"/>
  <c r="Y23" i="7"/>
  <c r="Z23" i="7"/>
  <c r="AA23" i="7"/>
  <c r="AB23" i="7"/>
  <c r="AC23" i="7"/>
  <c r="AD23" i="7"/>
  <c r="AE23" i="7"/>
  <c r="I23" i="7"/>
  <c r="V23" i="7"/>
  <c r="C2" i="7"/>
  <c r="M11" i="14"/>
  <c r="A11" i="14"/>
  <c r="G11" i="14"/>
  <c r="R11" i="14"/>
  <c r="E227" i="12"/>
  <c r="C114" i="10"/>
  <c r="M24" i="14"/>
  <c r="A24" i="14"/>
  <c r="G24" i="14"/>
  <c r="R24" i="14"/>
  <c r="M14" i="14"/>
  <c r="A14" i="14"/>
  <c r="G14" i="14"/>
  <c r="R14" i="14"/>
  <c r="E14" i="12"/>
  <c r="E42" i="12"/>
  <c r="F42" i="12"/>
  <c r="D15" i="14"/>
  <c r="F14" i="12"/>
  <c r="J15" i="14"/>
  <c r="P15" i="14"/>
  <c r="J14" i="12"/>
  <c r="K14" i="12"/>
  <c r="J42" i="12"/>
  <c r="K42" i="12"/>
  <c r="O15" i="14"/>
  <c r="U15" i="14"/>
  <c r="E11" i="12"/>
  <c r="E39" i="12"/>
  <c r="F39" i="12"/>
  <c r="D12" i="14"/>
  <c r="F11" i="12"/>
  <c r="J12" i="14"/>
  <c r="P12" i="14"/>
  <c r="J11" i="12"/>
  <c r="K11" i="12"/>
  <c r="J39" i="12"/>
  <c r="K39" i="12"/>
  <c r="O12" i="14"/>
  <c r="U12" i="14"/>
  <c r="B28" i="14"/>
  <c r="M28" i="14"/>
  <c r="A28" i="14"/>
  <c r="G28" i="14"/>
  <c r="R28" i="14"/>
  <c r="C28" i="14"/>
  <c r="J27" i="12"/>
  <c r="J55" i="12"/>
  <c r="J251" i="12"/>
  <c r="J335" i="12"/>
  <c r="J167" i="12"/>
  <c r="N28" i="14"/>
  <c r="H28" i="14"/>
  <c r="S28" i="14"/>
  <c r="K27" i="12"/>
  <c r="K55" i="12"/>
  <c r="K251" i="12"/>
  <c r="K167" i="12"/>
  <c r="O28" i="14"/>
  <c r="E251" i="12"/>
  <c r="E335" i="12"/>
  <c r="I28" i="14"/>
  <c r="T28" i="14"/>
  <c r="B27" i="14"/>
  <c r="M27" i="14"/>
  <c r="A27" i="14"/>
  <c r="G27" i="14"/>
  <c r="R27" i="14"/>
  <c r="C27" i="14"/>
  <c r="J250" i="12"/>
  <c r="J334" i="12"/>
  <c r="N27" i="14"/>
  <c r="H27" i="14"/>
  <c r="S27" i="14"/>
  <c r="K250" i="12"/>
  <c r="E250" i="12"/>
  <c r="E334" i="12"/>
  <c r="I27" i="14"/>
  <c r="T27" i="14"/>
  <c r="K249" i="12"/>
  <c r="I26" i="14"/>
  <c r="T26" i="14"/>
  <c r="M25" i="14"/>
  <c r="A25" i="14"/>
  <c r="G25" i="14"/>
  <c r="R25" i="14"/>
  <c r="I25" i="14"/>
  <c r="T25" i="14"/>
  <c r="I24" i="14"/>
  <c r="T24" i="14"/>
  <c r="I23" i="14"/>
  <c r="T23" i="14"/>
  <c r="I22" i="14"/>
  <c r="T22" i="14"/>
  <c r="I21" i="14"/>
  <c r="T21" i="14"/>
  <c r="I20" i="14"/>
  <c r="T20" i="14"/>
  <c r="I19" i="14"/>
  <c r="T19" i="14"/>
  <c r="K129" i="12"/>
  <c r="I18" i="14"/>
  <c r="T18" i="14"/>
  <c r="K128" i="12"/>
  <c r="I17" i="14"/>
  <c r="T17" i="14"/>
  <c r="B16" i="14"/>
  <c r="M16" i="14"/>
  <c r="A16" i="14"/>
  <c r="G16" i="14"/>
  <c r="R16" i="14"/>
  <c r="C16" i="14"/>
  <c r="E15" i="12"/>
  <c r="J43" i="12"/>
  <c r="J15" i="12"/>
  <c r="N16" i="14"/>
  <c r="H16" i="14"/>
  <c r="S16" i="14"/>
  <c r="D16" i="14"/>
  <c r="K43" i="12"/>
  <c r="K15" i="12"/>
  <c r="O16" i="14"/>
  <c r="E43" i="12"/>
  <c r="I16" i="14"/>
  <c r="T16" i="14"/>
  <c r="B15" i="14"/>
  <c r="M15" i="14"/>
  <c r="A15" i="14"/>
  <c r="G15" i="14"/>
  <c r="R15" i="14"/>
  <c r="C15" i="14"/>
  <c r="N15" i="14"/>
  <c r="H15" i="14"/>
  <c r="S15" i="14"/>
  <c r="I15" i="14"/>
  <c r="T15" i="14"/>
  <c r="I14" i="14"/>
  <c r="T14" i="14"/>
  <c r="B13" i="14"/>
  <c r="M13" i="14"/>
  <c r="A13" i="14"/>
  <c r="G13" i="14"/>
  <c r="R13" i="14"/>
  <c r="C13" i="14"/>
  <c r="E12" i="12"/>
  <c r="J40" i="12"/>
  <c r="J12" i="12"/>
  <c r="N13" i="14"/>
  <c r="H13" i="14"/>
  <c r="S13" i="14"/>
  <c r="D13" i="14"/>
  <c r="K40" i="12"/>
  <c r="K12" i="12"/>
  <c r="O13" i="14"/>
  <c r="E40" i="12"/>
  <c r="I13" i="14"/>
  <c r="T13" i="14"/>
  <c r="B12" i="14"/>
  <c r="M12" i="14"/>
  <c r="A12" i="14"/>
  <c r="G12" i="14"/>
  <c r="R12" i="14"/>
  <c r="C12" i="14"/>
  <c r="N12" i="14"/>
  <c r="H12" i="14"/>
  <c r="S12" i="14"/>
  <c r="I12" i="14"/>
  <c r="T12" i="14"/>
  <c r="I11" i="14"/>
  <c r="T11" i="14"/>
  <c r="I10" i="14"/>
  <c r="T10" i="14"/>
  <c r="I9" i="14"/>
  <c r="T9" i="14"/>
  <c r="I8" i="14"/>
  <c r="T8" i="14"/>
  <c r="I7" i="14"/>
  <c r="T7" i="14"/>
  <c r="I6" i="14"/>
  <c r="T6" i="14"/>
  <c r="I5" i="14"/>
  <c r="T5" i="14"/>
  <c r="I4" i="14"/>
  <c r="T4" i="14"/>
  <c r="L28" i="14"/>
  <c r="L27" i="14"/>
  <c r="L26" i="14"/>
  <c r="L25" i="14"/>
  <c r="L24" i="14"/>
  <c r="L23" i="14"/>
  <c r="L22" i="14"/>
  <c r="L20" i="14"/>
  <c r="L19" i="14"/>
  <c r="L18" i="14"/>
  <c r="L17" i="14"/>
  <c r="L16" i="14"/>
  <c r="L15" i="14"/>
  <c r="L14" i="14"/>
  <c r="L13" i="14"/>
  <c r="L12" i="14"/>
  <c r="L11" i="14"/>
  <c r="L9" i="14"/>
  <c r="L8" i="14"/>
  <c r="L7" i="14"/>
  <c r="L5" i="14"/>
  <c r="L4" i="14"/>
  <c r="F5" i="1"/>
  <c r="F4" i="1"/>
  <c r="F3" i="1"/>
  <c r="E44" i="1"/>
  <c r="E31" i="1"/>
  <c r="E30" i="1"/>
  <c r="E29" i="1"/>
  <c r="B85" i="1"/>
  <c r="C89" i="1"/>
  <c r="B86" i="1"/>
  <c r="B87" i="1"/>
  <c r="C85" i="1"/>
  <c r="C86" i="1"/>
  <c r="D85" i="1"/>
  <c r="D86" i="1"/>
  <c r="E85" i="1"/>
  <c r="E86" i="1"/>
  <c r="F85" i="1"/>
  <c r="F86" i="1"/>
  <c r="D89" i="1"/>
  <c r="C90" i="1"/>
  <c r="C87" i="1"/>
  <c r="F90" i="1"/>
  <c r="D90" i="1"/>
  <c r="C91" i="1"/>
  <c r="D87" i="1"/>
  <c r="F91" i="1"/>
  <c r="D91" i="1"/>
  <c r="C92" i="1"/>
  <c r="E87" i="1"/>
  <c r="F92" i="1"/>
  <c r="D92" i="1"/>
  <c r="C93" i="1"/>
  <c r="F87" i="1"/>
  <c r="F93" i="1"/>
  <c r="A96" i="1"/>
  <c r="C98" i="1"/>
  <c r="C103" i="1"/>
  <c r="B98" i="1"/>
  <c r="C99" i="1"/>
  <c r="C100" i="1"/>
  <c r="D98" i="1"/>
  <c r="D99" i="1"/>
  <c r="E98" i="1"/>
  <c r="E99" i="1"/>
  <c r="F98" i="1"/>
  <c r="F99" i="1"/>
  <c r="F103" i="1"/>
  <c r="D103" i="1"/>
  <c r="C104" i="1"/>
  <c r="D100" i="1"/>
  <c r="F104" i="1"/>
  <c r="D104" i="1"/>
  <c r="C105" i="1"/>
  <c r="E100" i="1"/>
  <c r="F105" i="1"/>
  <c r="D105" i="1"/>
  <c r="C106" i="1"/>
  <c r="F100" i="1"/>
  <c r="F106" i="1"/>
  <c r="A109" i="1"/>
  <c r="A111" i="1"/>
  <c r="A122" i="1"/>
  <c r="B120" i="1"/>
  <c r="A123" i="1"/>
  <c r="C120" i="1"/>
  <c r="A124" i="1"/>
  <c r="A125" i="1"/>
  <c r="A127" i="1"/>
  <c r="C6" i="16"/>
  <c r="C21" i="16"/>
  <c r="C20" i="16"/>
  <c r="C19" i="16"/>
  <c r="C18" i="16"/>
  <c r="C17" i="16"/>
  <c r="C16" i="16"/>
  <c r="C15" i="16"/>
  <c r="C14" i="16"/>
  <c r="C13" i="16"/>
  <c r="C12" i="16"/>
  <c r="C11" i="16"/>
  <c r="C9" i="16"/>
  <c r="C8" i="16"/>
  <c r="C7" i="16"/>
  <c r="C5" i="16"/>
  <c r="C4" i="16"/>
  <c r="C3" i="16"/>
  <c r="C2" i="16"/>
  <c r="B21" i="16"/>
  <c r="B19" i="16"/>
  <c r="B18" i="16"/>
  <c r="B15" i="16"/>
  <c r="B14" i="16"/>
  <c r="B13" i="16"/>
  <c r="B12" i="16"/>
  <c r="B11" i="16"/>
  <c r="B9" i="16"/>
  <c r="B6" i="16"/>
  <c r="B4" i="16"/>
  <c r="B3" i="16"/>
  <c r="D106" i="1"/>
  <c r="B99" i="1"/>
  <c r="B100" i="1"/>
  <c r="D93" i="1"/>
  <c r="E228" i="12"/>
  <c r="F228" i="12"/>
  <c r="E256" i="12"/>
  <c r="F256" i="12"/>
  <c r="J256" i="12"/>
  <c r="K256" i="12"/>
  <c r="E229" i="12"/>
  <c r="F229" i="12"/>
  <c r="E257" i="12"/>
  <c r="F257" i="12"/>
  <c r="J257" i="12"/>
  <c r="K257" i="12"/>
  <c r="E230" i="12"/>
  <c r="F230" i="12"/>
  <c r="E258" i="12"/>
  <c r="F258" i="12"/>
  <c r="J258" i="12"/>
  <c r="K258" i="12"/>
  <c r="E231" i="12"/>
  <c r="F231" i="12"/>
  <c r="E259" i="12"/>
  <c r="F259" i="12"/>
  <c r="J259" i="12"/>
  <c r="K259" i="12"/>
  <c r="E232" i="12"/>
  <c r="F232" i="12"/>
  <c r="E260" i="12"/>
  <c r="F260" i="12"/>
  <c r="J260" i="12"/>
  <c r="K260" i="12"/>
  <c r="E233" i="12"/>
  <c r="F233" i="12"/>
  <c r="E261" i="12"/>
  <c r="F261" i="12"/>
  <c r="J261" i="12"/>
  <c r="K261" i="12"/>
  <c r="E234" i="12"/>
  <c r="F234" i="12"/>
  <c r="E262" i="12"/>
  <c r="F262" i="12"/>
  <c r="J262" i="12"/>
  <c r="K262" i="12"/>
  <c r="E235" i="12"/>
  <c r="F235" i="12"/>
  <c r="E263" i="12"/>
  <c r="F263" i="12"/>
  <c r="J263" i="12"/>
  <c r="K263" i="12"/>
  <c r="P13" i="14"/>
  <c r="E236" i="12"/>
  <c r="F236" i="12"/>
  <c r="E264" i="12"/>
  <c r="F264" i="12"/>
  <c r="F12" i="12"/>
  <c r="F40" i="12"/>
  <c r="J13" i="14"/>
  <c r="J264" i="12"/>
  <c r="K264" i="12"/>
  <c r="U13" i="14"/>
  <c r="E237" i="12"/>
  <c r="F237" i="12"/>
  <c r="E265" i="12"/>
  <c r="F265" i="12"/>
  <c r="J265" i="12"/>
  <c r="K265" i="12"/>
  <c r="E238" i="12"/>
  <c r="F238" i="12"/>
  <c r="E266" i="12"/>
  <c r="F266" i="12"/>
  <c r="J266" i="12"/>
  <c r="K266" i="12"/>
  <c r="P16" i="14"/>
  <c r="E239" i="12"/>
  <c r="F239" i="12"/>
  <c r="E267" i="12"/>
  <c r="F267" i="12"/>
  <c r="F15" i="12"/>
  <c r="F43" i="12"/>
  <c r="J16" i="14"/>
  <c r="J267" i="12"/>
  <c r="K267" i="12"/>
  <c r="U16" i="14"/>
  <c r="E268" i="12"/>
  <c r="F268" i="12"/>
  <c r="J268" i="12"/>
  <c r="K268" i="12"/>
  <c r="E269" i="12"/>
  <c r="F269" i="12"/>
  <c r="J269" i="12"/>
  <c r="K269" i="12"/>
  <c r="E242" i="12"/>
  <c r="F242" i="12"/>
  <c r="E270" i="12"/>
  <c r="F270" i="12"/>
  <c r="J270" i="12"/>
  <c r="K270" i="12"/>
  <c r="E243" i="12"/>
  <c r="F243" i="12"/>
  <c r="E271" i="12"/>
  <c r="F271" i="12"/>
  <c r="J271" i="12"/>
  <c r="K271" i="12"/>
  <c r="E244" i="12"/>
  <c r="F244" i="12"/>
  <c r="E245" i="12"/>
  <c r="F245" i="12"/>
  <c r="E273" i="12"/>
  <c r="F273" i="12"/>
  <c r="J273" i="12"/>
  <c r="K273" i="12"/>
  <c r="E246" i="12"/>
  <c r="F246" i="12"/>
  <c r="E274" i="12"/>
  <c r="F274" i="12"/>
  <c r="J274" i="12"/>
  <c r="K274" i="12"/>
  <c r="F250" i="12"/>
  <c r="F251" i="12"/>
  <c r="F227" i="12"/>
  <c r="E255" i="12"/>
  <c r="F255" i="12"/>
  <c r="J255" i="12"/>
  <c r="K255" i="12"/>
  <c r="E123" i="12"/>
  <c r="F123" i="12"/>
  <c r="E116" i="12"/>
  <c r="F116" i="12"/>
  <c r="E117" i="12"/>
  <c r="F117" i="12"/>
  <c r="E118" i="12"/>
  <c r="F118" i="12"/>
  <c r="E119" i="12"/>
  <c r="F119" i="12"/>
  <c r="E120" i="12"/>
  <c r="F120" i="12"/>
  <c r="E121" i="12"/>
  <c r="F121" i="12"/>
  <c r="E122" i="12"/>
  <c r="F122" i="12"/>
  <c r="E124" i="12"/>
  <c r="F124" i="12"/>
  <c r="E125" i="12"/>
  <c r="F125" i="12"/>
  <c r="E126" i="12"/>
  <c r="F126" i="12"/>
  <c r="E127" i="12"/>
  <c r="F127" i="12"/>
  <c r="C22" i="15"/>
  <c r="K22" i="15"/>
  <c r="J47" i="15"/>
  <c r="K47" i="15"/>
  <c r="E130" i="12"/>
  <c r="F130" i="12"/>
  <c r="E131" i="12"/>
  <c r="F131" i="12"/>
  <c r="E132" i="12"/>
  <c r="F132" i="12"/>
  <c r="E133" i="12"/>
  <c r="F133" i="12"/>
  <c r="E134" i="12"/>
  <c r="F134" i="12"/>
  <c r="E137" i="12"/>
  <c r="F137" i="12"/>
  <c r="E138" i="12"/>
  <c r="F138" i="12"/>
  <c r="E139" i="12"/>
  <c r="F139" i="12"/>
  <c r="E115" i="12"/>
  <c r="F115" i="12"/>
  <c r="J227" i="12"/>
  <c r="K227" i="12"/>
  <c r="E199" i="12"/>
  <c r="F199" i="12"/>
  <c r="E143" i="12"/>
  <c r="F143" i="12"/>
  <c r="J115" i="12"/>
  <c r="K115" i="12"/>
  <c r="E135" i="12"/>
  <c r="F135" i="12"/>
  <c r="E136" i="12"/>
  <c r="F136" i="12"/>
  <c r="C147" i="15"/>
  <c r="K147" i="15"/>
  <c r="C172" i="15"/>
  <c r="K172" i="15"/>
  <c r="C72" i="15"/>
  <c r="C97" i="15"/>
  <c r="C122" i="15"/>
  <c r="J124" i="12"/>
  <c r="K124" i="12"/>
  <c r="J236" i="12"/>
  <c r="K236" i="12"/>
  <c r="J116" i="12"/>
  <c r="K116" i="12"/>
  <c r="J228" i="12"/>
  <c r="K228" i="12"/>
  <c r="J117" i="12"/>
  <c r="K117" i="12"/>
  <c r="J229" i="12"/>
  <c r="K229" i="12"/>
  <c r="J118" i="12"/>
  <c r="K118" i="12"/>
  <c r="J230" i="12"/>
  <c r="K230" i="12"/>
  <c r="J119" i="12"/>
  <c r="K119" i="12"/>
  <c r="J231" i="12"/>
  <c r="K231" i="12"/>
  <c r="J120" i="12"/>
  <c r="K120" i="12"/>
  <c r="J232" i="12"/>
  <c r="K232" i="12"/>
  <c r="J121" i="12"/>
  <c r="K121" i="12"/>
  <c r="J233" i="12"/>
  <c r="K233" i="12"/>
  <c r="J122" i="12"/>
  <c r="K122" i="12"/>
  <c r="J234" i="12"/>
  <c r="K234" i="12"/>
  <c r="J123" i="12"/>
  <c r="K123" i="12"/>
  <c r="J235" i="12"/>
  <c r="K235" i="12"/>
  <c r="J125" i="12"/>
  <c r="K125" i="12"/>
  <c r="J237" i="12"/>
  <c r="K237" i="12"/>
  <c r="J126" i="12"/>
  <c r="K126" i="12"/>
  <c r="J238" i="12"/>
  <c r="K238" i="12"/>
  <c r="H47" i="15"/>
  <c r="C47" i="15"/>
  <c r="H22" i="15"/>
  <c r="J127" i="12"/>
  <c r="K127" i="12"/>
  <c r="J239" i="12"/>
  <c r="K239" i="12"/>
  <c r="J130" i="12"/>
  <c r="K130" i="12"/>
  <c r="J242" i="12"/>
  <c r="K242" i="12"/>
  <c r="J131" i="12"/>
  <c r="K131" i="12"/>
  <c r="J243" i="12"/>
  <c r="K243" i="12"/>
  <c r="J132" i="12"/>
  <c r="K132" i="12"/>
  <c r="J244" i="12"/>
  <c r="K244" i="12"/>
  <c r="J133" i="12"/>
  <c r="K133" i="12"/>
  <c r="J245" i="12"/>
  <c r="K245" i="12"/>
  <c r="J134" i="12"/>
  <c r="K134" i="12"/>
  <c r="J246" i="12"/>
  <c r="K246" i="12"/>
  <c r="J137" i="12"/>
  <c r="K137" i="12"/>
  <c r="J138" i="12"/>
  <c r="K138" i="12"/>
  <c r="J139" i="12"/>
  <c r="K139" i="12"/>
  <c r="D21" i="10"/>
  <c r="B21" i="10"/>
  <c r="D20" i="10"/>
  <c r="B20" i="10"/>
  <c r="D19" i="10"/>
  <c r="B19" i="10"/>
  <c r="D18" i="10"/>
  <c r="B18" i="10"/>
  <c r="D17" i="10"/>
  <c r="B17" i="10"/>
  <c r="D16" i="10"/>
  <c r="B16" i="10"/>
  <c r="D15" i="10"/>
  <c r="B15" i="10"/>
  <c r="H15" i="10"/>
  <c r="E15" i="10"/>
  <c r="E11" i="11"/>
  <c r="A24" i="10"/>
  <c r="B24" i="10"/>
  <c r="E20" i="11"/>
  <c r="J1" i="11"/>
  <c r="E4" i="9"/>
  <c r="J4" i="9"/>
  <c r="F12" i="9"/>
  <c r="A45" i="10"/>
  <c r="B45" i="10"/>
  <c r="C45" i="10"/>
  <c r="D45" i="10"/>
  <c r="E45" i="10"/>
  <c r="F45" i="10"/>
  <c r="F17" i="9"/>
  <c r="P2" i="9"/>
  <c r="D23" i="9"/>
  <c r="E64" i="9"/>
  <c r="G72" i="9"/>
  <c r="C157" i="9"/>
  <c r="G167" i="9"/>
  <c r="P3" i="9"/>
  <c r="B8" i="10"/>
  <c r="C8" i="10"/>
  <c r="D8" i="10"/>
  <c r="E8" i="10"/>
  <c r="K2" i="10"/>
  <c r="L2" i="10"/>
  <c r="D51" i="9"/>
  <c r="F8" i="10"/>
  <c r="G8" i="10"/>
  <c r="H8" i="10"/>
  <c r="I8" i="10"/>
  <c r="K3" i="10"/>
  <c r="L3" i="10"/>
  <c r="H51" i="9"/>
  <c r="H28" i="9"/>
  <c r="P4" i="9"/>
  <c r="E77" i="9"/>
  <c r="E85" i="9"/>
  <c r="B12" i="10"/>
  <c r="E12" i="10"/>
  <c r="H91" i="9"/>
  <c r="E97" i="9"/>
  <c r="C103" i="9"/>
  <c r="E119" i="9"/>
  <c r="C127" i="9"/>
  <c r="P5" i="9"/>
  <c r="F141" i="9"/>
  <c r="P6" i="9"/>
  <c r="P11" i="9"/>
  <c r="A162" i="1"/>
  <c r="A141" i="1"/>
  <c r="F22" i="15"/>
  <c r="F47" i="15"/>
  <c r="F6" i="1"/>
  <c r="E311" i="12"/>
  <c r="F311" i="12"/>
  <c r="E319" i="12"/>
  <c r="F319" i="12"/>
  <c r="E322" i="12"/>
  <c r="F322" i="12"/>
  <c r="E326" i="12"/>
  <c r="F326" i="12"/>
  <c r="E329" i="12"/>
  <c r="F329" i="12"/>
  <c r="E330" i="12"/>
  <c r="F330" i="12"/>
  <c r="B61" i="10"/>
  <c r="F104" i="10"/>
  <c r="G104" i="10"/>
  <c r="B62" i="10"/>
  <c r="J104" i="10"/>
  <c r="K104" i="10"/>
  <c r="C61" i="10"/>
  <c r="F105" i="10"/>
  <c r="G105" i="10"/>
  <c r="C62" i="10"/>
  <c r="J105" i="10"/>
  <c r="K105" i="10"/>
  <c r="D61" i="10"/>
  <c r="F106" i="10"/>
  <c r="G106" i="10"/>
  <c r="D62" i="10"/>
  <c r="J106" i="10"/>
  <c r="K106" i="10"/>
  <c r="E61" i="10"/>
  <c r="F61" i="10"/>
  <c r="K67" i="10"/>
  <c r="K68" i="10"/>
  <c r="K69" i="10"/>
  <c r="K70" i="10"/>
  <c r="K71" i="10"/>
  <c r="K72" i="10"/>
  <c r="K73" i="10"/>
  <c r="K74" i="10"/>
  <c r="K75" i="10"/>
  <c r="K76" i="10"/>
  <c r="K77" i="10"/>
  <c r="K78" i="10"/>
  <c r="K79" i="10"/>
  <c r="K80" i="10"/>
  <c r="F107" i="10"/>
  <c r="G107" i="10"/>
  <c r="E62" i="10"/>
  <c r="F62" i="10"/>
  <c r="J107" i="10"/>
  <c r="K107" i="10"/>
  <c r="E332" i="12"/>
  <c r="F332" i="12"/>
  <c r="E315" i="12"/>
  <c r="F315" i="12"/>
  <c r="E314" i="12"/>
  <c r="F314" i="12"/>
  <c r="E312" i="12"/>
  <c r="F312" i="12"/>
  <c r="B54" i="10"/>
  <c r="C52" i="10"/>
  <c r="B52" i="10"/>
  <c r="D52" i="10"/>
  <c r="N172" i="15"/>
  <c r="N22" i="15"/>
  <c r="N147" i="15"/>
  <c r="N122" i="15"/>
  <c r="N97" i="15"/>
  <c r="N72" i="15"/>
  <c r="M172" i="15"/>
  <c r="L172" i="15"/>
  <c r="J172" i="15"/>
  <c r="I172" i="15"/>
  <c r="G172" i="15"/>
  <c r="F172" i="15"/>
  <c r="M147" i="15"/>
  <c r="L147" i="15"/>
  <c r="J147" i="15"/>
  <c r="I147" i="15"/>
  <c r="G147" i="15"/>
  <c r="F147" i="15"/>
  <c r="M122" i="15"/>
  <c r="L122" i="15"/>
  <c r="K122" i="15"/>
  <c r="J122" i="15"/>
  <c r="I122" i="15"/>
  <c r="G122" i="15"/>
  <c r="F122" i="15"/>
  <c r="J97" i="15"/>
  <c r="M97" i="15"/>
  <c r="L97" i="15"/>
  <c r="K97" i="15"/>
  <c r="I97" i="15"/>
  <c r="G97" i="15"/>
  <c r="F97" i="15"/>
  <c r="M72" i="15"/>
  <c r="L72" i="15"/>
  <c r="K72" i="15"/>
  <c r="J72" i="15"/>
  <c r="I72" i="15"/>
  <c r="G72" i="15"/>
  <c r="F72" i="15"/>
  <c r="G47" i="15"/>
  <c r="I47" i="15"/>
  <c r="M47" i="15"/>
  <c r="L47" i="15"/>
  <c r="M22" i="15"/>
  <c r="I22" i="15"/>
  <c r="L22" i="15"/>
  <c r="J22" i="15"/>
  <c r="AA2" i="7"/>
  <c r="AA33" i="7"/>
  <c r="AA34" i="7"/>
  <c r="AA35" i="7"/>
  <c r="AB35" i="7"/>
  <c r="AC35" i="7"/>
  <c r="X35" i="7"/>
  <c r="Y35" i="7"/>
  <c r="Z35" i="7"/>
  <c r="AD35" i="7"/>
  <c r="AE35" i="7"/>
  <c r="I35" i="7"/>
  <c r="AA6" i="7"/>
  <c r="AB6" i="7"/>
  <c r="AC6" i="7"/>
  <c r="V6" i="7"/>
  <c r="W6" i="7"/>
  <c r="Z6" i="7"/>
  <c r="AD6" i="7"/>
  <c r="AE6" i="7"/>
  <c r="I6" i="7"/>
  <c r="E278" i="12"/>
  <c r="F278" i="12"/>
  <c r="J31" i="14"/>
  <c r="K81" i="10"/>
  <c r="K82" i="10"/>
  <c r="K83" i="10"/>
  <c r="K84" i="10"/>
  <c r="K85" i="10"/>
  <c r="K86" i="10"/>
  <c r="K87" i="10"/>
  <c r="K88" i="10"/>
  <c r="K89" i="10"/>
  <c r="K90" i="10"/>
  <c r="K91" i="10"/>
  <c r="K92" i="10"/>
  <c r="K93" i="10"/>
  <c r="K94" i="10"/>
  <c r="K95" i="10"/>
  <c r="E305" i="12"/>
  <c r="F305" i="12"/>
  <c r="J33" i="14"/>
  <c r="E306" i="12"/>
  <c r="F306" i="12"/>
  <c r="J34" i="14"/>
  <c r="O33" i="14"/>
  <c r="J62" i="12"/>
  <c r="K62" i="12"/>
  <c r="J277" i="12"/>
  <c r="K277" i="12"/>
  <c r="J278" i="12"/>
  <c r="K278" i="12"/>
  <c r="E62" i="12"/>
  <c r="F62" i="12"/>
  <c r="E59" i="12"/>
  <c r="F59" i="12"/>
  <c r="J314" i="12"/>
  <c r="K314" i="12"/>
  <c r="J315" i="12"/>
  <c r="J316" i="12"/>
  <c r="J317" i="12"/>
  <c r="J318" i="12"/>
  <c r="J319" i="12"/>
  <c r="J320" i="12"/>
  <c r="J321" i="12"/>
  <c r="J322" i="12"/>
  <c r="J323" i="12"/>
  <c r="J324" i="12"/>
  <c r="J325" i="12"/>
  <c r="J326" i="12"/>
  <c r="J328" i="12"/>
  <c r="J330" i="12"/>
  <c r="K330" i="12"/>
  <c r="J331" i="12"/>
  <c r="J332" i="12"/>
  <c r="E313" i="12"/>
  <c r="E316" i="12"/>
  <c r="E317" i="12"/>
  <c r="E318" i="12"/>
  <c r="E320" i="12"/>
  <c r="E321" i="12"/>
  <c r="E323" i="12"/>
  <c r="E324" i="12"/>
  <c r="E325" i="12"/>
  <c r="E328" i="12"/>
  <c r="E331" i="12"/>
  <c r="J284" i="12"/>
  <c r="J286" i="12"/>
  <c r="J287" i="12"/>
  <c r="J288" i="12"/>
  <c r="J289" i="12"/>
  <c r="J290" i="12"/>
  <c r="J291" i="12"/>
  <c r="J292" i="12"/>
  <c r="J293" i="12"/>
  <c r="J294" i="12"/>
  <c r="J295" i="12"/>
  <c r="J296" i="12"/>
  <c r="J297" i="12"/>
  <c r="J298" i="12"/>
  <c r="J299" i="12"/>
  <c r="J300" i="12"/>
  <c r="J301" i="12"/>
  <c r="J302" i="12"/>
  <c r="J303" i="12"/>
  <c r="J304" i="12"/>
  <c r="J305" i="12"/>
  <c r="J306" i="12"/>
  <c r="J307" i="12"/>
  <c r="E284" i="12"/>
  <c r="F284" i="12"/>
  <c r="E286" i="12"/>
  <c r="F286" i="12"/>
  <c r="E287" i="12"/>
  <c r="E288" i="12"/>
  <c r="E289" i="12"/>
  <c r="E290" i="12"/>
  <c r="E291" i="12"/>
  <c r="E292" i="12"/>
  <c r="E293" i="12"/>
  <c r="E294" i="12"/>
  <c r="E295" i="12"/>
  <c r="E296" i="12"/>
  <c r="E297" i="12"/>
  <c r="E298" i="12"/>
  <c r="E299" i="12"/>
  <c r="E300" i="12"/>
  <c r="E302" i="12"/>
  <c r="E303" i="12"/>
  <c r="E304" i="12"/>
  <c r="E307" i="12"/>
  <c r="J272" i="12"/>
  <c r="J275" i="12"/>
  <c r="J276" i="12"/>
  <c r="J279" i="12"/>
  <c r="E272" i="12"/>
  <c r="E275" i="12"/>
  <c r="E276" i="12"/>
  <c r="E279" i="12"/>
  <c r="J240" i="12"/>
  <c r="J241" i="12"/>
  <c r="J247" i="12"/>
  <c r="J248" i="12"/>
  <c r="E240" i="12"/>
  <c r="E241" i="12"/>
  <c r="E247" i="12"/>
  <c r="E248" i="12"/>
  <c r="J200" i="12"/>
  <c r="K200" i="12"/>
  <c r="J202" i="12"/>
  <c r="J203" i="12"/>
  <c r="J204" i="12"/>
  <c r="J205" i="12"/>
  <c r="J206" i="12"/>
  <c r="K206" i="12"/>
  <c r="J207" i="12"/>
  <c r="J208" i="12"/>
  <c r="K208" i="12"/>
  <c r="J209" i="12"/>
  <c r="J210" i="12"/>
  <c r="J211" i="12"/>
  <c r="J212" i="12"/>
  <c r="J213" i="12"/>
  <c r="J214" i="12"/>
  <c r="J215" i="12"/>
  <c r="J216" i="12"/>
  <c r="J218" i="12"/>
  <c r="K218" i="12"/>
  <c r="J219" i="12"/>
  <c r="J220" i="12"/>
  <c r="J221" i="12"/>
  <c r="J222" i="12"/>
  <c r="J223" i="12"/>
  <c r="E200" i="12"/>
  <c r="E202" i="12"/>
  <c r="F202" i="12"/>
  <c r="E203" i="12"/>
  <c r="E204" i="12"/>
  <c r="E205" i="12"/>
  <c r="E206" i="12"/>
  <c r="F206" i="12"/>
  <c r="E207" i="12"/>
  <c r="E208" i="12"/>
  <c r="F208" i="12"/>
  <c r="E209" i="12"/>
  <c r="E210" i="12"/>
  <c r="E211" i="12"/>
  <c r="E212" i="12"/>
  <c r="E213" i="12"/>
  <c r="E214" i="12"/>
  <c r="E215" i="12"/>
  <c r="E216" i="12"/>
  <c r="E217" i="12"/>
  <c r="E218" i="12"/>
  <c r="E219" i="12"/>
  <c r="E220" i="12"/>
  <c r="E221" i="12"/>
  <c r="E222" i="12"/>
  <c r="E223" i="12"/>
  <c r="J174" i="12"/>
  <c r="J175" i="12"/>
  <c r="J176" i="12"/>
  <c r="J177" i="12"/>
  <c r="J178" i="12"/>
  <c r="J179" i="12"/>
  <c r="J180" i="12"/>
  <c r="J181" i="12"/>
  <c r="J182" i="12"/>
  <c r="J183" i="12"/>
  <c r="J184" i="12"/>
  <c r="J185" i="12"/>
  <c r="J186" i="12"/>
  <c r="J187" i="12"/>
  <c r="J188" i="12"/>
  <c r="J190" i="12"/>
  <c r="K190" i="12"/>
  <c r="J191" i="12"/>
  <c r="J192" i="12"/>
  <c r="J193" i="12"/>
  <c r="J194" i="12"/>
  <c r="J195"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71" i="12"/>
  <c r="J144" i="12"/>
  <c r="K144" i="12"/>
  <c r="J146" i="12"/>
  <c r="J147" i="12"/>
  <c r="J148" i="12"/>
  <c r="J149" i="12"/>
  <c r="J150" i="12"/>
  <c r="K150" i="12"/>
  <c r="J151" i="12"/>
  <c r="J152" i="12"/>
  <c r="K152" i="12"/>
  <c r="J153" i="12"/>
  <c r="J154" i="12"/>
  <c r="J155" i="12"/>
  <c r="J156" i="12"/>
  <c r="J157" i="12"/>
  <c r="J161" i="12"/>
  <c r="E144" i="12"/>
  <c r="F144" i="12"/>
  <c r="E146" i="12"/>
  <c r="E147" i="12"/>
  <c r="E148" i="12"/>
  <c r="E149" i="12"/>
  <c r="E150" i="12"/>
  <c r="F150" i="12"/>
  <c r="E151" i="12"/>
  <c r="E152" i="12"/>
  <c r="F152" i="12"/>
  <c r="E153" i="12"/>
  <c r="E154" i="12"/>
  <c r="E155" i="12"/>
  <c r="E156" i="12"/>
  <c r="E157" i="12"/>
  <c r="J135" i="12"/>
  <c r="J136" i="12"/>
  <c r="J88" i="12"/>
  <c r="K88" i="12"/>
  <c r="J90" i="12"/>
  <c r="J91" i="12"/>
  <c r="J92" i="12"/>
  <c r="J93" i="12"/>
  <c r="J94" i="12"/>
  <c r="K94" i="12"/>
  <c r="J95" i="12"/>
  <c r="J96" i="12"/>
  <c r="K96" i="12"/>
  <c r="J97" i="12"/>
  <c r="J98" i="12"/>
  <c r="J99" i="12"/>
  <c r="J100" i="12"/>
  <c r="J101" i="12"/>
  <c r="J102" i="12"/>
  <c r="J103" i="12"/>
  <c r="J104" i="12"/>
  <c r="J106" i="12"/>
  <c r="K106" i="12"/>
  <c r="J107" i="12"/>
  <c r="J108" i="12"/>
  <c r="J109" i="12"/>
  <c r="J110" i="12"/>
  <c r="J111" i="12"/>
  <c r="E88" i="12"/>
  <c r="F88" i="12"/>
  <c r="E90" i="12"/>
  <c r="E91" i="12"/>
  <c r="E92" i="12"/>
  <c r="E93" i="12"/>
  <c r="E94" i="12"/>
  <c r="E95" i="12"/>
  <c r="E96" i="12"/>
  <c r="E97" i="12"/>
  <c r="E98" i="12"/>
  <c r="E99" i="12"/>
  <c r="E100" i="12"/>
  <c r="E101" i="12"/>
  <c r="E102" i="12"/>
  <c r="E103" i="12"/>
  <c r="E104" i="12"/>
  <c r="E105" i="12"/>
  <c r="E106" i="12"/>
  <c r="E107" i="12"/>
  <c r="E108" i="12"/>
  <c r="E109" i="12"/>
  <c r="E110" i="12"/>
  <c r="E111" i="12"/>
  <c r="J60" i="12"/>
  <c r="K60" i="12"/>
  <c r="J63" i="12"/>
  <c r="J64" i="12"/>
  <c r="J65" i="12"/>
  <c r="J66" i="12"/>
  <c r="J67" i="12"/>
  <c r="J68" i="12"/>
  <c r="J69" i="12"/>
  <c r="J70" i="12"/>
  <c r="J71" i="12"/>
  <c r="J72" i="12"/>
  <c r="J73" i="12"/>
  <c r="J74" i="12"/>
  <c r="J75" i="12"/>
  <c r="J76" i="12"/>
  <c r="J77" i="12"/>
  <c r="J78" i="12"/>
  <c r="J79" i="12"/>
  <c r="J80" i="12"/>
  <c r="J81" i="12"/>
  <c r="J82" i="12"/>
  <c r="J83" i="12"/>
  <c r="E83" i="12"/>
  <c r="E63" i="12"/>
  <c r="E64" i="12"/>
  <c r="E65" i="12"/>
  <c r="E67" i="12"/>
  <c r="E68" i="12"/>
  <c r="E69" i="12"/>
  <c r="E70" i="12"/>
  <c r="E71" i="12"/>
  <c r="E72" i="12"/>
  <c r="E73" i="12"/>
  <c r="E74" i="12"/>
  <c r="E75" i="12"/>
  <c r="E76" i="12"/>
  <c r="E78" i="12"/>
  <c r="E79" i="12"/>
  <c r="E80" i="12"/>
  <c r="E81" i="12"/>
  <c r="E82" i="12"/>
  <c r="J87" i="12"/>
  <c r="K87" i="12"/>
  <c r="J59" i="12"/>
  <c r="K59" i="12"/>
  <c r="K332" i="12"/>
  <c r="K331" i="12"/>
  <c r="K328" i="12"/>
  <c r="K326" i="12"/>
  <c r="K325" i="12"/>
  <c r="K324" i="12"/>
  <c r="K323" i="12"/>
  <c r="K322" i="12"/>
  <c r="K321" i="12"/>
  <c r="K320" i="12"/>
  <c r="K319" i="12"/>
  <c r="K318" i="12"/>
  <c r="K317" i="12"/>
  <c r="K316" i="12"/>
  <c r="K315" i="12"/>
  <c r="K306" i="12"/>
  <c r="K305" i="12"/>
  <c r="K304" i="12"/>
  <c r="K303" i="12"/>
  <c r="K302" i="12"/>
  <c r="K301" i="12"/>
  <c r="K300" i="12"/>
  <c r="K299" i="12"/>
  <c r="K298" i="12"/>
  <c r="K297" i="12"/>
  <c r="K296" i="12"/>
  <c r="K295" i="12"/>
  <c r="K294" i="12"/>
  <c r="K293" i="12"/>
  <c r="K292" i="12"/>
  <c r="K291" i="12"/>
  <c r="K290" i="12"/>
  <c r="K289" i="12"/>
  <c r="K288" i="12"/>
  <c r="K287" i="12"/>
  <c r="K286" i="12"/>
  <c r="K284" i="12"/>
  <c r="K276" i="12"/>
  <c r="K275" i="12"/>
  <c r="K272" i="12"/>
  <c r="K248" i="12"/>
  <c r="K247" i="12"/>
  <c r="K241" i="12"/>
  <c r="K240" i="12"/>
  <c r="K223" i="12"/>
  <c r="K222" i="12"/>
  <c r="K221" i="12"/>
  <c r="K220" i="12"/>
  <c r="K219" i="12"/>
  <c r="K216" i="12"/>
  <c r="K215" i="12"/>
  <c r="K214" i="12"/>
  <c r="K213" i="12"/>
  <c r="K212" i="12"/>
  <c r="K211" i="12"/>
  <c r="K210" i="12"/>
  <c r="K209" i="12"/>
  <c r="K207" i="12"/>
  <c r="K205" i="12"/>
  <c r="K204" i="12"/>
  <c r="K203" i="12"/>
  <c r="K202" i="12"/>
  <c r="K195" i="12"/>
  <c r="K194" i="12"/>
  <c r="K193" i="12"/>
  <c r="K192" i="12"/>
  <c r="K191" i="12"/>
  <c r="K188" i="12"/>
  <c r="K187" i="12"/>
  <c r="K186" i="12"/>
  <c r="K185" i="12"/>
  <c r="K184" i="12"/>
  <c r="K183" i="12"/>
  <c r="K182" i="12"/>
  <c r="K181" i="12"/>
  <c r="K180" i="12"/>
  <c r="K179" i="12"/>
  <c r="K178" i="12"/>
  <c r="K177" i="12"/>
  <c r="K176" i="12"/>
  <c r="K175" i="12"/>
  <c r="K174" i="12"/>
  <c r="K161" i="12"/>
  <c r="K157" i="12"/>
  <c r="K156" i="12"/>
  <c r="K155" i="12"/>
  <c r="K154" i="12"/>
  <c r="K153" i="12"/>
  <c r="K151" i="12"/>
  <c r="K149" i="12"/>
  <c r="K148" i="12"/>
  <c r="K147" i="12"/>
  <c r="K146" i="12"/>
  <c r="K136" i="12"/>
  <c r="K135" i="12"/>
  <c r="K111" i="12"/>
  <c r="K110" i="12"/>
  <c r="K109" i="12"/>
  <c r="K108" i="12"/>
  <c r="K107" i="12"/>
  <c r="K104" i="12"/>
  <c r="K103" i="12"/>
  <c r="K102" i="12"/>
  <c r="K101" i="12"/>
  <c r="K100" i="12"/>
  <c r="K99" i="12"/>
  <c r="K98" i="12"/>
  <c r="K97" i="12"/>
  <c r="K95" i="12"/>
  <c r="K93" i="12"/>
  <c r="K92" i="12"/>
  <c r="K91" i="12"/>
  <c r="K90" i="12"/>
  <c r="K83" i="12"/>
  <c r="K82" i="12"/>
  <c r="K81" i="12"/>
  <c r="K80" i="12"/>
  <c r="K79" i="12"/>
  <c r="K78" i="12"/>
  <c r="K77" i="12"/>
  <c r="K76" i="12"/>
  <c r="K75" i="12"/>
  <c r="K74" i="12"/>
  <c r="K73" i="12"/>
  <c r="K72" i="12"/>
  <c r="K71" i="12"/>
  <c r="K70" i="12"/>
  <c r="K69" i="12"/>
  <c r="K68" i="12"/>
  <c r="K67" i="12"/>
  <c r="K66" i="12"/>
  <c r="K65" i="12"/>
  <c r="K64" i="12"/>
  <c r="K63" i="12"/>
  <c r="F331" i="12"/>
  <c r="F328" i="12"/>
  <c r="F325" i="12"/>
  <c r="F324" i="12"/>
  <c r="F323" i="12"/>
  <c r="F321" i="12"/>
  <c r="F320" i="12"/>
  <c r="F318" i="12"/>
  <c r="F317" i="12"/>
  <c r="F316" i="12"/>
  <c r="F313" i="12"/>
  <c r="F304" i="12"/>
  <c r="F303" i="12"/>
  <c r="F302" i="12"/>
  <c r="F300" i="12"/>
  <c r="F299" i="12"/>
  <c r="F298" i="12"/>
  <c r="F297" i="12"/>
  <c r="F296" i="12"/>
  <c r="F295" i="12"/>
  <c r="F294" i="12"/>
  <c r="F293" i="12"/>
  <c r="F292" i="12"/>
  <c r="F291" i="12"/>
  <c r="F290" i="12"/>
  <c r="F289" i="12"/>
  <c r="F288" i="12"/>
  <c r="F287" i="12"/>
  <c r="F276" i="12"/>
  <c r="F275" i="12"/>
  <c r="F272" i="12"/>
  <c r="F248" i="12"/>
  <c r="F247" i="12"/>
  <c r="F241" i="12"/>
  <c r="F240" i="12"/>
  <c r="F223" i="12"/>
  <c r="F222" i="12"/>
  <c r="F221" i="12"/>
  <c r="F220" i="12"/>
  <c r="F219" i="12"/>
  <c r="F218" i="12"/>
  <c r="F217" i="12"/>
  <c r="F216" i="12"/>
  <c r="F215" i="12"/>
  <c r="F214" i="12"/>
  <c r="F213" i="12"/>
  <c r="F212" i="12"/>
  <c r="F211" i="12"/>
  <c r="F210" i="12"/>
  <c r="F209" i="12"/>
  <c r="F207" i="12"/>
  <c r="F205" i="12"/>
  <c r="F204" i="12"/>
  <c r="F203" i="12"/>
  <c r="F200"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1" i="12"/>
  <c r="F157" i="12"/>
  <c r="F156" i="12"/>
  <c r="F155" i="12"/>
  <c r="F154" i="12"/>
  <c r="F153" i="12"/>
  <c r="F151" i="12"/>
  <c r="F149" i="12"/>
  <c r="F148" i="12"/>
  <c r="F147" i="12"/>
  <c r="F146" i="12"/>
  <c r="F111" i="12"/>
  <c r="F110" i="12"/>
  <c r="F109" i="12"/>
  <c r="F108" i="12"/>
  <c r="F107" i="12"/>
  <c r="F106" i="12"/>
  <c r="F105" i="12"/>
  <c r="F104" i="12"/>
  <c r="F103" i="12"/>
  <c r="F102" i="12"/>
  <c r="F101" i="12"/>
  <c r="F100" i="12"/>
  <c r="F99" i="12"/>
  <c r="F98" i="12"/>
  <c r="F97" i="12"/>
  <c r="F96" i="12"/>
  <c r="F95" i="12"/>
  <c r="F94" i="12"/>
  <c r="F93" i="12"/>
  <c r="F92" i="12"/>
  <c r="F91" i="12"/>
  <c r="F90" i="12"/>
  <c r="F83" i="12"/>
  <c r="F82" i="12"/>
  <c r="F81" i="12"/>
  <c r="F80" i="12"/>
  <c r="F79" i="12"/>
  <c r="F78" i="12"/>
  <c r="F76" i="12"/>
  <c r="F75" i="12"/>
  <c r="F74" i="12"/>
  <c r="F73" i="12"/>
  <c r="F72" i="12"/>
  <c r="F71" i="12"/>
  <c r="F70" i="12"/>
  <c r="F69" i="12"/>
  <c r="F68" i="12"/>
  <c r="F67" i="12"/>
  <c r="F65" i="12"/>
  <c r="F64" i="12"/>
  <c r="F63" i="12"/>
  <c r="I41" i="10"/>
  <c r="I42" i="10"/>
  <c r="H41" i="10"/>
  <c r="H42" i="10"/>
  <c r="H40" i="10"/>
  <c r="I40" i="10"/>
  <c r="G41" i="10"/>
  <c r="G42" i="10"/>
  <c r="G40" i="10"/>
  <c r="I34" i="10"/>
  <c r="I35" i="10"/>
  <c r="I33" i="10"/>
  <c r="J34" i="10"/>
  <c r="J35" i="10"/>
  <c r="J33" i="10"/>
  <c r="E35" i="10"/>
  <c r="E34" i="10"/>
  <c r="E33" i="10"/>
  <c r="J50" i="9"/>
  <c r="J49" i="9"/>
  <c r="C50" i="10"/>
  <c r="D50" i="10"/>
  <c r="E50" i="10"/>
  <c r="H49" i="9"/>
  <c r="J40" i="10"/>
  <c r="K40" i="10"/>
  <c r="F42" i="11"/>
  <c r="J41" i="10"/>
  <c r="K41" i="10"/>
  <c r="F43" i="11"/>
  <c r="J42" i="10"/>
  <c r="K42" i="10"/>
  <c r="F44" i="11"/>
  <c r="D34" i="10"/>
  <c r="D35" i="10"/>
  <c r="D33" i="10"/>
  <c r="F33" i="10"/>
  <c r="G33" i="10"/>
  <c r="F35" i="10"/>
  <c r="G35" i="10"/>
  <c r="F34" i="10"/>
  <c r="G34" i="10"/>
  <c r="F15" i="10"/>
  <c r="C24" i="10"/>
  <c r="G32" i="6"/>
  <c r="G31" i="6"/>
  <c r="G30" i="6"/>
  <c r="G29" i="6"/>
  <c r="F31" i="6"/>
  <c r="F30" i="6"/>
  <c r="F29" i="6"/>
  <c r="E24" i="6"/>
  <c r="F24" i="6"/>
  <c r="G24" i="6"/>
  <c r="H24" i="6"/>
  <c r="B24" i="6"/>
  <c r="G22" i="6"/>
  <c r="E22" i="6"/>
  <c r="D22" i="6"/>
  <c r="F22" i="6"/>
  <c r="H22" i="6"/>
  <c r="C22" i="6"/>
  <c r="B22" i="6"/>
  <c r="V4" i="7"/>
  <c r="W4" i="7"/>
  <c r="Z4" i="7"/>
  <c r="V3" i="7"/>
  <c r="W3" i="7"/>
  <c r="Z3" i="7"/>
  <c r="V2" i="7"/>
  <c r="W2" i="7"/>
  <c r="AB3" i="7"/>
  <c r="AB4" i="7"/>
  <c r="V5" i="7"/>
  <c r="W5" i="7"/>
  <c r="Z5" i="7"/>
  <c r="AB5" i="7"/>
  <c r="AA7" i="7"/>
  <c r="AB7" i="7"/>
  <c r="AC7" i="7"/>
  <c r="V7" i="7"/>
  <c r="W7" i="7"/>
  <c r="Z7" i="7"/>
  <c r="AD7" i="7"/>
  <c r="AE7" i="7"/>
  <c r="I7" i="7"/>
  <c r="AB8" i="7"/>
  <c r="V8" i="7"/>
  <c r="W8" i="7"/>
  <c r="Z8" i="7"/>
  <c r="AA9" i="7"/>
  <c r="AB9" i="7"/>
  <c r="AC9" i="7"/>
  <c r="V9" i="7"/>
  <c r="W9" i="7"/>
  <c r="Z9" i="7"/>
  <c r="AD9" i="7"/>
  <c r="AE9" i="7"/>
  <c r="I9" i="7"/>
  <c r="AA10" i="7"/>
  <c r="AB10" i="7"/>
  <c r="AC10" i="7"/>
  <c r="V10" i="7"/>
  <c r="W10" i="7"/>
  <c r="Z10" i="7"/>
  <c r="AD10" i="7"/>
  <c r="AE10" i="7"/>
  <c r="I10" i="7"/>
  <c r="AA11" i="7"/>
  <c r="AB11" i="7"/>
  <c r="AC11" i="7"/>
  <c r="V11" i="7"/>
  <c r="W11" i="7"/>
  <c r="Z11" i="7"/>
  <c r="AD11" i="7"/>
  <c r="AE11" i="7"/>
  <c r="I11" i="7"/>
  <c r="AA12" i="7"/>
  <c r="AB12" i="7"/>
  <c r="AC12" i="7"/>
  <c r="V12" i="7"/>
  <c r="W12" i="7"/>
  <c r="Z12" i="7"/>
  <c r="AD12" i="7"/>
  <c r="AE12" i="7"/>
  <c r="I12" i="7"/>
  <c r="AA13" i="7"/>
  <c r="AB13" i="7"/>
  <c r="AC13" i="7"/>
  <c r="V13" i="7"/>
  <c r="W13" i="7"/>
  <c r="Z13" i="7"/>
  <c r="AD13" i="7"/>
  <c r="AE13" i="7"/>
  <c r="I13" i="7"/>
  <c r="AB14" i="7"/>
  <c r="X14" i="7"/>
  <c r="Y14" i="7"/>
  <c r="Z14" i="7"/>
  <c r="AB15" i="7"/>
  <c r="X15" i="7"/>
  <c r="Y15" i="7"/>
  <c r="Z15" i="7"/>
  <c r="AA16" i="7"/>
  <c r="AB16" i="7"/>
  <c r="X16" i="7"/>
  <c r="Y16" i="7"/>
  <c r="Z16" i="7"/>
  <c r="AB17" i="7"/>
  <c r="X17" i="7"/>
  <c r="Y17" i="7"/>
  <c r="Z17" i="7"/>
  <c r="X18" i="7"/>
  <c r="Y18" i="7"/>
  <c r="Z18" i="7"/>
  <c r="AB18" i="7"/>
  <c r="X19" i="7"/>
  <c r="Y19" i="7"/>
  <c r="Z19" i="7"/>
  <c r="AB19" i="7"/>
  <c r="X20" i="7"/>
  <c r="Y20" i="7"/>
  <c r="Z20" i="7"/>
  <c r="AB20" i="7"/>
  <c r="X21" i="7"/>
  <c r="Y21" i="7"/>
  <c r="Z21" i="7"/>
  <c r="AB21" i="7"/>
  <c r="X22" i="7"/>
  <c r="Y22" i="7"/>
  <c r="Z22" i="7"/>
  <c r="AB22" i="7"/>
  <c r="X24" i="7"/>
  <c r="Y24" i="7"/>
  <c r="Z24" i="7"/>
  <c r="AB24" i="7"/>
  <c r="X25" i="7"/>
  <c r="Y25" i="7"/>
  <c r="Z25" i="7"/>
  <c r="AB25" i="7"/>
  <c r="X26" i="7"/>
  <c r="Y26" i="7"/>
  <c r="Z26" i="7"/>
  <c r="AB26" i="7"/>
  <c r="X27" i="7"/>
  <c r="AB27" i="7"/>
  <c r="X28" i="7"/>
  <c r="Y28" i="7"/>
  <c r="Z28" i="7"/>
  <c r="AB28" i="7"/>
  <c r="X29" i="7"/>
  <c r="Y29" i="7"/>
  <c r="Z29" i="7"/>
  <c r="AB29" i="7"/>
  <c r="X30" i="7"/>
  <c r="Y30" i="7"/>
  <c r="Z30" i="7"/>
  <c r="AB30" i="7"/>
  <c r="X31" i="7"/>
  <c r="AB31" i="7"/>
  <c r="X32" i="7"/>
  <c r="Y32" i="7"/>
  <c r="Z32" i="7"/>
  <c r="AB32" i="7"/>
  <c r="X33" i="7"/>
  <c r="Y33" i="7"/>
  <c r="Z33" i="7"/>
  <c r="AB33" i="7"/>
  <c r="X34" i="7"/>
  <c r="Y34" i="7"/>
  <c r="Z34" i="7"/>
  <c r="AB34" i="7"/>
  <c r="X36" i="7"/>
  <c r="Y36" i="7"/>
  <c r="Z36" i="7"/>
  <c r="AB36" i="7"/>
  <c r="X37" i="7"/>
  <c r="Y37" i="7"/>
  <c r="Z37" i="7"/>
  <c r="AB37" i="7"/>
  <c r="X2" i="7"/>
  <c r="Y2" i="7"/>
  <c r="Z2" i="7"/>
  <c r="AB2" i="7"/>
  <c r="V14" i="7"/>
  <c r="V15" i="7"/>
  <c r="V16" i="7"/>
  <c r="V17" i="7"/>
  <c r="V18" i="7"/>
  <c r="V19" i="7"/>
  <c r="V20" i="7"/>
  <c r="V21" i="7"/>
  <c r="V22" i="7"/>
  <c r="V24" i="7"/>
  <c r="V25" i="7"/>
  <c r="V26" i="7"/>
  <c r="V27" i="7"/>
  <c r="V28" i="7"/>
  <c r="V29" i="7"/>
  <c r="V30" i="7"/>
  <c r="V31" i="7"/>
  <c r="V32" i="7"/>
  <c r="V33" i="7"/>
  <c r="V34" i="7"/>
  <c r="V35" i="7"/>
  <c r="V36" i="7"/>
  <c r="V37" i="7"/>
  <c r="A3" i="7"/>
  <c r="A4" i="7"/>
  <c r="A5" i="7"/>
  <c r="A6" i="7"/>
  <c r="A7" i="7"/>
  <c r="A8" i="7"/>
  <c r="A10" i="7"/>
  <c r="A11" i="7"/>
  <c r="A12" i="7"/>
  <c r="A13" i="7"/>
  <c r="A14" i="7"/>
  <c r="A17" i="7"/>
  <c r="A24" i="7"/>
  <c r="A25" i="7"/>
  <c r="A27" i="7"/>
  <c r="A30" i="7"/>
  <c r="A32" i="7"/>
  <c r="A36" i="7"/>
  <c r="A37" i="7"/>
  <c r="A2" i="7"/>
  <c r="D13" i="5"/>
  <c r="H5" i="6"/>
  <c r="H14" i="6"/>
  <c r="H17" i="6"/>
  <c r="H20" i="6"/>
  <c r="G8" i="6"/>
  <c r="G10" i="6"/>
  <c r="G15" i="6"/>
  <c r="G17" i="6"/>
  <c r="G20" i="6"/>
  <c r="F3" i="6"/>
  <c r="F7" i="6"/>
  <c r="E6" i="6"/>
  <c r="E11" i="6"/>
  <c r="E12" i="5"/>
  <c r="E11" i="5"/>
  <c r="G60" i="1"/>
  <c r="H25" i="1"/>
  <c r="B53" i="1"/>
  <c r="B52" i="1"/>
  <c r="AC16" i="7"/>
  <c r="AD16" i="7"/>
  <c r="AE16" i="7"/>
  <c r="I16" i="7"/>
  <c r="B36" i="10"/>
  <c r="G15" i="10"/>
  <c r="AA8" i="7"/>
  <c r="AC8" i="7"/>
  <c r="AD8" i="7"/>
  <c r="AE8" i="7"/>
  <c r="I8" i="7"/>
  <c r="E77" i="12"/>
  <c r="F77" i="12"/>
  <c r="J105" i="12"/>
  <c r="K105" i="12"/>
  <c r="E161" i="12"/>
  <c r="F161" i="12"/>
  <c r="J189" i="12"/>
  <c r="K189" i="12"/>
  <c r="J217" i="12"/>
  <c r="K217" i="12"/>
  <c r="E301" i="12"/>
  <c r="F301" i="12"/>
  <c r="J329" i="12"/>
  <c r="K329" i="12"/>
  <c r="D1048576" i="14"/>
  <c r="E283" i="12"/>
  <c r="F283" i="12"/>
  <c r="E89" i="12"/>
  <c r="F89" i="12"/>
  <c r="J89" i="12"/>
  <c r="K89" i="12"/>
  <c r="J173" i="12"/>
  <c r="K173" i="12"/>
  <c r="E201" i="12"/>
  <c r="F201" i="12"/>
  <c r="J201" i="12"/>
  <c r="K201" i="12"/>
  <c r="E285" i="12"/>
  <c r="F285" i="12"/>
  <c r="J285" i="12"/>
  <c r="K285" i="12"/>
  <c r="J313" i="12"/>
  <c r="K313" i="12"/>
  <c r="E61" i="12"/>
  <c r="F61" i="12"/>
  <c r="J61" i="12"/>
  <c r="K61" i="12"/>
  <c r="E60" i="12"/>
  <c r="F60" i="12"/>
  <c r="E172" i="12"/>
  <c r="F172" i="12"/>
  <c r="J172" i="12"/>
  <c r="K172" i="12"/>
  <c r="J312" i="12"/>
  <c r="K312" i="12"/>
  <c r="E87" i="12"/>
  <c r="F87" i="12"/>
  <c r="J143" i="12"/>
  <c r="K143" i="12"/>
  <c r="J171" i="12"/>
  <c r="K171" i="12"/>
  <c r="J199" i="12"/>
  <c r="K199" i="12"/>
  <c r="J283" i="12"/>
  <c r="K283" i="12"/>
  <c r="J311" i="12"/>
  <c r="K311" i="12"/>
  <c r="E66" i="12"/>
  <c r="F66" i="12"/>
  <c r="AC2" i="7"/>
  <c r="AA32" i="7"/>
  <c r="AC32" i="7"/>
  <c r="AD32" i="7"/>
  <c r="AE32" i="7"/>
  <c r="I32" i="7"/>
  <c r="AC33" i="7"/>
  <c r="AD33" i="7"/>
  <c r="AE33" i="7"/>
  <c r="I33" i="7"/>
  <c r="AD2" i="7"/>
  <c r="AE2" i="7"/>
  <c r="I2" i="7"/>
  <c r="AC34" i="7"/>
  <c r="AD34" i="7"/>
  <c r="AE34" i="7"/>
  <c r="I34" i="7"/>
  <c r="Y27" i="7"/>
  <c r="Z27" i="7"/>
  <c r="Y31" i="7"/>
  <c r="Z31" i="7"/>
  <c r="E277" i="12"/>
  <c r="F277" i="12"/>
  <c r="J30" i="14"/>
  <c r="O30" i="14"/>
  <c r="AA29" i="7"/>
  <c r="AC29" i="7"/>
  <c r="AD29" i="7"/>
  <c r="AE29" i="7"/>
  <c r="I29" i="7"/>
  <c r="B20" i="6"/>
  <c r="E4" i="6"/>
  <c r="E17" i="6"/>
  <c r="E20" i="6"/>
  <c r="F9" i="6"/>
  <c r="F17" i="6"/>
  <c r="F20" i="6"/>
  <c r="AA5" i="7"/>
  <c r="AC5" i="7"/>
  <c r="AD5" i="7"/>
  <c r="AE5" i="7"/>
  <c r="I5" i="7"/>
  <c r="AA21" i="7"/>
  <c r="AC21" i="7"/>
  <c r="AD21" i="7"/>
  <c r="AE21" i="7"/>
  <c r="I21" i="7"/>
  <c r="AA14" i="7"/>
  <c r="AC14" i="7"/>
  <c r="AD14" i="7"/>
  <c r="AE14" i="7"/>
  <c r="I14" i="7"/>
  <c r="AA15" i="7"/>
  <c r="AC15" i="7"/>
  <c r="AD15" i="7"/>
  <c r="AE15" i="7"/>
  <c r="I15" i="7"/>
  <c r="AA27" i="7"/>
  <c r="AC27" i="7"/>
  <c r="AD27" i="7"/>
  <c r="AE27" i="7"/>
  <c r="I27" i="7"/>
  <c r="B54" i="1"/>
  <c r="J1" i="9"/>
  <c r="D49" i="9"/>
  <c r="H45" i="1"/>
  <c r="C20" i="6"/>
  <c r="D20" i="6"/>
  <c r="H46" i="1"/>
  <c r="H27" i="1"/>
  <c r="AA30" i="7"/>
  <c r="AC30" i="7"/>
  <c r="AD30" i="7"/>
  <c r="AE30" i="7"/>
  <c r="I30" i="7"/>
  <c r="AA20" i="7"/>
  <c r="AC20" i="7"/>
  <c r="AD20" i="7"/>
  <c r="AE20" i="7"/>
  <c r="I20" i="7"/>
  <c r="AA18" i="7"/>
  <c r="AC18" i="7"/>
  <c r="AD18" i="7"/>
  <c r="AE18" i="7"/>
  <c r="I18" i="7"/>
  <c r="AA31" i="7"/>
  <c r="AC31" i="7"/>
  <c r="AD31" i="7"/>
  <c r="AE31" i="7"/>
  <c r="I31" i="7"/>
  <c r="AA19" i="7"/>
  <c r="AC19" i="7"/>
  <c r="AD19" i="7"/>
  <c r="AE19" i="7"/>
  <c r="I19" i="7"/>
  <c r="AA28" i="7"/>
  <c r="AC28" i="7"/>
  <c r="AD28" i="7"/>
  <c r="AE28" i="7"/>
  <c r="I28" i="7"/>
  <c r="H47" i="1"/>
  <c r="H26" i="1"/>
  <c r="H29" i="1"/>
  <c r="H44" i="1"/>
  <c r="H28" i="1"/>
  <c r="H43" i="1"/>
  <c r="AA37" i="7"/>
  <c r="AC37" i="7"/>
  <c r="AD37" i="7"/>
  <c r="AE37" i="7"/>
  <c r="I37" i="7"/>
  <c r="AA26" i="7"/>
  <c r="AC26" i="7"/>
  <c r="AD26" i="7"/>
  <c r="AE26" i="7"/>
  <c r="I26" i="7"/>
  <c r="AA17" i="7"/>
  <c r="AC17" i="7"/>
  <c r="AD17" i="7"/>
  <c r="AE17" i="7"/>
  <c r="I17" i="7"/>
  <c r="H31" i="1"/>
  <c r="H24" i="1"/>
  <c r="AA25" i="7"/>
  <c r="AC25" i="7"/>
  <c r="AD25" i="7"/>
  <c r="AE25" i="7"/>
  <c r="I25" i="7"/>
  <c r="AA4" i="7"/>
  <c r="AC4" i="7"/>
  <c r="AD4" i="7"/>
  <c r="AE4" i="7"/>
  <c r="I4" i="7"/>
  <c r="H30" i="1"/>
  <c r="I67" i="1"/>
  <c r="J67" i="1"/>
  <c r="AA36" i="7"/>
  <c r="AC36" i="7"/>
  <c r="AD36" i="7"/>
  <c r="AE36" i="7"/>
  <c r="I36" i="7"/>
  <c r="AA24" i="7"/>
  <c r="AC24" i="7"/>
  <c r="AD24" i="7"/>
  <c r="AE24" i="7"/>
  <c r="I24" i="7"/>
  <c r="AA3" i="7"/>
  <c r="AC3" i="7"/>
  <c r="AD3" i="7"/>
  <c r="AE3" i="7"/>
  <c r="I3" i="7"/>
  <c r="AA22" i="7"/>
  <c r="AC22" i="7"/>
  <c r="AD22" i="7"/>
  <c r="AE22" i="7"/>
  <c r="I22" i="7"/>
  <c r="H71" i="1"/>
  <c r="AX2" i="20"/>
</calcChain>
</file>

<file path=xl/comments1.xml><?xml version="1.0" encoding="utf-8"?>
<comments xmlns="http://schemas.openxmlformats.org/spreadsheetml/2006/main">
  <authors>
    <author>ttorralva</author>
  </authors>
  <commentList>
    <comment ref="F9" authorId="0" shapeId="0">
      <text>
        <r>
          <rPr>
            <b/>
            <sz val="8"/>
            <color indexed="81"/>
            <rFont val="Tahoma"/>
          </rPr>
          <t>Z DEL RECONOCIMEINTO SIN CORREGIR</t>
        </r>
      </text>
    </comment>
    <comment ref="K9" authorId="0" shapeId="0">
      <text>
        <r>
          <rPr>
            <b/>
            <sz val="8"/>
            <color indexed="81"/>
            <rFont val="Tahoma"/>
          </rPr>
          <t>Z DEL RECONOCIMEINTO SIN CORREGIR</t>
        </r>
      </text>
    </comment>
    <comment ref="F37" authorId="0" shapeId="0">
      <text>
        <r>
          <rPr>
            <b/>
            <sz val="8"/>
            <color indexed="81"/>
            <rFont val="Tahoma"/>
          </rPr>
          <t>Z DEL RECONOCIMEINTO SIN CORREGIR</t>
        </r>
      </text>
    </comment>
    <comment ref="K37" authorId="0" shapeId="0">
      <text>
        <r>
          <rPr>
            <b/>
            <sz val="8"/>
            <color indexed="81"/>
            <rFont val="Tahoma"/>
          </rPr>
          <t>Z DEL RECONOCIMEINTO SIN CORREGIR</t>
        </r>
      </text>
    </comment>
  </commentList>
</comments>
</file>

<file path=xl/sharedStrings.xml><?xml version="1.0" encoding="utf-8"?>
<sst xmlns="http://schemas.openxmlformats.org/spreadsheetml/2006/main" count="2018" uniqueCount="921">
  <si>
    <t>Test</t>
  </si>
  <si>
    <t>Media</t>
  </si>
  <si>
    <t>Desvío</t>
  </si>
  <si>
    <t>Puntaje Paciente</t>
  </si>
  <si>
    <t>Puntaje Z</t>
  </si>
  <si>
    <t>IFS</t>
  </si>
  <si>
    <t>Matrices</t>
  </si>
  <si>
    <t>Vocabulario</t>
  </si>
  <si>
    <t>Aritmética (WAIS)</t>
  </si>
  <si>
    <t>Ordenamiento L-N (WAIS)</t>
  </si>
  <si>
    <t>Búsqueda de Símbolos (WAIS)</t>
  </si>
  <si>
    <t>Dígito-Símbolo (WAIS)</t>
  </si>
  <si>
    <t>Subíndice de Memoria Operativa (WAIS III)</t>
  </si>
  <si>
    <t>Subíndice de Velocidad de Procesamiento (WAIS III)</t>
  </si>
  <si>
    <t>Memoria de Relatos</t>
  </si>
  <si>
    <t>Inmediato</t>
  </si>
  <si>
    <t>Diferido</t>
  </si>
  <si>
    <t>Reconocimiento</t>
  </si>
  <si>
    <t>Lista de Rey</t>
  </si>
  <si>
    <t>Trial 1</t>
  </si>
  <si>
    <t>Lista Distractora</t>
  </si>
  <si>
    <t>F Verbal Fonológica</t>
  </si>
  <si>
    <t>F Verbal Semántica</t>
  </si>
  <si>
    <t>Trail Making</t>
  </si>
  <si>
    <t>A</t>
  </si>
  <si>
    <t>B</t>
  </si>
  <si>
    <t>Figura de Rey</t>
  </si>
  <si>
    <t>Digitos-span</t>
  </si>
  <si>
    <t>Adelante</t>
  </si>
  <si>
    <t>Atrás</t>
  </si>
  <si>
    <t>Condición 1</t>
  </si>
  <si>
    <t>Condición 2</t>
  </si>
  <si>
    <t>Condición 3</t>
  </si>
  <si>
    <t>Interferencia</t>
  </si>
  <si>
    <t>Test de Hayling</t>
  </si>
  <si>
    <t>WCST</t>
  </si>
  <si>
    <t>1 a 6</t>
  </si>
  <si>
    <t>7 a 12</t>
  </si>
  <si>
    <t>13 a 18</t>
  </si>
  <si>
    <t>Menos de 10 años</t>
  </si>
  <si>
    <t>Más de 10 años</t>
  </si>
  <si>
    <t>ACE</t>
  </si>
  <si>
    <t>WAT-BA</t>
  </si>
  <si>
    <t>CI estimativo</t>
  </si>
  <si>
    <t>de 4 a 7 años</t>
  </si>
  <si>
    <t>de 8 a 12 años</t>
  </si>
  <si>
    <t>mayor de 13 años</t>
  </si>
  <si>
    <t>Dígitos</t>
  </si>
  <si>
    <t>alta ed</t>
  </si>
  <si>
    <t>baja ed</t>
  </si>
  <si>
    <t>amplitud1</t>
  </si>
  <si>
    <t>amplitud2</t>
  </si>
  <si>
    <t>Datos</t>
  </si>
  <si>
    <t>Edad</t>
  </si>
  <si>
    <t>DNI</t>
  </si>
  <si>
    <t>Años Ed</t>
  </si>
  <si>
    <t>Fecha Ev</t>
  </si>
  <si>
    <t>Fecha entrega</t>
  </si>
  <si>
    <t>Derivador</t>
  </si>
  <si>
    <t>Nombre</t>
  </si>
  <si>
    <t>Apellido</t>
  </si>
  <si>
    <t>Lic</t>
  </si>
  <si>
    <t>MN</t>
  </si>
  <si>
    <t>María Roca</t>
  </si>
  <si>
    <t>mroca@ineco.org.ar</t>
  </si>
  <si>
    <t>ttorralva@ineco.org.ar</t>
  </si>
  <si>
    <t>Teresa Torralva</t>
  </si>
  <si>
    <t>primacía</t>
  </si>
  <si>
    <t>recencia</t>
  </si>
  <si>
    <t>distractora</t>
  </si>
  <si>
    <t>interferencia</t>
  </si>
  <si>
    <t>correo</t>
  </si>
  <si>
    <t>Diana Bruno</t>
  </si>
  <si>
    <t>dbruno@ineco.org.ar</t>
  </si>
  <si>
    <t>Clara Pinasco</t>
  </si>
  <si>
    <t>cpinasco@ineco.org.ar</t>
  </si>
  <si>
    <t>Otros resultados</t>
  </si>
  <si>
    <t>Corsi</t>
  </si>
  <si>
    <t>corsi</t>
  </si>
  <si>
    <t>un adecuado funcionamiento</t>
  </si>
  <si>
    <t>un funcionamiento variable</t>
  </si>
  <si>
    <t>fallas en el funcionamiento</t>
  </si>
  <si>
    <t>TMTs</t>
  </si>
  <si>
    <t>, indicando un enlentecimiento en la velocidad de procesamiento.</t>
  </si>
  <si>
    <t>, indicando un marcado enlentecimiento en la velocidad de procesamiento.</t>
  </si>
  <si>
    <t>Hayling</t>
  </si>
  <si>
    <t>Fsem</t>
  </si>
  <si>
    <t>una adecuada</t>
  </si>
  <si>
    <t>fallas en la</t>
  </si>
  <si>
    <t>efecto</t>
  </si>
  <si>
    <t>Presentó un adecuado efecto de recencia y primacía, recordando las palabras iniciales y finales de la lista.</t>
  </si>
  <si>
    <t>No presentó efecto de recencia ni primacía, sin lograr recordar las palabras iniciales ni finales de la lista.</t>
  </si>
  <si>
    <t>Presentó un adecuado efecto de recencia, recordando las palabras finales de la lista, aunque no así de primacía.</t>
  </si>
  <si>
    <t>recencia (1)</t>
  </si>
  <si>
    <t>primacía (1)</t>
  </si>
  <si>
    <t>Presentó un adecuado efecto de primacía, recordando las palabras inciales de la lista, aunque no así de recencia.</t>
  </si>
  <si>
    <t>sugiriendo que la información previamente aprendida no estaría interfiriendo sobre la capacidad de generar nuevos aprendizajes</t>
  </si>
  <si>
    <t>sugiriendo que la información previamente aprendida estaría interfiriendo sobre la capacidad de generar nuevos aprendizajes</t>
  </si>
  <si>
    <t>RAVLT max aprendidas</t>
  </si>
  <si>
    <t>RAVVLT recono</t>
  </si>
  <si>
    <t>obteniendo el beneficio esperado ante las opciones múltiples</t>
  </si>
  <si>
    <t>sin obtener el beneficio de las opciones múltiples</t>
  </si>
  <si>
    <t>obteniendo poco beneficio de las opciones múltiples</t>
  </si>
  <si>
    <t>ROCF</t>
  </si>
  <si>
    <t>obtuvo el beneficio esperado de las opciones múltiples, logrando identificar la mayoría de los detalles de la figura original frente a otros extraños y distractores</t>
  </si>
  <si>
    <t>no obtuvo el beneficio esperado de las opciones múltiples, sin lograr identificar suficientes detalles de la figura original frente a otros extraños y distractores</t>
  </si>
  <si>
    <t>obtuvo el beneficio esperado de las opciones múltiples, logrando identificar la figura original frente a otras extrañas y distractoras</t>
  </si>
  <si>
    <t>no obtuvo el beneficio esperado de las opciones múltiples, sin lograr identificar la figura original frente a otras extrañas y distractoras</t>
  </si>
  <si>
    <t>Boston</t>
  </si>
  <si>
    <t>normales en tareas de fluencia verbal fonológica</t>
  </si>
  <si>
    <t>FFOn</t>
  </si>
  <si>
    <t>y valores normales en tareas de fluencia verbal semántica.</t>
  </si>
  <si>
    <t>bajos en tareas de fluencia verbal fonológica</t>
  </si>
  <si>
    <t>deficitarios en tareas de fluencia verbal fonológica</t>
  </si>
  <si>
    <t>y valores bajos en tareas de fluencia verbal semántica.</t>
  </si>
  <si>
    <t>y valores deficitarios en tareas de fluencia verbal semántica.</t>
  </si>
  <si>
    <t>Z WCST</t>
  </si>
  <si>
    <t>ROCF entre 6? (1)</t>
  </si>
  <si>
    <t>6=1</t>
  </si>
  <si>
    <t>7-8=3</t>
  </si>
  <si>
    <t>9-11=4</t>
  </si>
  <si>
    <t>12-13=5</t>
  </si>
  <si>
    <t>14-15=6</t>
  </si>
  <si>
    <t>16=7</t>
  </si>
  <si>
    <t>17-18=8</t>
  </si>
  <si>
    <t>19-20=9</t>
  </si>
  <si>
    <t>Puntaje Escalar Predicho</t>
  </si>
  <si>
    <t>21-22=10</t>
  </si>
  <si>
    <t xml:space="preserve">Puntaje TDC Escalar </t>
  </si>
  <si>
    <t>23-24=11</t>
  </si>
  <si>
    <t>Puntaje TDC bruto</t>
  </si>
  <si>
    <t>25=12</t>
  </si>
  <si>
    <t>26=13</t>
  </si>
  <si>
    <t>SEE</t>
  </si>
  <si>
    <t>27=14</t>
  </si>
  <si>
    <t>Escolaridad</t>
  </si>
  <si>
    <t>Escolaridad en años</t>
  </si>
  <si>
    <t>28=15</t>
  </si>
  <si>
    <t>Sexo</t>
  </si>
  <si>
    <t>Sexo (M=1, F=2)</t>
  </si>
  <si>
    <t>29=16</t>
  </si>
  <si>
    <t>Edad2</t>
  </si>
  <si>
    <t>Edad al cuadrado</t>
  </si>
  <si>
    <t>30=19</t>
  </si>
  <si>
    <t>Constante</t>
  </si>
  <si>
    <t>TABLA DE CONVERSIÓN DE PUNTAJES BRUTOS A PUNTAJE ESCALAR EN EL TDC</t>
  </si>
  <si>
    <t>Valores del ARM</t>
  </si>
  <si>
    <t>Información del examinado</t>
  </si>
  <si>
    <t>Cordoba</t>
  </si>
  <si>
    <t>WAT</t>
  </si>
  <si>
    <t>-</t>
  </si>
  <si>
    <t>Matrices (WAIS)</t>
  </si>
  <si>
    <t>Vocabulario (WAIS)</t>
  </si>
  <si>
    <t>Digitos</t>
  </si>
  <si>
    <t>Delayed</t>
  </si>
  <si>
    <t>entre 14 y 20 normal</t>
  </si>
  <si>
    <t xml:space="preserve">Stroop </t>
  </si>
  <si>
    <t>D.N.I.</t>
  </si>
  <si>
    <t>categoría</t>
  </si>
  <si>
    <t>ACE grafico</t>
  </si>
  <si>
    <t>El punto de corte sugerido para el ACE en pacientes con 12 años de educación o más es de  85 habiendo demostrado con el mismo una sensibilidad del 97.5%y una especificidad del 88.5% en la diferenciación de los pacientes con demencia. En pacientes con menos de 12 años de educación el punto de corte sugerido es de 65 habiendo demostrado el mismo una sensibilidad del 90% y una especificidad del 83% en la detección de pacientes con demencia.</t>
  </si>
  <si>
    <t>Sr/Sra (1)</t>
  </si>
  <si>
    <t>nombre/señor</t>
  </si>
  <si>
    <t>Cat1</t>
  </si>
  <si>
    <t>Cat2</t>
  </si>
  <si>
    <t>Cat3</t>
  </si>
  <si>
    <t>Cat2b</t>
  </si>
  <si>
    <t>Cat4</t>
  </si>
  <si>
    <t>gen1</t>
  </si>
  <si>
    <t>gen2</t>
  </si>
  <si>
    <t>gen3</t>
  </si>
  <si>
    <t>gen4</t>
  </si>
  <si>
    <t>gen5</t>
  </si>
  <si>
    <t>ACE graf</t>
  </si>
  <si>
    <t>IMO</t>
  </si>
  <si>
    <t>IVP</t>
  </si>
  <si>
    <t xml:space="preserve"> y visual (Cubos de Corsi)</t>
  </si>
  <si>
    <t>, y valores bajos frente a material visual (Cubos de Corsi)</t>
  </si>
  <si>
    <t>Hotel</t>
  </si>
  <si>
    <t>Tarea</t>
  </si>
  <si>
    <t>Tarea 1</t>
  </si>
  <si>
    <t>Tarea 2</t>
  </si>
  <si>
    <t>Tarea 3</t>
  </si>
  <si>
    <t>Tarea 4</t>
  </si>
  <si>
    <t>Tarea 5</t>
  </si>
  <si>
    <t>Ejecución</t>
  </si>
  <si>
    <t>Tiempo</t>
  </si>
  <si>
    <t>Total</t>
  </si>
  <si>
    <t>Abrir y cerrar botón</t>
  </si>
  <si>
    <t>Apertura</t>
  </si>
  <si>
    <t>Cierre</t>
  </si>
  <si>
    <t>Totales</t>
  </si>
  <si>
    <t>Ojos</t>
  </si>
  <si>
    <t>Voz</t>
  </si>
  <si>
    <t>Mini-SEA</t>
  </si>
  <si>
    <t>Faux Pas</t>
  </si>
  <si>
    <t>ToM Cognitiva</t>
  </si>
  <si>
    <t>ToM Afectiva</t>
  </si>
  <si>
    <t>Puntaje</t>
  </si>
  <si>
    <t>Z</t>
  </si>
  <si>
    <t>Reconocimiento Emociones</t>
  </si>
  <si>
    <t>Miedo</t>
  </si>
  <si>
    <t>Asco</t>
  </si>
  <si>
    <t>Enojo</t>
  </si>
  <si>
    <t>Tristeza</t>
  </si>
  <si>
    <t>Sorpresa</t>
  </si>
  <si>
    <t>Neutro</t>
  </si>
  <si>
    <t>Alegría</t>
  </si>
  <si>
    <t>Mini-SEA Total</t>
  </si>
  <si>
    <t>Memoria de trabajo</t>
  </si>
  <si>
    <t>Correctas</t>
  </si>
  <si>
    <t>Incorrectas</t>
  </si>
  <si>
    <t>Omitidas</t>
  </si>
  <si>
    <t>Go - No Go</t>
  </si>
  <si>
    <t>SUBTEST</t>
  </si>
  <si>
    <t>Bruto</t>
  </si>
  <si>
    <t>VERBAL</t>
  </si>
  <si>
    <t>EJEC.</t>
  </si>
  <si>
    <t>CV</t>
  </si>
  <si>
    <t>OP</t>
  </si>
  <si>
    <t>MO</t>
  </si>
  <si>
    <t>VP</t>
  </si>
  <si>
    <t>Completamiento de Figuras</t>
  </si>
  <si>
    <t xml:space="preserve">Vocabulario </t>
  </si>
  <si>
    <t>Dígitos  - Símbolos</t>
  </si>
  <si>
    <t>Analogías</t>
  </si>
  <si>
    <t>Diseño con Cubos</t>
  </si>
  <si>
    <t>Aritmética</t>
  </si>
  <si>
    <t>Razonamiento con Matrices</t>
  </si>
  <si>
    <t>Información</t>
  </si>
  <si>
    <t>Ordenamiento de Láminas</t>
  </si>
  <si>
    <t>Comprensión</t>
  </si>
  <si>
    <t>Búsqueda de Símbolos</t>
  </si>
  <si>
    <t>Ord. Letras y Números</t>
  </si>
  <si>
    <t>Rompecabezas</t>
  </si>
  <si>
    <t>Suma Puntajes Escalares</t>
  </si>
  <si>
    <t>CI/ ÍNDICES</t>
  </si>
  <si>
    <t>CIV</t>
  </si>
  <si>
    <t>CIE</t>
  </si>
  <si>
    <t>CIEC</t>
  </si>
  <si>
    <t>ICV</t>
  </si>
  <si>
    <t>IOP</t>
  </si>
  <si>
    <t>Suma de puntajes escalares</t>
  </si>
  <si>
    <t>CI</t>
  </si>
  <si>
    <t>T1E</t>
  </si>
  <si>
    <t>T2E</t>
  </si>
  <si>
    <t>T3E</t>
  </si>
  <si>
    <t>T4E</t>
  </si>
  <si>
    <t>T5E</t>
  </si>
  <si>
    <t>T1T</t>
  </si>
  <si>
    <t>T2T</t>
  </si>
  <si>
    <t>T3T</t>
  </si>
  <si>
    <t>T4T</t>
  </si>
  <si>
    <t>T5T</t>
  </si>
  <si>
    <t>T1D</t>
  </si>
  <si>
    <t>T2D</t>
  </si>
  <si>
    <t>T4D</t>
  </si>
  <si>
    <t>T5D</t>
  </si>
  <si>
    <t>T3D</t>
  </si>
  <si>
    <t>TOTALE</t>
  </si>
  <si>
    <t>TOTALT</t>
  </si>
  <si>
    <t>TOTALD</t>
  </si>
  <si>
    <t>APE</t>
  </si>
  <si>
    <t>APT</t>
  </si>
  <si>
    <t>APD</t>
  </si>
  <si>
    <t>CEE</t>
  </si>
  <si>
    <t>CET</t>
  </si>
  <si>
    <t>CED</t>
  </si>
  <si>
    <t>BOTE</t>
  </si>
  <si>
    <t>BOTD</t>
  </si>
  <si>
    <t>OJOS</t>
  </si>
  <si>
    <t>VOZ</t>
  </si>
  <si>
    <t>HOTELi</t>
  </si>
  <si>
    <t>Botonesi</t>
  </si>
  <si>
    <t>OJOS in</t>
  </si>
  <si>
    <t>VOZ in</t>
  </si>
  <si>
    <t>FPp</t>
  </si>
  <si>
    <t>FPz</t>
  </si>
  <si>
    <t>Fpin</t>
  </si>
  <si>
    <t>Rep</t>
  </si>
  <si>
    <t>Rez</t>
  </si>
  <si>
    <t>RE in</t>
  </si>
  <si>
    <t>mini-sea</t>
  </si>
  <si>
    <t>mini-sea in</t>
  </si>
  <si>
    <t>RE frase</t>
  </si>
  <si>
    <t>WMc</t>
  </si>
  <si>
    <t>Wmi</t>
  </si>
  <si>
    <t>Wmo</t>
  </si>
  <si>
    <t>WMt</t>
  </si>
  <si>
    <t>WM frase</t>
  </si>
  <si>
    <t>GNGc</t>
  </si>
  <si>
    <t>GNGi</t>
  </si>
  <si>
    <t>GNGo</t>
  </si>
  <si>
    <t>GNGt</t>
  </si>
  <si>
    <t>GNG frase</t>
  </si>
  <si>
    <r>
      <t xml:space="preserve">presentó dificultades para </t>
    </r>
    <r>
      <rPr>
        <sz val="9"/>
        <color theme="1"/>
        <rFont val="Times New Roman"/>
      </rPr>
      <t>anticipar, organizar y planificar su tiempo</t>
    </r>
  </si>
  <si>
    <r>
      <t xml:space="preserve">presentó una adecuada capacidad para </t>
    </r>
    <r>
      <rPr>
        <sz val="9"/>
        <color theme="1"/>
        <rFont val="Times New Roman"/>
      </rPr>
      <t>anticipar, organizar y planificar su tiempo</t>
    </r>
  </si>
  <si>
    <t>falló en</t>
  </si>
  <si>
    <t>logró</t>
  </si>
  <si>
    <t>Botones frase</t>
  </si>
  <si>
    <t>normales</t>
  </si>
  <si>
    <t>bajos</t>
  </si>
  <si>
    <t>deficitarios</t>
  </si>
  <si>
    <r>
      <t xml:space="preserve">presentó leves dificultades para </t>
    </r>
    <r>
      <rPr>
        <sz val="9"/>
        <color theme="1"/>
        <rFont val="Times New Roman"/>
      </rPr>
      <t>anticipar, organizar y planificar su tiempo</t>
    </r>
  </si>
  <si>
    <t>HOTELi2</t>
  </si>
  <si>
    <t>OJOS in2</t>
  </si>
  <si>
    <t>OJOS in3</t>
  </si>
  <si>
    <t>ciertas fallas en la</t>
  </si>
  <si>
    <t>VOZ in2</t>
  </si>
  <si>
    <t>Puntaje 2016</t>
  </si>
  <si>
    <t>Puntaje Z 2016</t>
  </si>
  <si>
    <t>Puntaje z</t>
  </si>
  <si>
    <t>Dif bruto</t>
  </si>
  <si>
    <t>Dif Z</t>
  </si>
  <si>
    <t>Valor Actual</t>
  </si>
  <si>
    <t>Valor previo</t>
  </si>
  <si>
    <t>Dirección</t>
  </si>
  <si>
    <t>Test de Cordoba</t>
  </si>
  <si>
    <t>Dif abs z</t>
  </si>
  <si>
    <t>dif abs brut</t>
  </si>
  <si>
    <t>Cambio sig</t>
  </si>
  <si>
    <t>Valor estable</t>
  </si>
  <si>
    <t>Cambio</t>
  </si>
  <si>
    <t>tomA</t>
  </si>
  <si>
    <t>tomC</t>
  </si>
  <si>
    <t>Fpin2</t>
  </si>
  <si>
    <t>GNG frase alt</t>
  </si>
  <si>
    <t>. Cabe destacar que el gran número de respuestas incorrectas sugiere dificultades en el control inhibitorio.</t>
  </si>
  <si>
    <t>EscalaCom</t>
  </si>
  <si>
    <t>CIVi</t>
  </si>
  <si>
    <t>CIEi</t>
  </si>
  <si>
    <t>CIECi</t>
  </si>
  <si>
    <t>ICVi</t>
  </si>
  <si>
    <t>IOPi</t>
  </si>
  <si>
    <t>IMOi</t>
  </si>
  <si>
    <t>IVPi</t>
  </si>
  <si>
    <t>CIVcon</t>
  </si>
  <si>
    <t>CIEcon</t>
  </si>
  <si>
    <t>mayoria</t>
  </si>
  <si>
    <t>comprensión verbal</t>
  </si>
  <si>
    <t>organización perceptual</t>
  </si>
  <si>
    <t>memoria operativa</t>
  </si>
  <si>
    <t>velocidad de procesamiento</t>
  </si>
  <si>
    <t>max</t>
  </si>
  <si>
    <t>min</t>
  </si>
  <si>
    <t>, siendo esta su mayor fortaleza cognitiva</t>
  </si>
  <si>
    <t>, siendo esta su mayor debilidad cognitiva</t>
  </si>
  <si>
    <t>ICVf</t>
  </si>
  <si>
    <t>IOPf</t>
  </si>
  <si>
    <t>IMOf</t>
  </si>
  <si>
    <t>IVPf</t>
  </si>
  <si>
    <t>ICVd</t>
  </si>
  <si>
    <t>IOPd</t>
  </si>
  <si>
    <t>IMOd</t>
  </si>
  <si>
    <t>IVPd</t>
  </si>
  <si>
    <t>FSUB</t>
  </si>
  <si>
    <t>Fabr</t>
  </si>
  <si>
    <t>F_CI</t>
  </si>
  <si>
    <t>DSUB</t>
  </si>
  <si>
    <t>Dabr</t>
  </si>
  <si>
    <t>D_CL</t>
  </si>
  <si>
    <t>leves fallas en la</t>
  </si>
  <si>
    <t>ATENCIÓN</t>
  </si>
  <si>
    <t>AÑO</t>
  </si>
  <si>
    <t>ESTACIÓN</t>
  </si>
  <si>
    <t>MES</t>
  </si>
  <si>
    <t>FECHA</t>
  </si>
  <si>
    <t>DIA</t>
  </si>
  <si>
    <t>PAIS</t>
  </si>
  <si>
    <t>CIUDAD</t>
  </si>
  <si>
    <t>BARRIO</t>
  </si>
  <si>
    <t>LUGAR</t>
  </si>
  <si>
    <t>PISO</t>
  </si>
  <si>
    <t>PELOTA</t>
  </si>
  <si>
    <t>BANDERA</t>
  </si>
  <si>
    <t>ARBOL</t>
  </si>
  <si>
    <t>Cant. Ensayos</t>
  </si>
  <si>
    <t>*(100-7) 93</t>
  </si>
  <si>
    <t>MEMORIA</t>
  </si>
  <si>
    <t>FLUENCIA VERBAL</t>
  </si>
  <si>
    <t>LETRAS</t>
  </si>
  <si>
    <t>ANIMALES</t>
  </si>
  <si>
    <t>0 a 15</t>
  </si>
  <si>
    <t>15 a 30</t>
  </si>
  <si>
    <t>30 a 45</t>
  </si>
  <si>
    <t>45 a 60</t>
  </si>
  <si>
    <t>LENGUAJE</t>
  </si>
  <si>
    <t xml:space="preserve">Tome el lápiz y luego el papel </t>
  </si>
  <si>
    <t xml:space="preserve">Ponga el papel encima del lápiz </t>
  </si>
  <si>
    <t xml:space="preserve">Tome el lápiz pero no el papel </t>
  </si>
  <si>
    <t xml:space="preserve">Deme el lápiz después de tocar el papel </t>
  </si>
  <si>
    <t>COMPRENSIÓN</t>
  </si>
  <si>
    <t>ESCRITURA</t>
  </si>
  <si>
    <t xml:space="preserve">Hay al menos dos oraciones sobre el mismo tema </t>
  </si>
  <si>
    <t xml:space="preserve">Gramática y ortografía son correctas </t>
  </si>
  <si>
    <t>NOMBRES Y DIRECCIONES</t>
  </si>
  <si>
    <t>LUIS</t>
  </si>
  <si>
    <t>REYNAL</t>
  </si>
  <si>
    <t>PEDRO</t>
  </si>
  <si>
    <t>GOYENA</t>
  </si>
  <si>
    <t>ROSARIO</t>
  </si>
  <si>
    <t>SATA FE</t>
  </si>
  <si>
    <t>I</t>
  </si>
  <si>
    <t>III</t>
  </si>
  <si>
    <t>II</t>
  </si>
  <si>
    <t>Nombre del Papa</t>
  </si>
  <si>
    <t>Nombre de la persona que descubrió América</t>
  </si>
  <si>
    <t>Nombre del Presidente estadounidense asesinado en la década del 60</t>
  </si>
  <si>
    <t>Nombre del actual presidente</t>
  </si>
  <si>
    <t>REPETICIÓN PALABRAS</t>
  </si>
  <si>
    <t>HIPOPÓTAMO</t>
  </si>
  <si>
    <t>EXCENTRICIDAD</t>
  </si>
  <si>
    <t>ININTELIGIBLE</t>
  </si>
  <si>
    <t>ESTADÍSTICO</t>
  </si>
  <si>
    <t>REPETICIÓN FRASES</t>
  </si>
  <si>
    <t>El flan tiene frutillas y frambuesas</t>
  </si>
  <si>
    <t>La orquesta tocó y la audiencia la aplaudió</t>
  </si>
  <si>
    <t>DENOMINACIÓN</t>
  </si>
  <si>
    <t>CUCHARA</t>
  </si>
  <si>
    <t>LIBRO</t>
  </si>
  <si>
    <t>CANGURO</t>
  </si>
  <si>
    <t>PINGÜINO</t>
  </si>
  <si>
    <t>ANCLA</t>
  </si>
  <si>
    <t>CAMELLO</t>
  </si>
  <si>
    <t>ARPA</t>
  </si>
  <si>
    <t>RINOCERONTE</t>
  </si>
  <si>
    <t>BARRIL</t>
  </si>
  <si>
    <t>CORONA</t>
  </si>
  <si>
    <t>COCODRILO</t>
  </si>
  <si>
    <t>ACORDEON</t>
  </si>
  <si>
    <t>ASOCIACIÓN SEMÁNTICA</t>
  </si>
  <si>
    <t>SEÑALE CUÁL ESTÁ ASOCIADO A LA MONARQUÍA</t>
  </si>
  <si>
    <t>CUÁL SE PUEDE ENOCNTRAR EN LA ANTÁRTIDA</t>
  </si>
  <si>
    <t>SEÑALE CUÁL ES UN MARSUPIAL</t>
  </si>
  <si>
    <t>CUÁL SE RELACIONA CON LA NÁUTICA (NAVEGACIÓN)</t>
  </si>
  <si>
    <t xml:space="preserve">LECTURA </t>
  </si>
  <si>
    <t>JAZZ</t>
  </si>
  <si>
    <t>LASAGNA</t>
  </si>
  <si>
    <t>JEAN</t>
  </si>
  <si>
    <t>HIPPIE</t>
  </si>
  <si>
    <t>JUMBO</t>
  </si>
  <si>
    <t>RESULTADOS</t>
  </si>
  <si>
    <t>HABILIDADES VISUOESPACIALES</t>
  </si>
  <si>
    <t>DIAGRAMA DEL INFINITO</t>
  </si>
  <si>
    <t>CUBO</t>
  </si>
  <si>
    <t>ESFERA DEL RELOJ</t>
  </si>
  <si>
    <t>NÚMEROS DEL RELOJ</t>
  </si>
  <si>
    <t>AGUJAS DEL RELOJ</t>
  </si>
  <si>
    <t>CONTEO DE PUNTOS</t>
  </si>
  <si>
    <t>LETRAS INCOMPLETAS</t>
  </si>
  <si>
    <t>DIFERIDO</t>
  </si>
  <si>
    <t>LUCAS REYNAL</t>
  </si>
  <si>
    <t>LUIS REYNAL</t>
  </si>
  <si>
    <t>LUIS ROYAL</t>
  </si>
  <si>
    <t>PEDRO GALEANO</t>
  </si>
  <si>
    <t>PABLO GOYENA</t>
  </si>
  <si>
    <t>PEDRO GOYENA</t>
  </si>
  <si>
    <t>CAPITAL FEDERAL</t>
  </si>
  <si>
    <t>RESISTENCIA</t>
  </si>
  <si>
    <t>SANTA FE</t>
  </si>
  <si>
    <t>BUENOS AIRES</t>
  </si>
  <si>
    <t>CHACO</t>
  </si>
  <si>
    <t>TOTAL ACE III</t>
  </si>
  <si>
    <t>P</t>
  </si>
  <si>
    <t>Animales</t>
  </si>
  <si>
    <t>Total bruto</t>
  </si>
  <si>
    <t>Total convertido</t>
  </si>
  <si>
    <t>BRUTO</t>
  </si>
  <si>
    <t>CONVERTIDO</t>
  </si>
  <si>
    <t>Cant</t>
  </si>
  <si>
    <t>/18</t>
  </si>
  <si>
    <t>/100</t>
  </si>
  <si>
    <t>/26</t>
  </si>
  <si>
    <t>/14</t>
  </si>
  <si>
    <t>/16</t>
  </si>
  <si>
    <t>MEMORIA REMOTA</t>
  </si>
  <si>
    <t>MEMORIA APRENDIZAJE</t>
  </si>
  <si>
    <t>MEMORIA INMEDIATA</t>
  </si>
  <si>
    <t>Series motoras</t>
  </si>
  <si>
    <t>Instrucciones conflictivas</t>
  </si>
  <si>
    <t>Control inhibitorio motor</t>
  </si>
  <si>
    <t>/3</t>
  </si>
  <si>
    <t>Repetición de dígitos atrás</t>
  </si>
  <si>
    <t>2-4</t>
  </si>
  <si>
    <t>6-2-9</t>
  </si>
  <si>
    <t>3-2-7-9</t>
  </si>
  <si>
    <t>1-5-2-8-6</t>
  </si>
  <si>
    <t>5-3-9-4-1-8</t>
  </si>
  <si>
    <t>8-1-2-9-3-6-5</t>
  </si>
  <si>
    <t>9-4-3-7-6-2-5-8</t>
  </si>
  <si>
    <t>5-7</t>
  </si>
  <si>
    <t>4-1-5</t>
  </si>
  <si>
    <t>4-9-6-8</t>
  </si>
  <si>
    <t>6-1-8-4-3</t>
  </si>
  <si>
    <t>7-2-4-8-5-6</t>
  </si>
  <si>
    <t>7-2-8-1-9-6-5-3</t>
  </si>
  <si>
    <t>4-7-3-9-1-2-8</t>
  </si>
  <si>
    <t>Diciembre</t>
  </si>
  <si>
    <t>Noviembre</t>
  </si>
  <si>
    <t>Octubre</t>
  </si>
  <si>
    <t>Septiembre</t>
  </si>
  <si>
    <t>Agosto</t>
  </si>
  <si>
    <t>Julio</t>
  </si>
  <si>
    <t>Junio</t>
  </si>
  <si>
    <t>Mayo</t>
  </si>
  <si>
    <t>Abril</t>
  </si>
  <si>
    <t>Marzo</t>
  </si>
  <si>
    <t>Febrero</t>
  </si>
  <si>
    <t>Enero</t>
  </si>
  <si>
    <t>Memoria de trabajo visual</t>
  </si>
  <si>
    <t>1-2</t>
  </si>
  <si>
    <t>2-4-3</t>
  </si>
  <si>
    <t>3-4-2-1</t>
  </si>
  <si>
    <t>1-4-2-3-4</t>
  </si>
  <si>
    <t>Refranes</t>
  </si>
  <si>
    <t>Perro que ladra no muerde</t>
  </si>
  <si>
    <t>A mal tiempo, buena cara</t>
  </si>
  <si>
    <t>En casa de herrero, cuchillo de palo</t>
  </si>
  <si>
    <t>Control inhibitorio verbaL</t>
  </si>
  <si>
    <t>Me pongo los zapatos y me ato los</t>
  </si>
  <si>
    <t xml:space="preserve">Peleaban como perro y </t>
  </si>
  <si>
    <t xml:space="preserve">Juan compró caramelos en el </t>
  </si>
  <si>
    <t>Ojo por ojo y diente por</t>
  </si>
  <si>
    <t xml:space="preserve">Lave la ropa con agua y </t>
  </si>
  <si>
    <t>SPAN</t>
  </si>
  <si>
    <t>WAIS</t>
  </si>
  <si>
    <t>Puntuación: Sin error: 3 / Uno o dos errores: 2 / Mas de dos errores: 1 / El paciente golpea como el examinador al menos 4 veces consecutivas : 0</t>
  </si>
  <si>
    <t xml:space="preserve">Puntuación: 6 series consecutivas solo: 3 / al menos 3 series consecutivas solo: 2 / El paciente falla en 1 pero logra 3 series consecutivas con el examinador: 1 / El paciente no logra 3 series consecutivas con el examinador : 0                                                                                                                      
                                                                                 </t>
  </si>
  <si>
    <t>**El puntaje aparece automáticamente. Si puntúa 1 o 0 escribirlo manualmente</t>
  </si>
  <si>
    <t>**El puntaje por default es 2</t>
  </si>
  <si>
    <t>0.5</t>
  </si>
  <si>
    <t>Completo</t>
  </si>
  <si>
    <t>Medio</t>
  </si>
  <si>
    <t>ERROR!</t>
  </si>
  <si>
    <t>*Diferente: 2/ Rel. Semántica: 1/Palabra exacta: 0 punto.</t>
  </si>
  <si>
    <t>Diferente</t>
  </si>
  <si>
    <t>Semántica</t>
  </si>
  <si>
    <t>Exacta</t>
  </si>
  <si>
    <t>**Marcar la opción correspondiente. Si es 0 dejar vacio</t>
  </si>
  <si>
    <t>*Anotar el puntaje que obtiene para cada (sub)prueba</t>
  </si>
  <si>
    <t>*Anotar respuesta</t>
  </si>
  <si>
    <t>*Marcar con una X si responde correctamente. Si no, anotar respuesta incorrecta</t>
  </si>
  <si>
    <t>*Marcar con una X si responde correctamente</t>
  </si>
  <si>
    <t>No validas</t>
  </si>
  <si>
    <t>*Marcar con una X si cumple el criterio</t>
  </si>
  <si>
    <t>*Marcar con un X los errores</t>
  </si>
  <si>
    <t>MESES</t>
  </si>
  <si>
    <t>*Marcar si responde correctamente con una x.</t>
  </si>
  <si>
    <t>*escribir todas las palabras</t>
  </si>
  <si>
    <t>Puntaje pac</t>
  </si>
  <si>
    <t>30-39</t>
  </si>
  <si>
    <t>Puntaje Pac</t>
  </si>
  <si>
    <t>Trail 1</t>
  </si>
  <si>
    <t xml:space="preserve">20-29 </t>
  </si>
  <si>
    <t>16-19 Hombres</t>
  </si>
  <si>
    <t>40-44</t>
  </si>
  <si>
    <t>45-49</t>
  </si>
  <si>
    <t>50-54</t>
  </si>
  <si>
    <t>55-59</t>
  </si>
  <si>
    <t>60-64</t>
  </si>
  <si>
    <t>65-69</t>
  </si>
  <si>
    <t>70-74</t>
  </si>
  <si>
    <t>1 a 7</t>
  </si>
  <si>
    <t>8 a 20</t>
  </si>
  <si>
    <t>adelante</t>
  </si>
  <si>
    <t>atrás</t>
  </si>
  <si>
    <t>12 a 16</t>
  </si>
  <si>
    <t>17 a 20</t>
  </si>
  <si>
    <t>80-85</t>
  </si>
  <si>
    <t>categorias</t>
  </si>
  <si>
    <t>Screening</t>
  </si>
  <si>
    <t>Lenguaje</t>
  </si>
  <si>
    <t>CI Estimativo</t>
  </si>
  <si>
    <t>Relatos</t>
  </si>
  <si>
    <t>RAVLT</t>
  </si>
  <si>
    <t>Dígitos adelante</t>
  </si>
  <si>
    <t>Stroop</t>
  </si>
  <si>
    <t>Hayling Test</t>
  </si>
  <si>
    <t>Mujeres</t>
  </si>
  <si>
    <t>Hombre</t>
  </si>
  <si>
    <t>Mujer</t>
  </si>
  <si>
    <t>75-79</t>
  </si>
  <si>
    <t>CASO</t>
  </si>
  <si>
    <t>70 a 74</t>
  </si>
  <si>
    <t>Puntuación T</t>
  </si>
  <si>
    <t>Palabra</t>
  </si>
  <si>
    <t>Color</t>
  </si>
  <si>
    <t>Palabra - Color</t>
  </si>
  <si>
    <t>Palabra Color</t>
  </si>
  <si>
    <t>16 a 44</t>
  </si>
  <si>
    <t>45 a 64</t>
  </si>
  <si>
    <t>PC´</t>
  </si>
  <si>
    <t>Puntaje T</t>
  </si>
  <si>
    <t>C</t>
  </si>
  <si>
    <t>65 a 80</t>
  </si>
  <si>
    <t>Limites</t>
  </si>
  <si>
    <t>EDAD</t>
  </si>
  <si>
    <t>VOCABULARIO</t>
  </si>
  <si>
    <t>Voc+Mat</t>
  </si>
  <si>
    <t>BS+DS</t>
  </si>
  <si>
    <t>Suma de Puntajes escalares</t>
  </si>
  <si>
    <t>*Índice de Memoria Operativa</t>
  </si>
  <si>
    <t>*Índice de Velocidad de Procesamiento</t>
  </si>
  <si>
    <t>**CI estimativo</t>
  </si>
  <si>
    <t>Dig+NL+Ari</t>
  </si>
  <si>
    <t>Ord L-N</t>
  </si>
  <si>
    <t>Aritmentica</t>
  </si>
  <si>
    <t>Busqueda S</t>
  </si>
  <si>
    <t>Dig-Sim</t>
  </si>
  <si>
    <t>mantener una serie motora preestablecida</t>
  </si>
  <si>
    <t>responder frente a instrucciones conflictivas</t>
  </si>
  <si>
    <t>inhibir respuestas preponderantes en su modalidad verbal y motora</t>
  </si>
  <si>
    <t>Frase Premorbido</t>
  </si>
  <si>
    <t xml:space="preserve">Se estima que </t>
  </si>
  <si>
    <t xml:space="preserve"> presenta un nivel intelectual previo </t>
  </si>
  <si>
    <t xml:space="preserve">/50 nivel intelectual estimativo previo: </t>
  </si>
  <si>
    <t xml:space="preserve">). </t>
  </si>
  <si>
    <t>Frase CI ESTIMATIVO</t>
  </si>
  <si>
    <t xml:space="preserve">Una evaluación abreviada de funcionamiento intelectual actual sugiere que </t>
  </si>
  <si>
    <t>), cuando se l</t>
  </si>
  <si>
    <t xml:space="preserve"> compara con personas de su mismo grupo etario. Así, presentó valores </t>
  </si>
  <si>
    <t xml:space="preserve"> en habilidades de razonamiento fluido no verbal (WAIS III Matrices PE: </t>
  </si>
  <si>
    <t xml:space="preserve"> en habilidades de conceptualización verbal (WAIS III Vocabulario PE: </t>
  </si>
  <si>
    <t>).</t>
  </si>
  <si>
    <t xml:space="preserve"> (CI estimativo*: </t>
  </si>
  <si>
    <t xml:space="preserve"> habilidades de razonamiento fluido no verbal  </t>
  </si>
  <si>
    <t xml:space="preserve"> (WAIS III Vocabulario PE: </t>
  </si>
  <si>
    <t xml:space="preserve">En una prueba de </t>
  </si>
  <si>
    <t xml:space="preserve">presentó valores </t>
  </si>
  <si>
    <t xml:space="preserve"> (WAIS III Matrices PE: </t>
  </si>
  <si>
    <t xml:space="preserve"> habilidades de conceptualización verbal </t>
  </si>
  <si>
    <t>Frase Matrices o Vocab</t>
  </si>
  <si>
    <t>ORIENTACIÓN</t>
  </si>
  <si>
    <t>el año</t>
  </si>
  <si>
    <t>el mes</t>
  </si>
  <si>
    <t>la fecha</t>
  </si>
  <si>
    <t>el día</t>
  </si>
  <si>
    <t>,</t>
  </si>
  <si>
    <t xml:space="preserve">, </t>
  </si>
  <si>
    <t xml:space="preserve"> ni la fecha</t>
  </si>
  <si>
    <t xml:space="preserve"> ni el mes</t>
  </si>
  <si>
    <t xml:space="preserve"> ni la estación </t>
  </si>
  <si>
    <t xml:space="preserve"> ni el día</t>
  </si>
  <si>
    <t>la estación</t>
  </si>
  <si>
    <t>Espacial</t>
  </si>
  <si>
    <t>el país</t>
  </si>
  <si>
    <t>el barrio</t>
  </si>
  <si>
    <t>el lugar</t>
  </si>
  <si>
    <t>la ciudad</t>
  </si>
  <si>
    <t>el piso</t>
  </si>
  <si>
    <t xml:space="preserve"> ni la ciudad</t>
  </si>
  <si>
    <t xml:space="preserve"> ni el barrio</t>
  </si>
  <si>
    <t xml:space="preserve"> ni el lugar</t>
  </si>
  <si>
    <t xml:space="preserve"> ni el piso</t>
  </si>
  <si>
    <t xml:space="preserve"> orientad</t>
  </si>
  <si>
    <t xml:space="preserve"> en tiempo y en espacio. </t>
  </si>
  <si>
    <t xml:space="preserve"> en tiempo,</t>
  </si>
  <si>
    <t xml:space="preserve"> aunque</t>
  </si>
  <si>
    <t xml:space="preserve"> desorientad</t>
  </si>
  <si>
    <t xml:space="preserve"> parcialmente</t>
  </si>
  <si>
    <t xml:space="preserve"> en espacio,</t>
  </si>
  <si>
    <t>Pruebas tomadas</t>
  </si>
  <si>
    <t>Memoria de relatos</t>
  </si>
  <si>
    <t>Stroop Test</t>
  </si>
  <si>
    <t>ACTUAL</t>
  </si>
  <si>
    <t>PREVIO</t>
  </si>
  <si>
    <t>Puntajes Z</t>
  </si>
  <si>
    <t>Test de Córdoba</t>
  </si>
  <si>
    <t>Dígitos (WAIS)</t>
  </si>
  <si>
    <t>Funcionamiento intelectual</t>
  </si>
  <si>
    <t>Inteligencia premorbida</t>
  </si>
  <si>
    <t>Acl estimat</t>
  </si>
  <si>
    <t xml:space="preserve">En pruebas de screening generales, </t>
  </si>
  <si>
    <t xml:space="preserve"> presentó valores </t>
  </si>
  <si>
    <t>GENERO</t>
  </si>
  <si>
    <t>/100).</t>
  </si>
  <si>
    <t>/30).</t>
  </si>
  <si>
    <t xml:space="preserve"> (IFS: </t>
  </si>
  <si>
    <t xml:space="preserve">En pruebas de screening específicamente ejecutivas, </t>
  </si>
  <si>
    <t xml:space="preserve">obtuvo valores </t>
  </si>
  <si>
    <t>Atención - SPAN</t>
  </si>
  <si>
    <t xml:space="preserve">. Así, se observaron valores </t>
  </si>
  <si>
    <t>.</t>
  </si>
  <si>
    <t xml:space="preserve">El rendimiento </t>
  </si>
  <si>
    <t xml:space="preserve"> en pruebas que evalúan la amplitud atencional auditiva presentó valores </t>
  </si>
  <si>
    <t xml:space="preserve"> en el recuerdo inicial de una lista de palabras, </t>
  </si>
  <si>
    <t xml:space="preserve"> en la repetición de dígitos en orden directo. De esta manera, frente a la presentación secuencial de estímulos, la cantidad que pueden ser procesados simultáneamente presentó valores </t>
  </si>
  <si>
    <t>AUSENCIA de alguno</t>
  </si>
  <si>
    <t>AtencionSPAN</t>
  </si>
  <si>
    <t>WM</t>
  </si>
  <si>
    <t xml:space="preserve"> frente al material verbal (Repetición de dígitos en orden inverso)</t>
  </si>
  <si>
    <t xml:space="preserve"> de la memoria de trabajo, entendida como la capacidad de mantener la información en la mente disponible para su manipulación. </t>
  </si>
  <si>
    <t xml:space="preserve"> se observó un rendimiento </t>
  </si>
  <si>
    <t xml:space="preserve"> compara con personas de su misma edad (Subíndice de Memoria de Trabajo WAIS III CIMO: </t>
  </si>
  <si>
    <t xml:space="preserve">En pruebas más específicas y de mayor complejidad, evidenció valores </t>
  </si>
  <si>
    <t xml:space="preserve"> cuando se l</t>
  </si>
  <si>
    <t>Velocidad de procesamiento</t>
  </si>
  <si>
    <t xml:space="preserve">*Marcar la respuesta correcta con una X. </t>
  </si>
  <si>
    <r>
      <t xml:space="preserve">***Es importante </t>
    </r>
    <r>
      <rPr>
        <u/>
        <sz val="12"/>
        <color theme="1"/>
        <rFont val="Calibri"/>
        <scheme val="minor"/>
      </rPr>
      <t>marcar todas las correctas</t>
    </r>
    <r>
      <rPr>
        <sz val="12"/>
        <color theme="1"/>
        <rFont val="Calibri"/>
        <family val="2"/>
        <charset val="134"/>
        <scheme val="minor"/>
      </rPr>
      <t xml:space="preserve"> para sacar el puntaje para el </t>
    </r>
    <r>
      <rPr>
        <b/>
        <sz val="12"/>
        <color theme="1"/>
        <rFont val="Calibri"/>
        <family val="2"/>
        <scheme val="minor"/>
      </rPr>
      <t>WAIS</t>
    </r>
  </si>
  <si>
    <t xml:space="preserve"> en tareas que evalúan la capacidad de alternancia entre distintos sets atencionales (Trail B)</t>
  </si>
  <si>
    <t xml:space="preserve"> al compararlos con personas de su misma edad (Subíndice Velocidad de Procesamiento WAIS III CIVP:</t>
  </si>
  <si>
    <t>indicando fallas en la secuenciación atencional.</t>
  </si>
  <si>
    <t xml:space="preserve">indicando fallas en la velocidad de alternancia atencional. </t>
  </si>
  <si>
    <t xml:space="preserve">indicando fallas en la alternancia atencional. </t>
  </si>
  <si>
    <t xml:space="preserve">En pruebas simples de velocidad de procesamiento, las cuales se relacionan íntimamente con la capacidad atencional, se observaron valores </t>
  </si>
  <si>
    <t>Vel Proces</t>
  </si>
  <si>
    <t xml:space="preserve"> en tareas que evalúan la capacidad de secuenciación (Trail A) </t>
  </si>
  <si>
    <t xml:space="preserve"> pruebas de mayor complejidad, que implican procesar estímulos visuales con velocidad, </t>
  </si>
  <si>
    <t xml:space="preserve">En tareas que involucran la inhibición de actividades competidoras, las cuales se ponen de manifiesto en el índice de interferencia del Test de Stroop, </t>
  </si>
  <si>
    <t>en el índice de interferencia y la primera condición del test</t>
  </si>
  <si>
    <t>en el índice de interferencia y la segunda condición del test</t>
  </si>
  <si>
    <t>en el índice de interferencia y la tercera condición del test</t>
  </si>
  <si>
    <t>en el índice de interferencia, y la primera y la segunda condición del test</t>
  </si>
  <si>
    <t>en el índice de interferencia, y la primera y la tercera condición del test</t>
  </si>
  <si>
    <t>en el índice de interferencia, y la segunda y la tercera condición del test</t>
  </si>
  <si>
    <t xml:space="preserve">en el índice de interferencia, </t>
  </si>
  <si>
    <t xml:space="preserve"> en la primera condición del test</t>
  </si>
  <si>
    <t xml:space="preserve"> en la segunda condición del test</t>
  </si>
  <si>
    <t xml:space="preserve"> en la tercera condición del test</t>
  </si>
  <si>
    <t xml:space="preserve"> en la primera y la segunda condición del test</t>
  </si>
  <si>
    <t xml:space="preserve"> en la primera y la tercera condición del test</t>
  </si>
  <si>
    <t xml:space="preserve"> en la segunda y la tercera condición del test</t>
  </si>
  <si>
    <t xml:space="preserve"> en la primera, la segunda y la tercera condición del test</t>
  </si>
  <si>
    <t xml:space="preserve">, aunque obtuvo valores </t>
  </si>
  <si>
    <t>en las tres condiciones del test y en el índice de interferencia</t>
  </si>
  <si>
    <t xml:space="preserve"> presentó un rendimiento </t>
  </si>
  <si>
    <t xml:space="preserve">Como se mencionó anteriormente, en pruebas de screening ejecutivo, </t>
  </si>
  <si>
    <t xml:space="preserve">/30). </t>
  </si>
  <si>
    <t xml:space="preserve">inhibir respuestas preponderantes en su modalidad verbal </t>
  </si>
  <si>
    <t>inhibir respuestas preponderantes en su modalidad motora</t>
  </si>
  <si>
    <t>Sin respuesta</t>
  </si>
  <si>
    <t xml:space="preserve">*Marcar con una x la opción correspondiente. </t>
  </si>
  <si>
    <t>mantener una serie motora preestablecida e inhibir respuestas preponderantes en su modalidad verbal y motora</t>
  </si>
  <si>
    <t>mantener una serie motora preestablecida y responder frente a instrucciones conflictivas</t>
  </si>
  <si>
    <t>responder frente a instrucciones conflictivas e inhibir respuestas preponderantes en su modalidad verbal y motora</t>
  </si>
  <si>
    <t>Congruente</t>
  </si>
  <si>
    <t>Incongruente</t>
  </si>
  <si>
    <t xml:space="preserve">En tareas simples y más extensas de control inhibitorio verbal (Hayling Test), </t>
  </si>
  <si>
    <t xml:space="preserve">/6), lo cual sugiere </t>
  </si>
  <si>
    <t xml:space="preserve"> (WCST </t>
  </si>
  <si>
    <t xml:space="preserve"> capacidad para adaptar la conducta frente al feedback brindado por el evaluador.</t>
  </si>
  <si>
    <t xml:space="preserve"> obtuvo valores </t>
  </si>
  <si>
    <t>Sección FFEE</t>
  </si>
  <si>
    <t xml:space="preserve">Como se mencionó anteriormente, </t>
  </si>
  <si>
    <t xml:space="preserve">, logrando evocar </t>
  </si>
  <si>
    <t xml:space="preserve">, recuperando </t>
  </si>
  <si>
    <t xml:space="preserve"> Con la exposición repetida al material, </t>
  </si>
  <si>
    <t xml:space="preserve"> en el recuerdo inicial de una lista de 15 palabras. </t>
  </si>
  <si>
    <t xml:space="preserve"> Su performance en el aprendizaje de una lista distractora presentó valores </t>
  </si>
  <si>
    <t xml:space="preserve">En cuanto a la habilidad </t>
  </si>
  <si>
    <t xml:space="preserve">En la fase de reconocimiento </t>
  </si>
  <si>
    <t xml:space="preserve"> de las 15 palabras inicialmente presentadas.</t>
  </si>
  <si>
    <t xml:space="preserve"> palabras inicialmente aprendidas.</t>
  </si>
  <si>
    <t xml:space="preserve"> para evocar a largo plazo la información inicialmente presentada, presentó valores </t>
  </si>
  <si>
    <t xml:space="preserve"> de las</t>
  </si>
  <si>
    <t xml:space="preserve">Cuando la memoria fue evaluada a través del recuerdo de párrafos </t>
  </si>
  <si>
    <t xml:space="preserve"> en la evocación espontánea a largo plazo. </t>
  </si>
  <si>
    <t>Memoria visual</t>
  </si>
  <si>
    <t xml:space="preserve">Cuando se evaluó la capacidad </t>
  </si>
  <si>
    <t xml:space="preserve">. En la fase de reconocimiento, </t>
  </si>
  <si>
    <t xml:space="preserve"> para evocar información en su modalidad visual y gráfica, se observaron valores </t>
  </si>
  <si>
    <t>Mem Visual</t>
  </si>
  <si>
    <t>*</t>
  </si>
  <si>
    <t xml:space="preserve"> en la conceptualización de palabras aisladas (WAIS III Vocabulario PE: </t>
  </si>
  <si>
    <t>FFVV</t>
  </si>
  <si>
    <t xml:space="preserve"> copia de una figura compleja (Figura Compleja de Rey). </t>
  </si>
  <si>
    <t xml:space="preserve">A la orden de construir un reloj que incluyera todos los números y las agujas en un horario determinado, </t>
  </si>
  <si>
    <t>No se encontraron dificultades en el reconocimiento de formas, letras, colores ni dibujos.</t>
  </si>
  <si>
    <t xml:space="preserve"> Se observó una adecuada dirección visual de la atención reflejada en una correcta localización de los estímulos en el Trail Making Test</t>
  </si>
  <si>
    <t>, así como también en el conteo de puntos en el ACE-III</t>
  </si>
  <si>
    <t xml:space="preserve">En tareas de razonamiento lógico visual e inteligencia fluida (WAIS III Matrices PE: </t>
  </si>
  <si>
    <t>Concl 2</t>
  </si>
  <si>
    <t>Concl 3</t>
  </si>
  <si>
    <t>Se observaron valores normales en tareas de repetición de palabras y frases, al igual en la lectura de palabras regulares y extranjeras de uso frecuente.</t>
  </si>
  <si>
    <t xml:space="preserve"> presentó un adecuado lenguaje espontáneo sin dificultades articulatorias o gramaticales. </t>
  </si>
  <si>
    <t xml:space="preserve">La longitud de las frases y la línea melódica se encontraron conservadas. </t>
  </si>
  <si>
    <t xml:space="preserve">La comprensión de órdenes simples y complejas se encontró conservada, y no presentó fallas en la comprensión de las consignas de las tareas propuestas. </t>
  </si>
  <si>
    <t xml:space="preserve">En tareas de denominación por confrontación visual, </t>
  </si>
  <si>
    <t>/12).</t>
  </si>
  <si>
    <t xml:space="preserve"> en tareas de fluencia verbal semántica</t>
  </si>
  <si>
    <t xml:space="preserve">Se observaron valores </t>
  </si>
  <si>
    <t>y</t>
  </si>
  <si>
    <t xml:space="preserve"> en tareas de fluencia verbal fonológica </t>
  </si>
  <si>
    <t xml:space="preserve">y valores </t>
  </si>
  <si>
    <t xml:space="preserve"> semántica</t>
  </si>
  <si>
    <t xml:space="preserve"> (Denominación ACE: </t>
  </si>
  <si>
    <t xml:space="preserve">), </t>
  </si>
  <si>
    <t xml:space="preserve"> información visuoperceptual en la resolución de problemas.</t>
  </si>
  <si>
    <t xml:space="preserve"> Se observó una adecuada dirección visual de la atención reflejada en el correcto conteo de puntos en el ACE-III.</t>
  </si>
  <si>
    <t>FFEE</t>
  </si>
  <si>
    <t>mantener la información verbal y visual en la mente disponible para su manipulación (memoria de trabajo)</t>
  </si>
  <si>
    <t>abstraer el significado no literal de refranes (pensamiento abstracto)</t>
  </si>
  <si>
    <t>term</t>
  </si>
  <si>
    <t>Comprension</t>
  </si>
  <si>
    <t>Compl Fig</t>
  </si>
  <si>
    <t>Diseños Cubos</t>
  </si>
  <si>
    <t>Ordn Laminas</t>
  </si>
  <si>
    <t xml:space="preserve"> presenta un nivel intelectual </t>
  </si>
  <si>
    <t xml:space="preserve"> ) y</t>
  </si>
  <si>
    <t xml:space="preserve">En tareas de flexibilidad cognitiva presentó valores </t>
  </si>
  <si>
    <t xml:space="preserve"> en la adquisición inicial de nueva información</t>
  </si>
  <si>
    <t xml:space="preserve"> obtener el beneficio esperado de las opciones múltiples en la fase de reconocimiento, presentando valores </t>
  </si>
  <si>
    <t>VOC</t>
  </si>
  <si>
    <t>MATR</t>
  </si>
  <si>
    <t>DIG-SIM</t>
  </si>
  <si>
    <t>BUSQ-SIM</t>
  </si>
  <si>
    <t>ARI</t>
  </si>
  <si>
    <t>N-L</t>
  </si>
  <si>
    <t>LM</t>
  </si>
  <si>
    <t>TMT</t>
  </si>
  <si>
    <t>FLVER</t>
  </si>
  <si>
    <t>TDC</t>
  </si>
  <si>
    <t>ListaRey</t>
  </si>
  <si>
    <t>Recuerdo lnmediato (RALVT)</t>
  </si>
  <si>
    <t>Evocación a Largo Plazo (RALVT)</t>
  </si>
  <si>
    <t>Reconocimiento (RAVLT)</t>
  </si>
  <si>
    <t>Evocación a Largo Plazo (ML)</t>
  </si>
  <si>
    <t>Memoria Visual</t>
  </si>
  <si>
    <t>Fluencia verbal semántica</t>
  </si>
  <si>
    <t>Fluencia verbal fonológica</t>
  </si>
  <si>
    <t>Recuerdo Inicial (RALVT)</t>
  </si>
  <si>
    <t>Lista Distractora (RALVT)</t>
  </si>
  <si>
    <t>Trail Making A</t>
  </si>
  <si>
    <t>Trail Making B</t>
  </si>
  <si>
    <t>Memoria de Trabajo</t>
  </si>
  <si>
    <t>Flexibilidad cognitiva</t>
  </si>
  <si>
    <t>Control inhibitorio verbal</t>
  </si>
  <si>
    <t>Visuo-construcción (RCF)</t>
  </si>
  <si>
    <t>CIEV</t>
  </si>
  <si>
    <t>Recuerdo lnmediato (ML)</t>
  </si>
  <si>
    <t>Pilar Prado Fossati</t>
  </si>
  <si>
    <t>pprado@ineco.org.ar</t>
  </si>
  <si>
    <t>Preferencia manual</t>
  </si>
  <si>
    <t>M.N: 33.819</t>
  </si>
  <si>
    <t>M.N: 20.816</t>
  </si>
  <si>
    <t>M.N: 51.487</t>
  </si>
  <si>
    <t>M.N: 51.597</t>
  </si>
  <si>
    <t>M.P: 118.472</t>
  </si>
  <si>
    <t xml:space="preserve"> (DESCRIBIR EVOCACION)</t>
  </si>
  <si>
    <t>Presentó un rendimiento adecuado en la escritura de dos oraciones.</t>
  </si>
  <si>
    <t xml:space="preserve">. Estos hallazgos ponen de manifiesto </t>
  </si>
  <si>
    <t>Cuando se requirió que dicha información fuera no solo retenida sino también manipulada,</t>
  </si>
  <si>
    <t xml:space="preserve"> respecto al nivel educativo alcanzado (ACE III: </t>
  </si>
  <si>
    <t xml:space="preserve"> respecto al nivel educativo alcanzado (IFS: </t>
  </si>
  <si>
    <t>, evidenciándose</t>
  </si>
  <si>
    <t xml:space="preserve"> La copia de figuras simples fue normal (diagrama del infinito y cubo). </t>
  </si>
  <si>
    <t>EDUCACION</t>
  </si>
  <si>
    <t>PARRAFOS CONCLUSION</t>
  </si>
  <si>
    <t>No exceden:</t>
  </si>
  <si>
    <t>Exceden:</t>
  </si>
  <si>
    <t xml:space="preserve"> z: </t>
  </si>
  <si>
    <t>Dígitos-span</t>
  </si>
  <si>
    <t>Denominación</t>
  </si>
  <si>
    <t>Trail Making Test</t>
  </si>
  <si>
    <t>y valores normales frente a material visual (Cubos de Corsi)</t>
  </si>
  <si>
    <t>y valores bajos frente a material visual (Cubos de Corsi)</t>
  </si>
  <si>
    <t>y visual (Cubos de Corsi)</t>
  </si>
  <si>
    <t>Observaciones:</t>
  </si>
  <si>
    <t>Antecedentes</t>
  </si>
  <si>
    <t>Síntomas cognitivos</t>
  </si>
  <si>
    <t>Síntomas anímicos y conductuales</t>
  </si>
  <si>
    <t>Estudios primaria y secundaria</t>
  </si>
  <si>
    <t>Estudios universitarios</t>
  </si>
  <si>
    <t>Ocupación</t>
  </si>
  <si>
    <t>Rendimiento</t>
  </si>
  <si>
    <t>Apoyo escolar</t>
  </si>
  <si>
    <t>Repitencia</t>
  </si>
  <si>
    <t>Antecedentes médicos</t>
  </si>
  <si>
    <t>Antecedentes familiares</t>
  </si>
  <si>
    <t>Medicación</t>
  </si>
  <si>
    <t>Ant1</t>
  </si>
  <si>
    <t>Ant2</t>
  </si>
  <si>
    <t>Ant3</t>
  </si>
  <si>
    <t>ObsCond</t>
  </si>
  <si>
    <t>Observaciones conductuales</t>
  </si>
  <si>
    <t xml:space="preserve">, basado en el rendimiento observado en una prueba de lectura de palabras complejas y poco frecuentes (WATBA-R: </t>
  </si>
  <si>
    <t xml:space="preserve"> presentó alteraciones en el lenguaje espontáneo</t>
  </si>
  <si>
    <t>La comprensión de órdenes complejas se encontró alterada</t>
  </si>
  <si>
    <t>La comprensión de órdenes simples se encontró alterada</t>
  </si>
  <si>
    <t>La línea melódica se encontró alterada</t>
  </si>
  <si>
    <t>La longitud de las frases se encontró alterada</t>
  </si>
  <si>
    <t>Presentó fallas en la comprensión de las consignas de las tareas propuestas</t>
  </si>
  <si>
    <t>Presentó fallas en la escritura de dos oraciones</t>
  </si>
  <si>
    <t>Se observaron fallas en la lectura de palabras regulares y extranjeras de uso frecuente</t>
  </si>
  <si>
    <t>Se observaron fallas en tareas de repetición de palabras y frases</t>
  </si>
  <si>
    <t xml:space="preserve"> presentó un adecuado lenguaje espontáneo</t>
  </si>
  <si>
    <t xml:space="preserve"> no presentó dificultades articulatorias </t>
  </si>
  <si>
    <t xml:space="preserve"> no presentó dificultades gramaticales</t>
  </si>
  <si>
    <t>La longitud de las frases se encontró conservada</t>
  </si>
  <si>
    <t>La línea melódica se encontró conservada</t>
  </si>
  <si>
    <t>La comprensión de órdenes simples se encontró conservada</t>
  </si>
  <si>
    <t>La comprensión de órdenes complejas se encontró conservada</t>
  </si>
  <si>
    <t>Presentó una adecuada comprensión de las consignas de las tareas propuestas</t>
  </si>
  <si>
    <t>Se observaron valores normales en tareas de repetición de palabras y frases</t>
  </si>
  <si>
    <t>Se observó una adecuada lectura de palabras regulares y extranjeras de uso frecuente</t>
  </si>
  <si>
    <t>NORMAL</t>
  </si>
  <si>
    <t>FALLAS</t>
  </si>
  <si>
    <t>Presentó un adecuado rendimiento en la escritura de dos oraciones</t>
  </si>
  <si>
    <t xml:space="preserve"> Presentó dificultades articulatorias</t>
  </si>
  <si>
    <t xml:space="preserve"> Presentó dificultades gramaticales</t>
  </si>
  <si>
    <t>FINAL</t>
  </si>
  <si>
    <t>COMPLETO</t>
  </si>
  <si>
    <t xml:space="preserve"> Se observaron fallas en la dirección visual de la atención reflejada en el correcto conteo de puntos en el ACE-III.</t>
  </si>
  <si>
    <t>Se observaron fallas en el conteo de puntos.</t>
  </si>
  <si>
    <t xml:space="preserve"> Se observaron fallas en la dirección visual de la atención (Trail Making Test).</t>
  </si>
  <si>
    <t>La copia del diagrama de un infinito fue normal, aunque presentó fallas en la copia de un cubo.</t>
  </si>
  <si>
    <t>La copia de un cubo fue normal, aunque presentó fallas en la copia del diagrama de un infinito.</t>
  </si>
  <si>
    <t xml:space="preserve"> Así, realizó correctamente la esfera y colocó adecuadamente los números, pero falló en marcar la hora como le fue indicado. </t>
  </si>
  <si>
    <t xml:space="preserve"> Así, realizó correctamente la esfera y marcó la hora como le fue indicado, pero falló en posicionar adecuadamente los números del reloj. </t>
  </si>
  <si>
    <t xml:space="preserve"> Así, aunque realizó correctamente la esfera, falló en colocar adecuadamente los números y la hora indicada por la evaluadora. </t>
  </si>
  <si>
    <t xml:space="preserve"> Así, falló en realizar correctamente la esfera, y colocar adecuadamente los números y la hora indicada por la evaluadora. </t>
  </si>
  <si>
    <t xml:space="preserve"> Así, realizó correctamente la esfera, y colocó adecuadamente los números y la hora indicada por la evaluadora. </t>
  </si>
  <si>
    <t xml:space="preserve"> Así, aunque logró colocar adecuadamente los números y la hora indicada por la evaluadora, no construyó adecuadamente la esfera del reloj. </t>
  </si>
  <si>
    <t>Series motoras (0-3)</t>
  </si>
  <si>
    <t>Instrucciones conflictivas (0-3)</t>
  </si>
  <si>
    <t>Control inhibitorio motor (0-3)</t>
  </si>
  <si>
    <t>Digitos inversos (0-6)</t>
  </si>
  <si>
    <t>WM verbal (meses) (0-2)</t>
  </si>
  <si>
    <t>WM visual (0-4)</t>
  </si>
  <si>
    <t>Refranes (0-3)</t>
  </si>
  <si>
    <t>Control inhibitorio verbal (0-6)</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</si>
</sst>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2C0A]d&quot; de &quot;mmmm&quot; de &quot;yyyy;@"/>
    <numFmt numFmtId="165" formatCode="0.0"/>
    <numFmt numFmtId="166" formatCode="0.00000"/>
    <numFmt numFmtId="167" formatCode="hh:mm:ss;@"/>
  </numFmts>
  <fonts count="62">
    <font>
      <sz val="12"/>
      <color theme="1"/>
      <name val="Calibri"/>
      <family val="2"/>
      <charset val="134"/>
      <scheme val="minor"/>
    </font>
    <font>
      <sz val="11"/>
      <color theme="1"/>
      <name val="Calibri"/>
      <family val="2"/>
      <scheme val="minor"/>
    </font>
    <font>
      <b/>
      <sz val="10"/>
      <color rgb="FFFFFFFF"/>
      <name val="Arial"/>
    </font>
    <font>
      <b/>
      <sz val="10"/>
      <color rgb="FF000000"/>
      <name val="Arial"/>
    </font>
    <font>
      <b/>
      <sz val="10"/>
      <color theme="1"/>
      <name val="Arial"/>
    </font>
    <font>
      <sz val="10"/>
      <color theme="1"/>
      <name val="Arial"/>
    </font>
    <font>
      <u/>
      <sz val="12"/>
      <color theme="10"/>
      <name val="Calibri"/>
      <family val="2"/>
      <scheme val="minor"/>
    </font>
    <font>
      <u/>
      <sz val="12"/>
      <color theme="11"/>
      <name val="Calibri"/>
      <family val="2"/>
      <scheme val="minor"/>
    </font>
    <font>
      <b/>
      <i/>
      <sz val="10"/>
      <color theme="1"/>
      <name val="Arial"/>
    </font>
    <font>
      <b/>
      <sz val="12"/>
      <color theme="1"/>
      <name val="Calibri"/>
      <family val="2"/>
      <scheme val="minor"/>
    </font>
    <font>
      <sz val="12"/>
      <color rgb="FF000000"/>
      <name val="Calibri"/>
      <family val="2"/>
      <scheme val="minor"/>
    </font>
    <font>
      <sz val="9"/>
      <color theme="1"/>
      <name val="Times New Roman"/>
    </font>
    <font>
      <sz val="9"/>
      <color rgb="FF000000"/>
      <name val="Times New Roman"/>
    </font>
    <font>
      <sz val="10"/>
      <name val="Arial"/>
    </font>
    <font>
      <sz val="10"/>
      <color indexed="8"/>
      <name val="Arial"/>
      <family val="2"/>
    </font>
    <font>
      <b/>
      <sz val="11"/>
      <color rgb="FFFFFF00"/>
      <name val="Calibri"/>
      <family val="2"/>
      <scheme val="minor"/>
    </font>
    <font>
      <b/>
      <sz val="16"/>
      <color rgb="FFFFFF00"/>
      <name val="Calibri"/>
      <family val="2"/>
      <scheme val="minor"/>
    </font>
    <font>
      <b/>
      <sz val="11"/>
      <color theme="1"/>
      <name val="Calibri"/>
      <family val="2"/>
      <scheme val="minor"/>
    </font>
    <font>
      <b/>
      <sz val="10"/>
      <name val="Arial"/>
      <family val="2"/>
    </font>
    <font>
      <i/>
      <sz val="8"/>
      <color rgb="FF06082C"/>
      <name val="Times New Roman"/>
    </font>
    <font>
      <b/>
      <sz val="11"/>
      <color rgb="FF000000"/>
      <name val="Calibri"/>
      <scheme val="minor"/>
    </font>
    <font>
      <sz val="12"/>
      <color theme="0"/>
      <name val="Calibri"/>
      <family val="2"/>
      <charset val="134"/>
      <scheme val="minor"/>
    </font>
    <font>
      <b/>
      <sz val="10"/>
      <name val="Trebuchet MS"/>
      <family val="2"/>
    </font>
    <font>
      <b/>
      <sz val="8"/>
      <color theme="1"/>
      <name val="Arial"/>
    </font>
    <font>
      <sz val="8"/>
      <color theme="1"/>
      <name val="Arial"/>
    </font>
    <font>
      <b/>
      <sz val="12"/>
      <color theme="0"/>
      <name val="Calibri"/>
      <family val="2"/>
      <charset val="134"/>
      <scheme val="minor"/>
    </font>
    <font>
      <sz val="24"/>
      <color theme="1"/>
      <name val="Calibri"/>
      <scheme val="minor"/>
    </font>
    <font>
      <sz val="10"/>
      <color theme="1"/>
      <name val="Tahoma"/>
    </font>
    <font>
      <i/>
      <sz val="10"/>
      <color theme="1"/>
      <name val="Tahoma"/>
    </font>
    <font>
      <b/>
      <sz val="12"/>
      <name val="Calibri"/>
      <scheme val="minor"/>
    </font>
    <font>
      <sz val="12"/>
      <color theme="5"/>
      <name val="Calibri"/>
      <scheme val="minor"/>
    </font>
    <font>
      <b/>
      <sz val="12"/>
      <color rgb="FF000000"/>
      <name val="Calibri"/>
      <family val="2"/>
      <scheme val="minor"/>
    </font>
    <font>
      <sz val="12"/>
      <color rgb="FFFF0000"/>
      <name val="Calibri"/>
      <family val="2"/>
      <charset val="134"/>
      <scheme val="minor"/>
    </font>
    <font>
      <b/>
      <sz val="10"/>
      <color indexed="9"/>
      <name val="Arial"/>
      <family val="2"/>
      <charset val="204"/>
    </font>
    <font>
      <b/>
      <sz val="8"/>
      <color indexed="81"/>
      <name val="Tahoma"/>
    </font>
    <font>
      <b/>
      <sz val="10"/>
      <color theme="0"/>
      <name val="Arial"/>
      <family val="2"/>
      <charset val="204"/>
    </font>
    <font>
      <sz val="10"/>
      <color rgb="FF000000"/>
      <name val="Arial"/>
    </font>
    <font>
      <sz val="8"/>
      <name val="Calibri"/>
      <family val="2"/>
      <charset val="134"/>
      <scheme val="minor"/>
    </font>
    <font>
      <sz val="12"/>
      <name val="Calibri"/>
      <scheme val="minor"/>
    </font>
    <font>
      <sz val="10"/>
      <name val="Arial"/>
      <family val="2"/>
    </font>
    <font>
      <sz val="10"/>
      <color theme="1"/>
      <name val="Arial"/>
      <family val="2"/>
    </font>
    <font>
      <b/>
      <sz val="11"/>
      <color rgb="FF000000"/>
      <name val="Calibri"/>
      <family val="2"/>
    </font>
    <font>
      <sz val="11"/>
      <color rgb="FF000000"/>
      <name val="Calibri"/>
      <family val="2"/>
    </font>
    <font>
      <sz val="13"/>
      <color theme="1"/>
      <name val="Arial"/>
    </font>
    <font>
      <sz val="10"/>
      <color rgb="FFFF0000"/>
      <name val="Arial"/>
      <charset val="204"/>
    </font>
    <font>
      <sz val="9"/>
      <color theme="1"/>
      <name val="Arial"/>
    </font>
    <font>
      <sz val="12"/>
      <color rgb="FF070622"/>
      <name val="Times New Roman"/>
    </font>
    <font>
      <b/>
      <sz val="12"/>
      <name val="Calibri"/>
      <family val="2"/>
      <scheme val="minor"/>
    </font>
    <font>
      <i/>
      <sz val="8"/>
      <color rgb="FF06082C"/>
      <name val="Times New Roman"/>
      <family val="1"/>
    </font>
    <font>
      <sz val="12"/>
      <color rgb="FF070622"/>
      <name val="Calibri"/>
      <scheme val="minor"/>
    </font>
    <font>
      <sz val="8"/>
      <color theme="1"/>
      <name val="Arial"/>
      <family val="2"/>
    </font>
    <font>
      <b/>
      <sz val="10"/>
      <color theme="1"/>
      <name val="Arial"/>
      <family val="2"/>
    </font>
    <font>
      <b/>
      <sz val="10"/>
      <color rgb="FF000000"/>
      <name val="Arial"/>
      <family val="2"/>
    </font>
    <font>
      <b/>
      <sz val="10"/>
      <color rgb="FFFFFFFF"/>
      <name val="Arial"/>
      <family val="2"/>
    </font>
    <font>
      <u/>
      <sz val="12"/>
      <color theme="1"/>
      <name val="Calibri"/>
      <scheme val="minor"/>
    </font>
    <font>
      <sz val="9"/>
      <color rgb="FF000000"/>
      <name val="Arial"/>
    </font>
    <font>
      <sz val="9"/>
      <color rgb="FF070622"/>
      <name val="Arial"/>
      <family val="2"/>
    </font>
    <font>
      <sz val="9"/>
      <color rgb="FF000000"/>
      <name val="Arial"/>
      <family val="2"/>
    </font>
    <font>
      <sz val="10"/>
      <color rgb="FFFF0000"/>
      <name val="Arial"/>
      <family val="2"/>
    </font>
    <font>
      <b/>
      <sz val="8"/>
      <color theme="1"/>
      <name val="Arial"/>
      <family val="2"/>
    </font>
    <font>
      <sz val="9"/>
      <color theme="1"/>
      <name val="Arial"/>
      <family val="2"/>
    </font>
    <font>
      <sz val="9"/>
      <color theme="1"/>
      <name val="Calibri"/>
      <family val="2"/>
      <charset val="134"/>
      <scheme val="minor"/>
    </font>
  </fonts>
  <fills count="30">
    <fill>
      <patternFill patternType="none"/>
    </fill>
    <fill>
      <patternFill patternType="gray125"/>
    </fill>
    <fill>
      <patternFill patternType="solid">
        <fgColor rgb="FF0D0D0D"/>
        <bgColor indexed="64"/>
      </patternFill>
    </fill>
    <fill>
      <patternFill patternType="solid">
        <fgColor rgb="FFFFFFFF"/>
        <bgColor indexed="64"/>
      </patternFill>
    </fill>
    <fill>
      <patternFill patternType="solid">
        <fgColor theme="0"/>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6" tint="-0.249977111117893"/>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bgColor indexed="8"/>
      </patternFill>
    </fill>
    <fill>
      <patternFill patternType="solid">
        <fgColor indexed="22"/>
        <bgColor indexed="64"/>
      </patternFill>
    </fill>
    <fill>
      <patternFill patternType="solid">
        <fgColor theme="1"/>
        <bgColor indexed="64"/>
      </patternFill>
    </fill>
    <fill>
      <patternFill patternType="solid">
        <fgColor theme="9"/>
        <bgColor indexed="64"/>
      </patternFill>
    </fill>
    <fill>
      <patternFill patternType="solid">
        <fgColor rgb="FFCCCCCC"/>
        <bgColor indexed="64"/>
      </patternFill>
    </fill>
    <fill>
      <patternFill patternType="solid">
        <fgColor rgb="FFD9D9D9"/>
        <bgColor indexed="64"/>
      </patternFill>
    </fill>
    <fill>
      <patternFill patternType="solid">
        <fgColor rgb="FFBFBFBF"/>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D9D9D9"/>
        <bgColor rgb="FF000000"/>
      </patternFill>
    </fill>
    <fill>
      <patternFill patternType="solid">
        <fgColor rgb="FF000000"/>
        <bgColor rgb="FF000000"/>
      </patternFill>
    </fill>
    <fill>
      <patternFill patternType="solid">
        <fgColor rgb="FFFFFFFF"/>
        <bgColor rgb="FF000000"/>
      </patternFill>
    </fill>
    <fill>
      <patternFill patternType="solid">
        <fgColor rgb="FFFFFF00"/>
        <bgColor rgb="FF000000"/>
      </patternFill>
    </fill>
    <fill>
      <patternFill patternType="solid">
        <fgColor theme="1" tint="4.9989318521683403E-2"/>
        <bgColor indexed="64"/>
      </patternFill>
    </fill>
    <fill>
      <patternFill patternType="solid">
        <fgColor rgb="FFC0C0C0"/>
        <bgColor indexed="64"/>
      </patternFill>
    </fill>
    <fill>
      <patternFill patternType="solid">
        <fgColor theme="8" tint="0.59999389629810485"/>
        <bgColor indexed="64"/>
      </patternFill>
    </fill>
    <fill>
      <patternFill patternType="solid">
        <fgColor theme="8"/>
        <bgColor indexed="64"/>
      </patternFill>
    </fill>
    <fill>
      <patternFill patternType="solid">
        <fgColor theme="9" tint="0.79998168889431442"/>
        <bgColor indexed="64"/>
      </patternFill>
    </fill>
  </fills>
  <borders count="36">
    <border>
      <left/>
      <right/>
      <top/>
      <bottom/>
      <diagonal/>
    </border>
    <border>
      <left style="medium">
        <color auto="1"/>
      </left>
      <right style="medium">
        <color auto="1"/>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diagonal/>
    </border>
    <border>
      <left/>
      <right style="medium">
        <color auto="1"/>
      </right>
      <top style="medium">
        <color auto="1"/>
      </top>
      <bottom style="medium">
        <color auto="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right style="medium">
        <color auto="1"/>
      </right>
      <top style="thick">
        <color auto="1"/>
      </top>
      <bottom/>
      <diagonal/>
    </border>
    <border>
      <left/>
      <right style="thick">
        <color auto="1"/>
      </right>
      <top style="thick">
        <color auto="1"/>
      </top>
      <bottom/>
      <diagonal/>
    </border>
    <border>
      <left/>
      <right style="thick">
        <color auto="1"/>
      </right>
      <top/>
      <bottom style="medium">
        <color auto="1"/>
      </bottom>
      <diagonal/>
    </border>
    <border>
      <left/>
      <right style="medium">
        <color auto="1"/>
      </right>
      <top/>
      <bottom style="thick">
        <color auto="1"/>
      </bottom>
      <diagonal/>
    </border>
    <border>
      <left/>
      <right style="thick">
        <color auto="1"/>
      </right>
      <top/>
      <bottom style="thick">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style="thin">
        <color auto="1"/>
      </top>
      <bottom/>
      <diagonal/>
    </border>
    <border>
      <left style="thin">
        <color auto="1"/>
      </left>
      <right/>
      <top/>
      <bottom style="thin">
        <color auto="1"/>
      </bottom>
      <diagonal/>
    </border>
    <border>
      <left style="medium">
        <color rgb="FFCCCCCC"/>
      </left>
      <right style="medium">
        <color rgb="FFCCCCCC"/>
      </right>
      <top style="medium">
        <color rgb="FFCCCCCC"/>
      </top>
      <bottom style="medium">
        <color rgb="FFCCCCCC"/>
      </bottom>
      <diagonal/>
    </border>
    <border>
      <left style="thick">
        <color auto="1"/>
      </left>
      <right style="medium">
        <color auto="1"/>
      </right>
      <top style="medium">
        <color auto="1"/>
      </top>
      <bottom style="medium">
        <color auto="1"/>
      </bottom>
      <diagonal/>
    </border>
    <border>
      <left style="thick">
        <color auto="1"/>
      </left>
      <right style="medium">
        <color auto="1"/>
      </right>
      <top/>
      <bottom style="medium">
        <color auto="1"/>
      </bottom>
      <diagonal/>
    </border>
  </borders>
  <cellStyleXfs count="45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3" fillId="0" borderId="0"/>
    <xf numFmtId="0" fontId="13"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39" fillId="0" borderId="0"/>
    <xf numFmtId="0" fontId="39" fillId="0" borderId="0"/>
    <xf numFmtId="0" fontId="39"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384">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Alignment="1">
      <alignment horizontal="center" vertical="center"/>
    </xf>
    <xf numFmtId="0" fontId="3" fillId="0" borderId="3" xfId="0" applyFont="1" applyBorder="1" applyAlignment="1">
      <alignment vertical="center"/>
    </xf>
    <xf numFmtId="0" fontId="4" fillId="3" borderId="3" xfId="0" applyFont="1" applyFill="1" applyBorder="1" applyAlignment="1">
      <alignment vertical="center"/>
    </xf>
    <xf numFmtId="0" fontId="5" fillId="3" borderId="4" xfId="0" applyFont="1" applyFill="1" applyBorder="1" applyAlignment="1">
      <alignment vertical="center"/>
    </xf>
    <xf numFmtId="0" fontId="0" fillId="4" borderId="6" xfId="0" applyFill="1" applyBorder="1"/>
    <xf numFmtId="0" fontId="3" fillId="0" borderId="4" xfId="0" applyFont="1" applyBorder="1" applyAlignment="1">
      <alignment vertical="center"/>
    </xf>
    <xf numFmtId="0" fontId="8" fillId="3" borderId="5" xfId="0" applyNumberFormat="1" applyFont="1" applyFill="1" applyBorder="1" applyAlignment="1">
      <alignment vertical="center"/>
    </xf>
    <xf numFmtId="0" fontId="2" fillId="2" borderId="0" xfId="0" applyFont="1" applyFill="1" applyBorder="1" applyAlignment="1">
      <alignment horizontal="center" vertical="center"/>
    </xf>
    <xf numFmtId="0" fontId="6" fillId="0" borderId="0" xfId="91"/>
    <xf numFmtId="0" fontId="9" fillId="0" borderId="0" xfId="0" applyFont="1"/>
    <xf numFmtId="49" fontId="0" fillId="0" borderId="0" xfId="0" applyNumberFormat="1"/>
    <xf numFmtId="0" fontId="10" fillId="0" borderId="0" xfId="0" applyFont="1"/>
    <xf numFmtId="14" fontId="0" fillId="0" borderId="0" xfId="0" applyNumberFormat="1"/>
    <xf numFmtId="164" fontId="0" fillId="0" borderId="0" xfId="0" applyNumberFormat="1"/>
    <xf numFmtId="0" fontId="0" fillId="5" borderId="0" xfId="0" applyFill="1"/>
    <xf numFmtId="0" fontId="11" fillId="0" borderId="0" xfId="0" applyFont="1"/>
    <xf numFmtId="0" fontId="9" fillId="4" borderId="6" xfId="0" applyFont="1" applyFill="1" applyBorder="1"/>
    <xf numFmtId="0" fontId="0" fillId="0" borderId="0" xfId="0" applyFont="1"/>
    <xf numFmtId="0" fontId="12" fillId="0" borderId="0" xfId="0" applyFont="1"/>
    <xf numFmtId="1" fontId="0" fillId="0" borderId="0" xfId="0" applyNumberFormat="1"/>
    <xf numFmtId="0" fontId="13" fillId="0" borderId="0" xfId="106"/>
    <xf numFmtId="0" fontId="13" fillId="0" borderId="0" xfId="106" applyFill="1" applyAlignment="1">
      <alignment horizontal="center"/>
    </xf>
    <xf numFmtId="0" fontId="15" fillId="0" borderId="0" xfId="106" applyFont="1" applyFill="1"/>
    <xf numFmtId="165" fontId="16" fillId="6" borderId="0" xfId="106" applyNumberFormat="1" applyFont="1" applyFill="1" applyAlignment="1">
      <alignment horizontal="center"/>
    </xf>
    <xf numFmtId="1" fontId="13" fillId="0" borderId="0" xfId="106" applyNumberFormat="1" applyAlignment="1">
      <alignment horizontal="center"/>
    </xf>
    <xf numFmtId="0" fontId="13" fillId="7" borderId="7" xfId="106" applyFill="1" applyBorder="1" applyAlignment="1">
      <alignment horizontal="center"/>
    </xf>
    <xf numFmtId="0" fontId="13" fillId="7" borderId="7" xfId="106" applyFill="1" applyBorder="1" applyAlignment="1" applyProtection="1">
      <alignment horizontal="center"/>
      <protection locked="0"/>
    </xf>
    <xf numFmtId="0" fontId="13" fillId="0" borderId="0" xfId="106" applyAlignment="1">
      <alignment horizontal="center"/>
    </xf>
    <xf numFmtId="0" fontId="13" fillId="0" borderId="0" xfId="106" applyNumberFormat="1"/>
    <xf numFmtId="166" fontId="14" fillId="0" borderId="0" xfId="106" applyNumberFormat="1" applyFont="1" applyAlignment="1">
      <alignment horizontal="right" vertical="center"/>
    </xf>
    <xf numFmtId="0" fontId="13" fillId="0" borderId="0" xfId="106" applyFill="1"/>
    <xf numFmtId="0" fontId="13" fillId="0" borderId="0" xfId="106" applyFill="1" applyAlignment="1" applyProtection="1">
      <alignment horizontal="center"/>
      <protection locked="0"/>
    </xf>
    <xf numFmtId="0" fontId="13" fillId="4" borderId="0" xfId="106" applyFill="1" applyAlignment="1">
      <alignment horizontal="center"/>
    </xf>
    <xf numFmtId="0" fontId="13" fillId="4" borderId="0" xfId="106" applyFill="1"/>
    <xf numFmtId="0" fontId="15" fillId="8" borderId="0" xfId="106" applyFont="1" applyFill="1"/>
    <xf numFmtId="0" fontId="13" fillId="8" borderId="0" xfId="106" applyFill="1"/>
    <xf numFmtId="0" fontId="17" fillId="0" borderId="0" xfId="106" applyFont="1" applyFill="1"/>
    <xf numFmtId="0" fontId="17" fillId="9" borderId="0" xfId="106" applyFont="1" applyFill="1"/>
    <xf numFmtId="0" fontId="4" fillId="0" borderId="6" xfId="0" applyFont="1" applyFill="1" applyBorder="1" applyAlignment="1">
      <alignment horizontal="left"/>
    </xf>
    <xf numFmtId="0" fontId="4" fillId="0" borderId="6" xfId="0" applyFont="1" applyFill="1" applyBorder="1" applyAlignment="1">
      <alignment horizontal="center"/>
    </xf>
    <xf numFmtId="0" fontId="5" fillId="10" borderId="6" xfId="0" applyNumberFormat="1" applyFont="1" applyFill="1" applyBorder="1" applyAlignment="1">
      <alignment horizontal="center"/>
    </xf>
    <xf numFmtId="2" fontId="4" fillId="0" borderId="6" xfId="0" applyNumberFormat="1" applyFont="1" applyFill="1" applyBorder="1" applyAlignment="1">
      <alignment horizontal="center"/>
    </xf>
    <xf numFmtId="0" fontId="5" fillId="0" borderId="6" xfId="0" applyFont="1" applyFill="1" applyBorder="1" applyAlignment="1">
      <alignment horizontal="center"/>
    </xf>
    <xf numFmtId="4" fontId="5" fillId="0" borderId="6" xfId="0" applyNumberFormat="1" applyFont="1" applyFill="1" applyBorder="1" applyAlignment="1">
      <alignment horizontal="center"/>
    </xf>
    <xf numFmtId="0" fontId="4" fillId="0" borderId="6" xfId="0" applyFont="1" applyFill="1" applyBorder="1" applyAlignment="1">
      <alignment horizontal="left" wrapText="1"/>
    </xf>
    <xf numFmtId="0" fontId="18" fillId="4" borderId="6" xfId="0" applyFont="1" applyFill="1" applyBorder="1"/>
    <xf numFmtId="2" fontId="0" fillId="4" borderId="6" xfId="0" applyNumberFormat="1" applyFill="1" applyBorder="1" applyAlignment="1">
      <alignment horizontal="center"/>
    </xf>
    <xf numFmtId="0" fontId="0" fillId="10" borderId="6" xfId="0" applyFill="1" applyBorder="1" applyAlignment="1">
      <alignment horizontal="center"/>
    </xf>
    <xf numFmtId="0" fontId="18" fillId="4" borderId="6" xfId="0" applyFont="1" applyFill="1" applyBorder="1" applyAlignment="1">
      <alignment horizontal="left"/>
    </xf>
    <xf numFmtId="0" fontId="18" fillId="4" borderId="6" xfId="0" applyFont="1" applyFill="1" applyBorder="1" applyAlignment="1">
      <alignment horizontal="center"/>
    </xf>
    <xf numFmtId="0" fontId="0" fillId="4" borderId="6" xfId="0" applyFill="1" applyBorder="1" applyAlignment="1">
      <alignment horizontal="center"/>
    </xf>
    <xf numFmtId="16" fontId="0" fillId="4" borderId="6" xfId="0" applyNumberFormat="1" applyFill="1" applyBorder="1"/>
    <xf numFmtId="0" fontId="18" fillId="4" borderId="8" xfId="0" applyFont="1" applyFill="1" applyBorder="1"/>
    <xf numFmtId="0" fontId="0" fillId="4" borderId="8" xfId="0" applyFill="1" applyBorder="1"/>
    <xf numFmtId="0" fontId="0" fillId="4" borderId="8" xfId="0" applyFill="1" applyBorder="1" applyAlignment="1">
      <alignment horizontal="center"/>
    </xf>
    <xf numFmtId="2" fontId="0" fillId="4" borderId="8" xfId="0" applyNumberFormat="1" applyFill="1" applyBorder="1" applyAlignment="1">
      <alignment horizontal="center"/>
    </xf>
    <xf numFmtId="0" fontId="18" fillId="11" borderId="6" xfId="0" applyFont="1" applyFill="1" applyBorder="1"/>
    <xf numFmtId="0" fontId="5" fillId="4" borderId="6" xfId="0" applyFont="1" applyFill="1" applyBorder="1"/>
    <xf numFmtId="0" fontId="13" fillId="4" borderId="6" xfId="0" applyFont="1" applyFill="1" applyBorder="1" applyAlignment="1">
      <alignment horizontal="center"/>
    </xf>
    <xf numFmtId="2" fontId="0" fillId="0" borderId="0" xfId="0" applyNumberFormat="1"/>
    <xf numFmtId="0" fontId="19" fillId="0" borderId="0" xfId="0" applyFont="1"/>
    <xf numFmtId="0" fontId="20" fillId="0" borderId="0" xfId="0" applyFont="1"/>
    <xf numFmtId="164" fontId="0" fillId="5" borderId="0" xfId="0" applyNumberFormat="1" applyFill="1"/>
    <xf numFmtId="0" fontId="4" fillId="4" borderId="6" xfId="0" applyFont="1" applyFill="1" applyBorder="1" applyAlignment="1">
      <alignment horizontal="left"/>
    </xf>
    <xf numFmtId="0" fontId="22" fillId="12" borderId="4" xfId="106" applyFont="1" applyFill="1" applyBorder="1" applyAlignment="1">
      <alignment horizontal="center"/>
    </xf>
    <xf numFmtId="0" fontId="21" fillId="13" borderId="0" xfId="0" applyFont="1" applyFill="1"/>
    <xf numFmtId="0" fontId="9" fillId="7" borderId="0" xfId="0" applyFont="1" applyFill="1"/>
    <xf numFmtId="0" fontId="0" fillId="10" borderId="0" xfId="0" applyFill="1"/>
    <xf numFmtId="45" fontId="0" fillId="10" borderId="0" xfId="0" applyNumberFormat="1" applyFill="1"/>
    <xf numFmtId="0" fontId="13" fillId="14" borderId="9" xfId="0" applyFont="1" applyFill="1" applyBorder="1"/>
    <xf numFmtId="0" fontId="0" fillId="14" borderId="0" xfId="0" applyFill="1"/>
    <xf numFmtId="0" fontId="0" fillId="7" borderId="0" xfId="0" applyFill="1"/>
    <xf numFmtId="0" fontId="0" fillId="13" borderId="0" xfId="0" applyFill="1"/>
    <xf numFmtId="0" fontId="9" fillId="10" borderId="0" xfId="0" applyFont="1" applyFill="1"/>
    <xf numFmtId="0" fontId="5" fillId="0" borderId="10" xfId="0" applyFont="1" applyBorder="1" applyAlignment="1">
      <alignment horizontal="justify" vertical="center" wrapText="1"/>
    </xf>
    <xf numFmtId="0" fontId="4" fillId="0" borderId="11" xfId="0" applyFont="1" applyBorder="1" applyAlignment="1">
      <alignment horizontal="center" vertical="center" wrapText="1"/>
    </xf>
    <xf numFmtId="0" fontId="23" fillId="0" borderId="12" xfId="0" applyFont="1" applyBorder="1" applyAlignment="1">
      <alignment horizontal="center" vertical="center" wrapText="1"/>
    </xf>
    <xf numFmtId="0" fontId="23" fillId="0" borderId="4" xfId="0" applyFont="1" applyBorder="1" applyAlignment="1">
      <alignment horizontal="center" vertical="center" wrapText="1"/>
    </xf>
    <xf numFmtId="0" fontId="23" fillId="0" borderId="13" xfId="0" applyFont="1" applyBorder="1" applyAlignment="1">
      <alignment horizontal="center" vertical="center" wrapText="1"/>
    </xf>
    <xf numFmtId="0" fontId="23" fillId="0" borderId="14" xfId="0" applyFont="1" applyBorder="1" applyAlignment="1">
      <alignment horizontal="center" vertical="center" wrapText="1"/>
    </xf>
    <xf numFmtId="0" fontId="24" fillId="0" borderId="11" xfId="0" applyFont="1" applyBorder="1" applyAlignment="1">
      <alignment horizontal="justify" vertical="center" wrapText="1"/>
    </xf>
    <xf numFmtId="0" fontId="24" fillId="15" borderId="4" xfId="0" applyFont="1" applyFill="1" applyBorder="1" applyAlignment="1">
      <alignment horizontal="justify" vertical="center" wrapText="1"/>
    </xf>
    <xf numFmtId="0" fontId="24" fillId="0" borderId="4" xfId="0" applyFont="1" applyBorder="1" applyAlignment="1">
      <alignment horizontal="center" vertical="center" wrapText="1"/>
    </xf>
    <xf numFmtId="0" fontId="24" fillId="15" borderId="4" xfId="0" applyFont="1" applyFill="1" applyBorder="1" applyAlignment="1">
      <alignment horizontal="center" vertical="center" wrapText="1"/>
    </xf>
    <xf numFmtId="0" fontId="24" fillId="15" borderId="14" xfId="0" applyFont="1" applyFill="1" applyBorder="1" applyAlignment="1">
      <alignment horizontal="center" vertical="center" wrapText="1"/>
    </xf>
    <xf numFmtId="0" fontId="24" fillId="0" borderId="14" xfId="0" applyFont="1" applyBorder="1" applyAlignment="1">
      <alignment horizontal="center" vertical="center" wrapText="1"/>
    </xf>
    <xf numFmtId="0" fontId="23" fillId="0" borderId="15" xfId="0" applyFont="1" applyBorder="1" applyAlignment="1">
      <alignment horizontal="center" vertical="center" wrapText="1"/>
    </xf>
    <xf numFmtId="0" fontId="24" fillId="16" borderId="15" xfId="0" applyFont="1" applyFill="1" applyBorder="1" applyAlignment="1">
      <alignment horizontal="center" vertical="center" wrapText="1"/>
    </xf>
    <xf numFmtId="0" fontId="24" fillId="3" borderId="15" xfId="0" applyFont="1" applyFill="1" applyBorder="1" applyAlignment="1">
      <alignment horizontal="center" vertical="center" wrapText="1"/>
    </xf>
    <xf numFmtId="0" fontId="24" fillId="15" borderId="15" xfId="0" applyFont="1" applyFill="1" applyBorder="1" applyAlignment="1">
      <alignment horizontal="center" vertical="center" wrapText="1"/>
    </xf>
    <xf numFmtId="0" fontId="24" fillId="17" borderId="15" xfId="0" applyFont="1" applyFill="1" applyBorder="1" applyAlignment="1">
      <alignment horizontal="center" vertical="center" wrapText="1"/>
    </xf>
    <xf numFmtId="0" fontId="24" fillId="15" borderId="16" xfId="0" applyFont="1" applyFill="1" applyBorder="1" applyAlignment="1">
      <alignment horizontal="center" vertical="center" wrapText="1"/>
    </xf>
    <xf numFmtId="0" fontId="24" fillId="0" borderId="16" xfId="0" applyFont="1" applyBorder="1" applyAlignment="1">
      <alignment vertical="center" wrapText="1"/>
    </xf>
    <xf numFmtId="0" fontId="24" fillId="0" borderId="16" xfId="0" applyFont="1" applyBorder="1" applyAlignment="1">
      <alignment horizontal="center" vertical="center" wrapText="1"/>
    </xf>
    <xf numFmtId="0" fontId="4" fillId="15" borderId="7" xfId="0" applyFont="1" applyFill="1" applyBorder="1" applyAlignment="1">
      <alignment horizontal="center" vertical="center" wrapText="1"/>
    </xf>
    <xf numFmtId="0" fontId="4" fillId="15" borderId="9"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10" borderId="3" xfId="0" applyFont="1" applyFill="1" applyBorder="1" applyAlignment="1">
      <alignment horizontal="justify" vertical="center" wrapText="1"/>
    </xf>
    <xf numFmtId="0" fontId="5" fillId="10" borderId="4" xfId="0" applyFont="1" applyFill="1" applyBorder="1" applyAlignment="1">
      <alignment horizontal="center" vertical="center" wrapText="1"/>
    </xf>
    <xf numFmtId="0" fontId="0" fillId="0" borderId="0" xfId="0" applyFill="1"/>
    <xf numFmtId="0" fontId="5" fillId="0" borderId="0" xfId="0" applyFont="1" applyFill="1" applyBorder="1" applyAlignment="1">
      <alignment horizontal="center" vertical="center" wrapText="1"/>
    </xf>
    <xf numFmtId="0" fontId="0" fillId="0" borderId="0" xfId="0" applyFill="1" applyBorder="1"/>
    <xf numFmtId="45" fontId="0" fillId="0" borderId="0" xfId="0" applyNumberFormat="1"/>
    <xf numFmtId="0" fontId="0" fillId="0" borderId="6" xfId="0" applyBorder="1"/>
    <xf numFmtId="0" fontId="0" fillId="10" borderId="6" xfId="0" applyFill="1" applyBorder="1"/>
    <xf numFmtId="0" fontId="0" fillId="0" borderId="0" xfId="0" applyAlignment="1"/>
    <xf numFmtId="0" fontId="0" fillId="0" borderId="6" xfId="0" applyBorder="1" applyAlignment="1">
      <alignment horizontal="center"/>
    </xf>
    <xf numFmtId="0" fontId="25" fillId="13" borderId="17" xfId="0" applyFont="1" applyFill="1" applyBorder="1" applyAlignment="1"/>
    <xf numFmtId="0" fontId="25" fillId="13" borderId="17" xfId="0" applyFont="1" applyFill="1" applyBorder="1" applyAlignment="1">
      <alignment horizontal="center"/>
    </xf>
    <xf numFmtId="0" fontId="0" fillId="0" borderId="18" xfId="0" applyBorder="1"/>
    <xf numFmtId="0" fontId="0" fillId="0" borderId="20" xfId="0" applyBorder="1"/>
    <xf numFmtId="0" fontId="0" fillId="0" borderId="22" xfId="0" applyBorder="1"/>
    <xf numFmtId="0" fontId="9" fillId="0" borderId="6" xfId="0" applyFont="1" applyBorder="1" applyAlignment="1">
      <alignment horizontal="center"/>
    </xf>
    <xf numFmtId="0" fontId="9" fillId="10" borderId="6" xfId="0" applyFont="1" applyFill="1" applyBorder="1" applyAlignment="1">
      <alignment horizontal="center"/>
    </xf>
    <xf numFmtId="0" fontId="9" fillId="10" borderId="18" xfId="0" applyFont="1" applyFill="1" applyBorder="1" applyAlignment="1">
      <alignment horizontal="center"/>
    </xf>
    <xf numFmtId="0" fontId="9" fillId="10" borderId="21" xfId="0" applyFont="1" applyFill="1" applyBorder="1" applyAlignment="1">
      <alignment horizontal="center"/>
    </xf>
    <xf numFmtId="0" fontId="9" fillId="10" borderId="6" xfId="0" applyFont="1" applyFill="1" applyBorder="1"/>
    <xf numFmtId="0" fontId="9" fillId="10" borderId="19" xfId="0" applyFont="1" applyFill="1" applyBorder="1" applyAlignment="1"/>
    <xf numFmtId="0" fontId="0" fillId="0" borderId="6" xfId="0" applyBorder="1" applyAlignment="1"/>
    <xf numFmtId="0" fontId="0" fillId="10" borderId="23" xfId="0" applyFill="1" applyBorder="1"/>
    <xf numFmtId="0" fontId="0" fillId="19" borderId="18" xfId="0" applyFill="1" applyBorder="1"/>
    <xf numFmtId="0" fontId="0" fillId="19" borderId="6" xfId="0" applyFill="1" applyBorder="1"/>
    <xf numFmtId="0" fontId="9" fillId="20" borderId="19" xfId="0" applyFont="1" applyFill="1" applyBorder="1" applyAlignment="1"/>
    <xf numFmtId="0" fontId="0" fillId="10" borderId="8" xfId="0" applyFill="1" applyBorder="1"/>
    <xf numFmtId="49" fontId="0" fillId="10" borderId="6" xfId="0" applyNumberFormat="1" applyFill="1" applyBorder="1"/>
    <xf numFmtId="0" fontId="9" fillId="10" borderId="6" xfId="0" applyFont="1" applyFill="1" applyBorder="1" applyAlignment="1">
      <alignment horizontal="left"/>
    </xf>
    <xf numFmtId="0" fontId="21" fillId="13" borderId="0" xfId="0" applyFont="1" applyFill="1" applyAlignment="1">
      <alignment horizontal="center"/>
    </xf>
    <xf numFmtId="0" fontId="25" fillId="10" borderId="0" xfId="0" applyFont="1" applyFill="1" applyBorder="1" applyAlignment="1">
      <alignment horizontal="center"/>
    </xf>
    <xf numFmtId="49" fontId="29" fillId="10" borderId="6" xfId="0" applyNumberFormat="1" applyFont="1" applyFill="1" applyBorder="1" applyAlignment="1">
      <alignment horizontal="center"/>
    </xf>
    <xf numFmtId="0" fontId="0" fillId="0" borderId="6" xfId="0" applyNumberFormat="1" applyBorder="1"/>
    <xf numFmtId="0" fontId="0" fillId="10" borderId="6" xfId="0" applyFill="1" applyBorder="1" applyAlignment="1">
      <alignment horizontal="center"/>
    </xf>
    <xf numFmtId="0" fontId="31" fillId="21" borderId="6" xfId="0" applyFont="1" applyFill="1" applyBorder="1" applyAlignment="1">
      <alignment horizontal="center"/>
    </xf>
    <xf numFmtId="0" fontId="31" fillId="21" borderId="19" xfId="0" applyFont="1" applyFill="1" applyBorder="1" applyAlignment="1">
      <alignment horizontal="center"/>
    </xf>
    <xf numFmtId="0" fontId="10" fillId="0" borderId="23" xfId="0" applyFont="1" applyBorder="1"/>
    <xf numFmtId="0" fontId="10" fillId="0" borderId="26" xfId="0" applyFont="1" applyBorder="1"/>
    <xf numFmtId="0" fontId="0" fillId="10" borderId="6" xfId="0" applyFill="1" applyBorder="1" applyAlignment="1">
      <alignment horizontal="center"/>
    </xf>
    <xf numFmtId="0" fontId="0" fillId="0" borderId="6" xfId="0" applyBorder="1" applyAlignment="1">
      <alignment horizontal="center"/>
    </xf>
    <xf numFmtId="0" fontId="0" fillId="19" borderId="8" xfId="0" applyFill="1" applyBorder="1"/>
    <xf numFmtId="0" fontId="0" fillId="19" borderId="27" xfId="0" applyFill="1" applyBorder="1"/>
    <xf numFmtId="0" fontId="0" fillId="19" borderId="23" xfId="0" applyFill="1" applyBorder="1"/>
    <xf numFmtId="0" fontId="9" fillId="0" borderId="0" xfId="0" applyFont="1" applyBorder="1" applyAlignment="1">
      <alignment horizontal="center"/>
    </xf>
    <xf numFmtId="0" fontId="2" fillId="22" borderId="6" xfId="0" applyFont="1" applyFill="1" applyBorder="1" applyAlignment="1">
      <alignment horizontal="center"/>
    </xf>
    <xf numFmtId="0" fontId="33" fillId="13" borderId="6" xfId="0" applyFont="1" applyFill="1" applyBorder="1" applyAlignment="1">
      <alignment horizontal="center"/>
    </xf>
    <xf numFmtId="2" fontId="33" fillId="13" borderId="6" xfId="0" applyNumberFormat="1" applyFont="1" applyFill="1" applyBorder="1" applyAlignment="1">
      <alignment horizontal="center"/>
    </xf>
    <xf numFmtId="0" fontId="18" fillId="23" borderId="23" xfId="0" applyFont="1" applyFill="1" applyBorder="1"/>
    <xf numFmtId="0" fontId="18" fillId="23" borderId="0" xfId="0" applyFont="1" applyFill="1" applyBorder="1"/>
    <xf numFmtId="0" fontId="33" fillId="13" borderId="8" xfId="0" applyFont="1" applyFill="1" applyBorder="1" applyAlignment="1">
      <alignment horizontal="center"/>
    </xf>
    <xf numFmtId="0" fontId="35" fillId="13" borderId="6" xfId="0" applyFont="1" applyFill="1" applyBorder="1" applyAlignment="1">
      <alignment horizontal="center"/>
    </xf>
    <xf numFmtId="0" fontId="5" fillId="4" borderId="6" xfId="0" applyFont="1" applyFill="1" applyBorder="1" applyAlignment="1">
      <alignment horizontal="center"/>
    </xf>
    <xf numFmtId="4" fontId="0" fillId="4" borderId="6" xfId="0" applyNumberFormat="1" applyFill="1" applyBorder="1" applyAlignment="1">
      <alignment horizontal="center"/>
    </xf>
    <xf numFmtId="4" fontId="0" fillId="4" borderId="8" xfId="0" applyNumberFormat="1" applyFill="1" applyBorder="1" applyAlignment="1">
      <alignment horizontal="center"/>
    </xf>
    <xf numFmtId="0" fontId="2" fillId="22" borderId="19" xfId="0" applyFont="1" applyFill="1" applyBorder="1" applyAlignment="1">
      <alignment horizontal="center"/>
    </xf>
    <xf numFmtId="0" fontId="13" fillId="23" borderId="26" xfId="0" applyFont="1" applyFill="1" applyBorder="1"/>
    <xf numFmtId="2" fontId="13" fillId="23" borderId="26" xfId="0" applyNumberFormat="1" applyFont="1" applyFill="1" applyBorder="1" applyAlignment="1">
      <alignment horizontal="center"/>
    </xf>
    <xf numFmtId="0" fontId="13" fillId="0" borderId="0" xfId="0" applyFont="1"/>
    <xf numFmtId="0" fontId="13" fillId="23" borderId="26" xfId="0" applyFont="1" applyFill="1" applyBorder="1" applyAlignment="1">
      <alignment horizontal="center"/>
    </xf>
    <xf numFmtId="0" fontId="13" fillId="23" borderId="19" xfId="0" applyFont="1" applyFill="1" applyBorder="1"/>
    <xf numFmtId="16" fontId="13" fillId="23" borderId="26" xfId="0" applyNumberFormat="1" applyFont="1" applyFill="1" applyBorder="1"/>
    <xf numFmtId="0" fontId="13" fillId="23" borderId="28" xfId="0" applyFont="1" applyFill="1" applyBorder="1"/>
    <xf numFmtId="0" fontId="13" fillId="23" borderId="28" xfId="0" applyFont="1" applyFill="1" applyBorder="1" applyAlignment="1">
      <alignment horizontal="center"/>
    </xf>
    <xf numFmtId="0" fontId="36" fillId="23" borderId="26" xfId="0" applyFont="1" applyFill="1" applyBorder="1"/>
    <xf numFmtId="0" fontId="33" fillId="13" borderId="29" xfId="0" applyFont="1" applyFill="1" applyBorder="1" applyAlignment="1">
      <alignment horizontal="center"/>
    </xf>
    <xf numFmtId="0" fontId="33" fillId="13" borderId="30" xfId="0" applyFont="1" applyFill="1" applyBorder="1" applyAlignment="1">
      <alignment horizontal="center"/>
    </xf>
    <xf numFmtId="0" fontId="33" fillId="13" borderId="0" xfId="0" applyFont="1" applyFill="1" applyBorder="1" applyAlignment="1">
      <alignment horizontal="center"/>
    </xf>
    <xf numFmtId="2" fontId="33" fillId="13" borderId="0" xfId="0" applyNumberFormat="1" applyFont="1" applyFill="1" applyBorder="1" applyAlignment="1">
      <alignment horizontal="center"/>
    </xf>
    <xf numFmtId="0" fontId="33" fillId="25" borderId="29" xfId="0" applyFont="1" applyFill="1" applyBorder="1" applyAlignment="1">
      <alignment horizontal="center"/>
    </xf>
    <xf numFmtId="0" fontId="33" fillId="25" borderId="30" xfId="0" applyFont="1" applyFill="1" applyBorder="1" applyAlignment="1">
      <alignment horizontal="center"/>
    </xf>
    <xf numFmtId="0" fontId="33" fillId="25" borderId="0" xfId="0" applyFont="1" applyFill="1" applyBorder="1" applyAlignment="1">
      <alignment horizontal="center"/>
    </xf>
    <xf numFmtId="2" fontId="33" fillId="25" borderId="0" xfId="0" applyNumberFormat="1" applyFont="1" applyFill="1" applyBorder="1" applyAlignment="1">
      <alignment horizontal="center"/>
    </xf>
    <xf numFmtId="2" fontId="0" fillId="4" borderId="23" xfId="0" applyNumberFormat="1" applyFill="1" applyBorder="1" applyAlignment="1">
      <alignment horizontal="center"/>
    </xf>
    <xf numFmtId="0" fontId="35" fillId="13" borderId="29" xfId="0" applyFont="1" applyFill="1" applyBorder="1" applyAlignment="1">
      <alignment horizontal="center"/>
    </xf>
    <xf numFmtId="0" fontId="35" fillId="13" borderId="30" xfId="0" applyFont="1" applyFill="1" applyBorder="1" applyAlignment="1">
      <alignment horizontal="center"/>
    </xf>
    <xf numFmtId="0" fontId="35" fillId="13" borderId="0" xfId="0" applyFont="1" applyFill="1" applyBorder="1" applyAlignment="1">
      <alignment horizontal="center"/>
    </xf>
    <xf numFmtId="0" fontId="0" fillId="4" borderId="23" xfId="0" applyFill="1" applyBorder="1" applyAlignment="1">
      <alignment horizontal="center"/>
    </xf>
    <xf numFmtId="0" fontId="0" fillId="0" borderId="6" xfId="0" applyFill="1" applyBorder="1" applyAlignment="1">
      <alignment horizontal="center"/>
    </xf>
    <xf numFmtId="0" fontId="0" fillId="7" borderId="0" xfId="0" applyFill="1" applyBorder="1" applyAlignment="1">
      <alignment horizontal="center"/>
    </xf>
    <xf numFmtId="0" fontId="18" fillId="24" borderId="0" xfId="0" applyFont="1" applyFill="1" applyBorder="1" applyAlignment="1">
      <alignment horizontal="center"/>
    </xf>
    <xf numFmtId="2" fontId="33" fillId="7" borderId="0" xfId="0" applyNumberFormat="1" applyFont="1" applyFill="1" applyBorder="1" applyAlignment="1">
      <alignment horizontal="center"/>
    </xf>
    <xf numFmtId="0" fontId="35" fillId="7" borderId="0" xfId="0" applyFont="1" applyFill="1" applyBorder="1" applyAlignment="1">
      <alignment horizontal="center"/>
    </xf>
    <xf numFmtId="0" fontId="33" fillId="7" borderId="0" xfId="0" applyFont="1" applyFill="1" applyBorder="1" applyAlignment="1">
      <alignment horizontal="center"/>
    </xf>
    <xf numFmtId="0" fontId="2" fillId="24" borderId="0" xfId="0" applyFont="1" applyFill="1" applyBorder="1" applyAlignment="1">
      <alignment horizontal="center"/>
    </xf>
    <xf numFmtId="2" fontId="33" fillId="13" borderId="18" xfId="0" applyNumberFormat="1" applyFont="1" applyFill="1" applyBorder="1" applyAlignment="1">
      <alignment horizontal="center"/>
    </xf>
    <xf numFmtId="2" fontId="0" fillId="4" borderId="18" xfId="0" applyNumberFormat="1" applyFill="1" applyBorder="1" applyAlignment="1">
      <alignment horizontal="center"/>
    </xf>
    <xf numFmtId="2" fontId="33" fillId="13" borderId="31" xfId="0" applyNumberFormat="1" applyFont="1" applyFill="1" applyBorder="1" applyAlignment="1">
      <alignment horizontal="center"/>
    </xf>
    <xf numFmtId="0" fontId="35" fillId="13" borderId="18" xfId="0" applyFont="1" applyFill="1" applyBorder="1" applyAlignment="1">
      <alignment horizontal="center"/>
    </xf>
    <xf numFmtId="0" fontId="33" fillId="13" borderId="18" xfId="0" applyFont="1" applyFill="1" applyBorder="1" applyAlignment="1">
      <alignment horizontal="center"/>
    </xf>
    <xf numFmtId="4" fontId="0" fillId="4" borderId="18" xfId="0" applyNumberFormat="1" applyFill="1" applyBorder="1" applyAlignment="1">
      <alignment horizontal="center"/>
    </xf>
    <xf numFmtId="4" fontId="0" fillId="4" borderId="31" xfId="0" applyNumberFormat="1" applyFill="1" applyBorder="1" applyAlignment="1">
      <alignment horizontal="center"/>
    </xf>
    <xf numFmtId="0" fontId="2" fillId="22" borderId="24" xfId="0" applyFont="1" applyFill="1" applyBorder="1" applyAlignment="1">
      <alignment horizontal="center"/>
    </xf>
    <xf numFmtId="2" fontId="0" fillId="4" borderId="32" xfId="0" applyNumberFormat="1" applyFill="1" applyBorder="1" applyAlignment="1">
      <alignment horizontal="center"/>
    </xf>
    <xf numFmtId="0" fontId="0" fillId="4" borderId="18" xfId="0" applyFill="1" applyBorder="1"/>
    <xf numFmtId="0" fontId="18" fillId="4" borderId="18" xfId="0" applyFont="1" applyFill="1" applyBorder="1"/>
    <xf numFmtId="0" fontId="33" fillId="13" borderId="19" xfId="0" applyFont="1" applyFill="1" applyBorder="1" applyAlignment="1">
      <alignment horizontal="center"/>
    </xf>
    <xf numFmtId="0" fontId="0" fillId="4" borderId="19" xfId="0" applyFill="1" applyBorder="1" applyAlignment="1">
      <alignment horizontal="center"/>
    </xf>
    <xf numFmtId="2" fontId="0" fillId="4" borderId="19" xfId="0" applyNumberFormat="1" applyFill="1" applyBorder="1" applyAlignment="1">
      <alignment horizontal="center"/>
    </xf>
    <xf numFmtId="0" fontId="5" fillId="4" borderId="19" xfId="0" applyFont="1" applyFill="1" applyBorder="1" applyAlignment="1">
      <alignment horizontal="center"/>
    </xf>
    <xf numFmtId="0" fontId="0" fillId="4" borderId="26" xfId="0" applyFill="1" applyBorder="1" applyAlignment="1">
      <alignment horizontal="center"/>
    </xf>
    <xf numFmtId="0" fontId="18" fillId="4" borderId="19" xfId="0" applyFont="1" applyFill="1" applyBorder="1"/>
    <xf numFmtId="0" fontId="0" fillId="0" borderId="19" xfId="0" applyFill="1" applyBorder="1" applyAlignment="1">
      <alignment horizontal="center"/>
    </xf>
    <xf numFmtId="0" fontId="0" fillId="4" borderId="19" xfId="0" applyFill="1" applyBorder="1"/>
    <xf numFmtId="0" fontId="5" fillId="0" borderId="19" xfId="0" applyFont="1" applyFill="1" applyBorder="1" applyAlignment="1">
      <alignment horizontal="center"/>
    </xf>
    <xf numFmtId="2" fontId="0" fillId="7" borderId="0" xfId="0" applyNumberFormat="1" applyFill="1" applyBorder="1" applyAlignment="1">
      <alignment horizontal="center"/>
    </xf>
    <xf numFmtId="4" fontId="0" fillId="7" borderId="0" xfId="0" applyNumberFormat="1" applyFill="1" applyBorder="1" applyAlignment="1">
      <alignment horizontal="center"/>
    </xf>
    <xf numFmtId="2" fontId="13" fillId="24" borderId="0" xfId="0" applyNumberFormat="1" applyFont="1" applyFill="1" applyBorder="1" applyAlignment="1">
      <alignment horizontal="center"/>
    </xf>
    <xf numFmtId="0" fontId="0" fillId="7" borderId="0" xfId="0" applyFill="1" applyBorder="1"/>
    <xf numFmtId="0" fontId="18" fillId="7" borderId="0" xfId="0" applyFont="1" applyFill="1" applyBorder="1"/>
    <xf numFmtId="0" fontId="10" fillId="21" borderId="6" xfId="0" applyFont="1" applyFill="1" applyBorder="1" applyAlignment="1">
      <alignment horizontal="center"/>
    </xf>
    <xf numFmtId="0" fontId="33" fillId="13" borderId="25" xfId="0" applyFont="1" applyFill="1" applyBorder="1" applyAlignment="1">
      <alignment horizontal="center"/>
    </xf>
    <xf numFmtId="16" fontId="0" fillId="0" borderId="0" xfId="0" applyNumberFormat="1"/>
    <xf numFmtId="0" fontId="5" fillId="3" borderId="0" xfId="0" applyFont="1" applyFill="1" applyBorder="1" applyAlignment="1">
      <alignment vertical="center"/>
    </xf>
    <xf numFmtId="0" fontId="0" fillId="0" borderId="24" xfId="0" applyBorder="1" applyAlignment="1">
      <alignment horizontal="center"/>
    </xf>
    <xf numFmtId="0" fontId="0" fillId="0" borderId="27" xfId="0" applyBorder="1"/>
    <xf numFmtId="0" fontId="0" fillId="0" borderId="28" xfId="0" applyBorder="1"/>
    <xf numFmtId="0" fontId="0" fillId="0" borderId="23" xfId="0" applyBorder="1"/>
    <xf numFmtId="0" fontId="0" fillId="0" borderId="17" xfId="0" applyBorder="1"/>
    <xf numFmtId="0" fontId="0" fillId="0" borderId="6" xfId="0" applyFill="1" applyBorder="1"/>
    <xf numFmtId="2" fontId="0" fillId="0" borderId="6" xfId="0" applyNumberFormat="1" applyBorder="1"/>
    <xf numFmtId="0" fontId="13" fillId="0" borderId="6" xfId="0" applyFont="1" applyBorder="1"/>
    <xf numFmtId="0" fontId="13" fillId="0" borderId="19" xfId="0" applyFont="1" applyBorder="1"/>
    <xf numFmtId="0" fontId="13" fillId="21" borderId="23" xfId="0" applyFont="1" applyFill="1" applyBorder="1" applyAlignment="1">
      <alignment horizontal="center"/>
    </xf>
    <xf numFmtId="0" fontId="13" fillId="0" borderId="26" xfId="0" applyFont="1" applyBorder="1" applyAlignment="1">
      <alignment horizontal="center"/>
    </xf>
    <xf numFmtId="0" fontId="10" fillId="0" borderId="6" xfId="0" applyFont="1" applyBorder="1" applyAlignment="1">
      <alignment horizontal="center"/>
    </xf>
    <xf numFmtId="0" fontId="10" fillId="0" borderId="24" xfId="0" applyFont="1" applyBorder="1" applyAlignment="1">
      <alignment horizontal="center"/>
    </xf>
    <xf numFmtId="0" fontId="10" fillId="0" borderId="27" xfId="0" applyFont="1" applyBorder="1"/>
    <xf numFmtId="0" fontId="10" fillId="0" borderId="28" xfId="0" applyFont="1" applyBorder="1"/>
    <xf numFmtId="0" fontId="10" fillId="0" borderId="17" xfId="0" applyFont="1" applyBorder="1"/>
    <xf numFmtId="0" fontId="0" fillId="0" borderId="0" xfId="0" applyNumberFormat="1"/>
    <xf numFmtId="0" fontId="0" fillId="4" borderId="0" xfId="0" applyFill="1"/>
    <xf numFmtId="0" fontId="0" fillId="4" borderId="0" xfId="0" applyFill="1" applyAlignment="1">
      <alignment horizontal="left"/>
    </xf>
    <xf numFmtId="0" fontId="10" fillId="4" borderId="0" xfId="0" applyFont="1" applyFill="1"/>
    <xf numFmtId="49" fontId="0" fillId="4" borderId="0" xfId="0" applyNumberFormat="1" applyFill="1"/>
    <xf numFmtId="49" fontId="0" fillId="4" borderId="0" xfId="0" applyNumberFormat="1" applyFill="1" applyBorder="1"/>
    <xf numFmtId="0" fontId="32" fillId="4" borderId="0" xfId="0" applyFont="1" applyFill="1"/>
    <xf numFmtId="0" fontId="30" fillId="4" borderId="0" xfId="0" applyFont="1" applyFill="1"/>
    <xf numFmtId="0" fontId="0" fillId="4" borderId="0" xfId="0" applyFill="1" applyBorder="1"/>
    <xf numFmtId="0" fontId="0" fillId="4" borderId="20" xfId="0" applyFill="1" applyBorder="1"/>
    <xf numFmtId="0" fontId="0" fillId="4" borderId="0" xfId="0" applyFill="1" applyAlignment="1"/>
    <xf numFmtId="0" fontId="0" fillId="4" borderId="0" xfId="0" applyFill="1" applyAlignment="1">
      <alignment horizontal="right"/>
    </xf>
    <xf numFmtId="0" fontId="0" fillId="4" borderId="25" xfId="0" applyFill="1" applyBorder="1" applyAlignment="1"/>
    <xf numFmtId="0" fontId="9" fillId="4" borderId="0" xfId="0" applyFont="1" applyFill="1"/>
    <xf numFmtId="0" fontId="0" fillId="4" borderId="24" xfId="0" applyFill="1" applyBorder="1"/>
    <xf numFmtId="167" fontId="0" fillId="4" borderId="0" xfId="0" applyNumberFormat="1" applyFill="1"/>
    <xf numFmtId="2" fontId="0" fillId="4" borderId="0" xfId="0" applyNumberFormat="1" applyFill="1"/>
    <xf numFmtId="0" fontId="9" fillId="7" borderId="18" xfId="0" applyFont="1" applyFill="1" applyBorder="1"/>
    <xf numFmtId="0" fontId="0" fillId="7" borderId="24" xfId="0" applyFill="1" applyBorder="1"/>
    <xf numFmtId="0" fontId="0" fillId="7" borderId="19" xfId="0" applyFill="1" applyBorder="1"/>
    <xf numFmtId="0" fontId="38" fillId="4" borderId="0" xfId="0" applyFont="1" applyFill="1"/>
    <xf numFmtId="0" fontId="1" fillId="0" borderId="0" xfId="0" applyFont="1" applyAlignment="1">
      <alignment vertical="center"/>
    </xf>
    <xf numFmtId="0" fontId="39" fillId="0" borderId="0" xfId="0" applyFont="1" applyAlignment="1"/>
    <xf numFmtId="0" fontId="39" fillId="0" borderId="0" xfId="0" applyFont="1" applyAlignment="1">
      <alignment horizontal="center"/>
    </xf>
    <xf numFmtId="0" fontId="18" fillId="0" borderId="0" xfId="0" applyFont="1" applyAlignment="1"/>
    <xf numFmtId="0" fontId="17" fillId="0" borderId="0" xfId="0" applyFont="1"/>
    <xf numFmtId="0" fontId="40" fillId="0" borderId="33" xfId="0" applyFont="1" applyBorder="1" applyAlignment="1">
      <alignment horizontal="right" wrapText="1"/>
    </xf>
    <xf numFmtId="0" fontId="40" fillId="0" borderId="33" xfId="0" applyFont="1" applyBorder="1" applyAlignment="1">
      <alignment wrapText="1"/>
    </xf>
    <xf numFmtId="0" fontId="40" fillId="0" borderId="33" xfId="0" applyFont="1" applyBorder="1" applyAlignment="1">
      <alignment horizontal="center" wrapText="1"/>
    </xf>
    <xf numFmtId="2" fontId="18" fillId="0" borderId="0" xfId="0" applyNumberFormat="1" applyFont="1" applyAlignment="1">
      <alignment horizontal="right"/>
    </xf>
    <xf numFmtId="2" fontId="0" fillId="0" borderId="0" xfId="0" applyNumberFormat="1" applyAlignment="1">
      <alignment horizontal="right"/>
    </xf>
    <xf numFmtId="1" fontId="0" fillId="4" borderId="6" xfId="0" applyNumberFormat="1" applyFill="1" applyBorder="1"/>
    <xf numFmtId="0" fontId="41" fillId="4" borderId="6" xfId="0" applyFont="1" applyFill="1" applyBorder="1" applyAlignment="1">
      <alignment vertical="center" wrapText="1"/>
    </xf>
    <xf numFmtId="0" fontId="41" fillId="0" borderId="6" xfId="0" applyFont="1" applyBorder="1" applyAlignment="1">
      <alignment vertical="center" wrapText="1"/>
    </xf>
    <xf numFmtId="0" fontId="41" fillId="10" borderId="6" xfId="0" applyFont="1" applyFill="1" applyBorder="1" applyAlignment="1">
      <alignment vertical="center" wrapText="1"/>
    </xf>
    <xf numFmtId="0" fontId="42" fillId="26" borderId="6" xfId="0" applyFont="1" applyFill="1" applyBorder="1" applyAlignment="1">
      <alignment vertical="center" wrapText="1"/>
    </xf>
    <xf numFmtId="0" fontId="42" fillId="0" borderId="6" xfId="0" applyFont="1" applyBorder="1" applyAlignment="1">
      <alignment vertical="center" wrapText="1"/>
    </xf>
    <xf numFmtId="0" fontId="41" fillId="10" borderId="8" xfId="0" applyFont="1" applyFill="1" applyBorder="1" applyAlignment="1">
      <alignment vertical="center" wrapText="1"/>
    </xf>
    <xf numFmtId="0" fontId="42" fillId="0" borderId="8" xfId="0" applyFont="1" applyBorder="1" applyAlignment="1">
      <alignment vertical="center" wrapText="1"/>
    </xf>
    <xf numFmtId="0" fontId="43" fillId="0" borderId="0" xfId="0" applyFont="1"/>
    <xf numFmtId="0" fontId="44" fillId="0" borderId="33" xfId="0" applyFont="1" applyBorder="1" applyAlignment="1">
      <alignment wrapText="1"/>
    </xf>
    <xf numFmtId="0" fontId="45" fillId="0" borderId="0" xfId="0" applyFont="1" applyAlignment="1">
      <alignment horizontal="justify" vertical="center"/>
    </xf>
    <xf numFmtId="0" fontId="46" fillId="0" borderId="0" xfId="0" applyFont="1"/>
    <xf numFmtId="1" fontId="5" fillId="10" borderId="6" xfId="0" applyNumberFormat="1" applyFont="1" applyFill="1" applyBorder="1" applyAlignment="1">
      <alignment horizontal="center"/>
    </xf>
    <xf numFmtId="0" fontId="0" fillId="27" borderId="0" xfId="0" applyFill="1"/>
    <xf numFmtId="0" fontId="21" fillId="0" borderId="0" xfId="0" applyFont="1" applyFill="1"/>
    <xf numFmtId="0" fontId="47" fillId="0" borderId="0" xfId="0" applyFont="1" applyFill="1"/>
    <xf numFmtId="0" fontId="48" fillId="14" borderId="0" xfId="0" applyFont="1" applyFill="1"/>
    <xf numFmtId="0" fontId="49" fillId="0" borderId="0" xfId="0" applyFont="1"/>
    <xf numFmtId="0" fontId="50" fillId="0" borderId="6" xfId="0" applyFont="1" applyBorder="1" applyAlignment="1">
      <alignment horizontal="justify" vertical="center" wrapText="1"/>
    </xf>
    <xf numFmtId="4" fontId="0" fillId="0" borderId="0" xfId="0" applyNumberFormat="1"/>
    <xf numFmtId="0" fontId="39" fillId="4" borderId="6" xfId="376" applyFill="1" applyBorder="1"/>
    <xf numFmtId="0" fontId="51" fillId="0" borderId="6" xfId="376" applyFont="1" applyFill="1" applyBorder="1" applyAlignment="1">
      <alignment horizontal="center"/>
    </xf>
    <xf numFmtId="0" fontId="40" fillId="0" borderId="6" xfId="376" applyFont="1" applyFill="1" applyBorder="1" applyAlignment="1">
      <alignment horizontal="center"/>
    </xf>
    <xf numFmtId="2" fontId="51" fillId="0" borderId="6" xfId="376" applyNumberFormat="1" applyFont="1" applyFill="1" applyBorder="1" applyAlignment="1">
      <alignment horizontal="center"/>
    </xf>
    <xf numFmtId="0" fontId="33" fillId="13" borderId="6" xfId="376" applyFont="1" applyFill="1" applyBorder="1" applyAlignment="1">
      <alignment horizontal="center"/>
    </xf>
    <xf numFmtId="0" fontId="39" fillId="4" borderId="8" xfId="376" applyFill="1" applyBorder="1"/>
    <xf numFmtId="0" fontId="40" fillId="4" borderId="6" xfId="376" applyFont="1" applyFill="1" applyBorder="1"/>
    <xf numFmtId="0" fontId="39" fillId="4" borderId="6" xfId="376" applyFill="1" applyBorder="1" applyAlignment="1">
      <alignment horizontal="center"/>
    </xf>
    <xf numFmtId="2" fontId="39" fillId="4" borderId="6" xfId="376" applyNumberFormat="1" applyFill="1" applyBorder="1" applyAlignment="1">
      <alignment horizontal="center"/>
    </xf>
    <xf numFmtId="0" fontId="18" fillId="4" borderId="6" xfId="376" applyFont="1" applyFill="1" applyBorder="1" applyAlignment="1">
      <alignment horizontal="left"/>
    </xf>
    <xf numFmtId="4" fontId="40" fillId="0" borderId="6" xfId="376" applyNumberFormat="1" applyFont="1" applyFill="1" applyBorder="1" applyAlignment="1">
      <alignment horizontal="center"/>
    </xf>
    <xf numFmtId="0" fontId="39" fillId="4" borderId="6" xfId="376" applyFont="1" applyFill="1" applyBorder="1" applyAlignment="1">
      <alignment horizontal="center"/>
    </xf>
    <xf numFmtId="0" fontId="52" fillId="0" borderId="3" xfId="376" applyFont="1" applyBorder="1" applyAlignment="1">
      <alignment vertical="center"/>
    </xf>
    <xf numFmtId="0" fontId="53" fillId="22" borderId="6" xfId="376" applyFont="1" applyFill="1" applyBorder="1" applyAlignment="1">
      <alignment horizontal="center"/>
    </xf>
    <xf numFmtId="0" fontId="52" fillId="23" borderId="23" xfId="376" applyFont="1" applyFill="1" applyBorder="1" applyAlignment="1">
      <alignment horizontal="left"/>
    </xf>
    <xf numFmtId="0" fontId="52" fillId="0" borderId="6" xfId="376" applyFont="1" applyBorder="1" applyAlignment="1">
      <alignment horizontal="left"/>
    </xf>
    <xf numFmtId="0" fontId="52" fillId="0" borderId="23" xfId="376" applyFont="1" applyBorder="1" applyAlignment="1">
      <alignment horizontal="left"/>
    </xf>
    <xf numFmtId="0" fontId="52" fillId="0" borderId="23" xfId="376" applyFont="1" applyBorder="1" applyAlignment="1">
      <alignment horizontal="left" wrapText="1"/>
    </xf>
    <xf numFmtId="0" fontId="39" fillId="23" borderId="23" xfId="376" applyFill="1" applyBorder="1"/>
    <xf numFmtId="0" fontId="18" fillId="23" borderId="23" xfId="376" applyFont="1" applyFill="1" applyBorder="1"/>
    <xf numFmtId="1" fontId="51" fillId="0" borderId="6" xfId="376" applyNumberFormat="1" applyFont="1" applyFill="1" applyBorder="1" applyAlignment="1">
      <alignment horizontal="center"/>
    </xf>
    <xf numFmtId="165" fontId="39" fillId="4" borderId="6" xfId="376" applyNumberFormat="1" applyFill="1" applyBorder="1" applyAlignment="1">
      <alignment horizontal="center"/>
    </xf>
    <xf numFmtId="0" fontId="49" fillId="0" borderId="0" xfId="0" applyFont="1" applyAlignment="1">
      <alignment horizontal="justify" vertical="center"/>
    </xf>
    <xf numFmtId="4" fontId="0" fillId="0" borderId="0" xfId="0" applyNumberFormat="1" applyFont="1"/>
    <xf numFmtId="4" fontId="11" fillId="0" borderId="0" xfId="0" applyNumberFormat="1" applyFont="1"/>
    <xf numFmtId="0" fontId="32" fillId="4" borderId="6" xfId="0" applyFont="1" applyFill="1" applyBorder="1"/>
    <xf numFmtId="0" fontId="55" fillId="0" borderId="0" xfId="0" applyFont="1" applyAlignment="1">
      <alignment horizontal="justify" vertical="center"/>
    </xf>
    <xf numFmtId="1" fontId="0" fillId="4" borderId="6" xfId="0" applyNumberFormat="1" applyFill="1" applyBorder="1" applyAlignment="1">
      <alignment horizontal="center"/>
    </xf>
    <xf numFmtId="0" fontId="56" fillId="0" borderId="0" xfId="0" applyFont="1" applyAlignment="1">
      <alignment horizontal="justify" vertical="center"/>
    </xf>
    <xf numFmtId="0" fontId="57" fillId="0" borderId="0" xfId="0" applyFont="1" applyAlignment="1">
      <alignment horizontal="justify" vertical="center"/>
    </xf>
    <xf numFmtId="0" fontId="52" fillId="0" borderId="3" xfId="0" applyFont="1" applyBorder="1" applyAlignment="1">
      <alignment vertical="center"/>
    </xf>
    <xf numFmtId="0" fontId="0" fillId="28" borderId="0" xfId="0" applyFill="1"/>
    <xf numFmtId="0" fontId="58" fillId="0" borderId="33" xfId="0" applyFont="1" applyBorder="1" applyAlignment="1">
      <alignment wrapText="1"/>
    </xf>
    <xf numFmtId="0" fontId="58" fillId="0" borderId="33" xfId="0" applyFont="1" applyBorder="1" applyAlignment="1">
      <alignment horizontal="right" wrapText="1"/>
    </xf>
    <xf numFmtId="0" fontId="40" fillId="0" borderId="0" xfId="0" applyFont="1"/>
    <xf numFmtId="0" fontId="51" fillId="0" borderId="0" xfId="0" applyFont="1"/>
    <xf numFmtId="0" fontId="58" fillId="0" borderId="33" xfId="0" applyFont="1" applyBorder="1" applyAlignment="1">
      <alignment horizontal="center" wrapText="1"/>
    </xf>
    <xf numFmtId="0" fontId="18" fillId="0" borderId="0" xfId="0" applyFont="1" applyFill="1" applyBorder="1" applyAlignment="1"/>
    <xf numFmtId="0" fontId="59" fillId="0" borderId="34" xfId="0" applyFont="1" applyBorder="1" applyAlignment="1">
      <alignment horizontal="center" vertical="center" wrapText="1"/>
    </xf>
    <xf numFmtId="0" fontId="59" fillId="0" borderId="35" xfId="0" applyFont="1" applyBorder="1" applyAlignment="1">
      <alignment horizontal="center" vertical="center" wrapText="1"/>
    </xf>
    <xf numFmtId="1" fontId="24" fillId="0" borderId="4" xfId="0" applyNumberFormat="1" applyFont="1" applyBorder="1" applyAlignment="1">
      <alignment horizontal="center" vertical="center" wrapText="1"/>
    </xf>
    <xf numFmtId="1" fontId="24" fillId="15" borderId="4" xfId="0" applyNumberFormat="1" applyFont="1" applyFill="1" applyBorder="1" applyAlignment="1">
      <alignment horizontal="center" vertical="center" wrapText="1"/>
    </xf>
    <xf numFmtId="1" fontId="24" fillId="15" borderId="4" xfId="0" applyNumberFormat="1" applyFont="1" applyFill="1" applyBorder="1" applyAlignment="1">
      <alignment horizontal="justify" vertical="center" wrapText="1"/>
    </xf>
    <xf numFmtId="1" fontId="59" fillId="0" borderId="35" xfId="0" applyNumberFormat="1" applyFont="1" applyBorder="1" applyAlignment="1">
      <alignment horizontal="center" vertical="center" wrapText="1"/>
    </xf>
    <xf numFmtId="1" fontId="24" fillId="0" borderId="16" xfId="0" applyNumberFormat="1" applyFont="1" applyBorder="1" applyAlignment="1">
      <alignment horizontal="center" vertical="center" wrapText="1"/>
    </xf>
    <xf numFmtId="0" fontId="41" fillId="0" borderId="27" xfId="0" applyFont="1" applyFill="1" applyBorder="1" applyAlignment="1">
      <alignment vertical="center" wrapText="1"/>
    </xf>
    <xf numFmtId="165" fontId="0" fillId="4" borderId="6" xfId="0" applyNumberFormat="1" applyFill="1" applyBorder="1" applyAlignment="1">
      <alignment horizontal="center"/>
    </xf>
    <xf numFmtId="1" fontId="0" fillId="10" borderId="6" xfId="0" applyNumberFormat="1" applyFill="1" applyBorder="1" applyAlignment="1">
      <alignment horizontal="center"/>
    </xf>
    <xf numFmtId="1" fontId="0" fillId="4" borderId="8" xfId="0" applyNumberFormat="1" applyFill="1" applyBorder="1" applyAlignment="1">
      <alignment horizontal="center"/>
    </xf>
    <xf numFmtId="0" fontId="60" fillId="0" borderId="0" xfId="0" applyFont="1" applyAlignment="1">
      <alignment horizontal="justify" vertical="center"/>
    </xf>
    <xf numFmtId="2" fontId="5" fillId="0" borderId="6" xfId="0" applyNumberFormat="1" applyFont="1" applyFill="1" applyBorder="1" applyAlignment="1">
      <alignment horizontal="center"/>
    </xf>
    <xf numFmtId="0" fontId="0" fillId="4" borderId="0" xfId="0" applyFill="1" applyAlignment="1">
      <alignment horizontal="center"/>
    </xf>
    <xf numFmtId="0" fontId="0" fillId="0" borderId="0" xfId="0" applyAlignment="1">
      <alignment horizontal="center"/>
    </xf>
    <xf numFmtId="0" fontId="9" fillId="0" borderId="0" xfId="0" applyFont="1" applyBorder="1" applyAlignment="1">
      <alignment horizontal="center"/>
    </xf>
    <xf numFmtId="0" fontId="61" fillId="4" borderId="6" xfId="0" applyFont="1" applyFill="1" applyBorder="1"/>
    <xf numFmtId="0" fontId="0" fillId="0" borderId="0" xfId="0" applyBorder="1"/>
    <xf numFmtId="0" fontId="9" fillId="10" borderId="0" xfId="0" applyFont="1" applyFill="1" applyBorder="1" applyAlignment="1">
      <alignment horizontal="center" vertical="center"/>
    </xf>
    <xf numFmtId="0" fontId="0" fillId="29" borderId="0" xfId="0" applyFill="1"/>
    <xf numFmtId="0" fontId="0" fillId="4" borderId="6" xfId="0" applyFill="1" applyBorder="1" applyAlignment="1"/>
    <xf numFmtId="2" fontId="0" fillId="4" borderId="6" xfId="0" applyNumberFormat="1" applyFill="1" applyBorder="1" applyAlignment="1"/>
    <xf numFmtId="0" fontId="0" fillId="4" borderId="0" xfId="0" applyFill="1" applyAlignment="1">
      <alignment horizontal="left"/>
    </xf>
    <xf numFmtId="0" fontId="25" fillId="13" borderId="6" xfId="0" applyFont="1" applyFill="1" applyBorder="1" applyAlignment="1">
      <alignment horizontal="center"/>
    </xf>
    <xf numFmtId="0" fontId="9" fillId="10" borderId="6" xfId="0" applyFont="1" applyFill="1" applyBorder="1" applyAlignment="1">
      <alignment horizontal="left"/>
    </xf>
    <xf numFmtId="0" fontId="0" fillId="4" borderId="0" xfId="0" applyFill="1" applyAlignment="1">
      <alignment horizontal="center"/>
    </xf>
    <xf numFmtId="0" fontId="0" fillId="10" borderId="6" xfId="0" applyFill="1" applyBorder="1" applyAlignment="1">
      <alignment horizontal="left"/>
    </xf>
    <xf numFmtId="0" fontId="25" fillId="13" borderId="0" xfId="0" applyFont="1" applyFill="1" applyBorder="1" applyAlignment="1">
      <alignment horizontal="center"/>
    </xf>
    <xf numFmtId="0" fontId="25" fillId="4" borderId="0" xfId="0" applyFont="1" applyFill="1" applyBorder="1" applyAlignment="1">
      <alignment horizontal="center"/>
    </xf>
    <xf numFmtId="0" fontId="0" fillId="0" borderId="0" xfId="0" applyAlignment="1">
      <alignment horizontal="center"/>
    </xf>
    <xf numFmtId="0" fontId="0" fillId="10" borderId="6" xfId="0" applyFill="1" applyBorder="1" applyAlignment="1">
      <alignment horizontal="center"/>
    </xf>
    <xf numFmtId="0" fontId="25" fillId="13" borderId="17" xfId="0" applyFont="1" applyFill="1" applyBorder="1" applyAlignment="1">
      <alignment horizontal="center"/>
    </xf>
    <xf numFmtId="0" fontId="9" fillId="10" borderId="18" xfId="0" applyFont="1" applyFill="1" applyBorder="1" applyAlignment="1">
      <alignment horizontal="center"/>
    </xf>
    <xf numFmtId="0" fontId="9" fillId="10" borderId="24" xfId="0" applyFont="1" applyFill="1" applyBorder="1" applyAlignment="1">
      <alignment horizontal="center"/>
    </xf>
    <xf numFmtId="0" fontId="0" fillId="18" borderId="24" xfId="0" applyFill="1" applyBorder="1" applyAlignment="1">
      <alignment horizontal="center"/>
    </xf>
    <xf numFmtId="0" fontId="0" fillId="18" borderId="19" xfId="0" applyFill="1" applyBorder="1" applyAlignment="1">
      <alignment horizontal="center"/>
    </xf>
    <xf numFmtId="0" fontId="9" fillId="20" borderId="18" xfId="0" applyFont="1" applyFill="1" applyBorder="1" applyAlignment="1">
      <alignment horizontal="center"/>
    </xf>
    <xf numFmtId="0" fontId="9" fillId="20" borderId="24" xfId="0" applyFont="1" applyFill="1" applyBorder="1" applyAlignment="1">
      <alignment horizontal="center"/>
    </xf>
    <xf numFmtId="0" fontId="9" fillId="10" borderId="6" xfId="0" applyFont="1" applyFill="1" applyBorder="1" applyAlignment="1">
      <alignment horizontal="center"/>
    </xf>
    <xf numFmtId="0" fontId="0" fillId="4" borderId="0" xfId="0" applyFill="1" applyBorder="1" applyAlignment="1">
      <alignment horizontal="center"/>
    </xf>
    <xf numFmtId="0" fontId="27" fillId="10" borderId="6" xfId="0" applyFont="1" applyFill="1" applyBorder="1" applyAlignment="1">
      <alignment horizontal="left"/>
    </xf>
    <xf numFmtId="0" fontId="28" fillId="10" borderId="6" xfId="0" applyFont="1" applyFill="1" applyBorder="1" applyAlignment="1">
      <alignment horizontal="left"/>
    </xf>
    <xf numFmtId="0" fontId="26" fillId="10" borderId="0" xfId="0" applyFont="1" applyFill="1" applyAlignment="1">
      <alignment horizontal="center"/>
    </xf>
    <xf numFmtId="0" fontId="9" fillId="10" borderId="8" xfId="0" applyFont="1" applyFill="1" applyBorder="1" applyAlignment="1">
      <alignment horizontal="center" vertical="center"/>
    </xf>
    <xf numFmtId="0" fontId="9" fillId="10" borderId="23" xfId="0" applyFont="1" applyFill="1" applyBorder="1" applyAlignment="1">
      <alignment horizontal="center" vertical="center"/>
    </xf>
    <xf numFmtId="0" fontId="0" fillId="10" borderId="23" xfId="0" applyFill="1" applyBorder="1" applyAlignment="1">
      <alignment horizontal="center"/>
    </xf>
    <xf numFmtId="0" fontId="0" fillId="0" borderId="6" xfId="0" applyBorder="1" applyAlignment="1">
      <alignment horizontal="center"/>
    </xf>
    <xf numFmtId="0" fontId="0" fillId="10" borderId="18" xfId="0" applyFill="1" applyBorder="1" applyAlignment="1">
      <alignment horizontal="center"/>
    </xf>
    <xf numFmtId="0" fontId="0" fillId="10" borderId="24" xfId="0" applyFill="1" applyBorder="1" applyAlignment="1">
      <alignment horizontal="center"/>
    </xf>
    <xf numFmtId="0" fontId="0" fillId="10" borderId="19" xfId="0" applyFill="1" applyBorder="1" applyAlignment="1">
      <alignment horizontal="center"/>
    </xf>
    <xf numFmtId="0" fontId="32" fillId="4" borderId="0" xfId="0" applyFont="1" applyFill="1" applyAlignment="1">
      <alignment horizontal="center"/>
    </xf>
    <xf numFmtId="0" fontId="32" fillId="0" borderId="0" xfId="0" applyFont="1" applyAlignment="1">
      <alignment horizontal="center"/>
    </xf>
    <xf numFmtId="0" fontId="0" fillId="4" borderId="25" xfId="0" applyFill="1" applyBorder="1" applyAlignment="1">
      <alignment horizontal="left"/>
    </xf>
    <xf numFmtId="0" fontId="0" fillId="4" borderId="0" xfId="0" applyFill="1" applyAlignment="1">
      <alignment horizontal="left"/>
    </xf>
    <xf numFmtId="0" fontId="0" fillId="20" borderId="0" xfId="0" applyFill="1" applyAlignment="1">
      <alignment horizontal="left" wrapText="1"/>
    </xf>
    <xf numFmtId="0" fontId="0" fillId="20" borderId="0" xfId="0" applyFill="1" applyAlignment="1">
      <alignment horizontal="left"/>
    </xf>
    <xf numFmtId="0" fontId="0" fillId="4" borderId="0" xfId="0" applyFill="1" applyBorder="1" applyAlignment="1">
      <alignment horizontal="left"/>
    </xf>
    <xf numFmtId="0" fontId="0" fillId="10" borderId="0" xfId="0" applyFill="1" applyAlignment="1">
      <alignment horizontal="left"/>
    </xf>
    <xf numFmtId="0" fontId="0" fillId="7" borderId="0" xfId="0" applyFill="1" applyAlignment="1">
      <alignment horizontal="center"/>
    </xf>
    <xf numFmtId="0" fontId="18" fillId="24" borderId="17" xfId="0" applyFont="1" applyFill="1" applyBorder="1" applyAlignment="1">
      <alignment horizontal="center"/>
    </xf>
    <xf numFmtId="0" fontId="0" fillId="7" borderId="17" xfId="0" applyFill="1" applyBorder="1" applyAlignment="1">
      <alignment horizontal="center"/>
    </xf>
    <xf numFmtId="0" fontId="18" fillId="24" borderId="0" xfId="0" applyFont="1" applyFill="1" applyBorder="1" applyAlignment="1">
      <alignment horizontal="center"/>
    </xf>
    <xf numFmtId="0" fontId="13" fillId="7" borderId="0" xfId="0" applyFont="1" applyFill="1" applyBorder="1" applyAlignment="1">
      <alignment horizontal="center"/>
    </xf>
    <xf numFmtId="0" fontId="0" fillId="0" borderId="17" xfId="0" applyBorder="1" applyAlignment="1">
      <alignment horizontal="center"/>
    </xf>
    <xf numFmtId="0" fontId="9" fillId="0" borderId="0" xfId="0" applyFont="1" applyBorder="1" applyAlignment="1">
      <alignment horizontal="center"/>
    </xf>
    <xf numFmtId="0" fontId="9" fillId="4" borderId="18" xfId="0" applyFont="1" applyFill="1" applyBorder="1"/>
  </cellXfs>
  <cellStyles count="45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3" builtinId="9" hidden="1"/>
    <cellStyle name="Hipervínculo visitado" xfId="94" builtinId="9" hidden="1"/>
    <cellStyle name="Hipervínculo visitado" xfId="95" builtinId="9" hidden="1"/>
    <cellStyle name="Hipervínculo visitado" xfId="96" builtinId="9" hidden="1"/>
    <cellStyle name="Hipervínculo visitado" xfId="97" builtinId="9" hidden="1"/>
    <cellStyle name="Hipervínculo visitado" xfId="98" builtinId="9" hidden="1"/>
    <cellStyle name="Hipervínculo visitado" xfId="99" builtinId="9" hidden="1"/>
    <cellStyle name="Hipervínculo visitado" xfId="100" builtinId="9" hidden="1"/>
    <cellStyle name="Hipervínculo visitado" xfId="101" builtinId="9" hidden="1"/>
    <cellStyle name="Hipervínculo visitado" xfId="102" builtinId="9" hidden="1"/>
    <cellStyle name="Hipervínculo visitado" xfId="103" builtinId="9" hidden="1"/>
    <cellStyle name="Hipervínculo visitado" xfId="104" builtinId="9" hidden="1"/>
    <cellStyle name="Hipervínculo visitado" xfId="105" builtinId="9" hidden="1"/>
    <cellStyle name="Hipervínculo visitado" xfId="108" builtinId="9" hidden="1"/>
    <cellStyle name="Hipervínculo visitado" xfId="109" builtinId="9" hidden="1"/>
    <cellStyle name="Hipervínculo visitado" xfId="110" builtinId="9" hidden="1"/>
    <cellStyle name="Hipervínculo visitado" xfId="111" builtinId="9" hidden="1"/>
    <cellStyle name="Hipervínculo visitado" xfId="112" builtinId="9" hidden="1"/>
    <cellStyle name="Hipervínculo visitado" xfId="113" builtinId="9" hidden="1"/>
    <cellStyle name="Hipervínculo visitado" xfId="114" builtinId="9" hidden="1"/>
    <cellStyle name="Hipervínculo visitado" xfId="115" builtinId="9" hidden="1"/>
    <cellStyle name="Hipervínculo visitado" xfId="116" builtinId="9" hidden="1"/>
    <cellStyle name="Hipervínculo visitado" xfId="117" builtinId="9" hidden="1"/>
    <cellStyle name="Hipervínculo visitado" xfId="118" builtinId="9" hidden="1"/>
    <cellStyle name="Hipervínculo visitado" xfId="119" builtinId="9" hidden="1"/>
    <cellStyle name="Hipervínculo visitado" xfId="120" builtinId="9" hidden="1"/>
    <cellStyle name="Hipervínculo visitado" xfId="121" builtinId="9" hidden="1"/>
    <cellStyle name="Hipervínculo visitado" xfId="122" builtinId="9" hidden="1"/>
    <cellStyle name="Hipervínculo visitado" xfId="123" builtinId="9" hidden="1"/>
    <cellStyle name="Hipervínculo visitado" xfId="124" builtinId="9" hidden="1"/>
    <cellStyle name="Hipervínculo visitado" xfId="125" builtinId="9" hidden="1"/>
    <cellStyle name="Hipervínculo visitado" xfId="126" builtinId="9" hidden="1"/>
    <cellStyle name="Hipervínculo visitado" xfId="127" builtinId="9" hidden="1"/>
    <cellStyle name="Hipervínculo visitado" xfId="128" builtinId="9" hidden="1"/>
    <cellStyle name="Hipervínculo visitado" xfId="129" builtinId="9" hidden="1"/>
    <cellStyle name="Hipervínculo visitado" xfId="130" builtinId="9" hidden="1"/>
    <cellStyle name="Hipervínculo visitado" xfId="131" builtinId="9" hidden="1"/>
    <cellStyle name="Hipervínculo visitado" xfId="132" builtinId="9" hidden="1"/>
    <cellStyle name="Hipervínculo visitado" xfId="133" builtinId="9" hidden="1"/>
    <cellStyle name="Hipervínculo visitado" xfId="134" builtinId="9" hidden="1"/>
    <cellStyle name="Hipervínculo visitado" xfId="135" builtinId="9" hidden="1"/>
    <cellStyle name="Hipervínculo visitado" xfId="136" builtinId="9" hidden="1"/>
    <cellStyle name="Hipervínculo visitado" xfId="137" builtinId="9" hidden="1"/>
    <cellStyle name="Hipervínculo visitado" xfId="138" builtinId="9" hidden="1"/>
    <cellStyle name="Hipervínculo visitado" xfId="139" builtinId="9" hidden="1"/>
    <cellStyle name="Hipervínculo visitado" xfId="140" builtinId="9" hidden="1"/>
    <cellStyle name="Hipervínculo visitado" xfId="141" builtinId="9" hidden="1"/>
    <cellStyle name="Hipervínculo visitado" xfId="142" builtinId="9" hidden="1"/>
    <cellStyle name="Hipervínculo visitado" xfId="143" builtinId="9" hidden="1"/>
    <cellStyle name="Hipervínculo visitado" xfId="144" builtinId="9" hidden="1"/>
    <cellStyle name="Hipervínculo visitado" xfId="145" builtinId="9" hidden="1"/>
    <cellStyle name="Hipervínculo visitado" xfId="146" builtinId="9" hidden="1"/>
    <cellStyle name="Hipervínculo visitado" xfId="147" builtinId="9" hidden="1"/>
    <cellStyle name="Hipervínculo visitado" xfId="148" builtinId="9" hidden="1"/>
    <cellStyle name="Hipervínculo visitado" xfId="149" builtinId="9" hidden="1"/>
    <cellStyle name="Hipervínculo visitado" xfId="150" builtinId="9" hidden="1"/>
    <cellStyle name="Hipervínculo visitado" xfId="151" builtinId="9" hidden="1"/>
    <cellStyle name="Hipervínculo visitado" xfId="152" builtinId="9" hidden="1"/>
    <cellStyle name="Hipervínculo visitado" xfId="153" builtinId="9" hidden="1"/>
    <cellStyle name="Hipervínculo visitado" xfId="154" builtinId="9" hidden="1"/>
    <cellStyle name="Hipervínculo visitado" xfId="155" builtinId="9" hidden="1"/>
    <cellStyle name="Hipervínculo visitado" xfId="156" builtinId="9" hidden="1"/>
    <cellStyle name="Hipervínculo visitado" xfId="157" builtinId="9" hidden="1"/>
    <cellStyle name="Hipervínculo visitado" xfId="158" builtinId="9" hidden="1"/>
    <cellStyle name="Hipervínculo visitado" xfId="159" builtinId="9" hidden="1"/>
    <cellStyle name="Hipervínculo visitado" xfId="160" builtinId="9" hidden="1"/>
    <cellStyle name="Hipervínculo visitado" xfId="161" builtinId="9" hidden="1"/>
    <cellStyle name="Hipervínculo visitado" xfId="162" builtinId="9" hidden="1"/>
    <cellStyle name="Hipervínculo visitado" xfId="163" builtinId="9" hidden="1"/>
    <cellStyle name="Hipervínculo visitado" xfId="164" builtinId="9" hidden="1"/>
    <cellStyle name="Hipervínculo visitado" xfId="165" builtinId="9" hidden="1"/>
    <cellStyle name="Hipervínculo visitado" xfId="166" builtinId="9" hidden="1"/>
    <cellStyle name="Hipervínculo visitado" xfId="167" builtinId="9" hidden="1"/>
    <cellStyle name="Hipervínculo visitado" xfId="168" builtinId="9" hidden="1"/>
    <cellStyle name="Hipervínculo visitado" xfId="169" builtinId="9" hidden="1"/>
    <cellStyle name="Hipervínculo visitado" xfId="170" builtinId="9" hidden="1"/>
    <cellStyle name="Hipervínculo visitado" xfId="171" builtinId="9" hidden="1"/>
    <cellStyle name="Hipervínculo visitado" xfId="172" builtinId="9" hidden="1"/>
    <cellStyle name="Hipervínculo visitado" xfId="173" builtinId="9" hidden="1"/>
    <cellStyle name="Hipervínculo visitado" xfId="174" builtinId="9" hidden="1"/>
    <cellStyle name="Hipervínculo visitado" xfId="175" builtinId="9" hidden="1"/>
    <cellStyle name="Hipervínculo visitado" xfId="176" builtinId="9" hidden="1"/>
    <cellStyle name="Hipervínculo visitado" xfId="177" builtinId="9" hidden="1"/>
    <cellStyle name="Hipervínculo visitado" xfId="178" builtinId="9" hidden="1"/>
    <cellStyle name="Hipervínculo visitado" xfId="179" builtinId="9" hidden="1"/>
    <cellStyle name="Hipervínculo visitado" xfId="180" builtinId="9" hidden="1"/>
    <cellStyle name="Hipervínculo visitado" xfId="181" builtinId="9" hidden="1"/>
    <cellStyle name="Hipervínculo visitado" xfId="182" builtinId="9" hidden="1"/>
    <cellStyle name="Hipervínculo visitado" xfId="183" builtinId="9" hidden="1"/>
    <cellStyle name="Hipervínculo visitado" xfId="184" builtinId="9" hidden="1"/>
    <cellStyle name="Hipervínculo visitado" xfId="185" builtinId="9" hidden="1"/>
    <cellStyle name="Hipervínculo visitado" xfId="186" builtinId="9" hidden="1"/>
    <cellStyle name="Hipervínculo visitado" xfId="187" builtinId="9" hidden="1"/>
    <cellStyle name="Hipervínculo visitado" xfId="188" builtinId="9" hidden="1"/>
    <cellStyle name="Hipervínculo visitado" xfId="189" builtinId="9" hidden="1"/>
    <cellStyle name="Hipervínculo visitado" xfId="190" builtinId="9" hidden="1"/>
    <cellStyle name="Hipervínculo visitado" xfId="191" builtinId="9" hidden="1"/>
    <cellStyle name="Hipervínculo visitado" xfId="192" builtinId="9" hidden="1"/>
    <cellStyle name="Hipervínculo visitado" xfId="193" builtinId="9" hidden="1"/>
    <cellStyle name="Hipervínculo visitado" xfId="194" builtinId="9" hidden="1"/>
    <cellStyle name="Hipervínculo visitado" xfId="195" builtinId="9" hidden="1"/>
    <cellStyle name="Hipervínculo visitado" xfId="196" builtinId="9" hidden="1"/>
    <cellStyle name="Hipervínculo visitado" xfId="197" builtinId="9" hidden="1"/>
    <cellStyle name="Hipervínculo visitado" xfId="198" builtinId="9" hidden="1"/>
    <cellStyle name="Hipervínculo visitado" xfId="199" builtinId="9" hidden="1"/>
    <cellStyle name="Hipervínculo visitado" xfId="200" builtinId="9" hidden="1"/>
    <cellStyle name="Hipervínculo visitado" xfId="201" builtinId="9" hidden="1"/>
    <cellStyle name="Hipervínculo visitado" xfId="202" builtinId="9" hidden="1"/>
    <cellStyle name="Hipervínculo visitado" xfId="203" builtinId="9" hidden="1"/>
    <cellStyle name="Hipervínculo visitado" xfId="204" builtinId="9" hidden="1"/>
    <cellStyle name="Hipervínculo visitado" xfId="205" builtinId="9" hidden="1"/>
    <cellStyle name="Hipervínculo visitado" xfId="206" builtinId="9" hidden="1"/>
    <cellStyle name="Hipervínculo visitado" xfId="207" builtinId="9" hidden="1"/>
    <cellStyle name="Hipervínculo visitado" xfId="208" builtinId="9" hidden="1"/>
    <cellStyle name="Hipervínculo visitado" xfId="209" builtinId="9" hidden="1"/>
    <cellStyle name="Hipervínculo visitado" xfId="210" builtinId="9" hidden="1"/>
    <cellStyle name="Hipervínculo visitado" xfId="211" builtinId="9" hidden="1"/>
    <cellStyle name="Hipervínculo visitado" xfId="212" builtinId="9" hidden="1"/>
    <cellStyle name="Hipervínculo visitado" xfId="213" builtinId="9" hidden="1"/>
    <cellStyle name="Hipervínculo visitado" xfId="214" builtinId="9" hidden="1"/>
    <cellStyle name="Hipervínculo visitado" xfId="215" builtinId="9" hidden="1"/>
    <cellStyle name="Hipervínculo visitado" xfId="216" builtinId="9" hidden="1"/>
    <cellStyle name="Hipervínculo visitado" xfId="217" builtinId="9" hidden="1"/>
    <cellStyle name="Hipervínculo visitado" xfId="218" builtinId="9" hidden="1"/>
    <cellStyle name="Hipervínculo visitado" xfId="219" builtinId="9" hidden="1"/>
    <cellStyle name="Hipervínculo visitado" xfId="220" builtinId="9" hidden="1"/>
    <cellStyle name="Hipervínculo visitado" xfId="221" builtinId="9" hidden="1"/>
    <cellStyle name="Hipervínculo visitado" xfId="222" builtinId="9" hidden="1"/>
    <cellStyle name="Hipervínculo visitado" xfId="223" builtinId="9" hidden="1"/>
    <cellStyle name="Hipervínculo visitado" xfId="224" builtinId="9" hidden="1"/>
    <cellStyle name="Hipervínculo visitado" xfId="225" builtinId="9" hidden="1"/>
    <cellStyle name="Hipervínculo visitado" xfId="226" builtinId="9" hidden="1"/>
    <cellStyle name="Hipervínculo visitado" xfId="227" builtinId="9" hidden="1"/>
    <cellStyle name="Hipervínculo visitado" xfId="228" builtinId="9" hidden="1"/>
    <cellStyle name="Hipervínculo visitado" xfId="229" builtinId="9" hidden="1"/>
    <cellStyle name="Hipervínculo visitado" xfId="230" builtinId="9" hidden="1"/>
    <cellStyle name="Hipervínculo visitado" xfId="231" builtinId="9" hidden="1"/>
    <cellStyle name="Hipervínculo visitado" xfId="232" builtinId="9" hidden="1"/>
    <cellStyle name="Hipervínculo visitado" xfId="233" builtinId="9" hidden="1"/>
    <cellStyle name="Hipervínculo visitado" xfId="234" builtinId="9" hidden="1"/>
    <cellStyle name="Hipervínculo visitado" xfId="235" builtinId="9" hidden="1"/>
    <cellStyle name="Hipervínculo visitado" xfId="236" builtinId="9" hidden="1"/>
    <cellStyle name="Hipervínculo visitado" xfId="237" builtinId="9" hidden="1"/>
    <cellStyle name="Hipervínculo visitado" xfId="238" builtinId="9" hidden="1"/>
    <cellStyle name="Hipervínculo visitado" xfId="239" builtinId="9" hidden="1"/>
    <cellStyle name="Hipervínculo visitado" xfId="240" builtinId="9" hidden="1"/>
    <cellStyle name="Hipervínculo visitado" xfId="241" builtinId="9" hidden="1"/>
    <cellStyle name="Hipervínculo visitado" xfId="242" builtinId="9" hidden="1"/>
    <cellStyle name="Hipervínculo visitado" xfId="243" builtinId="9" hidden="1"/>
    <cellStyle name="Hipervínculo visitado" xfId="244" builtinId="9" hidden="1"/>
    <cellStyle name="Hipervínculo visitado" xfId="245" builtinId="9" hidden="1"/>
    <cellStyle name="Hipervínculo visitado" xfId="246" builtinId="9" hidden="1"/>
    <cellStyle name="Hipervínculo visitado" xfId="247" builtinId="9" hidden="1"/>
    <cellStyle name="Hipervínculo visitado" xfId="248" builtinId="9" hidden="1"/>
    <cellStyle name="Hipervínculo visitado" xfId="249" builtinId="9" hidden="1"/>
    <cellStyle name="Hipervínculo visitado" xfId="250" builtinId="9" hidden="1"/>
    <cellStyle name="Hipervínculo visitado" xfId="251" builtinId="9" hidden="1"/>
    <cellStyle name="Hipervínculo visitado" xfId="252" builtinId="9" hidden="1"/>
    <cellStyle name="Hipervínculo visitado" xfId="253" builtinId="9" hidden="1"/>
    <cellStyle name="Hipervínculo visitado" xfId="254" builtinId="9" hidden="1"/>
    <cellStyle name="Hipervínculo visitado" xfId="255" builtinId="9" hidden="1"/>
    <cellStyle name="Hipervínculo visitado" xfId="256" builtinId="9" hidden="1"/>
    <cellStyle name="Hipervínculo visitado" xfId="257" builtinId="9" hidden="1"/>
    <cellStyle name="Hipervínculo visitado" xfId="258" builtinId="9" hidden="1"/>
    <cellStyle name="Hipervínculo visitado" xfId="259" builtinId="9" hidden="1"/>
    <cellStyle name="Hipervínculo visitado" xfId="260" builtinId="9" hidden="1"/>
    <cellStyle name="Hipervínculo visitado" xfId="261" builtinId="9" hidden="1"/>
    <cellStyle name="Hipervínculo visitado" xfId="262" builtinId="9" hidden="1"/>
    <cellStyle name="Hipervínculo visitado" xfId="263" builtinId="9" hidden="1"/>
    <cellStyle name="Hipervínculo visitado" xfId="264" builtinId="9" hidden="1"/>
    <cellStyle name="Hipervínculo visitado" xfId="265" builtinId="9" hidden="1"/>
    <cellStyle name="Hipervínculo visitado" xfId="266" builtinId="9" hidden="1"/>
    <cellStyle name="Hipervínculo visitado" xfId="267" builtinId="9" hidden="1"/>
    <cellStyle name="Hipervínculo visitado" xfId="268" builtinId="9" hidden="1"/>
    <cellStyle name="Hipervínculo visitado" xfId="269" builtinId="9" hidden="1"/>
    <cellStyle name="Hipervínculo visitado" xfId="270" builtinId="9" hidden="1"/>
    <cellStyle name="Hipervínculo visitado" xfId="271" builtinId="9" hidden="1"/>
    <cellStyle name="Hipervínculo visitado" xfId="272" builtinId="9" hidden="1"/>
    <cellStyle name="Hipervínculo visitado" xfId="273" builtinId="9" hidden="1"/>
    <cellStyle name="Hipervínculo visitado" xfId="274" builtinId="9" hidden="1"/>
    <cellStyle name="Hipervínculo visitado" xfId="275" builtinId="9" hidden="1"/>
    <cellStyle name="Hipervínculo visitado" xfId="276" builtinId="9" hidden="1"/>
    <cellStyle name="Hipervínculo visitado" xfId="277" builtinId="9" hidden="1"/>
    <cellStyle name="Hipervínculo visitado" xfId="278" builtinId="9" hidden="1"/>
    <cellStyle name="Hipervínculo visitado" xfId="279" builtinId="9" hidden="1"/>
    <cellStyle name="Hipervínculo visitado" xfId="280" builtinId="9" hidden="1"/>
    <cellStyle name="Hipervínculo visitado" xfId="281" builtinId="9" hidden="1"/>
    <cellStyle name="Hipervínculo visitado" xfId="282" builtinId="9" hidden="1"/>
    <cellStyle name="Hipervínculo visitado" xfId="283" builtinId="9" hidden="1"/>
    <cellStyle name="Hipervínculo visitado" xfId="284" builtinId="9" hidden="1"/>
    <cellStyle name="Hipervínculo visitado" xfId="285" builtinId="9" hidden="1"/>
    <cellStyle name="Hipervínculo visitado" xfId="286" builtinId="9" hidden="1"/>
    <cellStyle name="Hipervínculo visitado" xfId="287" builtinId="9" hidden="1"/>
    <cellStyle name="Hipervínculo visitado" xfId="288" builtinId="9" hidden="1"/>
    <cellStyle name="Hipervínculo visitado" xfId="289" builtinId="9" hidden="1"/>
    <cellStyle name="Hipervínculo visitado" xfId="290" builtinId="9" hidden="1"/>
    <cellStyle name="Hipervínculo visitado" xfId="291" builtinId="9" hidden="1"/>
    <cellStyle name="Hipervínculo visitado" xfId="292" builtinId="9" hidden="1"/>
    <cellStyle name="Hipervínculo visitado" xfId="293" builtinId="9" hidden="1"/>
    <cellStyle name="Hipervínculo visitado" xfId="294" builtinId="9" hidden="1"/>
    <cellStyle name="Hipervínculo visitado" xfId="295" builtinId="9" hidden="1"/>
    <cellStyle name="Hipervínculo visitado" xfId="296" builtinId="9" hidden="1"/>
    <cellStyle name="Hipervínculo visitado" xfId="297" builtinId="9" hidden="1"/>
    <cellStyle name="Hipervínculo visitado" xfId="298" builtinId="9" hidden="1"/>
    <cellStyle name="Hipervínculo visitado" xfId="299" builtinId="9" hidden="1"/>
    <cellStyle name="Hipervínculo visitado" xfId="300" builtinId="9" hidden="1"/>
    <cellStyle name="Hipervínculo visitado" xfId="301" builtinId="9" hidden="1"/>
    <cellStyle name="Hipervínculo visitado" xfId="302" builtinId="9" hidden="1"/>
    <cellStyle name="Hipervínculo visitado" xfId="303" builtinId="9" hidden="1"/>
    <cellStyle name="Hipervínculo visitado" xfId="304" builtinId="9" hidden="1"/>
    <cellStyle name="Hipervínculo visitado" xfId="305" builtinId="9" hidden="1"/>
    <cellStyle name="Hipervínculo visitado" xfId="306" builtinId="9" hidden="1"/>
    <cellStyle name="Hipervínculo visitado" xfId="307" builtinId="9" hidden="1"/>
    <cellStyle name="Hipervínculo visitado" xfId="308" builtinId="9" hidden="1"/>
    <cellStyle name="Hipervínculo visitado" xfId="309" builtinId="9" hidden="1"/>
    <cellStyle name="Hipervínculo visitado" xfId="310" builtinId="9" hidden="1"/>
    <cellStyle name="Hipervínculo visitado" xfId="311" builtinId="9" hidden="1"/>
    <cellStyle name="Hipervínculo visitado" xfId="312" builtinId="9" hidden="1"/>
    <cellStyle name="Hipervínculo visitado" xfId="313" builtinId="9" hidden="1"/>
    <cellStyle name="Hipervínculo visitado" xfId="314" builtinId="9" hidden="1"/>
    <cellStyle name="Hipervínculo visitado" xfId="315" builtinId="9" hidden="1"/>
    <cellStyle name="Hipervínculo visitado" xfId="316" builtinId="9" hidden="1"/>
    <cellStyle name="Hipervínculo visitado" xfId="317" builtinId="9" hidden="1"/>
    <cellStyle name="Hipervínculo visitado" xfId="318" builtinId="9" hidden="1"/>
    <cellStyle name="Hipervínculo visitado" xfId="319" builtinId="9" hidden="1"/>
    <cellStyle name="Hipervínculo visitado" xfId="320" builtinId="9" hidden="1"/>
    <cellStyle name="Hipervínculo visitado" xfId="321" builtinId="9" hidden="1"/>
    <cellStyle name="Hipervínculo visitado" xfId="322" builtinId="9" hidden="1"/>
    <cellStyle name="Hipervínculo visitado" xfId="323" builtinId="9" hidden="1"/>
    <cellStyle name="Hipervínculo visitado" xfId="324" builtinId="9" hidden="1"/>
    <cellStyle name="Hipervínculo visitado" xfId="325" builtinId="9" hidden="1"/>
    <cellStyle name="Hipervínculo visitado" xfId="326" builtinId="9" hidden="1"/>
    <cellStyle name="Hipervínculo visitado" xfId="327" builtinId="9" hidden="1"/>
    <cellStyle name="Hipervínculo visitado" xfId="328" builtinId="9" hidden="1"/>
    <cellStyle name="Hipervínculo visitado" xfId="329" builtinId="9" hidden="1"/>
    <cellStyle name="Hipervínculo visitado" xfId="330" builtinId="9" hidden="1"/>
    <cellStyle name="Hipervínculo visitado" xfId="331" builtinId="9" hidden="1"/>
    <cellStyle name="Hipervínculo visitado" xfId="332" builtinId="9" hidden="1"/>
    <cellStyle name="Hipervínculo visitado" xfId="333" builtinId="9" hidden="1"/>
    <cellStyle name="Hipervínculo visitado" xfId="334" builtinId="9" hidden="1"/>
    <cellStyle name="Hipervínculo visitado" xfId="335" builtinId="9" hidden="1"/>
    <cellStyle name="Hipervínculo visitado" xfId="336" builtinId="9" hidden="1"/>
    <cellStyle name="Hipervínculo visitado" xfId="337" builtinId="9" hidden="1"/>
    <cellStyle name="Hipervínculo visitado" xfId="338" builtinId="9" hidden="1"/>
    <cellStyle name="Hipervínculo visitado" xfId="339" builtinId="9" hidden="1"/>
    <cellStyle name="Hipervínculo visitado" xfId="340" builtinId="9" hidden="1"/>
    <cellStyle name="Hipervínculo visitado" xfId="341" builtinId="9" hidden="1"/>
    <cellStyle name="Hipervínculo visitado" xfId="342" builtinId="9" hidden="1"/>
    <cellStyle name="Hipervínculo visitado" xfId="343" builtinId="9" hidden="1"/>
    <cellStyle name="Hipervínculo visitado" xfId="344" builtinId="9" hidden="1"/>
    <cellStyle name="Hipervínculo visitado" xfId="345" builtinId="9" hidden="1"/>
    <cellStyle name="Hipervínculo visitado" xfId="346" builtinId="9" hidden="1"/>
    <cellStyle name="Hipervínculo visitado" xfId="347" builtinId="9" hidden="1"/>
    <cellStyle name="Hipervínculo visitado" xfId="348" builtinId="9" hidden="1"/>
    <cellStyle name="Hipervínculo visitado" xfId="349" builtinId="9" hidden="1"/>
    <cellStyle name="Hipervínculo visitado" xfId="350" builtinId="9" hidden="1"/>
    <cellStyle name="Hipervínculo visitado" xfId="351" builtinId="9" hidden="1"/>
    <cellStyle name="Hipervínculo visitado" xfId="352" builtinId="9" hidden="1"/>
    <cellStyle name="Hipervínculo visitado" xfId="353" builtinId="9" hidden="1"/>
    <cellStyle name="Hipervínculo visitado" xfId="354" builtinId="9" hidden="1"/>
    <cellStyle name="Hipervínculo visitado" xfId="355" builtinId="9" hidden="1"/>
    <cellStyle name="Hipervínculo visitado" xfId="356" builtinId="9" hidden="1"/>
    <cellStyle name="Hipervínculo visitado" xfId="357" builtinId="9" hidden="1"/>
    <cellStyle name="Hipervínculo visitado" xfId="358" builtinId="9" hidden="1"/>
    <cellStyle name="Hipervínculo visitado" xfId="359" builtinId="9" hidden="1"/>
    <cellStyle name="Hipervínculo visitado" xfId="360" builtinId="9" hidden="1"/>
    <cellStyle name="Hipervínculo visitado" xfId="361" builtinId="9" hidden="1"/>
    <cellStyle name="Hipervínculo visitado" xfId="362" builtinId="9" hidden="1"/>
    <cellStyle name="Hipervínculo visitado" xfId="363" builtinId="9" hidden="1"/>
    <cellStyle name="Hipervínculo visitado" xfId="364" builtinId="9" hidden="1"/>
    <cellStyle name="Hipervínculo visitado" xfId="365" builtinId="9" hidden="1"/>
    <cellStyle name="Hipervínculo visitado" xfId="366" builtinId="9" hidden="1"/>
    <cellStyle name="Hipervínculo visitado" xfId="367" builtinId="9" hidden="1"/>
    <cellStyle name="Hipervínculo visitado" xfId="368" builtinId="9" hidden="1"/>
    <cellStyle name="Hipervínculo visitado" xfId="369" builtinId="9" hidden="1"/>
    <cellStyle name="Hipervínculo visitado" xfId="370" builtinId="9" hidden="1"/>
    <cellStyle name="Hipervínculo visitado" xfId="371" builtinId="9" hidden="1"/>
    <cellStyle name="Hipervínculo visitado" xfId="372" builtinId="9" hidden="1"/>
    <cellStyle name="Hipervínculo visitado" xfId="373" builtinId="9" hidden="1"/>
    <cellStyle name="Hipervínculo visitado" xfId="374" builtinId="9" hidden="1"/>
    <cellStyle name="Hipervínculo visitado" xfId="375" builtinId="9" hidden="1"/>
    <cellStyle name="Hipervínculo visitado" xfId="379" builtinId="9" hidden="1"/>
    <cellStyle name="Hipervínculo visitado" xfId="380" builtinId="9" hidden="1"/>
    <cellStyle name="Hipervínculo visitado" xfId="381" builtinId="9" hidden="1"/>
    <cellStyle name="Hipervínculo visitado" xfId="382" builtinId="9" hidden="1"/>
    <cellStyle name="Hipervínculo visitado" xfId="383" builtinId="9" hidden="1"/>
    <cellStyle name="Hipervínculo visitado" xfId="384" builtinId="9" hidden="1"/>
    <cellStyle name="Hipervínculo visitado" xfId="385" builtinId="9" hidden="1"/>
    <cellStyle name="Hipervínculo visitado" xfId="386" builtinId="9" hidden="1"/>
    <cellStyle name="Hipervínculo visitado" xfId="387" builtinId="9" hidden="1"/>
    <cellStyle name="Hipervínculo visitado" xfId="388" builtinId="9" hidden="1"/>
    <cellStyle name="Hipervínculo visitado" xfId="389" builtinId="9" hidden="1"/>
    <cellStyle name="Hipervínculo visitado" xfId="390" builtinId="9" hidden="1"/>
    <cellStyle name="Hipervínculo visitado" xfId="391" builtinId="9" hidden="1"/>
    <cellStyle name="Hipervínculo visitado" xfId="392" builtinId="9" hidden="1"/>
    <cellStyle name="Hipervínculo visitado" xfId="393" builtinId="9" hidden="1"/>
    <cellStyle name="Hipervínculo visitado" xfId="394" builtinId="9" hidden="1"/>
    <cellStyle name="Hipervínculo visitado" xfId="395" builtinId="9" hidden="1"/>
    <cellStyle name="Hipervínculo visitado" xfId="396" builtinId="9" hidden="1"/>
    <cellStyle name="Hipervínculo visitado" xfId="397" builtinId="9" hidden="1"/>
    <cellStyle name="Hipervínculo visitado" xfId="398" builtinId="9" hidden="1"/>
    <cellStyle name="Hipervínculo visitado" xfId="399" builtinId="9" hidden="1"/>
    <cellStyle name="Hipervínculo visitado" xfId="400" builtinId="9" hidden="1"/>
    <cellStyle name="Hipervínculo visitado" xfId="401" builtinId="9" hidden="1"/>
    <cellStyle name="Hipervínculo visitado" xfId="402" builtinId="9" hidden="1"/>
    <cellStyle name="Hipervínculo visitado" xfId="403" builtinId="9" hidden="1"/>
    <cellStyle name="Hipervínculo visitado" xfId="404" builtinId="9" hidden="1"/>
    <cellStyle name="Hipervínculo visitado" xfId="405" builtinId="9" hidden="1"/>
    <cellStyle name="Hipervínculo visitado" xfId="406" builtinId="9" hidden="1"/>
    <cellStyle name="Hipervínculo visitado" xfId="407" builtinId="9" hidden="1"/>
    <cellStyle name="Hipervínculo visitado" xfId="408" builtinId="9" hidden="1"/>
    <cellStyle name="Hipervínculo visitado" xfId="409" builtinId="9" hidden="1"/>
    <cellStyle name="Hipervínculo visitado" xfId="410" builtinId="9" hidden="1"/>
    <cellStyle name="Hipervínculo visitado" xfId="411" builtinId="9" hidden="1"/>
    <cellStyle name="Hipervínculo visitado" xfId="412" builtinId="9" hidden="1"/>
    <cellStyle name="Hipervínculo visitado" xfId="413" builtinId="9" hidden="1"/>
    <cellStyle name="Hipervínculo visitado" xfId="414" builtinId="9" hidden="1"/>
    <cellStyle name="Hipervínculo visitado" xfId="415" builtinId="9" hidden="1"/>
    <cellStyle name="Hipervínculo visitado" xfId="416" builtinId="9" hidden="1"/>
    <cellStyle name="Hipervínculo visitado" xfId="417" builtinId="9" hidden="1"/>
    <cellStyle name="Hipervínculo visitado" xfId="418" builtinId="9" hidden="1"/>
    <cellStyle name="Hipervínculo visitado" xfId="419" builtinId="9" hidden="1"/>
    <cellStyle name="Hipervínculo visitado" xfId="420" builtinId="9" hidden="1"/>
    <cellStyle name="Hipervínculo visitado" xfId="421" builtinId="9" hidden="1"/>
    <cellStyle name="Hipervínculo visitado" xfId="422" builtinId="9" hidden="1"/>
    <cellStyle name="Hipervínculo visitado" xfId="423" builtinId="9" hidden="1"/>
    <cellStyle name="Hipervínculo visitado" xfId="424" builtinId="9" hidden="1"/>
    <cellStyle name="Hipervínculo visitado" xfId="425" builtinId="9" hidden="1"/>
    <cellStyle name="Hipervínculo visitado" xfId="426" builtinId="9" hidden="1"/>
    <cellStyle name="Hipervínculo visitado" xfId="427" builtinId="9" hidden="1"/>
    <cellStyle name="Hipervínculo visitado" xfId="428" builtinId="9" hidden="1"/>
    <cellStyle name="Hipervínculo visitado" xfId="429" builtinId="9" hidden="1"/>
    <cellStyle name="Hipervínculo visitado" xfId="430" builtinId="9" hidden="1"/>
    <cellStyle name="Hipervínculo visitado" xfId="431" builtinId="9" hidden="1"/>
    <cellStyle name="Hipervínculo visitado" xfId="432" builtinId="9" hidden="1"/>
    <cellStyle name="Hipervínculo visitado" xfId="433" builtinId="9" hidden="1"/>
    <cellStyle name="Hipervínculo visitado" xfId="434" builtinId="9" hidden="1"/>
    <cellStyle name="Hipervínculo visitado" xfId="435" builtinId="9" hidden="1"/>
    <cellStyle name="Hipervínculo visitado" xfId="436" builtinId="9" hidden="1"/>
    <cellStyle name="Hipervínculo visitado" xfId="437" builtinId="9" hidden="1"/>
    <cellStyle name="Hipervínculo visitado" xfId="438" builtinId="9" hidden="1"/>
    <cellStyle name="Hipervínculo visitado" xfId="439" builtinId="9" hidden="1"/>
    <cellStyle name="Hipervínculo visitado" xfId="440" builtinId="9" hidden="1"/>
    <cellStyle name="Hipervínculo visitado" xfId="441" builtinId="9" hidden="1"/>
    <cellStyle name="Hipervínculo visitado" xfId="442" builtinId="9" hidden="1"/>
    <cellStyle name="Hipervínculo visitado" xfId="443" builtinId="9" hidden="1"/>
    <cellStyle name="Hipervínculo visitado" xfId="444" builtinId="9" hidden="1"/>
    <cellStyle name="Hipervínculo visitado" xfId="445" builtinId="9" hidden="1"/>
    <cellStyle name="Hipervínculo visitado" xfId="446" builtinId="9" hidden="1"/>
    <cellStyle name="Hipervínculo visitado" xfId="447" builtinId="9" hidden="1"/>
    <cellStyle name="Hipervínculo visitado" xfId="448" builtinId="9" hidden="1"/>
    <cellStyle name="Hipervínculo visitado" xfId="449" builtinId="9" hidden="1"/>
    <cellStyle name="Hipervínculo visitado" xfId="450" builtinId="9" hidden="1"/>
    <cellStyle name="Hipervínculo visitado" xfId="451" builtinId="9" hidden="1"/>
    <cellStyle name="Hipervínculo visitado" xfId="452" builtinId="9" hidden="1"/>
    <cellStyle name="Hipervínculo visitado" xfId="453" builtinId="9" hidden="1"/>
    <cellStyle name="Hipervínculo visitado" xfId="454" builtinId="9" hidden="1"/>
    <cellStyle name="Hipervínculo visitado" xfId="455" builtinId="9" hidden="1"/>
    <cellStyle name="Hipervínculo visitado" xfId="456" builtinId="9" hidden="1"/>
    <cellStyle name="Normal" xfId="0" builtinId="0"/>
    <cellStyle name="Normal 2" xfId="106"/>
    <cellStyle name="Normal 2 2" xfId="107"/>
    <cellStyle name="Normal 2 2 2" xfId="378"/>
    <cellStyle name="Normal 2 3" xfId="377"/>
    <cellStyle name="Normal 3" xfId="376"/>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a:lstStyle/>
        <a:p>
          <a:pPr>
            <a:defRPr sz="1400"/>
          </a:pPr>
          <a:endParaRPr lang="es-ES"/>
        </a:p>
      </c:txPr>
    </c:title>
    <c:autoTitleDeleted val="0"/>
    <c:plotArea>
      <c:layout/>
      <c:lineChart>
        <c:grouping val="standard"/>
        <c:varyColors val="0"/>
        <c:ser>
          <c:idx val="0"/>
          <c:order val="0"/>
          <c:tx>
            <c:strRef>
              <c:f>Gráficos!$A$1</c:f>
              <c:strCache>
                <c:ptCount val="1"/>
                <c:pt idx="0">
                  <c:v>Puntajes Z</c:v>
                </c:pt>
              </c:strCache>
            </c:strRef>
          </c:tx>
          <c:cat>
            <c:strRef>
              <c:f>Gráficos!$A$2:$A$21</c:f>
              <c:strCache>
                <c:ptCount val="20"/>
                <c:pt idx="0">
                  <c:v>Recuerdo lnmediato (RALVT)</c:v>
                </c:pt>
                <c:pt idx="1">
                  <c:v>Evocación a Largo Plazo (RALVT)</c:v>
                </c:pt>
                <c:pt idx="2">
                  <c:v>Reconocimiento (RAVLT)</c:v>
                </c:pt>
                <c:pt idx="3">
                  <c:v>Recuerdo lnmediato (ML)</c:v>
                </c:pt>
                <c:pt idx="4">
                  <c:v>Evocación a Largo Plazo (ML)</c:v>
                </c:pt>
                <c:pt idx="5">
                  <c:v>Memoria Visual</c:v>
                </c:pt>
                <c:pt idx="6">
                  <c:v>Fluencia verbal semántica</c:v>
                </c:pt>
                <c:pt idx="7">
                  <c:v>Fluencia verbal fonológica</c:v>
                </c:pt>
                <c:pt idx="8">
                  <c:v>Denominación</c:v>
                </c:pt>
                <c:pt idx="9">
                  <c:v>Dígitos adelante</c:v>
                </c:pt>
                <c:pt idx="10">
                  <c:v>Recuerdo Inicial (RALVT)</c:v>
                </c:pt>
                <c:pt idx="11">
                  <c:v>Lista Distractora (RALVT)</c:v>
                </c:pt>
                <c:pt idx="12">
                  <c:v>Trail Making A</c:v>
                </c:pt>
                <c:pt idx="13">
                  <c:v>Trail Making B</c:v>
                </c:pt>
                <c:pt idx="14">
                  <c:v>Subíndice de Velocidad de Procesamiento (WAIS III)</c:v>
                </c:pt>
                <c:pt idx="15">
                  <c:v>Subíndice de Memoria Operativa (WAIS III)</c:v>
                </c:pt>
                <c:pt idx="16">
                  <c:v>Memoria de Trabajo</c:v>
                </c:pt>
                <c:pt idx="17">
                  <c:v>Flexibilidad cognitiva</c:v>
                </c:pt>
                <c:pt idx="18">
                  <c:v>Control inhibitorio verbal</c:v>
                </c:pt>
                <c:pt idx="19">
                  <c:v>Visuo-construcción (RCF)</c:v>
                </c:pt>
              </c:strCache>
            </c:strRef>
          </c:cat>
          <c:val>
            <c:numRef>
              <c:f>Gráficos!$B$2:$B$21</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formatCode="#,##0.00">
                  <c:v>0</c:v>
                </c:pt>
                <c:pt idx="15" formatCode="#,##0.00">
                  <c:v>0</c:v>
                </c:pt>
                <c:pt idx="16">
                  <c:v>0</c:v>
                </c:pt>
                <c:pt idx="17">
                  <c:v>0</c:v>
                </c:pt>
                <c:pt idx="18">
                  <c:v>0</c:v>
                </c:pt>
                <c:pt idx="19">
                  <c:v>0</c:v>
                </c:pt>
              </c:numCache>
            </c:numRef>
          </c:val>
          <c:smooth val="0"/>
          <c:extLst/>
        </c:ser>
        <c:dLbls>
          <c:showLegendKey val="0"/>
          <c:showVal val="0"/>
          <c:showCatName val="0"/>
          <c:showSerName val="0"/>
          <c:showPercent val="0"/>
          <c:showBubbleSize val="0"/>
        </c:dLbls>
        <c:marker val="1"/>
        <c:smooth val="0"/>
        <c:axId val="73527400"/>
        <c:axId val="161229424"/>
      </c:lineChart>
      <c:catAx>
        <c:axId val="73527400"/>
        <c:scaling>
          <c:orientation val="minMax"/>
        </c:scaling>
        <c:delete val="0"/>
        <c:axPos val="b"/>
        <c:numFmt formatCode="General" sourceLinked="1"/>
        <c:majorTickMark val="none"/>
        <c:minorTickMark val="none"/>
        <c:tickLblPos val="low"/>
        <c:txPr>
          <a:bodyPr rot="-5400000" vert="horz"/>
          <a:lstStyle/>
          <a:p>
            <a:pPr>
              <a:defRPr/>
            </a:pPr>
            <a:endParaRPr lang="es-ES"/>
          </a:p>
        </c:txPr>
        <c:crossAx val="161229424"/>
        <c:crosses val="autoZero"/>
        <c:auto val="1"/>
        <c:lblAlgn val="ctr"/>
        <c:lblOffset val="100"/>
        <c:noMultiLvlLbl val="0"/>
      </c:catAx>
      <c:valAx>
        <c:axId val="161229424"/>
        <c:scaling>
          <c:orientation val="minMax"/>
          <c:max val="5"/>
          <c:min val="-5"/>
        </c:scaling>
        <c:delete val="0"/>
        <c:axPos val="l"/>
        <c:majorGridlines/>
        <c:numFmt formatCode="0" sourceLinked="0"/>
        <c:majorTickMark val="none"/>
        <c:minorTickMark val="none"/>
        <c:tickLblPos val="nextTo"/>
        <c:crossAx val="73527400"/>
        <c:crosses val="autoZero"/>
        <c:crossBetween val="between"/>
        <c:majorUnit val="1"/>
        <c:minorUnit val="1"/>
      </c:valAx>
    </c:plotArea>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AR" sz="1400"/>
              <a:t>Puntajes</a:t>
            </a:r>
            <a:r>
              <a:rPr lang="es-AR" sz="1400" baseline="0"/>
              <a:t> Z</a:t>
            </a:r>
          </a:p>
        </c:rich>
      </c:tx>
      <c:overlay val="0"/>
    </c:title>
    <c:autoTitleDeleted val="0"/>
    <c:plotArea>
      <c:layout/>
      <c:lineChart>
        <c:grouping val="standard"/>
        <c:varyColors val="0"/>
        <c:ser>
          <c:idx val="0"/>
          <c:order val="0"/>
          <c:tx>
            <c:strRef>
              <c:f>Gráficos!$B$1</c:f>
              <c:strCache>
                <c:ptCount val="1"/>
                <c:pt idx="0">
                  <c:v>ACTUAL</c:v>
                </c:pt>
              </c:strCache>
            </c:strRef>
          </c:tx>
          <c:cat>
            <c:strRef>
              <c:f>Gráficos!$A$2:$A$21</c:f>
              <c:strCache>
                <c:ptCount val="20"/>
                <c:pt idx="0">
                  <c:v>Recuerdo lnmediato (RALVT)</c:v>
                </c:pt>
                <c:pt idx="1">
                  <c:v>Evocación a Largo Plazo (RALVT)</c:v>
                </c:pt>
                <c:pt idx="2">
                  <c:v>Reconocimiento (RAVLT)</c:v>
                </c:pt>
                <c:pt idx="3">
                  <c:v>Recuerdo lnmediato (ML)</c:v>
                </c:pt>
                <c:pt idx="4">
                  <c:v>Evocación a Largo Plazo (ML)</c:v>
                </c:pt>
                <c:pt idx="5">
                  <c:v>Memoria Visual</c:v>
                </c:pt>
                <c:pt idx="6">
                  <c:v>Fluencia verbal semántica</c:v>
                </c:pt>
                <c:pt idx="7">
                  <c:v>Fluencia verbal fonológica</c:v>
                </c:pt>
                <c:pt idx="8">
                  <c:v>Denominación</c:v>
                </c:pt>
                <c:pt idx="9">
                  <c:v>Dígitos adelante</c:v>
                </c:pt>
                <c:pt idx="10">
                  <c:v>Recuerdo Inicial (RALVT)</c:v>
                </c:pt>
                <c:pt idx="11">
                  <c:v>Lista Distractora (RALVT)</c:v>
                </c:pt>
                <c:pt idx="12">
                  <c:v>Trail Making A</c:v>
                </c:pt>
                <c:pt idx="13">
                  <c:v>Trail Making B</c:v>
                </c:pt>
                <c:pt idx="14">
                  <c:v>Subíndice de Velocidad de Procesamiento (WAIS III)</c:v>
                </c:pt>
                <c:pt idx="15">
                  <c:v>Subíndice de Memoria Operativa (WAIS III)</c:v>
                </c:pt>
                <c:pt idx="16">
                  <c:v>Memoria de Trabajo</c:v>
                </c:pt>
                <c:pt idx="17">
                  <c:v>Flexibilidad cognitiva</c:v>
                </c:pt>
                <c:pt idx="18">
                  <c:v>Control inhibitorio verbal</c:v>
                </c:pt>
                <c:pt idx="19">
                  <c:v>Visuo-construcción (RCF)</c:v>
                </c:pt>
              </c:strCache>
            </c:strRef>
          </c:cat>
          <c:val>
            <c:numRef>
              <c:f>Gráficos!$B$2:$B$21</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formatCode="#,##0.00">
                  <c:v>0</c:v>
                </c:pt>
                <c:pt idx="15" formatCode="#,##0.00">
                  <c:v>0</c:v>
                </c:pt>
                <c:pt idx="16">
                  <c:v>0</c:v>
                </c:pt>
                <c:pt idx="17">
                  <c:v>0</c:v>
                </c:pt>
                <c:pt idx="18">
                  <c:v>0</c:v>
                </c:pt>
                <c:pt idx="19">
                  <c:v>0</c:v>
                </c:pt>
              </c:numCache>
            </c:numRef>
          </c:val>
          <c:smooth val="0"/>
          <c:extLst/>
        </c:ser>
        <c:ser>
          <c:idx val="1"/>
          <c:order val="1"/>
          <c:tx>
            <c:strRef>
              <c:f>Gráficos!$C$1</c:f>
              <c:strCache>
                <c:ptCount val="1"/>
                <c:pt idx="0">
                  <c:v>PREVIO</c:v>
                </c:pt>
              </c:strCache>
            </c:strRef>
          </c:tx>
          <c:spPr>
            <a:ln>
              <a:prstDash val="sysDot"/>
            </a:ln>
          </c:spPr>
          <c:cat>
            <c:strRef>
              <c:f>Gráficos!$A$2:$A$21</c:f>
              <c:strCache>
                <c:ptCount val="20"/>
                <c:pt idx="0">
                  <c:v>Recuerdo lnmediato (RALVT)</c:v>
                </c:pt>
                <c:pt idx="1">
                  <c:v>Evocación a Largo Plazo (RALVT)</c:v>
                </c:pt>
                <c:pt idx="2">
                  <c:v>Reconocimiento (RAVLT)</c:v>
                </c:pt>
                <c:pt idx="3">
                  <c:v>Recuerdo lnmediato (ML)</c:v>
                </c:pt>
                <c:pt idx="4">
                  <c:v>Evocación a Largo Plazo (ML)</c:v>
                </c:pt>
                <c:pt idx="5">
                  <c:v>Memoria Visual</c:v>
                </c:pt>
                <c:pt idx="6">
                  <c:v>Fluencia verbal semántica</c:v>
                </c:pt>
                <c:pt idx="7">
                  <c:v>Fluencia verbal fonológica</c:v>
                </c:pt>
                <c:pt idx="8">
                  <c:v>Denominación</c:v>
                </c:pt>
                <c:pt idx="9">
                  <c:v>Dígitos adelante</c:v>
                </c:pt>
                <c:pt idx="10">
                  <c:v>Recuerdo Inicial (RALVT)</c:v>
                </c:pt>
                <c:pt idx="11">
                  <c:v>Lista Distractora (RALVT)</c:v>
                </c:pt>
                <c:pt idx="12">
                  <c:v>Trail Making A</c:v>
                </c:pt>
                <c:pt idx="13">
                  <c:v>Trail Making B</c:v>
                </c:pt>
                <c:pt idx="14">
                  <c:v>Subíndice de Velocidad de Procesamiento (WAIS III)</c:v>
                </c:pt>
                <c:pt idx="15">
                  <c:v>Subíndice de Memoria Operativa (WAIS III)</c:v>
                </c:pt>
                <c:pt idx="16">
                  <c:v>Memoria de Trabajo</c:v>
                </c:pt>
                <c:pt idx="17">
                  <c:v>Flexibilidad cognitiva</c:v>
                </c:pt>
                <c:pt idx="18">
                  <c:v>Control inhibitorio verbal</c:v>
                </c:pt>
                <c:pt idx="19">
                  <c:v>Visuo-construcción (RCF)</c:v>
                </c:pt>
              </c:strCache>
            </c:strRef>
          </c:cat>
          <c:val>
            <c:numRef>
              <c:f>Gráficos!$C$2:$C$21</c:f>
              <c:numCache>
                <c:formatCode>0.00</c:formatCode>
                <c:ptCount val="20"/>
                <c:pt idx="0">
                  <c:v>0</c:v>
                </c:pt>
                <c:pt idx="1">
                  <c:v>0</c:v>
                </c:pt>
                <c:pt idx="2">
                  <c:v>0</c:v>
                </c:pt>
                <c:pt idx="3">
                  <c:v>0</c:v>
                </c:pt>
                <c:pt idx="4">
                  <c:v>0</c:v>
                </c:pt>
                <c:pt idx="5">
                  <c:v>0</c:v>
                </c:pt>
                <c:pt idx="6">
                  <c:v>0</c:v>
                </c:pt>
                <c:pt idx="7">
                  <c:v>0</c:v>
                </c:pt>
                <c:pt idx="9">
                  <c:v>0</c:v>
                </c:pt>
                <c:pt idx="10">
                  <c:v>0</c:v>
                </c:pt>
                <c:pt idx="11">
                  <c:v>0</c:v>
                </c:pt>
                <c:pt idx="12">
                  <c:v>0</c:v>
                </c:pt>
                <c:pt idx="13">
                  <c:v>0</c:v>
                </c:pt>
                <c:pt idx="14" formatCode="#,##0.00">
                  <c:v>0</c:v>
                </c:pt>
                <c:pt idx="15" formatCode="#,##0.00">
                  <c:v>0</c:v>
                </c:pt>
                <c:pt idx="16">
                  <c:v>0</c:v>
                </c:pt>
                <c:pt idx="17">
                  <c:v>0</c:v>
                </c:pt>
                <c:pt idx="18">
                  <c:v>0</c:v>
                </c:pt>
                <c:pt idx="19">
                  <c:v>0</c:v>
                </c:pt>
              </c:numCache>
            </c:numRef>
          </c:val>
          <c:smooth val="0"/>
        </c:ser>
        <c:dLbls>
          <c:showLegendKey val="0"/>
          <c:showVal val="0"/>
          <c:showCatName val="0"/>
          <c:showSerName val="0"/>
          <c:showPercent val="0"/>
          <c:showBubbleSize val="0"/>
        </c:dLbls>
        <c:marker val="1"/>
        <c:smooth val="0"/>
        <c:axId val="162073928"/>
        <c:axId val="162940864"/>
      </c:lineChart>
      <c:catAx>
        <c:axId val="162073928"/>
        <c:scaling>
          <c:orientation val="minMax"/>
        </c:scaling>
        <c:delete val="0"/>
        <c:axPos val="b"/>
        <c:numFmt formatCode="General" sourceLinked="1"/>
        <c:majorTickMark val="none"/>
        <c:minorTickMark val="none"/>
        <c:tickLblPos val="low"/>
        <c:txPr>
          <a:bodyPr rot="-5400000" vert="horz"/>
          <a:lstStyle/>
          <a:p>
            <a:pPr>
              <a:defRPr/>
            </a:pPr>
            <a:endParaRPr lang="es-ES"/>
          </a:p>
        </c:txPr>
        <c:crossAx val="162940864"/>
        <c:crosses val="autoZero"/>
        <c:auto val="1"/>
        <c:lblAlgn val="ctr"/>
        <c:lblOffset val="100"/>
        <c:noMultiLvlLbl val="0"/>
      </c:catAx>
      <c:valAx>
        <c:axId val="162940864"/>
        <c:scaling>
          <c:orientation val="minMax"/>
          <c:max val="5"/>
          <c:min val="-5"/>
        </c:scaling>
        <c:delete val="0"/>
        <c:axPos val="l"/>
        <c:majorGridlines/>
        <c:numFmt formatCode="0" sourceLinked="0"/>
        <c:majorTickMark val="none"/>
        <c:minorTickMark val="none"/>
        <c:tickLblPos val="nextTo"/>
        <c:crossAx val="162073928"/>
        <c:crosses val="autoZero"/>
        <c:crossBetween val="between"/>
        <c:majorUnit val="1"/>
        <c:minorUnit val="1"/>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a:lstStyle/>
        <a:p>
          <a:pPr>
            <a:defRPr sz="1400"/>
          </a:pPr>
          <a:endParaRPr lang="es-ES"/>
        </a:p>
      </c:txPr>
    </c:title>
    <c:autoTitleDeleted val="0"/>
    <c:plotArea>
      <c:layout/>
      <c:lineChart>
        <c:grouping val="standard"/>
        <c:varyColors val="0"/>
        <c:ser>
          <c:idx val="0"/>
          <c:order val="0"/>
          <c:tx>
            <c:strRef>
              <c:f>Gráficos!$A$1</c:f>
              <c:strCache>
                <c:ptCount val="1"/>
                <c:pt idx="0">
                  <c:v>Puntajes Z</c:v>
                </c:pt>
              </c:strCache>
            </c:strRef>
          </c:tx>
          <c:cat>
            <c:strRef>
              <c:f>Gráficos!$A$2:$A$21</c:f>
              <c:strCache>
                <c:ptCount val="20"/>
                <c:pt idx="0">
                  <c:v>Recuerdo lnmediato (RALVT)</c:v>
                </c:pt>
                <c:pt idx="1">
                  <c:v>Evocación a Largo Plazo (RALVT)</c:v>
                </c:pt>
                <c:pt idx="2">
                  <c:v>Reconocimiento (RAVLT)</c:v>
                </c:pt>
                <c:pt idx="3">
                  <c:v>Recuerdo lnmediato (ML)</c:v>
                </c:pt>
                <c:pt idx="4">
                  <c:v>Evocación a Largo Plazo (ML)</c:v>
                </c:pt>
                <c:pt idx="5">
                  <c:v>Memoria Visual</c:v>
                </c:pt>
                <c:pt idx="6">
                  <c:v>Fluencia verbal semántica</c:v>
                </c:pt>
                <c:pt idx="7">
                  <c:v>Fluencia verbal fonológica</c:v>
                </c:pt>
                <c:pt idx="8">
                  <c:v>Denominación</c:v>
                </c:pt>
                <c:pt idx="9">
                  <c:v>Dígitos adelante</c:v>
                </c:pt>
                <c:pt idx="10">
                  <c:v>Recuerdo Inicial (RALVT)</c:v>
                </c:pt>
                <c:pt idx="11">
                  <c:v>Lista Distractora (RALVT)</c:v>
                </c:pt>
                <c:pt idx="12">
                  <c:v>Trail Making A</c:v>
                </c:pt>
                <c:pt idx="13">
                  <c:v>Trail Making B</c:v>
                </c:pt>
                <c:pt idx="14">
                  <c:v>Subíndice de Velocidad de Procesamiento (WAIS III)</c:v>
                </c:pt>
                <c:pt idx="15">
                  <c:v>Subíndice de Memoria Operativa (WAIS III)</c:v>
                </c:pt>
                <c:pt idx="16">
                  <c:v>Memoria de Trabajo</c:v>
                </c:pt>
                <c:pt idx="17">
                  <c:v>Flexibilidad cognitiva</c:v>
                </c:pt>
                <c:pt idx="18">
                  <c:v>Control inhibitorio verbal</c:v>
                </c:pt>
                <c:pt idx="19">
                  <c:v>Visuo-construcción (RCF)</c:v>
                </c:pt>
              </c:strCache>
            </c:strRef>
          </c:cat>
          <c:val>
            <c:numRef>
              <c:f>Gráficos!$B$2:$B$21</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formatCode="#,##0.00">
                  <c:v>0</c:v>
                </c:pt>
                <c:pt idx="15" formatCode="#,##0.00">
                  <c:v>0</c:v>
                </c:pt>
                <c:pt idx="16">
                  <c:v>0</c:v>
                </c:pt>
                <c:pt idx="17">
                  <c:v>0</c:v>
                </c:pt>
                <c:pt idx="18">
                  <c:v>0</c:v>
                </c:pt>
                <c:pt idx="19">
                  <c:v>0</c:v>
                </c:pt>
              </c:numCache>
            </c:numRef>
          </c:val>
          <c:smooth val="0"/>
          <c:extLst/>
        </c:ser>
        <c:dLbls>
          <c:showLegendKey val="0"/>
          <c:showVal val="0"/>
          <c:showCatName val="0"/>
          <c:showSerName val="0"/>
          <c:showPercent val="0"/>
          <c:showBubbleSize val="0"/>
        </c:dLbls>
        <c:marker val="1"/>
        <c:smooth val="0"/>
        <c:axId val="163105856"/>
        <c:axId val="163741344"/>
      </c:lineChart>
      <c:catAx>
        <c:axId val="163105856"/>
        <c:scaling>
          <c:orientation val="minMax"/>
        </c:scaling>
        <c:delete val="0"/>
        <c:axPos val="b"/>
        <c:numFmt formatCode="General" sourceLinked="1"/>
        <c:majorTickMark val="none"/>
        <c:minorTickMark val="none"/>
        <c:tickLblPos val="low"/>
        <c:txPr>
          <a:bodyPr rot="-5400000" vert="horz"/>
          <a:lstStyle/>
          <a:p>
            <a:pPr>
              <a:defRPr/>
            </a:pPr>
            <a:endParaRPr lang="es-ES"/>
          </a:p>
        </c:txPr>
        <c:crossAx val="163741344"/>
        <c:crosses val="autoZero"/>
        <c:auto val="1"/>
        <c:lblAlgn val="ctr"/>
        <c:lblOffset val="100"/>
        <c:noMultiLvlLbl val="0"/>
      </c:catAx>
      <c:valAx>
        <c:axId val="163741344"/>
        <c:scaling>
          <c:orientation val="minMax"/>
          <c:max val="3"/>
          <c:min val="-3"/>
        </c:scaling>
        <c:delete val="0"/>
        <c:axPos val="l"/>
        <c:majorGridlines/>
        <c:numFmt formatCode="0" sourceLinked="0"/>
        <c:majorTickMark val="none"/>
        <c:minorTickMark val="none"/>
        <c:tickLblPos val="nextTo"/>
        <c:crossAx val="163105856"/>
        <c:crosses val="autoZero"/>
        <c:crossBetween val="between"/>
        <c:majorUnit val="1"/>
        <c:minorUnit val="1"/>
      </c:valAx>
    </c:plotArea>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AR" sz="1400"/>
              <a:t>Puntajes</a:t>
            </a:r>
            <a:r>
              <a:rPr lang="es-AR" sz="1400" baseline="0"/>
              <a:t> Z</a:t>
            </a:r>
          </a:p>
        </c:rich>
      </c:tx>
      <c:overlay val="0"/>
    </c:title>
    <c:autoTitleDeleted val="0"/>
    <c:plotArea>
      <c:layout/>
      <c:lineChart>
        <c:grouping val="standard"/>
        <c:varyColors val="0"/>
        <c:ser>
          <c:idx val="0"/>
          <c:order val="0"/>
          <c:tx>
            <c:strRef>
              <c:f>Gráficos!$B$1</c:f>
              <c:strCache>
                <c:ptCount val="1"/>
                <c:pt idx="0">
                  <c:v>ACTUAL</c:v>
                </c:pt>
              </c:strCache>
            </c:strRef>
          </c:tx>
          <c:cat>
            <c:strRef>
              <c:f>Gráficos!$A$2:$A$21</c:f>
              <c:strCache>
                <c:ptCount val="20"/>
                <c:pt idx="0">
                  <c:v>Recuerdo lnmediato (RALVT)</c:v>
                </c:pt>
                <c:pt idx="1">
                  <c:v>Evocación a Largo Plazo (RALVT)</c:v>
                </c:pt>
                <c:pt idx="2">
                  <c:v>Reconocimiento (RAVLT)</c:v>
                </c:pt>
                <c:pt idx="3">
                  <c:v>Recuerdo lnmediato (ML)</c:v>
                </c:pt>
                <c:pt idx="4">
                  <c:v>Evocación a Largo Plazo (ML)</c:v>
                </c:pt>
                <c:pt idx="5">
                  <c:v>Memoria Visual</c:v>
                </c:pt>
                <c:pt idx="6">
                  <c:v>Fluencia verbal semántica</c:v>
                </c:pt>
                <c:pt idx="7">
                  <c:v>Fluencia verbal fonológica</c:v>
                </c:pt>
                <c:pt idx="8">
                  <c:v>Denominación</c:v>
                </c:pt>
                <c:pt idx="9">
                  <c:v>Dígitos adelante</c:v>
                </c:pt>
                <c:pt idx="10">
                  <c:v>Recuerdo Inicial (RALVT)</c:v>
                </c:pt>
                <c:pt idx="11">
                  <c:v>Lista Distractora (RALVT)</c:v>
                </c:pt>
                <c:pt idx="12">
                  <c:v>Trail Making A</c:v>
                </c:pt>
                <c:pt idx="13">
                  <c:v>Trail Making B</c:v>
                </c:pt>
                <c:pt idx="14">
                  <c:v>Subíndice de Velocidad de Procesamiento (WAIS III)</c:v>
                </c:pt>
                <c:pt idx="15">
                  <c:v>Subíndice de Memoria Operativa (WAIS III)</c:v>
                </c:pt>
                <c:pt idx="16">
                  <c:v>Memoria de Trabajo</c:v>
                </c:pt>
                <c:pt idx="17">
                  <c:v>Flexibilidad cognitiva</c:v>
                </c:pt>
                <c:pt idx="18">
                  <c:v>Control inhibitorio verbal</c:v>
                </c:pt>
                <c:pt idx="19">
                  <c:v>Visuo-construcción (RCF)</c:v>
                </c:pt>
              </c:strCache>
            </c:strRef>
          </c:cat>
          <c:val>
            <c:numRef>
              <c:f>Gráficos!$B$2:$B$21</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formatCode="#,##0.00">
                  <c:v>0</c:v>
                </c:pt>
                <c:pt idx="15" formatCode="#,##0.00">
                  <c:v>0</c:v>
                </c:pt>
                <c:pt idx="16">
                  <c:v>0</c:v>
                </c:pt>
                <c:pt idx="17">
                  <c:v>0</c:v>
                </c:pt>
                <c:pt idx="18">
                  <c:v>0</c:v>
                </c:pt>
                <c:pt idx="19">
                  <c:v>0</c:v>
                </c:pt>
              </c:numCache>
            </c:numRef>
          </c:val>
          <c:smooth val="0"/>
          <c:extLst/>
        </c:ser>
        <c:ser>
          <c:idx val="1"/>
          <c:order val="1"/>
          <c:tx>
            <c:strRef>
              <c:f>Gráficos!$C$1</c:f>
              <c:strCache>
                <c:ptCount val="1"/>
                <c:pt idx="0">
                  <c:v>PREVIO</c:v>
                </c:pt>
              </c:strCache>
            </c:strRef>
          </c:tx>
          <c:spPr>
            <a:ln>
              <a:prstDash val="sysDot"/>
            </a:ln>
          </c:spPr>
          <c:cat>
            <c:strRef>
              <c:f>Gráficos!$A$2:$A$21</c:f>
              <c:strCache>
                <c:ptCount val="20"/>
                <c:pt idx="0">
                  <c:v>Recuerdo lnmediato (RALVT)</c:v>
                </c:pt>
                <c:pt idx="1">
                  <c:v>Evocación a Largo Plazo (RALVT)</c:v>
                </c:pt>
                <c:pt idx="2">
                  <c:v>Reconocimiento (RAVLT)</c:v>
                </c:pt>
                <c:pt idx="3">
                  <c:v>Recuerdo lnmediato (ML)</c:v>
                </c:pt>
                <c:pt idx="4">
                  <c:v>Evocación a Largo Plazo (ML)</c:v>
                </c:pt>
                <c:pt idx="5">
                  <c:v>Memoria Visual</c:v>
                </c:pt>
                <c:pt idx="6">
                  <c:v>Fluencia verbal semántica</c:v>
                </c:pt>
                <c:pt idx="7">
                  <c:v>Fluencia verbal fonológica</c:v>
                </c:pt>
                <c:pt idx="8">
                  <c:v>Denominación</c:v>
                </c:pt>
                <c:pt idx="9">
                  <c:v>Dígitos adelante</c:v>
                </c:pt>
                <c:pt idx="10">
                  <c:v>Recuerdo Inicial (RALVT)</c:v>
                </c:pt>
                <c:pt idx="11">
                  <c:v>Lista Distractora (RALVT)</c:v>
                </c:pt>
                <c:pt idx="12">
                  <c:v>Trail Making A</c:v>
                </c:pt>
                <c:pt idx="13">
                  <c:v>Trail Making B</c:v>
                </c:pt>
                <c:pt idx="14">
                  <c:v>Subíndice de Velocidad de Procesamiento (WAIS III)</c:v>
                </c:pt>
                <c:pt idx="15">
                  <c:v>Subíndice de Memoria Operativa (WAIS III)</c:v>
                </c:pt>
                <c:pt idx="16">
                  <c:v>Memoria de Trabajo</c:v>
                </c:pt>
                <c:pt idx="17">
                  <c:v>Flexibilidad cognitiva</c:v>
                </c:pt>
                <c:pt idx="18">
                  <c:v>Control inhibitorio verbal</c:v>
                </c:pt>
                <c:pt idx="19">
                  <c:v>Visuo-construcción (RCF)</c:v>
                </c:pt>
              </c:strCache>
            </c:strRef>
          </c:cat>
          <c:val>
            <c:numRef>
              <c:f>Gráficos!$C$2:$C$21</c:f>
              <c:numCache>
                <c:formatCode>0.00</c:formatCode>
                <c:ptCount val="20"/>
                <c:pt idx="0">
                  <c:v>0</c:v>
                </c:pt>
                <c:pt idx="1">
                  <c:v>0</c:v>
                </c:pt>
                <c:pt idx="2">
                  <c:v>0</c:v>
                </c:pt>
                <c:pt idx="3">
                  <c:v>0</c:v>
                </c:pt>
                <c:pt idx="4">
                  <c:v>0</c:v>
                </c:pt>
                <c:pt idx="5">
                  <c:v>0</c:v>
                </c:pt>
                <c:pt idx="6">
                  <c:v>0</c:v>
                </c:pt>
                <c:pt idx="7">
                  <c:v>0</c:v>
                </c:pt>
                <c:pt idx="9">
                  <c:v>0</c:v>
                </c:pt>
                <c:pt idx="10">
                  <c:v>0</c:v>
                </c:pt>
                <c:pt idx="11">
                  <c:v>0</c:v>
                </c:pt>
                <c:pt idx="12">
                  <c:v>0</c:v>
                </c:pt>
                <c:pt idx="13">
                  <c:v>0</c:v>
                </c:pt>
                <c:pt idx="14" formatCode="#,##0.00">
                  <c:v>0</c:v>
                </c:pt>
                <c:pt idx="15" formatCode="#,##0.00">
                  <c:v>0</c:v>
                </c:pt>
                <c:pt idx="16">
                  <c:v>0</c:v>
                </c:pt>
                <c:pt idx="17">
                  <c:v>0</c:v>
                </c:pt>
                <c:pt idx="18">
                  <c:v>0</c:v>
                </c:pt>
                <c:pt idx="19">
                  <c:v>0</c:v>
                </c:pt>
              </c:numCache>
            </c:numRef>
          </c:val>
          <c:smooth val="0"/>
        </c:ser>
        <c:dLbls>
          <c:showLegendKey val="0"/>
          <c:showVal val="0"/>
          <c:showCatName val="0"/>
          <c:showSerName val="0"/>
          <c:showPercent val="0"/>
          <c:showBubbleSize val="0"/>
        </c:dLbls>
        <c:marker val="1"/>
        <c:smooth val="0"/>
        <c:axId val="163144784"/>
        <c:axId val="163774160"/>
      </c:lineChart>
      <c:catAx>
        <c:axId val="163144784"/>
        <c:scaling>
          <c:orientation val="minMax"/>
        </c:scaling>
        <c:delete val="0"/>
        <c:axPos val="b"/>
        <c:numFmt formatCode="General" sourceLinked="1"/>
        <c:majorTickMark val="none"/>
        <c:minorTickMark val="none"/>
        <c:tickLblPos val="low"/>
        <c:txPr>
          <a:bodyPr rot="-5400000" vert="horz"/>
          <a:lstStyle/>
          <a:p>
            <a:pPr>
              <a:defRPr/>
            </a:pPr>
            <a:endParaRPr lang="es-ES"/>
          </a:p>
        </c:txPr>
        <c:crossAx val="163774160"/>
        <c:crosses val="autoZero"/>
        <c:auto val="1"/>
        <c:lblAlgn val="ctr"/>
        <c:lblOffset val="100"/>
        <c:noMultiLvlLbl val="0"/>
      </c:catAx>
      <c:valAx>
        <c:axId val="163774160"/>
        <c:scaling>
          <c:orientation val="minMax"/>
          <c:max val="3"/>
          <c:min val="-3"/>
        </c:scaling>
        <c:delete val="0"/>
        <c:axPos val="l"/>
        <c:majorGridlines/>
        <c:numFmt formatCode="0" sourceLinked="0"/>
        <c:majorTickMark val="none"/>
        <c:minorTickMark val="none"/>
        <c:tickLblPos val="nextTo"/>
        <c:crossAx val="163144784"/>
        <c:crosses val="autoZero"/>
        <c:crossBetween val="between"/>
        <c:majorUnit val="1"/>
        <c:minorUnit val="1"/>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228599</xdr:colOff>
      <xdr:row>2</xdr:row>
      <xdr:rowOff>9524</xdr:rowOff>
    </xdr:from>
    <xdr:to>
      <xdr:col>11</xdr:col>
      <xdr:colOff>371475</xdr:colOff>
      <xdr:row>24</xdr:row>
      <xdr:rowOff>104774</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28575</xdr:colOff>
      <xdr:row>2</xdr:row>
      <xdr:rowOff>9525</xdr:rowOff>
    </xdr:from>
    <xdr:to>
      <xdr:col>29</xdr:col>
      <xdr:colOff>171451</xdr:colOff>
      <xdr:row>24</xdr:row>
      <xdr:rowOff>104775</xdr:rowOff>
    </xdr:to>
    <xdr:graphicFrame macro="">
      <xdr:nvGraphicFramePr>
        <xdr:cNvPr id="4"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xdr:row>
      <xdr:rowOff>0</xdr:rowOff>
    </xdr:from>
    <xdr:to>
      <xdr:col>20</xdr:col>
      <xdr:colOff>142876</xdr:colOff>
      <xdr:row>24</xdr:row>
      <xdr:rowOff>95250</xdr:rowOff>
    </xdr:to>
    <xdr:graphicFrame macro="">
      <xdr:nvGraphicFramePr>
        <xdr:cNvPr id="7"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0</xdr:colOff>
      <xdr:row>2</xdr:row>
      <xdr:rowOff>0</xdr:rowOff>
    </xdr:from>
    <xdr:to>
      <xdr:col>38</xdr:col>
      <xdr:colOff>142876</xdr:colOff>
      <xdr:row>24</xdr:row>
      <xdr:rowOff>95250</xdr:rowOff>
    </xdr:to>
    <xdr:graphicFrame macro="">
      <xdr:nvGraphicFramePr>
        <xdr:cNvPr id="8"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0.04523</cdr:x>
      <cdr:y>0.44814</cdr:y>
    </cdr:from>
    <cdr:to>
      <cdr:x>0.98264</cdr:x>
      <cdr:y>0.58043</cdr:y>
    </cdr:to>
    <cdr:sp macro="" textlink="">
      <cdr:nvSpPr>
        <cdr:cNvPr id="2" name="Rectángulo 1"/>
        <cdr:cNvSpPr/>
      </cdr:nvSpPr>
      <cdr:spPr>
        <a:xfrm xmlns:a="http://schemas.openxmlformats.org/drawingml/2006/main">
          <a:off x="305936" y="1788454"/>
          <a:ext cx="6340641" cy="527977"/>
        </a:xfrm>
        <a:prstGeom xmlns:a="http://schemas.openxmlformats.org/drawingml/2006/main" prst="rect">
          <a:avLst/>
        </a:prstGeom>
        <a:solidFill xmlns:a="http://schemas.openxmlformats.org/drawingml/2006/main">
          <a:schemeClr val="bg1">
            <a:lumMod val="85000"/>
            <a:alpha val="38000"/>
          </a:schemeClr>
        </a:solidFill>
        <a:ln xmlns:a="http://schemas.openxmlformats.org/drawingml/2006/main">
          <a:noFill/>
        </a:l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s-ES"/>
        </a:p>
      </cdr:txBody>
    </cdr:sp>
  </cdr:relSizeAnchor>
  <cdr:relSizeAnchor xmlns:cdr="http://schemas.openxmlformats.org/drawingml/2006/chartDrawing">
    <cdr:from>
      <cdr:x>0.06954</cdr:x>
      <cdr:y>0.08204</cdr:y>
    </cdr:from>
    <cdr:to>
      <cdr:x>0.22949</cdr:x>
      <cdr:y>0.12195</cdr:y>
    </cdr:to>
    <cdr:sp macro="" textlink="">
      <cdr:nvSpPr>
        <cdr:cNvPr id="3" name="CuadroTexto 2"/>
        <cdr:cNvSpPr txBox="1"/>
      </cdr:nvSpPr>
      <cdr:spPr>
        <a:xfrm xmlns:a="http://schemas.openxmlformats.org/drawingml/2006/main">
          <a:off x="476251" y="352426"/>
          <a:ext cx="1095375" cy="171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s-ES" sz="1100"/>
        </a:p>
      </cdr:txBody>
    </cdr:sp>
  </cdr:relSizeAnchor>
  <cdr:relSizeAnchor xmlns:cdr="http://schemas.openxmlformats.org/drawingml/2006/chartDrawing">
    <cdr:from>
      <cdr:x>0.0765</cdr:x>
      <cdr:y>0.08647</cdr:y>
    </cdr:from>
    <cdr:to>
      <cdr:x>0.97079</cdr:x>
      <cdr:y>0.14191</cdr:y>
    </cdr:to>
    <cdr:sp macro="" textlink="">
      <cdr:nvSpPr>
        <cdr:cNvPr id="4" name="CuadroTexto 3"/>
        <cdr:cNvSpPr txBox="1"/>
      </cdr:nvSpPr>
      <cdr:spPr>
        <a:xfrm xmlns:a="http://schemas.openxmlformats.org/drawingml/2006/main">
          <a:off x="523875" y="371477"/>
          <a:ext cx="6124575" cy="2381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t>Memoria		Lenguaje		Atención</a:t>
          </a:r>
          <a:r>
            <a:rPr lang="es-ES" sz="1100" baseline="0"/>
            <a:t> 	FFEE                     FFVV</a:t>
          </a:r>
          <a:endParaRPr lang="es-ES" sz="1100"/>
        </a:p>
      </cdr:txBody>
    </cdr:sp>
  </cdr:relSizeAnchor>
</c:userShapes>
</file>

<file path=xl/drawings/drawing3.xml><?xml version="1.0" encoding="utf-8"?>
<c:userShapes xmlns:c="http://schemas.openxmlformats.org/drawingml/2006/chart">
  <cdr:relSizeAnchor xmlns:cdr="http://schemas.openxmlformats.org/drawingml/2006/chartDrawing">
    <cdr:from>
      <cdr:x>0.04402</cdr:x>
      <cdr:y>0.45045</cdr:y>
    </cdr:from>
    <cdr:to>
      <cdr:x>0.82909</cdr:x>
      <cdr:y>0.57686</cdr:y>
    </cdr:to>
    <cdr:sp macro="" textlink="">
      <cdr:nvSpPr>
        <cdr:cNvPr id="2" name="Rectángulo 1"/>
        <cdr:cNvSpPr/>
      </cdr:nvSpPr>
      <cdr:spPr>
        <a:xfrm xmlns:a="http://schemas.openxmlformats.org/drawingml/2006/main">
          <a:off x="297756" y="1797680"/>
          <a:ext cx="5310186" cy="504481"/>
        </a:xfrm>
        <a:prstGeom xmlns:a="http://schemas.openxmlformats.org/drawingml/2006/main" prst="rect">
          <a:avLst/>
        </a:prstGeom>
        <a:solidFill xmlns:a="http://schemas.openxmlformats.org/drawingml/2006/main">
          <a:schemeClr val="bg1">
            <a:lumMod val="85000"/>
            <a:alpha val="38000"/>
          </a:schemeClr>
        </a:solidFill>
        <a:ln xmlns:a="http://schemas.openxmlformats.org/drawingml/2006/main">
          <a:noFill/>
        </a:l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s-ES"/>
        </a:p>
      </cdr:txBody>
    </cdr:sp>
  </cdr:relSizeAnchor>
  <cdr:relSizeAnchor xmlns:cdr="http://schemas.openxmlformats.org/drawingml/2006/chartDrawing">
    <cdr:from>
      <cdr:x>0.03569</cdr:x>
      <cdr:y>0.08825</cdr:y>
    </cdr:from>
    <cdr:to>
      <cdr:x>0.83052</cdr:x>
      <cdr:y>0.14308</cdr:y>
    </cdr:to>
    <cdr:sp macro="" textlink="">
      <cdr:nvSpPr>
        <cdr:cNvPr id="3" name="CuadroTexto 1"/>
        <cdr:cNvSpPr txBox="1"/>
      </cdr:nvSpPr>
      <cdr:spPr>
        <a:xfrm xmlns:a="http://schemas.openxmlformats.org/drawingml/2006/main">
          <a:off x="241407" y="352180"/>
          <a:ext cx="5376230" cy="2188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ES" sz="1100"/>
            <a:t>      Memoria	        </a:t>
          </a:r>
          <a:r>
            <a:rPr lang="es-ES" sz="1100" baseline="0"/>
            <a:t>     </a:t>
          </a:r>
          <a:r>
            <a:rPr lang="es-ES" sz="1100"/>
            <a:t>Lenguaje</a:t>
          </a:r>
          <a:r>
            <a:rPr lang="es-ES" sz="1100" baseline="0"/>
            <a:t>                         </a:t>
          </a:r>
          <a:r>
            <a:rPr lang="es-ES" sz="1100"/>
            <a:t>Atención</a:t>
          </a:r>
          <a:r>
            <a:rPr lang="es-ES" sz="1100" baseline="0"/>
            <a:t> 	      FFEE                        FFVV</a:t>
          </a:r>
          <a:endParaRPr lang="es-ES" sz="1100"/>
        </a:p>
      </cdr:txBody>
    </cdr:sp>
  </cdr:relSizeAnchor>
</c:userShapes>
</file>

<file path=xl/drawings/drawing4.xml><?xml version="1.0" encoding="utf-8"?>
<c:userShapes xmlns:c="http://schemas.openxmlformats.org/drawingml/2006/chart">
  <cdr:relSizeAnchor xmlns:cdr="http://schemas.openxmlformats.org/drawingml/2006/chartDrawing">
    <cdr:from>
      <cdr:x>0.04523</cdr:x>
      <cdr:y>0.50773</cdr:y>
    </cdr:from>
    <cdr:to>
      <cdr:x>0.98264</cdr:x>
      <cdr:y>0.58043</cdr:y>
    </cdr:to>
    <cdr:sp macro="" textlink="">
      <cdr:nvSpPr>
        <cdr:cNvPr id="2" name="Rectángulo 1"/>
        <cdr:cNvSpPr/>
      </cdr:nvSpPr>
      <cdr:spPr>
        <a:xfrm xmlns:a="http://schemas.openxmlformats.org/drawingml/2006/main">
          <a:off x="305936" y="2026292"/>
          <a:ext cx="6340641" cy="290128"/>
        </a:xfrm>
        <a:prstGeom xmlns:a="http://schemas.openxmlformats.org/drawingml/2006/main" prst="rect">
          <a:avLst/>
        </a:prstGeom>
        <a:solidFill xmlns:a="http://schemas.openxmlformats.org/drawingml/2006/main">
          <a:schemeClr val="bg1">
            <a:lumMod val="85000"/>
            <a:alpha val="38000"/>
          </a:schemeClr>
        </a:solidFill>
        <a:ln xmlns:a="http://schemas.openxmlformats.org/drawingml/2006/main">
          <a:noFill/>
        </a:l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s-ES"/>
        </a:p>
      </cdr:txBody>
    </cdr:sp>
  </cdr:relSizeAnchor>
  <cdr:relSizeAnchor xmlns:cdr="http://schemas.openxmlformats.org/drawingml/2006/chartDrawing">
    <cdr:from>
      <cdr:x>0.06954</cdr:x>
      <cdr:y>0.08204</cdr:y>
    </cdr:from>
    <cdr:to>
      <cdr:x>0.22949</cdr:x>
      <cdr:y>0.12195</cdr:y>
    </cdr:to>
    <cdr:sp macro="" textlink="">
      <cdr:nvSpPr>
        <cdr:cNvPr id="3" name="CuadroTexto 2"/>
        <cdr:cNvSpPr txBox="1"/>
      </cdr:nvSpPr>
      <cdr:spPr>
        <a:xfrm xmlns:a="http://schemas.openxmlformats.org/drawingml/2006/main">
          <a:off x="476251" y="352426"/>
          <a:ext cx="1095375" cy="171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s-ES" sz="1100"/>
        </a:p>
      </cdr:txBody>
    </cdr:sp>
  </cdr:relSizeAnchor>
  <cdr:relSizeAnchor xmlns:cdr="http://schemas.openxmlformats.org/drawingml/2006/chartDrawing">
    <cdr:from>
      <cdr:x>0.0765</cdr:x>
      <cdr:y>0.08647</cdr:y>
    </cdr:from>
    <cdr:to>
      <cdr:x>0.97079</cdr:x>
      <cdr:y>0.14191</cdr:y>
    </cdr:to>
    <cdr:sp macro="" textlink="">
      <cdr:nvSpPr>
        <cdr:cNvPr id="4" name="CuadroTexto 3"/>
        <cdr:cNvSpPr txBox="1"/>
      </cdr:nvSpPr>
      <cdr:spPr>
        <a:xfrm xmlns:a="http://schemas.openxmlformats.org/drawingml/2006/main">
          <a:off x="523875" y="371477"/>
          <a:ext cx="6124575" cy="2381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t>Memoria		Lenguaje		Atención</a:t>
          </a:r>
          <a:r>
            <a:rPr lang="es-ES" sz="1100" baseline="0"/>
            <a:t> 	FFEE                     FFVV</a:t>
          </a:r>
          <a:endParaRPr lang="es-ES" sz="1100"/>
        </a:p>
      </cdr:txBody>
    </cdr:sp>
  </cdr:relSizeAnchor>
</c:userShapes>
</file>

<file path=xl/drawings/drawing5.xml><?xml version="1.0" encoding="utf-8"?>
<c:userShapes xmlns:c="http://schemas.openxmlformats.org/drawingml/2006/chart">
  <cdr:relSizeAnchor xmlns:cdr="http://schemas.openxmlformats.org/drawingml/2006/chartDrawing">
    <cdr:from>
      <cdr:x>0.04402</cdr:x>
      <cdr:y>0.45045</cdr:y>
    </cdr:from>
    <cdr:to>
      <cdr:x>0.82909</cdr:x>
      <cdr:y>0.57686</cdr:y>
    </cdr:to>
    <cdr:sp macro="" textlink="">
      <cdr:nvSpPr>
        <cdr:cNvPr id="2" name="Rectángulo 1"/>
        <cdr:cNvSpPr/>
      </cdr:nvSpPr>
      <cdr:spPr>
        <a:xfrm xmlns:a="http://schemas.openxmlformats.org/drawingml/2006/main">
          <a:off x="297756" y="1797680"/>
          <a:ext cx="5310186" cy="504481"/>
        </a:xfrm>
        <a:prstGeom xmlns:a="http://schemas.openxmlformats.org/drawingml/2006/main" prst="rect">
          <a:avLst/>
        </a:prstGeom>
        <a:solidFill xmlns:a="http://schemas.openxmlformats.org/drawingml/2006/main">
          <a:schemeClr val="bg1">
            <a:lumMod val="85000"/>
            <a:alpha val="38000"/>
          </a:schemeClr>
        </a:solidFill>
        <a:ln xmlns:a="http://schemas.openxmlformats.org/drawingml/2006/main">
          <a:noFill/>
        </a:l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s-ES"/>
        </a:p>
      </cdr:txBody>
    </cdr:sp>
  </cdr:relSizeAnchor>
  <cdr:relSizeAnchor xmlns:cdr="http://schemas.openxmlformats.org/drawingml/2006/chartDrawing">
    <cdr:from>
      <cdr:x>0.03569</cdr:x>
      <cdr:y>0.08825</cdr:y>
    </cdr:from>
    <cdr:to>
      <cdr:x>0.83052</cdr:x>
      <cdr:y>0.14308</cdr:y>
    </cdr:to>
    <cdr:sp macro="" textlink="">
      <cdr:nvSpPr>
        <cdr:cNvPr id="3" name="CuadroTexto 1"/>
        <cdr:cNvSpPr txBox="1"/>
      </cdr:nvSpPr>
      <cdr:spPr>
        <a:xfrm xmlns:a="http://schemas.openxmlformats.org/drawingml/2006/main">
          <a:off x="241407" y="352180"/>
          <a:ext cx="5376230" cy="2188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ES" sz="1100"/>
            <a:t>      Memoria	        </a:t>
          </a:r>
          <a:r>
            <a:rPr lang="es-ES" sz="1100" baseline="0"/>
            <a:t>     </a:t>
          </a:r>
          <a:r>
            <a:rPr lang="es-ES" sz="1100"/>
            <a:t>Lenguaje</a:t>
          </a:r>
          <a:r>
            <a:rPr lang="es-ES" sz="1100" baseline="0"/>
            <a:t>                         </a:t>
          </a:r>
          <a:r>
            <a:rPr lang="es-ES" sz="1100"/>
            <a:t>Atención</a:t>
          </a:r>
          <a:r>
            <a:rPr lang="es-ES" sz="1100" baseline="0"/>
            <a:t> 	      FFEE                        FFVV</a:t>
          </a:r>
          <a:endParaRPr lang="es-ES" sz="1100"/>
        </a:p>
      </cdr:txBody>
    </cdr:sp>
  </cdr:relSizeAnchor>
</c:userShape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hyperlink" Target="mailto:dbruno@ineco.org.ar" TargetMode="External"/><Relationship Id="rId2" Type="http://schemas.openxmlformats.org/officeDocument/2006/relationships/hyperlink" Target="mailto:ttorralva@ineco.org.ar" TargetMode="External"/><Relationship Id="rId1" Type="http://schemas.openxmlformats.org/officeDocument/2006/relationships/hyperlink" Target="mailto:mroca@ineco.org.ar" TargetMode="External"/><Relationship Id="rId5" Type="http://schemas.openxmlformats.org/officeDocument/2006/relationships/hyperlink" Target="mailto:pprado@ineco.org.ar" TargetMode="External"/><Relationship Id="rId4" Type="http://schemas.openxmlformats.org/officeDocument/2006/relationships/hyperlink" Target="mailto:cpinasco@ineco.org.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6"/>
  <sheetViews>
    <sheetView topLeftCell="A124" workbookViewId="0">
      <selection activeCell="A141" sqref="A141:B142"/>
    </sheetView>
  </sheetViews>
  <sheetFormatPr baseColWidth="10" defaultRowHeight="15.75"/>
  <cols>
    <col min="3" max="3" width="11.625" bestFit="1" customWidth="1"/>
    <col min="4" max="4" width="11.5" bestFit="1" customWidth="1"/>
    <col min="10" max="10" width="11.125" bestFit="1" customWidth="1"/>
    <col min="11" max="11" width="10.875" style="230"/>
  </cols>
  <sheetData>
    <row r="1" spans="1:20" ht="15" customHeight="1">
      <c r="A1" s="360" t="s">
        <v>41</v>
      </c>
      <c r="B1" s="360"/>
      <c r="C1" s="360"/>
      <c r="D1" s="360"/>
      <c r="E1" s="360"/>
      <c r="F1" s="360"/>
      <c r="G1" s="360"/>
      <c r="H1" s="360"/>
      <c r="I1" s="360"/>
      <c r="J1" s="360">
        <f>P11</f>
        <v>0</v>
      </c>
      <c r="L1" s="129" t="s">
        <v>441</v>
      </c>
      <c r="M1" s="129"/>
      <c r="N1" s="129"/>
      <c r="O1" s="129"/>
      <c r="P1" s="129"/>
      <c r="Q1" s="230"/>
      <c r="R1" s="230"/>
      <c r="S1" s="230"/>
      <c r="T1" s="230"/>
    </row>
    <row r="2" spans="1:20" ht="15" customHeight="1">
      <c r="A2" s="360"/>
      <c r="B2" s="360"/>
      <c r="C2" s="360"/>
      <c r="D2" s="360"/>
      <c r="E2" s="360"/>
      <c r="F2" s="360"/>
      <c r="G2" s="360"/>
      <c r="H2" s="360"/>
      <c r="I2" s="360"/>
      <c r="J2" s="360"/>
      <c r="L2" s="128" t="s">
        <v>362</v>
      </c>
      <c r="M2" s="128"/>
      <c r="N2" s="128"/>
      <c r="O2" s="128"/>
      <c r="P2" s="121">
        <f>E4+J4+F12+F17</f>
        <v>0</v>
      </c>
      <c r="Q2" s="240" t="s">
        <v>470</v>
      </c>
      <c r="R2" s="230"/>
      <c r="S2" s="230"/>
      <c r="T2" s="230"/>
    </row>
    <row r="3" spans="1:20">
      <c r="A3" s="230"/>
      <c r="B3" s="230"/>
      <c r="C3" s="230"/>
      <c r="D3" s="230"/>
      <c r="E3" s="230"/>
      <c r="F3" s="230"/>
      <c r="G3" s="230"/>
      <c r="H3" s="230"/>
      <c r="I3" s="230"/>
      <c r="J3" s="230"/>
      <c r="L3" s="128" t="s">
        <v>378</v>
      </c>
      <c r="M3" s="128"/>
      <c r="N3" s="128"/>
      <c r="O3" s="128"/>
      <c r="P3" s="121">
        <f>D23+E64+G72+C157+G167</f>
        <v>0</v>
      </c>
      <c r="Q3" s="240" t="s">
        <v>472</v>
      </c>
      <c r="R3" s="230"/>
      <c r="S3" s="230"/>
      <c r="T3" s="230"/>
    </row>
    <row r="4" spans="1:20" ht="16.5" thickBot="1">
      <c r="A4" s="349" t="s">
        <v>362</v>
      </c>
      <c r="B4" s="349"/>
      <c r="C4" s="349"/>
      <c r="D4" s="349"/>
      <c r="E4" s="111">
        <f>COUNTIF(A6:E6,"x")</f>
        <v>0</v>
      </c>
      <c r="F4" s="345" t="s">
        <v>362</v>
      </c>
      <c r="G4" s="349"/>
      <c r="H4" s="349"/>
      <c r="I4" s="349"/>
      <c r="J4" s="111">
        <f>COUNTIF(F6:J6,"x")</f>
        <v>0</v>
      </c>
      <c r="L4" s="128" t="s">
        <v>379</v>
      </c>
      <c r="M4" s="128"/>
      <c r="N4" s="128"/>
      <c r="O4" s="128"/>
      <c r="P4" s="121">
        <f>H28</f>
        <v>0</v>
      </c>
      <c r="Q4" s="240" t="s">
        <v>473</v>
      </c>
      <c r="R4" s="230"/>
      <c r="S4" s="230"/>
      <c r="T4" s="230"/>
    </row>
    <row r="5" spans="1:20">
      <c r="A5" s="116" t="s">
        <v>363</v>
      </c>
      <c r="B5" s="116" t="s">
        <v>364</v>
      </c>
      <c r="C5" s="116" t="s">
        <v>365</v>
      </c>
      <c r="D5" s="116" t="s">
        <v>366</v>
      </c>
      <c r="E5" s="117" t="s">
        <v>367</v>
      </c>
      <c r="F5" s="118" t="s">
        <v>368</v>
      </c>
      <c r="G5" s="116" t="s">
        <v>369</v>
      </c>
      <c r="H5" s="116" t="s">
        <v>370</v>
      </c>
      <c r="I5" s="116" t="s">
        <v>371</v>
      </c>
      <c r="J5" s="116" t="s">
        <v>372</v>
      </c>
      <c r="L5" s="128" t="s">
        <v>386</v>
      </c>
      <c r="M5" s="128"/>
      <c r="N5" s="128"/>
      <c r="O5" s="128"/>
      <c r="P5" s="121">
        <f>E77+E85+H91+E97+C103+E119+C127</f>
        <v>0</v>
      </c>
      <c r="Q5" s="240" t="s">
        <v>472</v>
      </c>
      <c r="R5" s="230"/>
      <c r="S5" s="230"/>
      <c r="T5" s="230"/>
    </row>
    <row r="6" spans="1:20">
      <c r="A6" s="106"/>
      <c r="B6" s="106"/>
      <c r="C6" s="106"/>
      <c r="D6" s="106"/>
      <c r="E6" s="112"/>
      <c r="F6" s="114"/>
      <c r="G6" s="106"/>
      <c r="H6" s="106"/>
      <c r="I6" s="106"/>
      <c r="J6" s="106"/>
      <c r="L6" s="342" t="s">
        <v>442</v>
      </c>
      <c r="M6" s="342"/>
      <c r="N6" s="342"/>
      <c r="O6" s="342"/>
      <c r="P6" s="121">
        <f>C138+C139+C141+C142+F141</f>
        <v>0</v>
      </c>
      <c r="Q6" s="240" t="s">
        <v>474</v>
      </c>
      <c r="R6" s="230"/>
      <c r="S6" s="230"/>
      <c r="T6" s="230"/>
    </row>
    <row r="7" spans="1:20">
      <c r="A7" s="14" t="s">
        <v>541</v>
      </c>
      <c r="F7" s="113"/>
      <c r="G7" s="230"/>
      <c r="H7" s="230"/>
      <c r="I7" s="230"/>
      <c r="J7" s="230"/>
      <c r="L7" s="347"/>
      <c r="M7" s="347"/>
      <c r="N7" s="347"/>
      <c r="O7" s="347"/>
      <c r="P7" s="108"/>
      <c r="Q7" s="230"/>
      <c r="R7" s="230"/>
      <c r="S7" s="230"/>
      <c r="T7" s="230"/>
    </row>
    <row r="8" spans="1:20">
      <c r="A8" s="230"/>
      <c r="B8" s="230"/>
      <c r="C8" s="230"/>
      <c r="D8" s="230"/>
      <c r="E8" s="230"/>
      <c r="F8" s="230"/>
      <c r="G8" s="230"/>
      <c r="H8" s="230"/>
      <c r="I8" s="230"/>
      <c r="J8" s="230"/>
      <c r="L8" s="332"/>
      <c r="M8" s="332"/>
      <c r="N8" s="332"/>
      <c r="O8" s="332"/>
      <c r="P8" s="108"/>
      <c r="Q8" s="230"/>
      <c r="R8" s="230"/>
      <c r="S8" s="230"/>
      <c r="T8" s="230"/>
    </row>
    <row r="9" spans="1:20">
      <c r="A9" s="334" t="s">
        <v>857</v>
      </c>
      <c r="B9" s="7"/>
      <c r="C9" s="230"/>
      <c r="D9" s="230"/>
      <c r="E9" s="230"/>
      <c r="F9" s="230"/>
      <c r="G9" s="230"/>
      <c r="H9" s="230"/>
      <c r="I9" s="230"/>
      <c r="J9" s="230"/>
      <c r="L9" s="343"/>
      <c r="M9" s="343"/>
      <c r="N9" s="343"/>
      <c r="O9" s="343"/>
      <c r="P9" s="239"/>
      <c r="Q9" s="230"/>
      <c r="R9" s="230"/>
      <c r="S9" s="230"/>
      <c r="T9" s="230"/>
    </row>
    <row r="10" spans="1:20">
      <c r="A10" s="230"/>
      <c r="B10" s="230"/>
      <c r="C10" s="230"/>
      <c r="D10" s="230"/>
      <c r="E10" s="230"/>
      <c r="F10" s="237"/>
      <c r="G10" s="230"/>
      <c r="H10" s="230"/>
      <c r="I10" s="230"/>
      <c r="J10" s="230"/>
      <c r="L10" s="331"/>
      <c r="M10" s="331"/>
      <c r="N10" s="331"/>
      <c r="O10" s="331"/>
      <c r="P10" s="239"/>
      <c r="Q10" s="230"/>
      <c r="R10" s="230"/>
      <c r="S10" s="230"/>
      <c r="T10" s="230"/>
    </row>
    <row r="11" spans="1:20">
      <c r="A11" s="345" t="s">
        <v>362</v>
      </c>
      <c r="B11" s="345"/>
      <c r="C11" s="345"/>
      <c r="D11" s="345"/>
      <c r="E11" s="75"/>
      <c r="F11" s="75"/>
      <c r="G11" s="230"/>
      <c r="H11" s="230"/>
      <c r="I11" s="230"/>
      <c r="J11" s="230"/>
      <c r="L11" s="341" t="s">
        <v>462</v>
      </c>
      <c r="M11" s="341"/>
      <c r="N11" s="341"/>
      <c r="O11" s="341"/>
      <c r="P11" s="121">
        <f>P2+P3+P4+P5+P6</f>
        <v>0</v>
      </c>
      <c r="Q11" s="240" t="s">
        <v>471</v>
      </c>
      <c r="R11" s="230"/>
      <c r="S11" s="230"/>
      <c r="T11" s="230"/>
    </row>
    <row r="12" spans="1:20">
      <c r="A12" s="119" t="s">
        <v>373</v>
      </c>
      <c r="B12" s="119" t="s">
        <v>374</v>
      </c>
      <c r="C12" s="119" t="s">
        <v>375</v>
      </c>
      <c r="D12" s="348" t="s">
        <v>376</v>
      </c>
      <c r="E12" s="348"/>
      <c r="F12" s="361">
        <f>COUNTIF(A13:C13,"X")</f>
        <v>0</v>
      </c>
      <c r="G12" s="230"/>
      <c r="H12" s="230"/>
      <c r="I12" s="230"/>
      <c r="J12" s="230"/>
      <c r="L12" s="230"/>
      <c r="M12" s="230"/>
      <c r="N12" s="230"/>
      <c r="O12" s="230"/>
      <c r="P12" s="230"/>
      <c r="Q12" s="230"/>
      <c r="R12" s="230"/>
      <c r="S12" s="230"/>
      <c r="T12" s="230"/>
    </row>
    <row r="13" spans="1:20">
      <c r="A13" s="106"/>
      <c r="B13" s="106"/>
      <c r="C13" s="106"/>
      <c r="D13" s="364"/>
      <c r="E13" s="364"/>
      <c r="F13" s="362"/>
      <c r="G13" s="232" t="s">
        <v>542</v>
      </c>
      <c r="H13" s="230"/>
      <c r="I13" s="230"/>
      <c r="J13" s="230"/>
      <c r="L13" s="230"/>
      <c r="M13" s="230"/>
      <c r="N13" s="230"/>
      <c r="O13" s="230"/>
      <c r="P13" s="230"/>
      <c r="Q13" s="230"/>
      <c r="R13" s="230"/>
      <c r="S13" s="230"/>
      <c r="T13" s="230"/>
    </row>
    <row r="14" spans="1:20">
      <c r="A14" s="230"/>
      <c r="B14" s="230"/>
      <c r="C14" s="230"/>
      <c r="D14" s="230"/>
      <c r="E14" s="230"/>
      <c r="F14" s="230"/>
      <c r="G14" s="230"/>
      <c r="H14" s="230"/>
      <c r="I14" s="230"/>
      <c r="J14" s="230"/>
      <c r="L14" s="230"/>
      <c r="M14" s="230"/>
      <c r="N14" s="230"/>
      <c r="O14" s="230"/>
      <c r="P14" s="230"/>
      <c r="Q14" s="230"/>
      <c r="R14" s="230"/>
      <c r="S14" s="230"/>
      <c r="T14" s="230"/>
    </row>
    <row r="15" spans="1:20">
      <c r="A15" s="334" t="s">
        <v>857</v>
      </c>
      <c r="B15" s="7"/>
      <c r="C15" s="230"/>
      <c r="D15" s="230"/>
      <c r="E15" s="230"/>
      <c r="F15" s="230"/>
      <c r="G15" s="230"/>
      <c r="H15" s="230"/>
      <c r="I15" s="230"/>
      <c r="J15" s="230"/>
      <c r="L15" s="230"/>
      <c r="M15" s="230"/>
      <c r="N15" s="230"/>
      <c r="O15" s="230"/>
      <c r="P15" s="230"/>
      <c r="Q15" s="230"/>
      <c r="R15" s="230"/>
      <c r="S15" s="230"/>
      <c r="T15" s="230"/>
    </row>
    <row r="16" spans="1:20">
      <c r="A16" s="230"/>
      <c r="B16" s="230"/>
      <c r="C16" s="230"/>
      <c r="D16" s="230"/>
      <c r="E16" s="230"/>
      <c r="F16" s="230"/>
      <c r="G16" s="230"/>
      <c r="H16" s="230"/>
      <c r="I16" s="230"/>
      <c r="J16" s="230"/>
      <c r="L16" s="230"/>
      <c r="M16" s="230"/>
      <c r="N16" s="230"/>
      <c r="O16" s="230"/>
      <c r="P16" s="230"/>
      <c r="Q16" s="230"/>
      <c r="R16" s="230"/>
      <c r="S16" s="230"/>
      <c r="T16" s="230"/>
    </row>
    <row r="17" spans="1:20">
      <c r="A17" s="116" t="s">
        <v>377</v>
      </c>
      <c r="B17" s="116">
        <v>86</v>
      </c>
      <c r="C17" s="116">
        <v>79</v>
      </c>
      <c r="D17" s="116">
        <v>72</v>
      </c>
      <c r="E17" s="116">
        <v>65</v>
      </c>
      <c r="F17" s="361">
        <f>AUX!F45</f>
        <v>0</v>
      </c>
      <c r="G17" s="230"/>
      <c r="H17" s="230"/>
      <c r="I17" s="230"/>
      <c r="J17" s="230"/>
      <c r="L17" s="239"/>
      <c r="M17" s="239"/>
      <c r="N17" s="239"/>
      <c r="O17" s="239"/>
      <c r="P17" s="239"/>
      <c r="Q17" s="230"/>
      <c r="R17" s="230"/>
      <c r="S17" s="230"/>
      <c r="T17" s="230"/>
    </row>
    <row r="18" spans="1:20">
      <c r="A18" s="140"/>
      <c r="B18" s="140"/>
      <c r="C18" s="140"/>
      <c r="D18" s="140"/>
      <c r="E18" s="140"/>
      <c r="F18" s="362"/>
      <c r="G18" s="230" t="s">
        <v>540</v>
      </c>
      <c r="H18" s="230"/>
      <c r="I18" s="230"/>
      <c r="J18" s="230"/>
      <c r="L18" s="239"/>
      <c r="M18" s="239"/>
      <c r="N18" s="239"/>
      <c r="O18" s="239"/>
      <c r="P18" s="239"/>
      <c r="Q18" s="230"/>
      <c r="R18" s="230"/>
      <c r="S18" s="230"/>
      <c r="T18" s="230"/>
    </row>
    <row r="19" spans="1:20">
      <c r="A19" s="230"/>
      <c r="B19" s="230"/>
      <c r="C19" s="230"/>
      <c r="D19" s="230"/>
      <c r="E19" s="230"/>
      <c r="F19" s="230"/>
      <c r="G19" s="230"/>
      <c r="H19" s="230"/>
      <c r="I19" s="230"/>
      <c r="J19" s="230"/>
      <c r="L19" s="239"/>
      <c r="M19" s="239"/>
      <c r="N19" s="239"/>
      <c r="O19" s="239"/>
      <c r="P19" s="239"/>
      <c r="Q19" s="230"/>
      <c r="R19" s="230"/>
      <c r="S19" s="230"/>
      <c r="T19" s="230"/>
    </row>
    <row r="20" spans="1:20">
      <c r="A20" s="334" t="s">
        <v>857</v>
      </c>
      <c r="B20" s="7"/>
      <c r="C20" s="230"/>
      <c r="D20" s="230"/>
      <c r="E20" s="230"/>
      <c r="F20" s="230"/>
      <c r="G20" s="230"/>
      <c r="H20" s="230"/>
      <c r="I20" s="230"/>
      <c r="J20" s="230"/>
      <c r="L20" s="239"/>
      <c r="M20" s="239"/>
      <c r="N20" s="239"/>
      <c r="O20" s="239"/>
      <c r="P20" s="239"/>
      <c r="Q20" s="230"/>
      <c r="R20" s="230"/>
      <c r="S20" s="230"/>
      <c r="T20" s="230"/>
    </row>
    <row r="21" spans="1:20">
      <c r="A21" s="230"/>
      <c r="B21" s="230"/>
      <c r="C21" s="230"/>
      <c r="D21" s="230"/>
      <c r="E21" s="230"/>
      <c r="F21" s="230"/>
      <c r="G21" s="230"/>
      <c r="H21" s="230"/>
      <c r="I21" s="230"/>
      <c r="J21" s="230"/>
      <c r="L21" s="239"/>
      <c r="M21" s="239"/>
      <c r="N21" s="239"/>
      <c r="O21" s="239"/>
      <c r="P21" s="239"/>
      <c r="Q21" s="230"/>
      <c r="R21" s="230"/>
      <c r="S21" s="230"/>
      <c r="T21" s="230"/>
    </row>
    <row r="22" spans="1:20">
      <c r="A22" s="345" t="s">
        <v>477</v>
      </c>
      <c r="B22" s="345"/>
      <c r="C22" s="345"/>
      <c r="D22" s="345"/>
      <c r="E22" s="230"/>
      <c r="F22" s="230"/>
      <c r="G22" s="230"/>
      <c r="H22" s="230"/>
      <c r="I22" s="230"/>
      <c r="J22" s="230"/>
      <c r="L22" s="239"/>
      <c r="M22" s="239"/>
      <c r="N22" s="239"/>
      <c r="O22" s="239"/>
      <c r="P22" s="239"/>
      <c r="Q22" s="230"/>
      <c r="R22" s="230"/>
      <c r="S22" s="230"/>
      <c r="T22" s="230"/>
    </row>
    <row r="23" spans="1:20">
      <c r="A23" s="116" t="s">
        <v>373</v>
      </c>
      <c r="B23" s="116" t="s">
        <v>374</v>
      </c>
      <c r="C23" s="116" t="s">
        <v>375</v>
      </c>
      <c r="D23" s="361">
        <f>COUNTIF(A24:C24,"X")</f>
        <v>0</v>
      </c>
      <c r="E23" s="230"/>
      <c r="F23" s="230"/>
      <c r="G23" s="230"/>
      <c r="H23" s="230"/>
      <c r="I23" s="230"/>
      <c r="J23" s="230"/>
      <c r="L23" s="239"/>
      <c r="M23" s="239"/>
      <c r="N23" s="239"/>
      <c r="O23" s="239"/>
      <c r="P23" s="239"/>
      <c r="Q23" s="230"/>
      <c r="R23" s="230"/>
      <c r="S23" s="230"/>
      <c r="T23" s="230"/>
    </row>
    <row r="24" spans="1:20">
      <c r="A24" s="115"/>
      <c r="B24" s="115"/>
      <c r="C24" s="115"/>
      <c r="D24" s="362"/>
      <c r="E24" s="232" t="s">
        <v>542</v>
      </c>
      <c r="F24" s="230"/>
      <c r="G24" s="230"/>
      <c r="H24" s="230"/>
      <c r="I24" s="230"/>
      <c r="J24" s="230"/>
      <c r="L24" s="239"/>
      <c r="M24" s="239"/>
      <c r="N24" s="239"/>
      <c r="O24" s="239"/>
      <c r="P24" s="239"/>
      <c r="Q24" s="230"/>
      <c r="R24" s="230"/>
      <c r="S24" s="230"/>
      <c r="T24" s="230"/>
    </row>
    <row r="25" spans="1:20">
      <c r="A25" s="115"/>
      <c r="B25" s="115"/>
      <c r="C25" s="333"/>
      <c r="D25" s="336"/>
      <c r="E25" s="232"/>
      <c r="F25" s="230"/>
      <c r="G25" s="230"/>
      <c r="H25" s="230"/>
      <c r="I25" s="230"/>
      <c r="J25" s="230"/>
      <c r="L25" s="239"/>
      <c r="M25" s="239"/>
      <c r="N25" s="239"/>
      <c r="O25" s="239"/>
      <c r="P25" s="239"/>
      <c r="Q25" s="230"/>
      <c r="R25" s="230"/>
      <c r="S25" s="230"/>
      <c r="T25" s="230"/>
    </row>
    <row r="26" spans="1:20">
      <c r="A26" s="334" t="s">
        <v>857</v>
      </c>
      <c r="B26" s="7"/>
      <c r="C26" s="230"/>
      <c r="D26" s="230"/>
      <c r="E26" s="230"/>
      <c r="F26" s="230"/>
      <c r="G26" s="230"/>
      <c r="H26" s="230"/>
      <c r="I26" s="230"/>
      <c r="J26" s="230"/>
      <c r="L26" s="239"/>
      <c r="M26" s="239"/>
      <c r="N26" s="239"/>
      <c r="O26" s="239"/>
      <c r="P26" s="239"/>
      <c r="Q26" s="230"/>
      <c r="R26" s="230"/>
      <c r="S26" s="230"/>
      <c r="T26" s="230"/>
    </row>
    <row r="27" spans="1:20">
      <c r="A27" s="230"/>
      <c r="B27" s="230"/>
      <c r="C27" s="230"/>
      <c r="D27" s="230"/>
      <c r="E27" s="230"/>
      <c r="F27" s="230"/>
      <c r="G27" s="230"/>
      <c r="H27" s="230"/>
      <c r="I27" s="230"/>
      <c r="J27" s="230"/>
      <c r="L27" s="239"/>
      <c r="M27" s="239"/>
      <c r="N27" s="239"/>
      <c r="O27" s="239"/>
      <c r="P27" s="239"/>
      <c r="Q27" s="230"/>
      <c r="R27" s="230"/>
      <c r="S27" s="230"/>
      <c r="T27" s="230"/>
    </row>
    <row r="28" spans="1:20">
      <c r="A28" s="349" t="s">
        <v>379</v>
      </c>
      <c r="B28" s="349"/>
      <c r="C28" s="349"/>
      <c r="D28" s="349"/>
      <c r="E28" s="349"/>
      <c r="F28" s="349"/>
      <c r="G28" s="349"/>
      <c r="H28" s="110">
        <f>D51+H51</f>
        <v>0</v>
      </c>
      <c r="I28" s="230"/>
      <c r="J28" s="230"/>
      <c r="L28" s="239"/>
      <c r="M28" s="239"/>
      <c r="N28" s="239"/>
      <c r="O28" s="239"/>
      <c r="P28" s="239"/>
      <c r="Q28" s="230"/>
      <c r="R28" s="230"/>
      <c r="S28" s="230"/>
      <c r="T28" s="230"/>
    </row>
    <row r="29" spans="1:20">
      <c r="A29" s="348" t="s">
        <v>380</v>
      </c>
      <c r="B29" s="348"/>
      <c r="C29" s="348"/>
      <c r="D29" s="348"/>
      <c r="E29" s="348" t="s">
        <v>381</v>
      </c>
      <c r="F29" s="348"/>
      <c r="G29" s="348"/>
      <c r="H29" s="348"/>
      <c r="I29" s="230"/>
      <c r="J29" s="230"/>
      <c r="L29" s="239"/>
      <c r="M29" s="239"/>
      <c r="N29" s="239"/>
      <c r="O29" s="239"/>
      <c r="P29" s="239"/>
      <c r="Q29" s="230"/>
      <c r="R29" s="230"/>
      <c r="S29" s="230"/>
      <c r="T29" s="230"/>
    </row>
    <row r="30" spans="1:20">
      <c r="A30" s="126" t="s">
        <v>382</v>
      </c>
      <c r="B30" s="126" t="s">
        <v>383</v>
      </c>
      <c r="C30" s="126" t="s">
        <v>384</v>
      </c>
      <c r="D30" s="126" t="s">
        <v>385</v>
      </c>
      <c r="E30" s="126" t="s">
        <v>382</v>
      </c>
      <c r="F30" s="126" t="s">
        <v>383</v>
      </c>
      <c r="G30" s="126" t="s">
        <v>384</v>
      </c>
      <c r="H30" s="126" t="s">
        <v>385</v>
      </c>
      <c r="I30" s="230"/>
      <c r="J30" s="230"/>
      <c r="L30" s="230"/>
      <c r="M30" s="230"/>
      <c r="N30" s="230"/>
      <c r="O30" s="230"/>
      <c r="P30" s="230"/>
      <c r="Q30" s="230"/>
      <c r="R30" s="230"/>
      <c r="S30" s="230"/>
      <c r="T30" s="230"/>
    </row>
    <row r="31" spans="1:20">
      <c r="A31" s="140"/>
      <c r="B31" s="140"/>
      <c r="C31" s="140"/>
      <c r="D31" s="140"/>
      <c r="E31" s="140"/>
      <c r="F31" s="140"/>
      <c r="G31" s="140"/>
      <c r="H31" s="140"/>
      <c r="I31" s="230" t="s">
        <v>548</v>
      </c>
      <c r="J31" s="230"/>
      <c r="L31" s="230"/>
      <c r="M31" s="230"/>
      <c r="N31" s="230"/>
      <c r="O31" s="230"/>
      <c r="P31" s="230"/>
      <c r="Q31" s="230"/>
      <c r="R31" s="230"/>
      <c r="S31" s="230"/>
      <c r="T31" s="230"/>
    </row>
    <row r="32" spans="1:20">
      <c r="A32" s="141"/>
      <c r="B32" s="141"/>
      <c r="C32" s="141"/>
      <c r="D32" s="141"/>
      <c r="E32" s="141"/>
      <c r="F32" s="141"/>
      <c r="G32" s="141"/>
      <c r="H32" s="141"/>
      <c r="I32" s="230"/>
      <c r="J32" s="230"/>
      <c r="L32" s="230"/>
      <c r="M32" s="230"/>
      <c r="N32" s="230"/>
      <c r="O32" s="230"/>
      <c r="P32" s="230"/>
      <c r="Q32" s="230"/>
      <c r="R32" s="230"/>
      <c r="S32" s="230"/>
      <c r="T32" s="230"/>
    </row>
    <row r="33" spans="1:20">
      <c r="A33" s="141"/>
      <c r="B33" s="141"/>
      <c r="C33" s="141"/>
      <c r="D33" s="141"/>
      <c r="E33" s="141"/>
      <c r="F33" s="141"/>
      <c r="G33" s="141"/>
      <c r="H33" s="141"/>
      <c r="I33" s="230"/>
      <c r="J33" s="230"/>
      <c r="L33" s="230"/>
      <c r="M33" s="230"/>
      <c r="N33" s="230"/>
      <c r="O33" s="230"/>
      <c r="P33" s="230"/>
      <c r="Q33" s="230"/>
      <c r="R33" s="230"/>
      <c r="S33" s="230"/>
      <c r="T33" s="230"/>
    </row>
    <row r="34" spans="1:20">
      <c r="A34" s="141"/>
      <c r="B34" s="141"/>
      <c r="C34" s="141"/>
      <c r="D34" s="141"/>
      <c r="E34" s="141"/>
      <c r="F34" s="141"/>
      <c r="G34" s="141"/>
      <c r="H34" s="141"/>
      <c r="I34" s="230"/>
      <c r="J34" s="230"/>
      <c r="L34" s="230"/>
      <c r="M34" s="230"/>
      <c r="N34" s="230"/>
      <c r="O34" s="230"/>
      <c r="P34" s="230"/>
      <c r="Q34" s="230"/>
      <c r="R34" s="230"/>
      <c r="S34" s="230"/>
      <c r="T34" s="230"/>
    </row>
    <row r="35" spans="1:20">
      <c r="A35" s="141"/>
      <c r="B35" s="141"/>
      <c r="C35" s="141"/>
      <c r="D35" s="141"/>
      <c r="E35" s="141"/>
      <c r="F35" s="141"/>
      <c r="G35" s="141"/>
      <c r="H35" s="141"/>
      <c r="I35" s="230"/>
      <c r="J35" s="230"/>
      <c r="L35" s="230"/>
      <c r="M35" s="230"/>
      <c r="N35" s="230"/>
      <c r="O35" s="230"/>
      <c r="P35" s="230"/>
      <c r="Q35" s="230"/>
      <c r="R35" s="230"/>
      <c r="S35" s="230"/>
      <c r="T35" s="230"/>
    </row>
    <row r="36" spans="1:20">
      <c r="A36" s="141"/>
      <c r="B36" s="141"/>
      <c r="C36" s="141"/>
      <c r="D36" s="141"/>
      <c r="E36" s="141"/>
      <c r="F36" s="141"/>
      <c r="G36" s="141"/>
      <c r="H36" s="141"/>
      <c r="I36" s="230"/>
      <c r="J36" s="230"/>
      <c r="L36" s="230"/>
      <c r="M36" s="230"/>
      <c r="N36" s="230"/>
      <c r="O36" s="230"/>
      <c r="P36" s="230"/>
      <c r="Q36" s="230"/>
      <c r="R36" s="230"/>
      <c r="S36" s="230"/>
      <c r="T36" s="230"/>
    </row>
    <row r="37" spans="1:20">
      <c r="A37" s="141"/>
      <c r="B37" s="141"/>
      <c r="C37" s="141"/>
      <c r="D37" s="141"/>
      <c r="E37" s="141"/>
      <c r="F37" s="141"/>
      <c r="G37" s="141"/>
      <c r="H37" s="141"/>
      <c r="I37" s="230"/>
      <c r="J37" s="230"/>
      <c r="L37" s="230"/>
      <c r="M37" s="230"/>
      <c r="N37" s="230"/>
      <c r="O37" s="230"/>
      <c r="P37" s="230"/>
      <c r="Q37" s="230"/>
      <c r="R37" s="230"/>
      <c r="S37" s="230"/>
      <c r="T37" s="230"/>
    </row>
    <row r="38" spans="1:20">
      <c r="A38" s="141"/>
      <c r="B38" s="141"/>
      <c r="C38" s="141"/>
      <c r="D38" s="141"/>
      <c r="E38" s="141"/>
      <c r="F38" s="141"/>
      <c r="G38" s="141"/>
      <c r="H38" s="141"/>
      <c r="I38" s="230"/>
      <c r="J38" s="230"/>
      <c r="L38" s="230"/>
      <c r="M38" s="230"/>
      <c r="N38" s="230"/>
      <c r="O38" s="230"/>
      <c r="P38" s="230"/>
      <c r="Q38" s="230"/>
      <c r="R38" s="230"/>
      <c r="S38" s="230"/>
      <c r="T38" s="230"/>
    </row>
    <row r="39" spans="1:20">
      <c r="A39" s="141"/>
      <c r="B39" s="141"/>
      <c r="C39" s="141"/>
      <c r="D39" s="141"/>
      <c r="E39" s="141"/>
      <c r="F39" s="141"/>
      <c r="G39" s="141"/>
      <c r="H39" s="141"/>
      <c r="I39" s="230"/>
      <c r="J39" s="230"/>
      <c r="L39" s="230"/>
      <c r="M39" s="230"/>
      <c r="N39" s="230"/>
      <c r="O39" s="230"/>
      <c r="P39" s="230"/>
      <c r="Q39" s="230"/>
      <c r="R39" s="230"/>
      <c r="S39" s="230"/>
      <c r="T39" s="230"/>
    </row>
    <row r="40" spans="1:20">
      <c r="A40" s="141"/>
      <c r="B40" s="141"/>
      <c r="C40" s="141"/>
      <c r="D40" s="141"/>
      <c r="E40" s="141"/>
      <c r="F40" s="141"/>
      <c r="G40" s="141"/>
      <c r="H40" s="141"/>
      <c r="I40" s="230"/>
      <c r="J40" s="230"/>
      <c r="L40" s="230"/>
      <c r="M40" s="230"/>
      <c r="N40" s="230"/>
      <c r="O40" s="230"/>
      <c r="P40" s="230"/>
      <c r="Q40" s="230"/>
      <c r="R40" s="230"/>
      <c r="S40" s="230"/>
      <c r="T40" s="230"/>
    </row>
    <row r="41" spans="1:20">
      <c r="A41" s="141"/>
      <c r="B41" s="141"/>
      <c r="C41" s="141"/>
      <c r="D41" s="141"/>
      <c r="E41" s="141"/>
      <c r="F41" s="141"/>
      <c r="G41" s="141"/>
      <c r="H41" s="141"/>
      <c r="I41" s="230"/>
      <c r="J41" s="230"/>
      <c r="L41" s="230"/>
      <c r="M41" s="230"/>
      <c r="N41" s="230"/>
      <c r="O41" s="230"/>
      <c r="P41" s="230"/>
      <c r="Q41" s="230"/>
      <c r="R41" s="230"/>
      <c r="S41" s="230"/>
      <c r="T41" s="230"/>
    </row>
    <row r="42" spans="1:20">
      <c r="A42" s="141"/>
      <c r="B42" s="141"/>
      <c r="C42" s="141"/>
      <c r="D42" s="141"/>
      <c r="E42" s="141"/>
      <c r="F42" s="141"/>
      <c r="G42" s="141"/>
      <c r="H42" s="141"/>
      <c r="I42" s="230"/>
      <c r="J42" s="230"/>
      <c r="L42" s="230"/>
      <c r="M42" s="230"/>
      <c r="N42" s="230"/>
      <c r="O42" s="230"/>
      <c r="P42" s="230"/>
      <c r="Q42" s="230"/>
      <c r="R42" s="230"/>
      <c r="S42" s="230"/>
      <c r="T42" s="230"/>
    </row>
    <row r="43" spans="1:20">
      <c r="A43" s="141"/>
      <c r="B43" s="141"/>
      <c r="C43" s="141"/>
      <c r="D43" s="141"/>
      <c r="E43" s="141"/>
      <c r="F43" s="141"/>
      <c r="G43" s="141"/>
      <c r="H43" s="141"/>
      <c r="I43" s="230"/>
      <c r="J43" s="230"/>
      <c r="L43" s="230"/>
      <c r="M43" s="230"/>
      <c r="N43" s="230"/>
      <c r="O43" s="230"/>
      <c r="P43" s="230"/>
      <c r="Q43" s="230"/>
      <c r="R43" s="230"/>
      <c r="S43" s="230"/>
      <c r="T43" s="230"/>
    </row>
    <row r="44" spans="1:20">
      <c r="A44" s="141"/>
      <c r="B44" s="141"/>
      <c r="C44" s="141"/>
      <c r="D44" s="141"/>
      <c r="E44" s="141"/>
      <c r="F44" s="141"/>
      <c r="G44" s="141"/>
      <c r="H44" s="141"/>
      <c r="I44" s="230"/>
      <c r="J44" s="230"/>
      <c r="L44" s="230"/>
      <c r="M44" s="230"/>
      <c r="N44" s="230"/>
      <c r="O44" s="230"/>
      <c r="P44" s="230"/>
      <c r="Q44" s="230"/>
      <c r="R44" s="230"/>
      <c r="S44" s="230"/>
      <c r="T44" s="230"/>
    </row>
    <row r="45" spans="1:20">
      <c r="A45" s="141"/>
      <c r="B45" s="141"/>
      <c r="C45" s="141"/>
      <c r="D45" s="141"/>
      <c r="E45" s="141"/>
      <c r="F45" s="141"/>
      <c r="G45" s="141"/>
      <c r="H45" s="141"/>
      <c r="I45" s="230"/>
      <c r="J45" s="230"/>
      <c r="L45" s="230"/>
      <c r="M45" s="230"/>
      <c r="N45" s="230"/>
      <c r="O45" s="230"/>
      <c r="P45" s="230"/>
      <c r="Q45" s="230"/>
      <c r="R45" s="230"/>
      <c r="S45" s="230"/>
      <c r="T45" s="230"/>
    </row>
    <row r="46" spans="1:20">
      <c r="A46" s="141"/>
      <c r="B46" s="141"/>
      <c r="C46" s="141"/>
      <c r="D46" s="141"/>
      <c r="E46" s="141"/>
      <c r="F46" s="141"/>
      <c r="G46" s="141"/>
      <c r="H46" s="141"/>
      <c r="I46" s="230"/>
      <c r="J46" s="230"/>
      <c r="L46" s="230"/>
      <c r="M46" s="230"/>
      <c r="N46" s="230"/>
      <c r="O46" s="230"/>
      <c r="P46" s="230"/>
      <c r="Q46" s="230"/>
      <c r="R46" s="230"/>
      <c r="S46" s="230"/>
      <c r="T46" s="230"/>
    </row>
    <row r="47" spans="1:20">
      <c r="A47" s="141"/>
      <c r="B47" s="141"/>
      <c r="C47" s="141"/>
      <c r="D47" s="141"/>
      <c r="E47" s="141"/>
      <c r="F47" s="141"/>
      <c r="G47" s="141"/>
      <c r="H47" s="141"/>
      <c r="I47" s="230"/>
      <c r="J47" s="230"/>
      <c r="L47" s="230"/>
      <c r="M47" s="230"/>
      <c r="N47" s="230"/>
      <c r="O47" s="230"/>
      <c r="P47" s="230"/>
      <c r="Q47" s="230"/>
      <c r="R47" s="230"/>
      <c r="S47" s="230"/>
      <c r="T47" s="230"/>
    </row>
    <row r="48" spans="1:20">
      <c r="A48" s="142"/>
      <c r="B48" s="142"/>
      <c r="C48" s="142"/>
      <c r="D48" s="142"/>
      <c r="E48" s="142"/>
      <c r="F48" s="142"/>
      <c r="G48" s="142"/>
      <c r="H48" s="142"/>
      <c r="I48" s="230"/>
      <c r="J48" s="230"/>
      <c r="L48" s="230"/>
      <c r="M48" s="230"/>
      <c r="N48" s="230"/>
      <c r="O48" s="230"/>
      <c r="P48" s="230"/>
      <c r="Q48" s="230"/>
      <c r="R48" s="230"/>
      <c r="S48" s="230"/>
      <c r="T48" s="230"/>
    </row>
    <row r="49" spans="1:20">
      <c r="A49" s="363" t="s">
        <v>465</v>
      </c>
      <c r="B49" s="363"/>
      <c r="C49" s="363"/>
      <c r="D49" s="122">
        <f>AUX!K2</f>
        <v>0</v>
      </c>
      <c r="E49" s="363" t="s">
        <v>465</v>
      </c>
      <c r="F49" s="363"/>
      <c r="G49" s="363"/>
      <c r="H49" s="122">
        <f>AUX!K3</f>
        <v>0</v>
      </c>
      <c r="I49" s="230"/>
      <c r="J49" s="368" t="str">
        <f>IF(ISBLANK(D50)=TRUE,"REVISAR NO VALIDAS","")</f>
        <v>REVISAR NO VALIDAS</v>
      </c>
      <c r="K49" s="369"/>
      <c r="L49" s="230"/>
      <c r="M49" s="230"/>
      <c r="N49" s="230"/>
      <c r="O49" s="230"/>
      <c r="P49" s="230"/>
      <c r="Q49" s="230"/>
      <c r="R49" s="230"/>
      <c r="S49" s="230"/>
      <c r="T49" s="230"/>
    </row>
    <row r="50" spans="1:20">
      <c r="A50" s="365" t="s">
        <v>543</v>
      </c>
      <c r="B50" s="366"/>
      <c r="C50" s="367"/>
      <c r="D50" s="122"/>
      <c r="E50" s="365" t="s">
        <v>543</v>
      </c>
      <c r="F50" s="366"/>
      <c r="G50" s="367"/>
      <c r="H50" s="122"/>
      <c r="I50" s="241"/>
      <c r="J50" s="368" t="str">
        <f>IF(ISBLANK(H50)=TRUE,"REVISAR NO VALIDAS","")</f>
        <v>REVISAR NO VALIDAS</v>
      </c>
      <c r="K50" s="369"/>
      <c r="L50" s="239"/>
      <c r="M50" s="239"/>
      <c r="N50" s="230"/>
      <c r="O50" s="230"/>
      <c r="P50" s="230"/>
      <c r="Q50" s="230"/>
      <c r="R50" s="230"/>
      <c r="S50" s="230"/>
      <c r="T50" s="230"/>
    </row>
    <row r="51" spans="1:20">
      <c r="A51" s="348" t="s">
        <v>466</v>
      </c>
      <c r="B51" s="348"/>
      <c r="C51" s="348"/>
      <c r="D51" s="107">
        <f>AUX!L2</f>
        <v>0</v>
      </c>
      <c r="E51" s="348" t="s">
        <v>466</v>
      </c>
      <c r="F51" s="348"/>
      <c r="G51" s="348"/>
      <c r="H51" s="107">
        <f>AUX!L3</f>
        <v>0</v>
      </c>
      <c r="I51" s="230"/>
      <c r="J51" s="230"/>
      <c r="L51" s="230"/>
      <c r="M51" s="230"/>
      <c r="N51" s="230"/>
      <c r="O51" s="230"/>
      <c r="P51" s="230"/>
      <c r="Q51" s="230"/>
      <c r="R51" s="230"/>
      <c r="S51" s="230"/>
      <c r="T51" s="230"/>
    </row>
    <row r="52" spans="1:20">
      <c r="A52" s="230"/>
      <c r="B52" s="230"/>
      <c r="C52" s="230"/>
      <c r="D52" s="230"/>
      <c r="E52" s="230"/>
      <c r="F52" s="230"/>
      <c r="G52" s="230"/>
      <c r="H52" s="230"/>
      <c r="I52" s="230"/>
      <c r="J52" s="230"/>
      <c r="L52" s="230"/>
      <c r="M52" s="230"/>
      <c r="N52" s="230"/>
      <c r="O52" s="230"/>
      <c r="P52" s="230"/>
      <c r="Q52" s="230"/>
      <c r="R52" s="230"/>
      <c r="S52" s="230"/>
      <c r="T52" s="230"/>
    </row>
    <row r="53" spans="1:20">
      <c r="A53" s="334" t="s">
        <v>857</v>
      </c>
      <c r="B53" s="7"/>
      <c r="C53" s="230"/>
      <c r="D53" s="230"/>
      <c r="E53" s="230"/>
      <c r="F53" s="230"/>
      <c r="G53" s="230"/>
      <c r="H53" s="230"/>
      <c r="I53" s="230"/>
      <c r="J53" s="230"/>
      <c r="L53" s="230"/>
      <c r="M53" s="230"/>
      <c r="N53" s="230"/>
      <c r="O53" s="230"/>
      <c r="P53" s="230"/>
      <c r="Q53" s="230"/>
      <c r="R53" s="230"/>
      <c r="S53" s="230"/>
      <c r="T53" s="230"/>
    </row>
    <row r="54" spans="1:20">
      <c r="A54" s="230"/>
      <c r="B54" s="230"/>
      <c r="C54" s="230"/>
      <c r="D54" s="230"/>
      <c r="E54" s="230"/>
      <c r="F54" s="230"/>
      <c r="G54" s="230"/>
      <c r="H54" s="230"/>
      <c r="I54" s="230"/>
      <c r="J54" s="230"/>
      <c r="L54" s="230"/>
      <c r="M54" s="230"/>
      <c r="N54" s="230"/>
      <c r="O54" s="230"/>
      <c r="P54" s="230"/>
      <c r="Q54" s="230"/>
      <c r="R54" s="230"/>
      <c r="S54" s="230"/>
      <c r="T54" s="230"/>
    </row>
    <row r="55" spans="1:20">
      <c r="A55" s="345" t="s">
        <v>476</v>
      </c>
      <c r="B55" s="345"/>
      <c r="C55" s="345"/>
      <c r="D55" s="345"/>
      <c r="E55" s="345"/>
      <c r="F55" s="230"/>
      <c r="G55" s="230"/>
      <c r="H55" s="230"/>
      <c r="I55" s="230"/>
      <c r="J55" s="230"/>
      <c r="L55" s="230"/>
      <c r="M55" s="230"/>
      <c r="N55" s="230"/>
      <c r="O55" s="230"/>
      <c r="P55" s="230"/>
      <c r="Q55" s="230"/>
      <c r="R55" s="230"/>
      <c r="S55" s="230"/>
      <c r="T55" s="230"/>
    </row>
    <row r="56" spans="1:20">
      <c r="A56" s="348" t="s">
        <v>395</v>
      </c>
      <c r="B56" s="348"/>
      <c r="C56" s="50" t="s">
        <v>402</v>
      </c>
      <c r="D56" s="50" t="s">
        <v>404</v>
      </c>
      <c r="E56" s="50" t="s">
        <v>403</v>
      </c>
      <c r="F56" s="230"/>
      <c r="G56" s="230"/>
      <c r="H56" s="230"/>
      <c r="I56" s="230"/>
      <c r="J56" s="230"/>
      <c r="L56" s="230"/>
      <c r="M56" s="230"/>
      <c r="N56" s="230"/>
      <c r="O56" s="230"/>
      <c r="P56" s="230"/>
      <c r="Q56" s="230"/>
      <c r="R56" s="230"/>
      <c r="S56" s="230"/>
      <c r="T56" s="230"/>
    </row>
    <row r="57" spans="1:20">
      <c r="A57" s="344" t="s">
        <v>396</v>
      </c>
      <c r="B57" s="344"/>
      <c r="C57" s="106"/>
      <c r="D57" s="106"/>
      <c r="E57" s="106"/>
      <c r="F57" s="232" t="s">
        <v>542</v>
      </c>
      <c r="G57" s="230"/>
      <c r="H57" s="230"/>
      <c r="I57" s="230"/>
      <c r="J57" s="230"/>
      <c r="L57" s="230"/>
      <c r="M57" s="230"/>
      <c r="N57" s="230"/>
      <c r="O57" s="230"/>
      <c r="P57" s="230"/>
      <c r="Q57" s="230"/>
      <c r="R57" s="230"/>
      <c r="S57" s="230"/>
      <c r="T57" s="230"/>
    </row>
    <row r="58" spans="1:20">
      <c r="A58" s="344" t="s">
        <v>397</v>
      </c>
      <c r="B58" s="344"/>
      <c r="C58" s="106"/>
      <c r="D58" s="106"/>
      <c r="E58" s="106"/>
      <c r="F58" s="230"/>
      <c r="G58" s="230"/>
      <c r="H58" s="230"/>
      <c r="I58" s="230"/>
      <c r="J58" s="230"/>
      <c r="L58" s="230"/>
      <c r="M58" s="230"/>
      <c r="N58" s="230"/>
      <c r="O58" s="230"/>
      <c r="P58" s="230"/>
      <c r="Q58" s="230"/>
      <c r="R58" s="230"/>
      <c r="S58" s="230"/>
      <c r="T58" s="230"/>
    </row>
    <row r="59" spans="1:20">
      <c r="A59" s="344" t="s">
        <v>398</v>
      </c>
      <c r="B59" s="344"/>
      <c r="C59" s="106"/>
      <c r="D59" s="106"/>
      <c r="E59" s="106"/>
      <c r="F59" s="230"/>
      <c r="G59" s="230"/>
      <c r="H59" s="230"/>
      <c r="I59" s="230"/>
      <c r="J59" s="230"/>
      <c r="L59" s="230"/>
      <c r="M59" s="230"/>
      <c r="N59" s="230"/>
      <c r="O59" s="230"/>
      <c r="P59" s="230"/>
      <c r="Q59" s="230"/>
      <c r="R59" s="230"/>
      <c r="S59" s="230"/>
      <c r="T59" s="230"/>
    </row>
    <row r="60" spans="1:20">
      <c r="A60" s="344" t="s">
        <v>399</v>
      </c>
      <c r="B60" s="344"/>
      <c r="C60" s="106"/>
      <c r="D60" s="106"/>
      <c r="E60" s="106"/>
      <c r="F60" s="230"/>
      <c r="G60" s="230"/>
      <c r="H60" s="230"/>
      <c r="I60" s="230"/>
      <c r="J60" s="230"/>
      <c r="L60" s="230"/>
      <c r="M60" s="230"/>
      <c r="N60" s="230"/>
      <c r="O60" s="230"/>
      <c r="P60" s="230"/>
      <c r="Q60" s="230"/>
      <c r="R60" s="230"/>
      <c r="S60" s="230"/>
      <c r="T60" s="230"/>
    </row>
    <row r="61" spans="1:20">
      <c r="A61" s="344">
        <v>420</v>
      </c>
      <c r="B61" s="344"/>
      <c r="C61" s="106"/>
      <c r="D61" s="106"/>
      <c r="E61" s="106"/>
      <c r="F61" s="230"/>
      <c r="G61" s="230"/>
      <c r="H61" s="230"/>
      <c r="I61" s="230"/>
      <c r="J61" s="230"/>
      <c r="L61" s="230"/>
      <c r="M61" s="230"/>
      <c r="N61" s="230"/>
      <c r="O61" s="230"/>
      <c r="P61" s="230"/>
      <c r="Q61" s="230"/>
      <c r="R61" s="230"/>
      <c r="S61" s="230"/>
      <c r="T61" s="230"/>
    </row>
    <row r="62" spans="1:20">
      <c r="A62" s="344" t="s">
        <v>400</v>
      </c>
      <c r="B62" s="344"/>
      <c r="C62" s="106"/>
      <c r="D62" s="106"/>
      <c r="E62" s="106"/>
      <c r="F62" s="230"/>
      <c r="G62" s="230"/>
      <c r="H62" s="230"/>
      <c r="I62" s="230"/>
      <c r="J62" s="230"/>
      <c r="L62" s="230"/>
      <c r="M62" s="230"/>
      <c r="N62" s="230"/>
      <c r="O62" s="230"/>
      <c r="P62" s="230"/>
      <c r="Q62" s="230"/>
      <c r="R62" s="230"/>
      <c r="S62" s="230"/>
      <c r="T62" s="230"/>
    </row>
    <row r="63" spans="1:20">
      <c r="A63" s="344" t="s">
        <v>401</v>
      </c>
      <c r="B63" s="344"/>
      <c r="C63" s="106"/>
      <c r="D63" s="106"/>
      <c r="E63" s="106"/>
      <c r="F63" s="230"/>
      <c r="G63" s="230"/>
      <c r="H63" s="230"/>
      <c r="I63" s="230"/>
      <c r="J63" s="230"/>
      <c r="L63" s="230"/>
      <c r="M63" s="230"/>
      <c r="N63" s="230"/>
      <c r="O63" s="230"/>
      <c r="P63" s="230"/>
      <c r="Q63" s="230"/>
      <c r="R63" s="230"/>
      <c r="S63" s="230"/>
      <c r="T63" s="230"/>
    </row>
    <row r="64" spans="1:20">
      <c r="A64" s="230"/>
      <c r="B64" s="230"/>
      <c r="C64" s="230"/>
      <c r="D64" s="230"/>
      <c r="E64" s="107">
        <f>COUNTIF(E57:E63,"X")</f>
        <v>0</v>
      </c>
      <c r="F64" s="230"/>
      <c r="G64" s="230"/>
      <c r="H64" s="230"/>
      <c r="I64" s="230"/>
      <c r="J64" s="230"/>
      <c r="L64" s="230"/>
      <c r="M64" s="230"/>
      <c r="N64" s="230"/>
      <c r="O64" s="230"/>
      <c r="P64" s="230"/>
      <c r="Q64" s="230"/>
      <c r="R64" s="230"/>
      <c r="S64" s="230"/>
      <c r="T64" s="230"/>
    </row>
    <row r="65" spans="1:20">
      <c r="A65" s="334" t="s">
        <v>857</v>
      </c>
      <c r="B65" s="7"/>
      <c r="C65" s="230"/>
      <c r="D65" s="230"/>
      <c r="E65" s="230"/>
      <c r="F65" s="230"/>
      <c r="G65" s="230"/>
      <c r="H65" s="230"/>
      <c r="I65" s="230"/>
      <c r="J65" s="230"/>
      <c r="L65" s="230"/>
      <c r="M65" s="230"/>
      <c r="N65" s="230"/>
      <c r="O65" s="230"/>
      <c r="P65" s="230"/>
      <c r="Q65" s="230"/>
      <c r="R65" s="230"/>
      <c r="S65" s="230"/>
      <c r="T65" s="230"/>
    </row>
    <row r="66" spans="1:20">
      <c r="A66" s="230"/>
      <c r="B66" s="230"/>
      <c r="C66" s="230"/>
      <c r="D66" s="230"/>
      <c r="E66" s="230"/>
      <c r="F66" s="230"/>
      <c r="G66" s="230"/>
      <c r="H66" s="230"/>
      <c r="I66" s="230"/>
      <c r="J66" s="230"/>
      <c r="L66" s="230"/>
      <c r="M66" s="230"/>
      <c r="N66" s="230"/>
      <c r="O66" s="230"/>
      <c r="P66" s="230"/>
      <c r="Q66" s="230"/>
      <c r="R66" s="230"/>
      <c r="S66" s="230"/>
      <c r="T66" s="230"/>
    </row>
    <row r="67" spans="1:20">
      <c r="A67" s="345" t="s">
        <v>475</v>
      </c>
      <c r="B67" s="345"/>
      <c r="C67" s="345"/>
      <c r="D67" s="345"/>
      <c r="E67" s="345"/>
      <c r="F67" s="345"/>
      <c r="G67" s="345"/>
      <c r="H67" s="230"/>
      <c r="I67" s="230"/>
      <c r="J67" s="230"/>
      <c r="L67" s="230"/>
      <c r="M67" s="230"/>
      <c r="N67" s="230"/>
      <c r="O67" s="230"/>
      <c r="P67" s="230"/>
      <c r="Q67" s="230"/>
      <c r="R67" s="230"/>
      <c r="S67" s="230"/>
      <c r="T67" s="230"/>
    </row>
    <row r="68" spans="1:20">
      <c r="A68" s="344" t="s">
        <v>408</v>
      </c>
      <c r="B68" s="344"/>
      <c r="C68" s="344"/>
      <c r="D68" s="344"/>
      <c r="E68" s="344"/>
      <c r="F68" s="344"/>
      <c r="G68" s="106"/>
      <c r="H68" s="232" t="s">
        <v>542</v>
      </c>
      <c r="I68" s="230"/>
      <c r="J68" s="230"/>
      <c r="L68" s="230"/>
      <c r="M68" s="230"/>
      <c r="N68" s="230"/>
      <c r="O68" s="230"/>
      <c r="P68" s="230"/>
      <c r="Q68" s="230"/>
      <c r="R68" s="230"/>
      <c r="S68" s="230"/>
      <c r="T68" s="230"/>
    </row>
    <row r="69" spans="1:20">
      <c r="A69" s="344" t="s">
        <v>405</v>
      </c>
      <c r="B69" s="344"/>
      <c r="C69" s="344"/>
      <c r="D69" s="344"/>
      <c r="E69" s="344"/>
      <c r="F69" s="344"/>
      <c r="G69" s="106"/>
      <c r="H69" s="230"/>
      <c r="I69" s="230"/>
      <c r="J69" s="230"/>
      <c r="L69" s="230"/>
      <c r="M69" s="230"/>
      <c r="N69" s="230"/>
      <c r="O69" s="230"/>
      <c r="P69" s="230"/>
      <c r="Q69" s="230"/>
      <c r="R69" s="230"/>
      <c r="S69" s="230"/>
      <c r="T69" s="230"/>
    </row>
    <row r="70" spans="1:20">
      <c r="A70" s="344" t="s">
        <v>406</v>
      </c>
      <c r="B70" s="344"/>
      <c r="C70" s="344"/>
      <c r="D70" s="344"/>
      <c r="E70" s="344"/>
      <c r="F70" s="344"/>
      <c r="G70" s="106"/>
      <c r="H70" s="230"/>
      <c r="I70" s="230"/>
      <c r="J70" s="230"/>
      <c r="L70" s="230"/>
      <c r="M70" s="230"/>
      <c r="N70" s="230"/>
      <c r="O70" s="230"/>
      <c r="P70" s="230"/>
      <c r="Q70" s="230"/>
      <c r="R70" s="230"/>
      <c r="S70" s="230"/>
      <c r="T70" s="230"/>
    </row>
    <row r="71" spans="1:20">
      <c r="A71" s="344" t="s">
        <v>407</v>
      </c>
      <c r="B71" s="344"/>
      <c r="C71" s="344"/>
      <c r="D71" s="344"/>
      <c r="E71" s="344"/>
      <c r="F71" s="344"/>
      <c r="G71" s="106"/>
      <c r="H71" s="230"/>
      <c r="I71" s="230"/>
      <c r="J71" s="230"/>
      <c r="L71" s="230"/>
      <c r="M71" s="230"/>
      <c r="N71" s="230"/>
      <c r="O71" s="230"/>
      <c r="P71" s="230"/>
      <c r="Q71" s="230"/>
      <c r="R71" s="230"/>
      <c r="S71" s="230"/>
      <c r="T71" s="230"/>
    </row>
    <row r="72" spans="1:20">
      <c r="A72" s="230"/>
      <c r="B72" s="230"/>
      <c r="C72" s="230"/>
      <c r="D72" s="230"/>
      <c r="E72" s="230"/>
      <c r="F72" s="230"/>
      <c r="G72" s="107">
        <f>COUNTIF(G68:G71,"X")</f>
        <v>0</v>
      </c>
      <c r="H72" s="230"/>
      <c r="I72" s="230"/>
      <c r="J72" s="230"/>
      <c r="L72" s="230"/>
      <c r="M72" s="230"/>
      <c r="N72" s="230"/>
      <c r="O72" s="230"/>
      <c r="P72" s="230"/>
      <c r="Q72" s="230"/>
      <c r="R72" s="230"/>
      <c r="S72" s="230"/>
      <c r="T72" s="230"/>
    </row>
    <row r="73" spans="1:20">
      <c r="A73" s="230"/>
      <c r="B73" s="230"/>
      <c r="C73" s="230"/>
      <c r="D73" s="230"/>
      <c r="E73" s="230"/>
      <c r="F73" s="230"/>
      <c r="G73" s="230"/>
      <c r="H73" s="230"/>
      <c r="I73" s="230"/>
      <c r="J73" s="230"/>
      <c r="L73" s="230"/>
      <c r="M73" s="230"/>
      <c r="N73" s="230"/>
      <c r="O73" s="230"/>
      <c r="P73" s="230"/>
      <c r="Q73" s="230"/>
      <c r="R73" s="230"/>
      <c r="S73" s="230"/>
      <c r="T73" s="230"/>
    </row>
    <row r="74" spans="1:20">
      <c r="A74" s="334" t="s">
        <v>857</v>
      </c>
      <c r="B74" s="7"/>
      <c r="C74" s="230"/>
      <c r="D74" s="230"/>
      <c r="E74" s="230"/>
      <c r="F74" s="230"/>
      <c r="G74" s="230"/>
      <c r="H74" s="230"/>
      <c r="I74" s="230"/>
      <c r="J74" s="230"/>
      <c r="L74" s="230"/>
      <c r="M74" s="230"/>
      <c r="N74" s="230"/>
      <c r="O74" s="230"/>
      <c r="P74" s="230"/>
      <c r="Q74" s="230"/>
      <c r="R74" s="230"/>
      <c r="S74" s="230"/>
      <c r="T74" s="230"/>
    </row>
    <row r="75" spans="1:20">
      <c r="A75" s="230"/>
      <c r="B75" s="230"/>
      <c r="C75" s="230"/>
      <c r="D75" s="230"/>
      <c r="E75" s="230"/>
      <c r="F75" s="230"/>
      <c r="G75" s="230"/>
      <c r="H75" s="230"/>
      <c r="I75" s="230"/>
      <c r="J75" s="230"/>
      <c r="L75" s="230"/>
      <c r="M75" s="230"/>
      <c r="N75" s="230"/>
      <c r="O75" s="230"/>
      <c r="P75" s="230"/>
      <c r="Q75" s="230"/>
      <c r="R75" s="230"/>
      <c r="S75" s="230"/>
      <c r="T75" s="230"/>
    </row>
    <row r="76" spans="1:20">
      <c r="A76" s="345" t="s">
        <v>386</v>
      </c>
      <c r="B76" s="345"/>
      <c r="C76" s="345"/>
      <c r="D76" s="345"/>
      <c r="E76" s="345"/>
      <c r="F76" s="230"/>
      <c r="G76" s="230"/>
      <c r="H76" s="230"/>
      <c r="I76" s="230"/>
      <c r="J76" s="230"/>
      <c r="L76" s="230"/>
      <c r="M76" s="230"/>
      <c r="N76" s="230"/>
      <c r="O76" s="230"/>
      <c r="P76" s="230"/>
      <c r="Q76" s="230"/>
      <c r="R76" s="230"/>
      <c r="S76" s="230"/>
      <c r="T76" s="230"/>
    </row>
    <row r="77" spans="1:20">
      <c r="A77" s="350" t="s">
        <v>391</v>
      </c>
      <c r="B77" s="351"/>
      <c r="C77" s="351"/>
      <c r="D77" s="351"/>
      <c r="E77" s="120">
        <f>COUNTIF(E79:E81,"X")</f>
        <v>0</v>
      </c>
      <c r="F77" s="230"/>
      <c r="G77" s="230"/>
      <c r="H77" s="230"/>
      <c r="I77" s="230"/>
      <c r="J77" s="230"/>
      <c r="L77" s="230"/>
      <c r="M77" s="230"/>
      <c r="N77" s="230"/>
      <c r="O77" s="230"/>
      <c r="P77" s="230"/>
      <c r="Q77" s="230"/>
      <c r="R77" s="230"/>
      <c r="S77" s="230"/>
      <c r="T77" s="230"/>
    </row>
    <row r="78" spans="1:20">
      <c r="A78" s="359" t="s">
        <v>387</v>
      </c>
      <c r="B78" s="359"/>
      <c r="C78" s="359"/>
      <c r="D78" s="359"/>
      <c r="E78" s="359"/>
      <c r="F78" s="230"/>
      <c r="G78" s="230"/>
      <c r="H78" s="230"/>
      <c r="I78" s="230"/>
      <c r="J78" s="230"/>
      <c r="L78" s="230"/>
      <c r="M78" s="230"/>
      <c r="N78" s="230"/>
      <c r="O78" s="230"/>
      <c r="P78" s="230"/>
      <c r="Q78" s="230"/>
      <c r="R78" s="230"/>
      <c r="S78" s="230"/>
      <c r="T78" s="230"/>
    </row>
    <row r="79" spans="1:20">
      <c r="A79" s="358" t="s">
        <v>388</v>
      </c>
      <c r="B79" s="358"/>
      <c r="C79" s="358"/>
      <c r="D79" s="358"/>
      <c r="E79" s="106"/>
      <c r="F79" s="232" t="s">
        <v>542</v>
      </c>
      <c r="G79" s="230"/>
      <c r="H79" s="230"/>
      <c r="I79" s="230"/>
      <c r="J79" s="230"/>
      <c r="L79" s="230"/>
      <c r="M79" s="230"/>
      <c r="N79" s="230"/>
      <c r="O79" s="230"/>
      <c r="P79" s="230"/>
      <c r="Q79" s="230"/>
      <c r="R79" s="230"/>
      <c r="S79" s="230"/>
      <c r="T79" s="230"/>
    </row>
    <row r="80" spans="1:20">
      <c r="A80" s="358" t="s">
        <v>389</v>
      </c>
      <c r="B80" s="358"/>
      <c r="C80" s="358"/>
      <c r="D80" s="358"/>
      <c r="E80" s="106"/>
      <c r="F80" s="230"/>
      <c r="G80" s="230"/>
      <c r="H80" s="230"/>
      <c r="I80" s="230"/>
      <c r="J80" s="230"/>
      <c r="L80" s="230"/>
      <c r="M80" s="230"/>
      <c r="N80" s="230"/>
      <c r="O80" s="230"/>
      <c r="P80" s="230"/>
      <c r="Q80" s="230"/>
      <c r="R80" s="230"/>
      <c r="S80" s="230"/>
      <c r="T80" s="230"/>
    </row>
    <row r="81" spans="1:20">
      <c r="A81" s="358" t="s">
        <v>390</v>
      </c>
      <c r="B81" s="358"/>
      <c r="C81" s="358"/>
      <c r="D81" s="358"/>
      <c r="E81" s="106"/>
      <c r="F81" s="230"/>
      <c r="G81" s="230"/>
      <c r="H81" s="230"/>
      <c r="I81" s="230"/>
      <c r="J81" s="230"/>
      <c r="L81" s="230"/>
      <c r="M81" s="230"/>
      <c r="N81" s="230"/>
      <c r="O81" s="230"/>
      <c r="P81" s="230"/>
      <c r="Q81" s="230"/>
      <c r="R81" s="230"/>
      <c r="S81" s="230"/>
      <c r="T81" s="230"/>
    </row>
    <row r="82" spans="1:20">
      <c r="A82" s="230"/>
      <c r="B82" s="230"/>
      <c r="C82" s="230"/>
      <c r="D82" s="230"/>
      <c r="E82" s="335"/>
      <c r="F82" s="230"/>
      <c r="G82" s="230"/>
      <c r="H82" s="230"/>
      <c r="I82" s="230"/>
      <c r="J82" s="230"/>
      <c r="L82" s="230"/>
      <c r="M82" s="230"/>
      <c r="N82" s="230"/>
      <c r="O82" s="230"/>
      <c r="P82" s="230"/>
      <c r="Q82" s="230"/>
      <c r="R82" s="230"/>
      <c r="S82" s="230"/>
      <c r="T82" s="230"/>
    </row>
    <row r="83" spans="1:20">
      <c r="A83" s="334" t="s">
        <v>857</v>
      </c>
      <c r="B83" s="7"/>
      <c r="C83" s="230"/>
      <c r="D83" s="230"/>
      <c r="E83" s="230"/>
      <c r="F83" s="230"/>
      <c r="G83" s="230"/>
      <c r="H83" s="230"/>
      <c r="I83" s="230"/>
      <c r="J83" s="230"/>
      <c r="L83" s="230"/>
      <c r="M83" s="230"/>
      <c r="N83" s="230"/>
      <c r="O83" s="230"/>
      <c r="P83" s="230"/>
      <c r="Q83" s="230"/>
      <c r="R83" s="230"/>
      <c r="S83" s="230"/>
      <c r="T83" s="230"/>
    </row>
    <row r="84" spans="1:20">
      <c r="A84" s="230"/>
      <c r="B84" s="230"/>
      <c r="C84" s="230"/>
      <c r="D84" s="230"/>
      <c r="E84" s="230"/>
      <c r="F84" s="230"/>
      <c r="G84" s="230"/>
      <c r="H84" s="230"/>
      <c r="I84" s="230"/>
      <c r="J84" s="230"/>
      <c r="L84" s="230"/>
      <c r="M84" s="230"/>
      <c r="N84" s="230"/>
      <c r="O84" s="230"/>
      <c r="P84" s="230"/>
      <c r="Q84" s="230"/>
      <c r="R84" s="230"/>
      <c r="S84" s="230"/>
      <c r="T84" s="230"/>
    </row>
    <row r="85" spans="1:20">
      <c r="A85" s="350" t="s">
        <v>392</v>
      </c>
      <c r="B85" s="351"/>
      <c r="C85" s="351"/>
      <c r="D85" s="351"/>
      <c r="E85" s="120">
        <f>COUNTIF(E86:E87,"X")</f>
        <v>0</v>
      </c>
      <c r="F85" s="230"/>
      <c r="G85" s="230"/>
      <c r="H85" s="230"/>
      <c r="I85" s="230"/>
      <c r="J85" s="230"/>
      <c r="L85" s="230"/>
      <c r="M85" s="230"/>
      <c r="N85" s="230"/>
      <c r="O85" s="230"/>
      <c r="P85" s="230"/>
      <c r="Q85" s="230"/>
      <c r="R85" s="230"/>
      <c r="S85" s="230"/>
      <c r="T85" s="230"/>
    </row>
    <row r="86" spans="1:20">
      <c r="A86" s="358" t="s">
        <v>393</v>
      </c>
      <c r="B86" s="358"/>
      <c r="C86" s="358"/>
      <c r="D86" s="358"/>
      <c r="E86" s="106"/>
      <c r="F86" s="232" t="s">
        <v>544</v>
      </c>
      <c r="G86" s="230"/>
      <c r="H86" s="230"/>
      <c r="I86" s="230"/>
      <c r="J86" s="230"/>
      <c r="L86" s="230"/>
      <c r="M86" s="230"/>
      <c r="N86" s="230"/>
      <c r="O86" s="230"/>
      <c r="P86" s="230"/>
      <c r="Q86" s="230"/>
      <c r="R86" s="230"/>
      <c r="S86" s="230"/>
      <c r="T86" s="230"/>
    </row>
    <row r="87" spans="1:20">
      <c r="A87" s="358" t="s">
        <v>394</v>
      </c>
      <c r="B87" s="358"/>
      <c r="C87" s="358"/>
      <c r="D87" s="358"/>
      <c r="E87" s="106"/>
      <c r="F87" s="230"/>
      <c r="G87" s="230"/>
      <c r="H87" s="230"/>
      <c r="I87" s="230"/>
      <c r="J87" s="230"/>
      <c r="L87" s="230"/>
      <c r="M87" s="230"/>
      <c r="N87" s="230"/>
      <c r="O87" s="230"/>
      <c r="P87" s="230"/>
      <c r="Q87" s="230"/>
      <c r="R87" s="230"/>
      <c r="S87" s="230"/>
      <c r="T87" s="230"/>
    </row>
    <row r="88" spans="1:20">
      <c r="A88" s="230"/>
      <c r="B88" s="230"/>
      <c r="C88" s="230"/>
      <c r="D88" s="230"/>
      <c r="E88" s="335"/>
      <c r="F88" s="230"/>
      <c r="G88" s="230"/>
      <c r="H88" s="230"/>
      <c r="I88" s="230"/>
      <c r="J88" s="230"/>
      <c r="L88" s="230"/>
      <c r="M88" s="230"/>
      <c r="N88" s="230"/>
      <c r="O88" s="230"/>
      <c r="P88" s="230"/>
      <c r="Q88" s="230"/>
      <c r="R88" s="230"/>
      <c r="S88" s="230"/>
      <c r="T88" s="230"/>
    </row>
    <row r="89" spans="1:20">
      <c r="A89" s="334" t="s">
        <v>857</v>
      </c>
      <c r="B89" s="7"/>
      <c r="C89" s="230"/>
      <c r="D89" s="230"/>
      <c r="E89" s="230"/>
      <c r="F89" s="230"/>
      <c r="G89" s="230"/>
      <c r="H89" s="230"/>
      <c r="I89" s="230"/>
      <c r="J89" s="230"/>
      <c r="L89" s="230"/>
      <c r="M89" s="230"/>
      <c r="N89" s="230"/>
      <c r="O89" s="230"/>
      <c r="P89" s="230"/>
      <c r="Q89" s="230"/>
      <c r="R89" s="230"/>
      <c r="S89" s="230"/>
      <c r="T89" s="230"/>
    </row>
    <row r="90" spans="1:20">
      <c r="A90" s="230"/>
      <c r="B90" s="230"/>
      <c r="C90" s="230"/>
      <c r="D90" s="230"/>
      <c r="E90" s="230"/>
      <c r="F90" s="230"/>
      <c r="G90" s="230"/>
      <c r="H90" s="230"/>
      <c r="I90" s="230"/>
      <c r="J90" s="230"/>
      <c r="L90" s="230"/>
      <c r="M90" s="230"/>
      <c r="N90" s="230"/>
      <c r="O90" s="230"/>
      <c r="P90" s="230"/>
      <c r="Q90" s="230"/>
      <c r="R90" s="230"/>
      <c r="S90" s="230"/>
      <c r="T90" s="230"/>
    </row>
    <row r="91" spans="1:20">
      <c r="A91" s="350" t="s">
        <v>409</v>
      </c>
      <c r="B91" s="351"/>
      <c r="C91" s="351"/>
      <c r="D91" s="351"/>
      <c r="E91" s="351"/>
      <c r="F91" s="351"/>
      <c r="G91" s="351"/>
      <c r="H91" s="120">
        <f>AUX!E12</f>
        <v>0</v>
      </c>
      <c r="I91" s="230"/>
      <c r="J91" s="230"/>
      <c r="L91" s="230"/>
      <c r="M91" s="230"/>
      <c r="N91" s="230"/>
      <c r="O91" s="230"/>
      <c r="P91" s="230"/>
      <c r="Q91" s="230"/>
      <c r="R91" s="230"/>
      <c r="S91" s="230"/>
      <c r="T91" s="230"/>
    </row>
    <row r="92" spans="1:20">
      <c r="A92" s="348" t="s">
        <v>410</v>
      </c>
      <c r="B92" s="348"/>
      <c r="C92" s="348" t="s">
        <v>411</v>
      </c>
      <c r="D92" s="348"/>
      <c r="E92" s="348" t="s">
        <v>412</v>
      </c>
      <c r="F92" s="348"/>
      <c r="G92" s="348" t="s">
        <v>413</v>
      </c>
      <c r="H92" s="348"/>
      <c r="I92" s="230"/>
      <c r="J92" s="230"/>
      <c r="L92" s="230"/>
      <c r="M92" s="230"/>
      <c r="N92" s="230"/>
      <c r="O92" s="230"/>
      <c r="P92" s="230"/>
      <c r="Q92" s="230"/>
      <c r="R92" s="230"/>
      <c r="S92" s="230"/>
      <c r="T92" s="230"/>
    </row>
    <row r="93" spans="1:20">
      <c r="A93" s="230"/>
      <c r="B93" s="230"/>
      <c r="C93" s="230"/>
      <c r="D93" s="230"/>
      <c r="E93" s="230"/>
      <c r="F93" s="230"/>
      <c r="G93" s="238"/>
      <c r="H93" s="230"/>
      <c r="I93" s="230"/>
      <c r="J93" s="230"/>
      <c r="L93" s="230"/>
      <c r="M93" s="230"/>
      <c r="N93" s="230"/>
      <c r="O93" s="230"/>
      <c r="P93" s="230"/>
      <c r="Q93" s="230"/>
      <c r="R93" s="230"/>
      <c r="S93" s="230"/>
      <c r="T93" s="230"/>
    </row>
    <row r="94" spans="1:20">
      <c r="A94" s="334" t="s">
        <v>857</v>
      </c>
      <c r="B94" s="7"/>
      <c r="C94" s="230"/>
      <c r="D94" s="230"/>
      <c r="E94" s="230"/>
      <c r="F94" s="230"/>
      <c r="G94" s="357"/>
      <c r="H94" s="357"/>
      <c r="I94" s="232" t="s">
        <v>542</v>
      </c>
      <c r="J94" s="230"/>
      <c r="L94" s="230"/>
      <c r="M94" s="230"/>
      <c r="N94" s="230"/>
      <c r="O94" s="230"/>
      <c r="P94" s="230"/>
      <c r="Q94" s="230"/>
      <c r="R94" s="230"/>
      <c r="S94" s="230"/>
      <c r="T94" s="230"/>
    </row>
    <row r="95" spans="1:20">
      <c r="A95" s="230"/>
      <c r="B95" s="230"/>
      <c r="C95" s="230"/>
      <c r="D95" s="230"/>
      <c r="E95" s="230"/>
      <c r="F95" s="230"/>
      <c r="G95" s="230"/>
      <c r="H95" s="230"/>
      <c r="I95" s="230"/>
      <c r="J95" s="230"/>
      <c r="L95" s="230"/>
      <c r="M95" s="230"/>
      <c r="N95" s="230"/>
      <c r="O95" s="230"/>
      <c r="P95" s="230"/>
      <c r="Q95" s="230"/>
      <c r="R95" s="230"/>
      <c r="S95" s="230"/>
      <c r="T95" s="230"/>
    </row>
    <row r="96" spans="1:20">
      <c r="A96" s="230"/>
      <c r="B96" s="230"/>
      <c r="C96" s="230"/>
      <c r="D96" s="230"/>
      <c r="E96" s="230"/>
      <c r="F96" s="230"/>
      <c r="G96" s="230"/>
      <c r="H96" s="230"/>
      <c r="I96" s="230"/>
      <c r="J96" s="230"/>
      <c r="L96" s="230"/>
      <c r="M96" s="230"/>
      <c r="N96" s="230"/>
      <c r="O96" s="230"/>
      <c r="P96" s="230"/>
      <c r="Q96" s="230"/>
      <c r="R96" s="230"/>
      <c r="S96" s="230"/>
      <c r="T96" s="230"/>
    </row>
    <row r="97" spans="1:20">
      <c r="A97" s="350" t="s">
        <v>414</v>
      </c>
      <c r="B97" s="351"/>
      <c r="C97" s="351"/>
      <c r="D97" s="351"/>
      <c r="E97" s="120">
        <f>COUNTIF(E98:E99,"X")</f>
        <v>0</v>
      </c>
      <c r="F97" s="230"/>
      <c r="G97" s="230"/>
      <c r="H97" s="230"/>
      <c r="I97" s="230"/>
      <c r="J97" s="230"/>
      <c r="L97" s="230"/>
      <c r="M97" s="230"/>
      <c r="N97" s="230"/>
      <c r="O97" s="230"/>
      <c r="P97" s="230"/>
      <c r="Q97" s="230"/>
      <c r="R97" s="230"/>
      <c r="S97" s="230"/>
      <c r="T97" s="230"/>
    </row>
    <row r="98" spans="1:20">
      <c r="A98" s="344" t="s">
        <v>415</v>
      </c>
      <c r="B98" s="344"/>
      <c r="C98" s="344"/>
      <c r="D98" s="344"/>
      <c r="E98" s="106"/>
      <c r="F98" s="232" t="s">
        <v>542</v>
      </c>
      <c r="G98" s="230"/>
      <c r="H98" s="230"/>
      <c r="I98" s="230"/>
      <c r="J98" s="230"/>
      <c r="L98" s="230"/>
      <c r="M98" s="230"/>
      <c r="N98" s="230"/>
      <c r="O98" s="230"/>
      <c r="P98" s="230"/>
      <c r="Q98" s="230"/>
      <c r="R98" s="230"/>
      <c r="S98" s="230"/>
      <c r="T98" s="230"/>
    </row>
    <row r="99" spans="1:20">
      <c r="A99" s="344" t="s">
        <v>416</v>
      </c>
      <c r="B99" s="344"/>
      <c r="C99" s="344"/>
      <c r="D99" s="344"/>
      <c r="E99" s="106"/>
      <c r="F99" s="230"/>
      <c r="G99" s="230"/>
      <c r="H99" s="230"/>
      <c r="I99" s="230"/>
      <c r="J99" s="230"/>
      <c r="L99" s="230"/>
      <c r="M99" s="230"/>
      <c r="N99" s="230"/>
      <c r="O99" s="230"/>
      <c r="P99" s="230"/>
      <c r="Q99" s="230"/>
      <c r="R99" s="230"/>
      <c r="S99" s="230"/>
      <c r="T99" s="230"/>
    </row>
    <row r="100" spans="1:20">
      <c r="A100" s="230"/>
      <c r="B100" s="230"/>
      <c r="C100" s="230"/>
      <c r="D100" s="230"/>
      <c r="E100" s="335"/>
      <c r="F100" s="230"/>
      <c r="G100" s="230"/>
      <c r="H100" s="230"/>
      <c r="I100" s="230"/>
      <c r="J100" s="230"/>
      <c r="L100" s="230"/>
      <c r="M100" s="230"/>
      <c r="N100" s="230"/>
      <c r="O100" s="230"/>
      <c r="P100" s="230"/>
      <c r="Q100" s="230"/>
      <c r="R100" s="230"/>
      <c r="S100" s="230"/>
      <c r="T100" s="230"/>
    </row>
    <row r="101" spans="1:20">
      <c r="A101" s="334" t="s">
        <v>857</v>
      </c>
      <c r="B101" s="7"/>
      <c r="C101" s="230"/>
      <c r="D101" s="230"/>
      <c r="E101" s="230"/>
      <c r="F101" s="230"/>
      <c r="G101" s="230"/>
      <c r="H101" s="230"/>
      <c r="I101" s="230"/>
      <c r="J101" s="230"/>
      <c r="L101" s="230"/>
      <c r="M101" s="230"/>
      <c r="N101" s="230"/>
      <c r="O101" s="230"/>
      <c r="P101" s="230"/>
      <c r="Q101" s="230"/>
      <c r="R101" s="230"/>
      <c r="S101" s="230"/>
      <c r="T101" s="230"/>
    </row>
    <row r="102" spans="1:20">
      <c r="A102" s="230"/>
      <c r="B102" s="230"/>
      <c r="C102" s="230"/>
      <c r="D102" s="230"/>
      <c r="E102" s="230"/>
      <c r="F102" s="230"/>
      <c r="G102" s="230"/>
      <c r="H102" s="230"/>
      <c r="I102" s="230"/>
      <c r="J102" s="230"/>
      <c r="L102" s="230"/>
      <c r="M102" s="230"/>
      <c r="N102" s="230"/>
      <c r="O102" s="230"/>
      <c r="P102" s="230"/>
      <c r="Q102" s="230"/>
      <c r="R102" s="230"/>
      <c r="S102" s="230"/>
      <c r="T102" s="230"/>
    </row>
    <row r="103" spans="1:20">
      <c r="A103" s="350" t="s">
        <v>417</v>
      </c>
      <c r="B103" s="351"/>
      <c r="C103" s="120">
        <f>COUNTIF(C104:C115,"X")</f>
        <v>0</v>
      </c>
      <c r="D103" s="232" t="s">
        <v>542</v>
      </c>
      <c r="E103" s="230"/>
      <c r="F103" s="230"/>
      <c r="G103" s="230"/>
      <c r="H103" s="230"/>
      <c r="I103" s="230"/>
      <c r="J103" s="230"/>
      <c r="L103" s="230"/>
      <c r="M103" s="230"/>
      <c r="N103" s="230"/>
      <c r="O103" s="230"/>
      <c r="P103" s="230"/>
      <c r="Q103" s="230"/>
      <c r="R103" s="230"/>
      <c r="S103" s="230"/>
      <c r="T103" s="230"/>
    </row>
    <row r="104" spans="1:20">
      <c r="A104" s="348" t="s">
        <v>418</v>
      </c>
      <c r="B104" s="348"/>
      <c r="C104" s="106"/>
      <c r="D104" s="230"/>
      <c r="E104" s="230"/>
      <c r="F104" s="230"/>
      <c r="G104" s="230"/>
      <c r="H104" s="230"/>
      <c r="I104" s="230"/>
      <c r="J104" s="230"/>
      <c r="L104" s="230"/>
      <c r="M104" s="230"/>
      <c r="N104" s="230"/>
      <c r="O104" s="230"/>
      <c r="P104" s="230"/>
      <c r="Q104" s="230"/>
      <c r="R104" s="230"/>
      <c r="S104" s="230"/>
      <c r="T104" s="230"/>
    </row>
    <row r="105" spans="1:20">
      <c r="A105" s="348" t="s">
        <v>419</v>
      </c>
      <c r="B105" s="348"/>
      <c r="C105" s="106"/>
      <c r="D105" s="230"/>
      <c r="E105" s="230"/>
      <c r="F105" s="230"/>
      <c r="G105" s="230"/>
      <c r="H105" s="230"/>
      <c r="I105" s="230"/>
      <c r="J105" s="230"/>
      <c r="L105" s="230"/>
      <c r="M105" s="230"/>
      <c r="N105" s="230"/>
      <c r="O105" s="230"/>
      <c r="P105" s="230"/>
      <c r="Q105" s="230"/>
      <c r="R105" s="230"/>
      <c r="S105" s="230"/>
      <c r="T105" s="230"/>
    </row>
    <row r="106" spans="1:20">
      <c r="A106" s="348" t="s">
        <v>420</v>
      </c>
      <c r="B106" s="348"/>
      <c r="C106" s="106"/>
      <c r="D106" s="230"/>
      <c r="E106" s="230"/>
      <c r="F106" s="230"/>
      <c r="G106" s="230"/>
      <c r="H106" s="230"/>
      <c r="I106" s="230"/>
      <c r="J106" s="230"/>
      <c r="L106" s="230"/>
      <c r="M106" s="230"/>
      <c r="N106" s="230"/>
      <c r="O106" s="230"/>
      <c r="P106" s="230"/>
      <c r="Q106" s="230"/>
      <c r="R106" s="230"/>
      <c r="S106" s="230"/>
      <c r="T106" s="230"/>
    </row>
    <row r="107" spans="1:20">
      <c r="A107" s="348" t="s">
        <v>421</v>
      </c>
      <c r="B107" s="348"/>
      <c r="C107" s="106"/>
      <c r="D107" s="230"/>
      <c r="E107" s="230"/>
      <c r="F107" s="230"/>
      <c r="G107" s="230"/>
      <c r="H107" s="230"/>
      <c r="I107" s="230"/>
      <c r="J107" s="230"/>
      <c r="L107" s="230"/>
      <c r="M107" s="230"/>
      <c r="N107" s="230"/>
      <c r="O107" s="230"/>
      <c r="P107" s="230"/>
      <c r="Q107" s="230"/>
      <c r="R107" s="230"/>
      <c r="S107" s="230"/>
      <c r="T107" s="230"/>
    </row>
    <row r="108" spans="1:20">
      <c r="A108" s="348" t="s">
        <v>422</v>
      </c>
      <c r="B108" s="348"/>
      <c r="C108" s="106"/>
      <c r="D108" s="230"/>
      <c r="E108" s="230"/>
      <c r="F108" s="230"/>
      <c r="G108" s="230"/>
      <c r="H108" s="230"/>
      <c r="I108" s="230"/>
      <c r="J108" s="230"/>
      <c r="L108" s="230"/>
      <c r="M108" s="230"/>
      <c r="N108" s="230"/>
      <c r="O108" s="230"/>
      <c r="P108" s="230"/>
      <c r="Q108" s="230"/>
      <c r="R108" s="230"/>
      <c r="S108" s="230"/>
      <c r="T108" s="230"/>
    </row>
    <row r="109" spans="1:20">
      <c r="A109" s="348" t="s">
        <v>423</v>
      </c>
      <c r="B109" s="348"/>
      <c r="C109" s="106"/>
      <c r="D109" s="230"/>
      <c r="E109" s="230"/>
      <c r="F109" s="230"/>
      <c r="G109" s="230"/>
      <c r="H109" s="230"/>
      <c r="I109" s="230"/>
      <c r="J109" s="230"/>
      <c r="L109" s="230"/>
      <c r="M109" s="230"/>
      <c r="N109" s="230"/>
      <c r="O109" s="230"/>
      <c r="P109" s="230"/>
      <c r="Q109" s="230"/>
      <c r="R109" s="230"/>
      <c r="S109" s="230"/>
      <c r="T109" s="230"/>
    </row>
    <row r="110" spans="1:20">
      <c r="A110" s="348" t="s">
        <v>424</v>
      </c>
      <c r="B110" s="348"/>
      <c r="C110" s="106"/>
      <c r="D110" s="230"/>
      <c r="E110" s="230"/>
      <c r="F110" s="230"/>
      <c r="G110" s="230"/>
      <c r="H110" s="230"/>
      <c r="I110" s="230"/>
      <c r="J110" s="230"/>
      <c r="L110" s="230"/>
      <c r="M110" s="230"/>
      <c r="N110" s="230"/>
      <c r="O110" s="230"/>
      <c r="P110" s="230"/>
      <c r="Q110" s="230"/>
      <c r="R110" s="230"/>
      <c r="S110" s="230"/>
      <c r="T110" s="230"/>
    </row>
    <row r="111" spans="1:20">
      <c r="A111" s="348" t="s">
        <v>425</v>
      </c>
      <c r="B111" s="348"/>
      <c r="C111" s="106"/>
      <c r="D111" s="230"/>
      <c r="E111" s="230"/>
      <c r="F111" s="230"/>
      <c r="G111" s="230"/>
      <c r="H111" s="230"/>
      <c r="I111" s="230"/>
      <c r="J111" s="230"/>
      <c r="L111" s="230"/>
      <c r="M111" s="230"/>
      <c r="N111" s="230"/>
      <c r="O111" s="230"/>
      <c r="P111" s="230"/>
      <c r="Q111" s="230"/>
      <c r="R111" s="230"/>
      <c r="S111" s="230"/>
      <c r="T111" s="230"/>
    </row>
    <row r="112" spans="1:20">
      <c r="A112" s="348" t="s">
        <v>426</v>
      </c>
      <c r="B112" s="348"/>
      <c r="C112" s="106"/>
      <c r="D112" s="230"/>
      <c r="E112" s="230"/>
      <c r="F112" s="230"/>
      <c r="G112" s="230"/>
      <c r="H112" s="230"/>
      <c r="I112" s="230"/>
      <c r="J112" s="230"/>
      <c r="L112" s="230"/>
      <c r="M112" s="230"/>
      <c r="N112" s="230"/>
      <c r="O112" s="230"/>
      <c r="P112" s="230"/>
      <c r="Q112" s="230"/>
      <c r="R112" s="230"/>
      <c r="S112" s="230"/>
      <c r="T112" s="230"/>
    </row>
    <row r="113" spans="1:20">
      <c r="A113" s="348" t="s">
        <v>427</v>
      </c>
      <c r="B113" s="348"/>
      <c r="C113" s="106"/>
      <c r="D113" s="230"/>
      <c r="E113" s="230"/>
      <c r="F113" s="230"/>
      <c r="G113" s="230"/>
      <c r="H113" s="230"/>
      <c r="I113" s="230"/>
      <c r="J113" s="230"/>
      <c r="L113" s="230"/>
      <c r="M113" s="230"/>
      <c r="N113" s="230"/>
      <c r="O113" s="230"/>
      <c r="P113" s="230"/>
      <c r="Q113" s="230"/>
      <c r="R113" s="230"/>
      <c r="S113" s="230"/>
      <c r="T113" s="230"/>
    </row>
    <row r="114" spans="1:20">
      <c r="A114" s="348" t="s">
        <v>428</v>
      </c>
      <c r="B114" s="348"/>
      <c r="C114" s="106"/>
      <c r="D114" s="230"/>
      <c r="E114" s="230"/>
      <c r="F114" s="230"/>
      <c r="G114" s="230"/>
      <c r="H114" s="230"/>
      <c r="I114" s="230"/>
      <c r="J114" s="230"/>
      <c r="L114" s="230"/>
      <c r="M114" s="230"/>
      <c r="N114" s="230"/>
      <c r="O114" s="230"/>
      <c r="P114" s="230"/>
      <c r="Q114" s="230"/>
      <c r="R114" s="230"/>
      <c r="S114" s="230"/>
      <c r="T114" s="230"/>
    </row>
    <row r="115" spans="1:20">
      <c r="A115" s="348" t="s">
        <v>429</v>
      </c>
      <c r="B115" s="348"/>
      <c r="C115" s="106"/>
      <c r="D115" s="230"/>
      <c r="E115" s="230"/>
      <c r="F115" s="230"/>
      <c r="G115" s="230"/>
      <c r="H115" s="230"/>
      <c r="I115" s="230"/>
      <c r="J115" s="230"/>
      <c r="L115" s="230"/>
      <c r="M115" s="230"/>
      <c r="N115" s="230"/>
      <c r="O115" s="230"/>
      <c r="P115" s="230"/>
      <c r="Q115" s="230"/>
      <c r="R115" s="230"/>
      <c r="S115" s="230"/>
      <c r="T115" s="230"/>
    </row>
    <row r="116" spans="1:20">
      <c r="A116" s="230"/>
      <c r="B116" s="230"/>
      <c r="C116" s="335"/>
      <c r="D116" s="230"/>
      <c r="E116" s="230"/>
      <c r="F116" s="230"/>
      <c r="G116" s="230"/>
      <c r="H116" s="230"/>
      <c r="I116" s="230"/>
      <c r="J116" s="230"/>
      <c r="L116" s="230"/>
      <c r="M116" s="230"/>
      <c r="N116" s="230"/>
      <c r="O116" s="230"/>
      <c r="P116" s="230"/>
      <c r="Q116" s="230"/>
      <c r="R116" s="230"/>
      <c r="S116" s="230"/>
      <c r="T116" s="230"/>
    </row>
    <row r="117" spans="1:20">
      <c r="A117" s="334" t="s">
        <v>857</v>
      </c>
      <c r="B117" s="7"/>
      <c r="C117" s="230"/>
      <c r="D117" s="230"/>
      <c r="E117" s="230"/>
      <c r="F117" s="230"/>
      <c r="G117" s="230"/>
      <c r="H117" s="230"/>
      <c r="I117" s="230"/>
      <c r="J117" s="230"/>
      <c r="L117" s="230"/>
      <c r="M117" s="230"/>
      <c r="N117" s="230"/>
      <c r="O117" s="230"/>
      <c r="P117" s="230"/>
      <c r="Q117" s="230"/>
      <c r="R117" s="230"/>
      <c r="S117" s="230"/>
      <c r="T117" s="230"/>
    </row>
    <row r="118" spans="1:20">
      <c r="A118" s="230"/>
      <c r="B118" s="230"/>
      <c r="C118" s="230"/>
      <c r="D118" s="230"/>
      <c r="E118" s="230"/>
      <c r="F118" s="230"/>
      <c r="G118" s="230"/>
      <c r="H118" s="230"/>
      <c r="I118" s="230"/>
      <c r="J118" s="230"/>
      <c r="L118" s="230"/>
      <c r="M118" s="230"/>
      <c r="N118" s="230"/>
      <c r="O118" s="230"/>
      <c r="P118" s="230"/>
      <c r="Q118" s="230"/>
      <c r="R118" s="230"/>
      <c r="S118" s="230"/>
      <c r="T118" s="230"/>
    </row>
    <row r="119" spans="1:20">
      <c r="A119" s="350" t="s">
        <v>430</v>
      </c>
      <c r="B119" s="351"/>
      <c r="C119" s="351"/>
      <c r="D119" s="351"/>
      <c r="E119" s="120">
        <f>COUNTIF(E120:E123,"X")</f>
        <v>0</v>
      </c>
      <c r="F119" s="232" t="s">
        <v>542</v>
      </c>
      <c r="G119" s="230"/>
      <c r="H119" s="230"/>
      <c r="I119" s="230"/>
      <c r="J119" s="230"/>
      <c r="L119" s="230"/>
      <c r="M119" s="230"/>
      <c r="N119" s="230"/>
      <c r="O119" s="230"/>
      <c r="P119" s="230"/>
      <c r="Q119" s="230"/>
      <c r="R119" s="230"/>
      <c r="S119" s="230"/>
      <c r="T119" s="230"/>
    </row>
    <row r="120" spans="1:20">
      <c r="A120" s="344" t="s">
        <v>431</v>
      </c>
      <c r="B120" s="344"/>
      <c r="C120" s="344"/>
      <c r="D120" s="344"/>
      <c r="E120" s="106"/>
      <c r="F120" s="230"/>
      <c r="G120" s="230"/>
      <c r="H120" s="230"/>
      <c r="I120" s="230"/>
      <c r="J120" s="230"/>
      <c r="L120" s="230"/>
      <c r="M120" s="230"/>
      <c r="N120" s="230"/>
      <c r="O120" s="230"/>
      <c r="P120" s="230"/>
      <c r="Q120" s="230"/>
      <c r="R120" s="230"/>
      <c r="S120" s="230"/>
      <c r="T120" s="230"/>
    </row>
    <row r="121" spans="1:20">
      <c r="A121" s="344" t="s">
        <v>432</v>
      </c>
      <c r="B121" s="344"/>
      <c r="C121" s="344"/>
      <c r="D121" s="344"/>
      <c r="E121" s="106"/>
      <c r="F121" s="230"/>
      <c r="G121" s="230"/>
      <c r="H121" s="230"/>
      <c r="I121" s="230"/>
      <c r="J121" s="230"/>
      <c r="L121" s="230"/>
      <c r="M121" s="230"/>
      <c r="N121" s="230"/>
      <c r="O121" s="230"/>
      <c r="P121" s="230"/>
      <c r="Q121" s="230"/>
      <c r="R121" s="230"/>
      <c r="S121" s="230"/>
      <c r="T121" s="230"/>
    </row>
    <row r="122" spans="1:20">
      <c r="A122" s="344" t="s">
        <v>433</v>
      </c>
      <c r="B122" s="344"/>
      <c r="C122" s="344"/>
      <c r="D122" s="344"/>
      <c r="E122" s="106"/>
      <c r="F122" s="230"/>
      <c r="G122" s="230"/>
      <c r="H122" s="230"/>
      <c r="I122" s="230"/>
      <c r="J122" s="230"/>
      <c r="L122" s="230"/>
      <c r="M122" s="230"/>
      <c r="N122" s="230"/>
      <c r="O122" s="230"/>
      <c r="P122" s="230"/>
      <c r="Q122" s="230"/>
      <c r="R122" s="230"/>
      <c r="S122" s="230"/>
      <c r="T122" s="230"/>
    </row>
    <row r="123" spans="1:20">
      <c r="A123" s="344" t="s">
        <v>434</v>
      </c>
      <c r="B123" s="344"/>
      <c r="C123" s="344"/>
      <c r="D123" s="344"/>
      <c r="E123" s="106"/>
      <c r="F123" s="230"/>
      <c r="G123" s="230"/>
      <c r="H123" s="230"/>
      <c r="I123" s="230"/>
      <c r="J123" s="230"/>
      <c r="L123" s="230"/>
      <c r="M123" s="230"/>
      <c r="N123" s="230"/>
      <c r="O123" s="230"/>
      <c r="P123" s="230"/>
      <c r="Q123" s="230"/>
      <c r="R123" s="230"/>
      <c r="S123" s="230"/>
      <c r="T123" s="230"/>
    </row>
    <row r="124" spans="1:20">
      <c r="A124" s="230"/>
      <c r="B124" s="230"/>
      <c r="C124" s="230"/>
      <c r="D124" s="230"/>
      <c r="E124" s="335"/>
      <c r="F124" s="230"/>
      <c r="G124" s="230"/>
      <c r="H124" s="230"/>
      <c r="I124" s="230"/>
      <c r="J124" s="230"/>
      <c r="L124" s="230"/>
      <c r="M124" s="230"/>
      <c r="N124" s="230"/>
      <c r="O124" s="230"/>
      <c r="P124" s="230"/>
      <c r="Q124" s="230"/>
      <c r="R124" s="230"/>
      <c r="S124" s="230"/>
      <c r="T124" s="230"/>
    </row>
    <row r="125" spans="1:20">
      <c r="A125" s="334" t="s">
        <v>857</v>
      </c>
      <c r="B125" s="7"/>
      <c r="C125" s="230"/>
      <c r="D125" s="230"/>
      <c r="E125" s="230"/>
      <c r="F125" s="230"/>
      <c r="G125" s="230"/>
      <c r="H125" s="230"/>
      <c r="I125" s="230"/>
      <c r="J125" s="230"/>
      <c r="L125" s="230"/>
      <c r="M125" s="230"/>
      <c r="N125" s="230"/>
      <c r="O125" s="230"/>
      <c r="P125" s="230"/>
      <c r="Q125" s="230"/>
      <c r="R125" s="230"/>
      <c r="S125" s="230"/>
      <c r="T125" s="230"/>
    </row>
    <row r="126" spans="1:20">
      <c r="A126" s="230"/>
      <c r="B126" s="230"/>
      <c r="C126" s="230"/>
      <c r="D126" s="230"/>
      <c r="E126" s="230"/>
      <c r="F126" s="230"/>
      <c r="G126" s="230"/>
      <c r="H126" s="230"/>
      <c r="I126" s="230"/>
      <c r="J126" s="230"/>
      <c r="L126" s="230"/>
      <c r="M126" s="230"/>
      <c r="N126" s="230"/>
      <c r="O126" s="230"/>
      <c r="P126" s="230"/>
      <c r="Q126" s="230"/>
      <c r="R126" s="230"/>
      <c r="S126" s="230"/>
      <c r="T126" s="230"/>
    </row>
    <row r="127" spans="1:20">
      <c r="A127" s="354" t="s">
        <v>435</v>
      </c>
      <c r="B127" s="355"/>
      <c r="C127" s="125">
        <f>IF(COUNTIF(C128:C132,"X")=5,1,0)</f>
        <v>0</v>
      </c>
      <c r="D127" s="14" t="s">
        <v>542</v>
      </c>
      <c r="F127" s="230"/>
      <c r="G127" s="230"/>
      <c r="H127" s="230"/>
      <c r="I127" s="230"/>
      <c r="J127" s="230"/>
      <c r="L127" s="230"/>
      <c r="M127" s="230"/>
      <c r="N127" s="230"/>
      <c r="O127" s="230"/>
      <c r="P127" s="230"/>
      <c r="Q127" s="230"/>
      <c r="R127" s="230"/>
      <c r="S127" s="230"/>
      <c r="T127" s="230"/>
    </row>
    <row r="128" spans="1:20">
      <c r="A128" s="344" t="s">
        <v>436</v>
      </c>
      <c r="B128" s="344"/>
      <c r="C128" s="106"/>
      <c r="D128" s="230"/>
      <c r="E128" s="230"/>
      <c r="F128" s="230"/>
      <c r="G128" s="230"/>
      <c r="H128" s="230"/>
      <c r="I128" s="230"/>
      <c r="J128" s="230"/>
      <c r="L128" s="230"/>
      <c r="M128" s="230"/>
      <c r="N128" s="230"/>
      <c r="O128" s="230"/>
      <c r="P128" s="230"/>
      <c r="Q128" s="230"/>
      <c r="R128" s="230"/>
      <c r="S128" s="230"/>
      <c r="T128" s="230"/>
    </row>
    <row r="129" spans="1:20">
      <c r="A129" s="344" t="s">
        <v>437</v>
      </c>
      <c r="B129" s="344"/>
      <c r="C129" s="106"/>
      <c r="D129" s="230"/>
      <c r="E129" s="230"/>
      <c r="F129" s="230"/>
      <c r="G129" s="230"/>
      <c r="H129" s="230"/>
      <c r="I129" s="230"/>
      <c r="J129" s="230"/>
      <c r="L129" s="230"/>
      <c r="M129" s="230"/>
      <c r="N129" s="230"/>
      <c r="O129" s="230"/>
      <c r="P129" s="230"/>
      <c r="Q129" s="230"/>
      <c r="R129" s="230"/>
      <c r="S129" s="230"/>
      <c r="T129" s="230"/>
    </row>
    <row r="130" spans="1:20">
      <c r="A130" s="344" t="s">
        <v>438</v>
      </c>
      <c r="B130" s="344"/>
      <c r="C130" s="106"/>
      <c r="D130" s="230"/>
      <c r="E130" s="230"/>
      <c r="F130" s="230"/>
      <c r="G130" s="230"/>
      <c r="H130" s="230"/>
      <c r="I130" s="230"/>
      <c r="J130" s="230"/>
      <c r="L130" s="230"/>
      <c r="M130" s="230"/>
      <c r="N130" s="230"/>
      <c r="O130" s="230"/>
      <c r="P130" s="230"/>
      <c r="Q130" s="230"/>
      <c r="R130" s="230"/>
      <c r="S130" s="230"/>
      <c r="T130" s="230"/>
    </row>
    <row r="131" spans="1:20">
      <c r="A131" s="344" t="s">
        <v>439</v>
      </c>
      <c r="B131" s="344"/>
      <c r="C131" s="106"/>
      <c r="D131" s="230"/>
      <c r="E131" s="230"/>
      <c r="F131" s="230"/>
      <c r="G131" s="230"/>
      <c r="H131" s="230"/>
      <c r="I131" s="230"/>
      <c r="J131" s="230"/>
      <c r="L131" s="230"/>
      <c r="M131" s="230"/>
      <c r="N131" s="230"/>
      <c r="O131" s="230"/>
      <c r="P131" s="230"/>
      <c r="Q131" s="230"/>
      <c r="R131" s="230"/>
      <c r="S131" s="230"/>
      <c r="T131" s="230"/>
    </row>
    <row r="132" spans="1:20">
      <c r="A132" s="344" t="s">
        <v>440</v>
      </c>
      <c r="B132" s="344"/>
      <c r="C132" s="106"/>
      <c r="D132" s="230"/>
      <c r="E132" s="230"/>
      <c r="F132" s="230"/>
      <c r="G132" s="230"/>
      <c r="H132" s="230"/>
      <c r="I132" s="230"/>
      <c r="J132" s="230"/>
      <c r="L132" s="230"/>
      <c r="M132" s="230"/>
      <c r="N132" s="230"/>
      <c r="O132" s="230"/>
      <c r="P132" s="230"/>
      <c r="Q132" s="230"/>
      <c r="R132" s="230"/>
      <c r="S132" s="230"/>
      <c r="T132" s="230"/>
    </row>
    <row r="133" spans="1:20">
      <c r="A133" s="230"/>
      <c r="B133" s="230"/>
      <c r="C133" s="335"/>
      <c r="D133" s="230"/>
      <c r="E133" s="230"/>
      <c r="F133" s="230"/>
      <c r="G133" s="230"/>
      <c r="H133" s="230"/>
      <c r="I133" s="230"/>
      <c r="J133" s="230"/>
      <c r="L133" s="230"/>
      <c r="M133" s="230"/>
      <c r="N133" s="230"/>
      <c r="O133" s="230"/>
      <c r="P133" s="230"/>
      <c r="Q133" s="230"/>
      <c r="R133" s="230"/>
      <c r="S133" s="230"/>
      <c r="T133" s="230"/>
    </row>
    <row r="134" spans="1:20">
      <c r="A134" s="334" t="s">
        <v>857</v>
      </c>
      <c r="B134" s="7"/>
      <c r="C134" s="230"/>
      <c r="D134" s="230"/>
      <c r="E134" s="230"/>
      <c r="F134" s="230"/>
      <c r="G134" s="230"/>
      <c r="H134" s="230"/>
      <c r="I134" s="230"/>
      <c r="J134" s="230"/>
      <c r="L134" s="230"/>
      <c r="M134" s="230"/>
      <c r="N134" s="230"/>
      <c r="O134" s="230"/>
      <c r="P134" s="230"/>
      <c r="Q134" s="230"/>
      <c r="R134" s="230"/>
      <c r="S134" s="230"/>
      <c r="T134" s="230"/>
    </row>
    <row r="135" spans="1:20">
      <c r="A135" s="230"/>
      <c r="B135" s="230"/>
      <c r="C135" s="230"/>
      <c r="D135" s="230"/>
      <c r="E135" s="230"/>
      <c r="F135" s="230"/>
      <c r="G135" s="230"/>
      <c r="H135" s="230"/>
      <c r="I135" s="230"/>
      <c r="J135" s="230"/>
      <c r="L135" s="230"/>
      <c r="M135" s="230"/>
      <c r="N135" s="230"/>
      <c r="O135" s="230"/>
      <c r="P135" s="230"/>
      <c r="Q135" s="230"/>
      <c r="R135" s="230"/>
      <c r="S135" s="230"/>
      <c r="T135" s="230"/>
    </row>
    <row r="136" spans="1:20">
      <c r="A136" s="230"/>
      <c r="B136" s="230"/>
      <c r="C136" s="230"/>
      <c r="D136" s="230"/>
      <c r="E136" s="230"/>
      <c r="F136" s="230"/>
      <c r="G136" s="230"/>
      <c r="H136" s="230"/>
      <c r="I136" s="230"/>
      <c r="J136" s="230"/>
      <c r="L136" s="230"/>
      <c r="M136" s="230"/>
      <c r="N136" s="230"/>
      <c r="O136" s="230"/>
      <c r="P136" s="230"/>
      <c r="Q136" s="230"/>
      <c r="R136" s="230"/>
      <c r="S136" s="230"/>
      <c r="T136" s="230"/>
    </row>
    <row r="137" spans="1:20">
      <c r="A137" s="349" t="s">
        <v>442</v>
      </c>
      <c r="B137" s="349"/>
      <c r="C137" s="349"/>
      <c r="D137" s="349"/>
      <c r="E137" s="349"/>
      <c r="F137" s="349"/>
      <c r="G137" s="230"/>
      <c r="H137" s="230"/>
      <c r="I137" s="230"/>
      <c r="J137" s="230"/>
      <c r="L137" s="230"/>
      <c r="M137" s="230"/>
      <c r="N137" s="230"/>
      <c r="O137" s="230"/>
      <c r="P137" s="230"/>
      <c r="Q137" s="230"/>
      <c r="R137" s="230"/>
      <c r="S137" s="230"/>
      <c r="T137" s="230"/>
    </row>
    <row r="138" spans="1:20">
      <c r="A138" s="344" t="s">
        <v>443</v>
      </c>
      <c r="B138" s="344"/>
      <c r="C138" s="123"/>
      <c r="D138" s="344" t="s">
        <v>445</v>
      </c>
      <c r="E138" s="344"/>
      <c r="F138" s="124"/>
      <c r="G138" s="230" t="s">
        <v>539</v>
      </c>
      <c r="H138" s="230"/>
      <c r="I138" s="230"/>
      <c r="J138" s="230"/>
      <c r="L138" s="230"/>
      <c r="M138" s="230"/>
      <c r="N138" s="230"/>
      <c r="O138" s="230"/>
      <c r="P138" s="230"/>
      <c r="Q138" s="230"/>
      <c r="R138" s="230"/>
      <c r="S138" s="230"/>
      <c r="T138" s="230"/>
    </row>
    <row r="139" spans="1:20">
      <c r="A139" s="344" t="s">
        <v>444</v>
      </c>
      <c r="B139" s="344"/>
      <c r="C139" s="123"/>
      <c r="D139" s="344" t="s">
        <v>446</v>
      </c>
      <c r="E139" s="344"/>
      <c r="F139" s="124"/>
      <c r="G139" s="230"/>
      <c r="H139" s="230"/>
      <c r="I139" s="230"/>
      <c r="J139" s="230"/>
      <c r="L139" s="230"/>
      <c r="M139" s="230"/>
      <c r="N139" s="230"/>
      <c r="O139" s="230"/>
      <c r="P139" s="230"/>
      <c r="Q139" s="230"/>
      <c r="R139" s="230"/>
      <c r="S139" s="230"/>
      <c r="T139" s="230"/>
    </row>
    <row r="140" spans="1:20">
      <c r="A140" s="352"/>
      <c r="B140" s="352"/>
      <c r="C140" s="353"/>
      <c r="D140" s="344" t="s">
        <v>447</v>
      </c>
      <c r="E140" s="344"/>
      <c r="F140" s="124"/>
      <c r="G140" s="230"/>
      <c r="H140" s="230"/>
      <c r="I140" s="230"/>
      <c r="J140" s="230"/>
      <c r="L140" s="230"/>
      <c r="M140" s="230"/>
      <c r="N140" s="230"/>
      <c r="O140" s="230"/>
      <c r="P140" s="230"/>
      <c r="Q140" s="230"/>
      <c r="R140" s="230"/>
      <c r="S140" s="230"/>
      <c r="T140" s="230"/>
    </row>
    <row r="141" spans="1:20">
      <c r="A141" s="344" t="s">
        <v>448</v>
      </c>
      <c r="B141" s="344"/>
      <c r="C141" s="124"/>
      <c r="D141" s="230"/>
      <c r="E141" s="230"/>
      <c r="F141" s="107">
        <f>F138+F139+F140</f>
        <v>0</v>
      </c>
      <c r="G141" s="230"/>
      <c r="H141" s="230"/>
      <c r="I141" s="230"/>
      <c r="J141" s="230"/>
      <c r="L141" s="230"/>
      <c r="M141" s="230"/>
      <c r="N141" s="230"/>
      <c r="O141" s="230"/>
      <c r="P141" s="230"/>
      <c r="Q141" s="230"/>
      <c r="R141" s="230"/>
      <c r="S141" s="230"/>
      <c r="T141" s="230"/>
    </row>
    <row r="142" spans="1:20">
      <c r="A142" s="344" t="s">
        <v>449</v>
      </c>
      <c r="B142" s="344"/>
      <c r="C142" s="124"/>
      <c r="D142" s="230"/>
      <c r="E142" s="230"/>
      <c r="F142" s="230"/>
      <c r="G142" s="230"/>
      <c r="H142" s="230"/>
      <c r="I142" s="230"/>
      <c r="J142" s="230"/>
      <c r="L142" s="230"/>
      <c r="M142" s="230"/>
      <c r="N142" s="230"/>
      <c r="O142" s="230"/>
      <c r="P142" s="230"/>
      <c r="Q142" s="230"/>
      <c r="R142" s="230"/>
      <c r="S142" s="230"/>
      <c r="T142" s="230"/>
    </row>
    <row r="143" spans="1:20">
      <c r="A143" s="230"/>
      <c r="B143" s="230"/>
      <c r="C143" s="230"/>
      <c r="D143" s="230"/>
      <c r="E143" s="230"/>
      <c r="F143" s="230"/>
      <c r="G143" s="230"/>
      <c r="H143" s="230"/>
      <c r="I143" s="230"/>
      <c r="J143" s="230"/>
      <c r="L143" s="230"/>
      <c r="M143" s="230"/>
      <c r="N143" s="230"/>
      <c r="O143" s="230"/>
      <c r="P143" s="230"/>
      <c r="Q143" s="230"/>
      <c r="R143" s="230"/>
      <c r="S143" s="230"/>
      <c r="T143" s="230"/>
    </row>
    <row r="144" spans="1:20">
      <c r="A144" s="334" t="s">
        <v>857</v>
      </c>
      <c r="B144" s="7"/>
      <c r="C144" s="230"/>
      <c r="D144" s="230"/>
      <c r="E144" s="230"/>
      <c r="F144" s="230"/>
      <c r="G144" s="230"/>
      <c r="H144" s="230"/>
      <c r="I144" s="230"/>
      <c r="J144" s="230"/>
      <c r="L144" s="230"/>
      <c r="M144" s="230"/>
      <c r="N144" s="230"/>
      <c r="O144" s="230"/>
      <c r="P144" s="230"/>
      <c r="Q144" s="230"/>
      <c r="R144" s="230"/>
      <c r="S144" s="230"/>
      <c r="T144" s="230"/>
    </row>
    <row r="145" spans="1:20">
      <c r="A145" s="230"/>
      <c r="B145" s="230"/>
      <c r="C145" s="230"/>
      <c r="D145" s="230"/>
      <c r="E145" s="230"/>
      <c r="F145" s="230"/>
      <c r="G145" s="230"/>
      <c r="H145" s="230"/>
      <c r="I145" s="230"/>
      <c r="J145" s="230"/>
      <c r="L145" s="230"/>
      <c r="M145" s="230"/>
      <c r="N145" s="230"/>
      <c r="O145" s="230"/>
      <c r="P145" s="230"/>
      <c r="Q145" s="230"/>
      <c r="R145" s="230"/>
      <c r="S145" s="230"/>
      <c r="T145" s="230"/>
    </row>
    <row r="146" spans="1:20">
      <c r="A146" s="230"/>
      <c r="B146" s="230"/>
      <c r="C146" s="230"/>
      <c r="D146" s="230"/>
      <c r="E146" s="230"/>
      <c r="F146" s="230"/>
      <c r="G146" s="230"/>
      <c r="H146" s="230"/>
      <c r="I146" s="230"/>
      <c r="J146" s="230"/>
      <c r="L146" s="230"/>
      <c r="M146" s="230"/>
      <c r="N146" s="230"/>
      <c r="O146" s="230"/>
      <c r="P146" s="230"/>
      <c r="Q146" s="230"/>
      <c r="R146" s="230"/>
      <c r="S146" s="230"/>
      <c r="T146" s="230"/>
    </row>
    <row r="147" spans="1:20">
      <c r="A147" s="230"/>
      <c r="B147" s="230"/>
      <c r="C147" s="230"/>
      <c r="D147" s="230"/>
      <c r="E147" s="230"/>
      <c r="F147" s="230"/>
      <c r="G147" s="230"/>
      <c r="H147" s="230"/>
      <c r="I147" s="230"/>
      <c r="J147" s="230"/>
      <c r="L147" s="230"/>
      <c r="M147" s="230"/>
      <c r="N147" s="230"/>
      <c r="O147" s="230"/>
      <c r="P147" s="230"/>
      <c r="Q147" s="230"/>
      <c r="R147" s="230"/>
      <c r="S147" s="230"/>
      <c r="T147" s="230"/>
    </row>
    <row r="148" spans="1:20">
      <c r="A148" s="349" t="s">
        <v>378</v>
      </c>
      <c r="B148" s="349"/>
      <c r="C148" s="349"/>
      <c r="D148" s="230"/>
      <c r="E148" s="230"/>
      <c r="F148" s="230"/>
      <c r="G148" s="230"/>
      <c r="H148" s="230"/>
      <c r="I148" s="230"/>
      <c r="J148" s="230"/>
      <c r="L148" s="230"/>
      <c r="M148" s="230"/>
      <c r="N148" s="230"/>
      <c r="O148" s="230"/>
      <c r="P148" s="230"/>
      <c r="Q148" s="230"/>
      <c r="R148" s="230"/>
      <c r="S148" s="230"/>
      <c r="T148" s="230"/>
    </row>
    <row r="149" spans="1:20">
      <c r="A149" s="356" t="s">
        <v>395</v>
      </c>
      <c r="B149" s="356"/>
      <c r="C149" s="116" t="s">
        <v>450</v>
      </c>
      <c r="D149" s="230"/>
      <c r="E149" s="230"/>
      <c r="F149" s="230"/>
      <c r="G149" s="230"/>
      <c r="H149" s="230"/>
      <c r="I149" s="230"/>
      <c r="J149" s="230"/>
      <c r="L149" s="230"/>
      <c r="M149" s="230"/>
      <c r="N149" s="230"/>
      <c r="O149" s="230"/>
      <c r="P149" s="230"/>
      <c r="Q149" s="230"/>
      <c r="R149" s="230"/>
      <c r="S149" s="230"/>
      <c r="T149" s="230"/>
    </row>
    <row r="150" spans="1:20">
      <c r="A150" s="344" t="s">
        <v>396</v>
      </c>
      <c r="B150" s="344"/>
      <c r="C150" s="106"/>
      <c r="D150" s="232" t="s">
        <v>542</v>
      </c>
      <c r="E150" s="230"/>
      <c r="F150" s="230"/>
      <c r="G150" s="230"/>
      <c r="H150" s="230"/>
      <c r="I150" s="230"/>
      <c r="J150" s="230"/>
      <c r="L150" s="230"/>
      <c r="M150" s="230"/>
      <c r="N150" s="230"/>
      <c r="O150" s="230"/>
      <c r="P150" s="230"/>
      <c r="Q150" s="230"/>
      <c r="R150" s="230"/>
      <c r="S150" s="230"/>
      <c r="T150" s="230"/>
    </row>
    <row r="151" spans="1:20">
      <c r="A151" s="344" t="s">
        <v>397</v>
      </c>
      <c r="B151" s="344"/>
      <c r="C151" s="106"/>
      <c r="D151" s="230"/>
      <c r="E151" s="230"/>
      <c r="F151" s="230"/>
      <c r="G151" s="230"/>
      <c r="H151" s="230"/>
      <c r="I151" s="230"/>
      <c r="J151" s="230"/>
      <c r="L151" s="230"/>
      <c r="M151" s="230"/>
      <c r="N151" s="230"/>
      <c r="O151" s="230"/>
      <c r="P151" s="230"/>
      <c r="Q151" s="230"/>
      <c r="R151" s="230"/>
      <c r="S151" s="230"/>
      <c r="T151" s="230"/>
    </row>
    <row r="152" spans="1:20">
      <c r="A152" s="344" t="s">
        <v>398</v>
      </c>
      <c r="B152" s="344"/>
      <c r="C152" s="106"/>
      <c r="D152" s="230"/>
      <c r="E152" s="230"/>
      <c r="F152" s="230"/>
      <c r="G152" s="230"/>
      <c r="H152" s="230"/>
      <c r="I152" s="230"/>
      <c r="J152" s="230"/>
      <c r="L152" s="230"/>
      <c r="M152" s="230"/>
      <c r="N152" s="230"/>
      <c r="O152" s="230"/>
      <c r="P152" s="230"/>
      <c r="Q152" s="230"/>
      <c r="R152" s="230"/>
      <c r="S152" s="230"/>
      <c r="T152" s="230"/>
    </row>
    <row r="153" spans="1:20">
      <c r="A153" s="344" t="s">
        <v>399</v>
      </c>
      <c r="B153" s="344"/>
      <c r="C153" s="106"/>
      <c r="D153" s="230"/>
      <c r="E153" s="230"/>
      <c r="F153" s="230"/>
      <c r="G153" s="230"/>
      <c r="H153" s="230"/>
      <c r="I153" s="230"/>
      <c r="J153" s="230"/>
      <c r="L153" s="230"/>
      <c r="M153" s="230"/>
      <c r="N153" s="230"/>
      <c r="O153" s="230"/>
      <c r="P153" s="230"/>
      <c r="Q153" s="230"/>
      <c r="R153" s="230"/>
      <c r="S153" s="230"/>
      <c r="T153" s="230"/>
    </row>
    <row r="154" spans="1:20">
      <c r="A154" s="344">
        <v>420</v>
      </c>
      <c r="B154" s="344"/>
      <c r="C154" s="106"/>
      <c r="D154" s="230"/>
      <c r="E154" s="230"/>
      <c r="F154" s="230"/>
      <c r="G154" s="230"/>
      <c r="H154" s="230"/>
      <c r="I154" s="230"/>
      <c r="J154" s="230"/>
      <c r="L154" s="230"/>
      <c r="M154" s="230"/>
      <c r="N154" s="230"/>
      <c r="O154" s="230"/>
      <c r="P154" s="230"/>
      <c r="Q154" s="230"/>
      <c r="R154" s="230"/>
      <c r="S154" s="230"/>
      <c r="T154" s="230"/>
    </row>
    <row r="155" spans="1:20">
      <c r="A155" s="344" t="s">
        <v>400</v>
      </c>
      <c r="B155" s="344"/>
      <c r="C155" s="106"/>
      <c r="D155" s="230"/>
      <c r="E155" s="230"/>
      <c r="F155" s="230"/>
      <c r="G155" s="230"/>
      <c r="H155" s="230"/>
      <c r="I155" s="230"/>
      <c r="J155" s="230"/>
      <c r="L155" s="230"/>
      <c r="M155" s="230"/>
      <c r="N155" s="230"/>
      <c r="O155" s="230"/>
      <c r="P155" s="230"/>
      <c r="Q155" s="230"/>
      <c r="R155" s="230"/>
      <c r="S155" s="230"/>
      <c r="T155" s="230"/>
    </row>
    <row r="156" spans="1:20">
      <c r="A156" s="344" t="s">
        <v>459</v>
      </c>
      <c r="B156" s="344"/>
      <c r="C156" s="106"/>
      <c r="D156" s="230"/>
      <c r="E156" s="230"/>
      <c r="F156" s="230"/>
      <c r="G156" s="230"/>
      <c r="H156" s="230"/>
      <c r="I156" s="230"/>
      <c r="J156" s="230"/>
      <c r="L156" s="230"/>
      <c r="M156" s="230"/>
      <c r="N156" s="230"/>
      <c r="O156" s="230"/>
      <c r="P156" s="230"/>
      <c r="Q156" s="230"/>
      <c r="R156" s="230"/>
      <c r="S156" s="230"/>
      <c r="T156" s="230"/>
    </row>
    <row r="157" spans="1:20">
      <c r="A157" s="230"/>
      <c r="B157" s="230"/>
      <c r="C157" s="122">
        <f>COUNTIF(C150:C156,"X")</f>
        <v>0</v>
      </c>
      <c r="D157" s="230"/>
      <c r="E157" s="230"/>
      <c r="F157" s="230"/>
      <c r="G157" s="230"/>
      <c r="H157" s="230"/>
      <c r="I157" s="230"/>
      <c r="J157" s="230"/>
      <c r="L157" s="230"/>
      <c r="M157" s="230"/>
      <c r="N157" s="230"/>
      <c r="O157" s="230"/>
      <c r="P157" s="230"/>
      <c r="Q157" s="230"/>
      <c r="R157" s="230"/>
      <c r="S157" s="230"/>
      <c r="T157" s="230"/>
    </row>
    <row r="158" spans="1:20">
      <c r="A158" s="230"/>
      <c r="B158" s="230"/>
      <c r="C158" s="230"/>
      <c r="D158" s="230"/>
      <c r="E158" s="230"/>
      <c r="F158" s="230"/>
      <c r="G158" s="230"/>
      <c r="H158" s="230"/>
      <c r="I158" s="230"/>
      <c r="J158" s="230"/>
      <c r="L158" s="230"/>
      <c r="M158" s="230"/>
      <c r="N158" s="230"/>
      <c r="O158" s="230"/>
      <c r="P158" s="230"/>
      <c r="Q158" s="230"/>
      <c r="R158" s="230"/>
      <c r="S158" s="230"/>
      <c r="T158" s="230"/>
    </row>
    <row r="159" spans="1:20">
      <c r="A159" s="334" t="s">
        <v>857</v>
      </c>
      <c r="B159" s="7"/>
      <c r="C159" s="230"/>
      <c r="D159" s="230"/>
      <c r="E159" s="230"/>
      <c r="F159" s="230"/>
      <c r="G159" s="230"/>
      <c r="H159" s="230"/>
      <c r="I159" s="230"/>
      <c r="J159" s="230"/>
      <c r="L159" s="230"/>
      <c r="M159" s="230"/>
      <c r="N159" s="230"/>
      <c r="O159" s="230"/>
      <c r="P159" s="230"/>
      <c r="Q159" s="230"/>
      <c r="R159" s="230"/>
      <c r="S159" s="230"/>
      <c r="T159" s="230"/>
    </row>
    <row r="160" spans="1:20">
      <c r="A160" s="230"/>
      <c r="B160" s="230"/>
      <c r="C160" s="230"/>
      <c r="D160" s="230"/>
      <c r="E160" s="230"/>
      <c r="F160" s="230"/>
      <c r="G160" s="230"/>
      <c r="H160" s="230"/>
      <c r="I160" s="230"/>
      <c r="J160" s="230"/>
      <c r="L160" s="230"/>
      <c r="M160" s="230"/>
      <c r="N160" s="230"/>
      <c r="O160" s="230"/>
      <c r="P160" s="230"/>
      <c r="Q160" s="230"/>
      <c r="R160" s="230"/>
      <c r="S160" s="230"/>
      <c r="T160" s="230"/>
    </row>
    <row r="161" spans="1:20">
      <c r="A161" s="345" t="s">
        <v>378</v>
      </c>
      <c r="B161" s="345"/>
      <c r="C161" s="345"/>
      <c r="D161" s="345"/>
      <c r="E161" s="345"/>
      <c r="F161" s="345"/>
      <c r="G161" s="346"/>
      <c r="H161" s="230"/>
      <c r="I161" s="230"/>
      <c r="J161" s="230"/>
      <c r="L161" s="230"/>
      <c r="M161" s="230"/>
      <c r="N161" s="230"/>
      <c r="O161" s="230"/>
      <c r="P161" s="230"/>
      <c r="Q161" s="230"/>
      <c r="R161" s="230"/>
      <c r="S161" s="230"/>
      <c r="T161" s="230"/>
    </row>
    <row r="162" spans="1:20">
      <c r="A162" s="344" t="s">
        <v>451</v>
      </c>
      <c r="B162" s="344"/>
      <c r="C162" s="342" t="s">
        <v>452</v>
      </c>
      <c r="D162" s="342"/>
      <c r="E162" s="344" t="s">
        <v>453</v>
      </c>
      <c r="F162" s="344"/>
      <c r="G162" s="7" t="str">
        <f>IF(AND(C150="X",C151="X")=TRUE,"X","")</f>
        <v/>
      </c>
      <c r="H162" s="232" t="s">
        <v>542</v>
      </c>
      <c r="I162" s="230"/>
      <c r="J162" s="230"/>
      <c r="L162" s="230"/>
      <c r="M162" s="230"/>
      <c r="N162" s="230"/>
      <c r="O162" s="230"/>
      <c r="P162" s="230"/>
      <c r="Q162" s="230"/>
      <c r="R162" s="230"/>
      <c r="S162" s="230"/>
      <c r="T162" s="230"/>
    </row>
    <row r="163" spans="1:20">
      <c r="A163" s="344" t="s">
        <v>454</v>
      </c>
      <c r="B163" s="344"/>
      <c r="C163" s="344" t="s">
        <v>455</v>
      </c>
      <c r="D163" s="344"/>
      <c r="E163" s="342" t="s">
        <v>456</v>
      </c>
      <c r="F163" s="342"/>
      <c r="G163" s="7" t="str">
        <f>IF(AND(C152="X",C153="X")=TRUE,"X","")</f>
        <v/>
      </c>
      <c r="H163" s="230"/>
      <c r="I163" s="230"/>
      <c r="J163" s="230"/>
      <c r="L163" s="230"/>
      <c r="M163" s="230"/>
      <c r="N163" s="230"/>
      <c r="O163" s="230"/>
      <c r="P163" s="230"/>
      <c r="Q163" s="230"/>
      <c r="R163" s="230"/>
      <c r="S163" s="230"/>
      <c r="T163" s="230"/>
    </row>
    <row r="164" spans="1:20">
      <c r="A164" s="344">
        <v>240</v>
      </c>
      <c r="B164" s="344"/>
      <c r="C164" s="342">
        <v>420</v>
      </c>
      <c r="D164" s="342"/>
      <c r="E164" s="344">
        <v>450</v>
      </c>
      <c r="F164" s="344"/>
      <c r="G164" s="7" t="str">
        <f>IF(C154="X","X","")</f>
        <v/>
      </c>
      <c r="H164" s="230"/>
      <c r="I164" s="230"/>
      <c r="J164" s="230"/>
      <c r="L164" s="230"/>
      <c r="M164" s="230"/>
      <c r="N164" s="230"/>
      <c r="O164" s="230"/>
      <c r="P164" s="230"/>
      <c r="Q164" s="230"/>
      <c r="R164" s="230"/>
      <c r="S164" s="230"/>
      <c r="T164" s="230"/>
    </row>
    <row r="165" spans="1:20">
      <c r="A165" s="344" t="s">
        <v>457</v>
      </c>
      <c r="B165" s="344"/>
      <c r="C165" s="342" t="s">
        <v>400</v>
      </c>
      <c r="D165" s="342"/>
      <c r="E165" s="344" t="s">
        <v>458</v>
      </c>
      <c r="F165" s="344"/>
      <c r="G165" s="7" t="str">
        <f t="shared" ref="G165" si="0">IF(C155="X","X","")</f>
        <v/>
      </c>
      <c r="H165" s="230"/>
      <c r="I165" s="230"/>
      <c r="J165" s="230"/>
      <c r="L165" s="230"/>
      <c r="M165" s="230"/>
      <c r="N165" s="230"/>
      <c r="O165" s="230"/>
      <c r="P165" s="230"/>
      <c r="Q165" s="230"/>
      <c r="R165" s="230"/>
      <c r="S165" s="230"/>
      <c r="T165" s="230"/>
    </row>
    <row r="166" spans="1:20">
      <c r="A166" s="342" t="s">
        <v>459</v>
      </c>
      <c r="B166" s="342"/>
      <c r="C166" s="344" t="s">
        <v>460</v>
      </c>
      <c r="D166" s="344"/>
      <c r="E166" s="344" t="s">
        <v>461</v>
      </c>
      <c r="F166" s="344"/>
      <c r="G166" s="7" t="str">
        <f>IF(C156="X","X","")</f>
        <v/>
      </c>
      <c r="H166" s="230"/>
      <c r="I166" s="230"/>
      <c r="J166" s="230"/>
      <c r="L166" s="230"/>
      <c r="M166" s="230"/>
      <c r="N166" s="230"/>
      <c r="O166" s="230"/>
      <c r="P166" s="230"/>
      <c r="Q166" s="230"/>
      <c r="R166" s="230"/>
      <c r="S166" s="230"/>
      <c r="T166" s="230"/>
    </row>
    <row r="167" spans="1:20">
      <c r="A167" s="230"/>
      <c r="B167" s="230"/>
      <c r="C167" s="230"/>
      <c r="D167" s="230"/>
      <c r="E167" s="230"/>
      <c r="F167" s="230"/>
      <c r="G167" s="7">
        <f>COUNTIF(G162:G166,"X")</f>
        <v>0</v>
      </c>
      <c r="H167" s="230"/>
      <c r="I167" s="230"/>
      <c r="J167" s="230"/>
      <c r="L167" s="230"/>
      <c r="M167" s="230"/>
      <c r="N167" s="230"/>
      <c r="O167" s="230"/>
      <c r="P167" s="230"/>
      <c r="Q167" s="230"/>
      <c r="R167" s="230"/>
      <c r="S167" s="230"/>
      <c r="T167" s="230"/>
    </row>
    <row r="168" spans="1:20">
      <c r="A168" s="230"/>
      <c r="B168" s="230"/>
      <c r="C168" s="230"/>
      <c r="D168" s="230"/>
      <c r="E168" s="230"/>
      <c r="F168" s="230"/>
      <c r="G168" s="230"/>
      <c r="H168" s="230"/>
      <c r="I168" s="230"/>
      <c r="J168" s="230"/>
      <c r="L168" s="230"/>
      <c r="M168" s="230"/>
      <c r="N168" s="230"/>
      <c r="O168" s="230"/>
      <c r="P168" s="230"/>
      <c r="Q168" s="230"/>
      <c r="R168" s="230"/>
      <c r="S168" s="230"/>
      <c r="T168" s="230"/>
    </row>
    <row r="169" spans="1:20">
      <c r="A169" s="230"/>
      <c r="B169" s="230"/>
      <c r="C169" s="230"/>
      <c r="D169" s="230"/>
      <c r="E169" s="230"/>
      <c r="F169" s="230"/>
      <c r="G169" s="230"/>
      <c r="H169" s="230"/>
      <c r="I169" s="230"/>
      <c r="J169" s="230"/>
      <c r="L169" s="230"/>
      <c r="M169" s="230"/>
      <c r="N169" s="230"/>
      <c r="O169" s="230"/>
      <c r="P169" s="230"/>
      <c r="Q169" s="230"/>
      <c r="R169" s="230"/>
      <c r="S169" s="230"/>
      <c r="T169" s="230"/>
    </row>
    <row r="170" spans="1:20">
      <c r="A170" s="334" t="s">
        <v>857</v>
      </c>
      <c r="B170" s="7"/>
      <c r="C170" s="230"/>
      <c r="D170" s="230"/>
      <c r="E170" s="230"/>
      <c r="F170" s="230"/>
      <c r="G170" s="230"/>
      <c r="H170" s="230"/>
      <c r="I170" s="230"/>
      <c r="J170" s="230"/>
      <c r="L170" s="230"/>
      <c r="M170" s="230"/>
      <c r="N170" s="230"/>
      <c r="O170" s="230"/>
      <c r="P170" s="230"/>
      <c r="Q170" s="230"/>
      <c r="R170" s="230"/>
      <c r="S170" s="230"/>
      <c r="T170" s="230"/>
    </row>
    <row r="171" spans="1:20">
      <c r="A171" s="230"/>
      <c r="B171" s="230"/>
      <c r="C171" s="230"/>
      <c r="D171" s="230"/>
      <c r="E171" s="230"/>
      <c r="F171" s="230"/>
      <c r="G171" s="230"/>
      <c r="H171" s="230"/>
      <c r="I171" s="230"/>
      <c r="J171" s="230"/>
      <c r="L171" s="230"/>
      <c r="M171" s="230"/>
      <c r="N171" s="230"/>
      <c r="O171" s="230"/>
      <c r="P171" s="230"/>
      <c r="Q171" s="230"/>
      <c r="R171" s="230"/>
      <c r="S171" s="230"/>
      <c r="T171" s="230"/>
    </row>
    <row r="172" spans="1:20">
      <c r="A172" s="230"/>
      <c r="B172" s="230"/>
      <c r="C172" s="230"/>
      <c r="D172" s="230"/>
      <c r="E172" s="230"/>
      <c r="F172" s="230"/>
      <c r="G172" s="230"/>
      <c r="H172" s="230"/>
      <c r="I172" s="230"/>
      <c r="J172" s="230"/>
      <c r="L172" s="230"/>
      <c r="M172" s="230"/>
      <c r="N172" s="230"/>
      <c r="O172" s="230"/>
      <c r="P172" s="230"/>
      <c r="Q172" s="230"/>
      <c r="R172" s="230"/>
      <c r="S172" s="230"/>
      <c r="T172" s="230"/>
    </row>
    <row r="173" spans="1:20">
      <c r="A173" s="230"/>
      <c r="B173" s="230"/>
      <c r="C173" s="230"/>
      <c r="D173" s="230"/>
      <c r="E173" s="230"/>
      <c r="F173" s="230"/>
      <c r="G173" s="230"/>
      <c r="H173" s="230"/>
      <c r="I173" s="230"/>
      <c r="J173" s="230"/>
      <c r="L173" s="230"/>
      <c r="M173" s="230"/>
      <c r="N173" s="230"/>
      <c r="O173" s="230"/>
      <c r="P173" s="230"/>
      <c r="Q173" s="230"/>
      <c r="R173" s="230"/>
      <c r="S173" s="230"/>
      <c r="T173" s="230"/>
    </row>
    <row r="174" spans="1:20">
      <c r="A174" s="230"/>
      <c r="B174" s="230"/>
      <c r="C174" s="230"/>
      <c r="D174" s="230"/>
      <c r="E174" s="230"/>
      <c r="F174" s="230"/>
      <c r="G174" s="230"/>
      <c r="H174" s="230"/>
      <c r="I174" s="230"/>
      <c r="J174" s="230"/>
      <c r="L174" s="230"/>
      <c r="M174" s="230"/>
      <c r="N174" s="230"/>
      <c r="O174" s="230"/>
      <c r="P174" s="230"/>
      <c r="Q174" s="230"/>
      <c r="R174" s="230"/>
      <c r="S174" s="230"/>
      <c r="T174" s="230"/>
    </row>
    <row r="175" spans="1:20">
      <c r="A175" s="230"/>
      <c r="B175" s="230"/>
      <c r="C175" s="230"/>
      <c r="D175" s="230"/>
      <c r="E175" s="230"/>
      <c r="F175" s="230"/>
      <c r="G175" s="230"/>
      <c r="H175" s="230"/>
      <c r="I175" s="230"/>
      <c r="J175" s="230"/>
      <c r="L175" s="230"/>
      <c r="M175" s="230"/>
      <c r="N175" s="230"/>
      <c r="O175" s="230"/>
      <c r="P175" s="230"/>
      <c r="Q175" s="230"/>
      <c r="R175" s="230"/>
      <c r="S175" s="230"/>
      <c r="T175" s="230"/>
    </row>
    <row r="176" spans="1:20">
      <c r="A176" s="230"/>
      <c r="B176" s="230"/>
      <c r="C176" s="230"/>
      <c r="D176" s="230"/>
      <c r="E176" s="230"/>
      <c r="F176" s="230"/>
      <c r="G176" s="230"/>
      <c r="H176" s="230"/>
      <c r="I176" s="230"/>
      <c r="J176" s="230"/>
      <c r="L176" s="230"/>
      <c r="M176" s="230"/>
      <c r="N176" s="230"/>
      <c r="O176" s="230"/>
      <c r="P176" s="230"/>
      <c r="Q176" s="230"/>
      <c r="R176" s="230"/>
      <c r="S176" s="230"/>
      <c r="T176" s="230"/>
    </row>
    <row r="177" spans="1:20">
      <c r="A177" s="230"/>
      <c r="B177" s="230"/>
      <c r="C177" s="230"/>
      <c r="D177" s="230"/>
      <c r="E177" s="230"/>
      <c r="F177" s="230"/>
      <c r="G177" s="230"/>
      <c r="H177" s="230"/>
      <c r="I177" s="230"/>
      <c r="J177" s="230"/>
      <c r="L177" s="230"/>
      <c r="M177" s="230"/>
      <c r="N177" s="230"/>
      <c r="O177" s="230"/>
      <c r="P177" s="230"/>
      <c r="Q177" s="230"/>
      <c r="R177" s="230"/>
      <c r="S177" s="230"/>
      <c r="T177" s="230"/>
    </row>
    <row r="178" spans="1:20">
      <c r="A178" s="230"/>
      <c r="B178" s="230"/>
      <c r="C178" s="230"/>
      <c r="D178" s="230"/>
      <c r="E178" s="230"/>
      <c r="F178" s="230"/>
      <c r="G178" s="230"/>
      <c r="H178" s="230"/>
      <c r="I178" s="230"/>
      <c r="J178" s="230"/>
      <c r="L178" s="230"/>
      <c r="M178" s="230"/>
      <c r="N178" s="230"/>
      <c r="O178" s="230"/>
      <c r="P178" s="230"/>
      <c r="Q178" s="230"/>
      <c r="R178" s="230"/>
      <c r="S178" s="230"/>
      <c r="T178" s="230"/>
    </row>
    <row r="179" spans="1:20">
      <c r="A179" s="230"/>
      <c r="B179" s="230"/>
      <c r="C179" s="230"/>
      <c r="D179" s="230"/>
      <c r="E179" s="230"/>
      <c r="F179" s="230"/>
      <c r="G179" s="230"/>
      <c r="H179" s="230"/>
      <c r="I179" s="230"/>
      <c r="J179" s="230"/>
      <c r="L179" s="230"/>
      <c r="M179" s="230"/>
      <c r="N179" s="230"/>
      <c r="O179" s="230"/>
      <c r="P179" s="230"/>
      <c r="Q179" s="230"/>
      <c r="R179" s="230"/>
      <c r="S179" s="230"/>
      <c r="T179" s="230"/>
    </row>
    <row r="180" spans="1:20">
      <c r="A180" s="230"/>
      <c r="B180" s="230"/>
      <c r="C180" s="230"/>
      <c r="D180" s="230"/>
      <c r="E180" s="230"/>
      <c r="F180" s="230"/>
      <c r="G180" s="230"/>
      <c r="H180" s="230"/>
      <c r="I180" s="230"/>
      <c r="J180" s="230"/>
      <c r="L180" s="230"/>
      <c r="M180" s="230"/>
      <c r="N180" s="230"/>
      <c r="O180" s="230"/>
      <c r="P180" s="230"/>
      <c r="Q180" s="230"/>
      <c r="R180" s="230"/>
      <c r="S180" s="230"/>
      <c r="T180" s="230"/>
    </row>
    <row r="181" spans="1:20">
      <c r="A181" s="230"/>
      <c r="B181" s="230"/>
      <c r="C181" s="230"/>
      <c r="D181" s="230"/>
      <c r="E181" s="230"/>
      <c r="F181" s="230"/>
      <c r="G181" s="230"/>
      <c r="H181" s="230"/>
      <c r="I181" s="230"/>
      <c r="J181" s="230"/>
      <c r="L181" s="230"/>
      <c r="M181" s="230"/>
      <c r="N181" s="230"/>
      <c r="O181" s="230"/>
      <c r="P181" s="230"/>
      <c r="Q181" s="230"/>
      <c r="R181" s="230"/>
      <c r="S181" s="230"/>
      <c r="T181" s="230"/>
    </row>
    <row r="182" spans="1:20">
      <c r="A182" s="230"/>
      <c r="B182" s="230"/>
      <c r="C182" s="230"/>
      <c r="D182" s="230"/>
      <c r="E182" s="230"/>
      <c r="F182" s="230"/>
      <c r="G182" s="230"/>
      <c r="H182" s="230"/>
      <c r="I182" s="230"/>
      <c r="J182" s="230"/>
      <c r="L182" s="230"/>
      <c r="M182" s="230"/>
      <c r="N182" s="230"/>
      <c r="O182" s="230"/>
      <c r="P182" s="230"/>
      <c r="Q182" s="230"/>
      <c r="R182" s="230"/>
      <c r="S182" s="230"/>
      <c r="T182" s="230"/>
    </row>
    <row r="183" spans="1:20">
      <c r="A183" s="230"/>
      <c r="B183" s="230"/>
      <c r="C183" s="230"/>
      <c r="D183" s="230"/>
      <c r="E183" s="230"/>
      <c r="F183" s="230"/>
      <c r="G183" s="230"/>
      <c r="H183" s="230"/>
      <c r="I183" s="230"/>
      <c r="J183" s="230"/>
      <c r="L183" s="230"/>
      <c r="M183" s="230"/>
      <c r="N183" s="230"/>
      <c r="O183" s="230"/>
      <c r="P183" s="230"/>
      <c r="Q183" s="230"/>
      <c r="R183" s="230"/>
      <c r="S183" s="230"/>
      <c r="T183" s="230"/>
    </row>
    <row r="184" spans="1:20">
      <c r="A184" s="230"/>
      <c r="B184" s="230"/>
      <c r="C184" s="230"/>
      <c r="D184" s="230"/>
      <c r="E184" s="230"/>
      <c r="F184" s="230"/>
      <c r="G184" s="230"/>
      <c r="H184" s="230"/>
      <c r="I184" s="230"/>
      <c r="J184" s="230"/>
      <c r="L184" s="230"/>
      <c r="M184" s="230"/>
      <c r="N184" s="230"/>
      <c r="O184" s="230"/>
      <c r="P184" s="230"/>
      <c r="Q184" s="230"/>
      <c r="R184" s="230"/>
      <c r="S184" s="230"/>
      <c r="T184" s="230"/>
    </row>
    <row r="185" spans="1:20">
      <c r="A185" s="230"/>
      <c r="B185" s="230"/>
      <c r="C185" s="230"/>
      <c r="D185" s="230"/>
      <c r="E185" s="230"/>
      <c r="F185" s="230"/>
      <c r="G185" s="230"/>
      <c r="H185" s="230"/>
      <c r="I185" s="230"/>
      <c r="J185" s="230"/>
      <c r="L185" s="230"/>
      <c r="M185" s="230"/>
      <c r="N185" s="230"/>
      <c r="O185" s="230"/>
      <c r="P185" s="230"/>
      <c r="Q185" s="230"/>
      <c r="R185" s="230"/>
      <c r="S185" s="230"/>
      <c r="T185" s="230"/>
    </row>
    <row r="186" spans="1:20">
      <c r="A186" s="230"/>
      <c r="B186" s="230"/>
      <c r="C186" s="230"/>
      <c r="D186" s="230"/>
      <c r="E186" s="230"/>
      <c r="F186" s="230"/>
      <c r="G186" s="230"/>
      <c r="H186" s="230"/>
      <c r="I186" s="230"/>
      <c r="J186" s="230"/>
      <c r="L186" s="230"/>
      <c r="M186" s="230"/>
      <c r="N186" s="230"/>
      <c r="O186" s="230"/>
      <c r="P186" s="230"/>
      <c r="Q186" s="230"/>
      <c r="R186" s="230"/>
      <c r="S186" s="230"/>
      <c r="T186" s="230"/>
    </row>
    <row r="187" spans="1:20">
      <c r="A187" s="230"/>
      <c r="B187" s="230"/>
      <c r="C187" s="230"/>
      <c r="D187" s="230"/>
      <c r="E187" s="230"/>
      <c r="F187" s="230"/>
      <c r="G187" s="230"/>
      <c r="H187" s="230"/>
      <c r="I187" s="230"/>
      <c r="J187" s="230"/>
      <c r="L187" s="230"/>
      <c r="M187" s="230"/>
      <c r="N187" s="230"/>
      <c r="O187" s="230"/>
      <c r="P187" s="230"/>
      <c r="Q187" s="230"/>
      <c r="R187" s="230"/>
      <c r="S187" s="230"/>
      <c r="T187" s="230"/>
    </row>
    <row r="188" spans="1:20">
      <c r="A188" s="230"/>
      <c r="B188" s="230"/>
      <c r="C188" s="230"/>
      <c r="D188" s="230"/>
      <c r="E188" s="230"/>
      <c r="F188" s="230"/>
      <c r="G188" s="230"/>
      <c r="H188" s="230"/>
      <c r="I188" s="230"/>
      <c r="J188" s="230"/>
      <c r="L188" s="230"/>
      <c r="M188" s="230"/>
      <c r="N188" s="230"/>
      <c r="O188" s="230"/>
      <c r="P188" s="230"/>
      <c r="Q188" s="230"/>
      <c r="R188" s="230"/>
      <c r="S188" s="230"/>
      <c r="T188" s="230"/>
    </row>
    <row r="189" spans="1:20">
      <c r="A189" s="230"/>
      <c r="B189" s="230"/>
      <c r="C189" s="230"/>
      <c r="D189" s="230"/>
      <c r="E189" s="230"/>
      <c r="F189" s="230"/>
      <c r="G189" s="230"/>
      <c r="H189" s="230"/>
      <c r="I189" s="230"/>
      <c r="J189" s="230"/>
      <c r="L189" s="230"/>
      <c r="M189" s="230"/>
      <c r="N189" s="230"/>
      <c r="O189" s="230"/>
      <c r="P189" s="230"/>
      <c r="Q189" s="230"/>
      <c r="R189" s="230"/>
      <c r="S189" s="230"/>
      <c r="T189" s="230"/>
    </row>
    <row r="190" spans="1:20">
      <c r="A190" s="230"/>
      <c r="B190" s="230"/>
      <c r="C190" s="230"/>
      <c r="D190" s="230"/>
      <c r="E190" s="230"/>
      <c r="F190" s="230"/>
      <c r="G190" s="230"/>
      <c r="H190" s="230"/>
      <c r="I190" s="230"/>
      <c r="J190" s="230"/>
      <c r="L190" s="230"/>
      <c r="M190" s="230"/>
      <c r="N190" s="230"/>
      <c r="O190" s="230"/>
      <c r="P190" s="230"/>
      <c r="Q190" s="230"/>
      <c r="R190" s="230"/>
      <c r="S190" s="230"/>
      <c r="T190" s="230"/>
    </row>
    <row r="191" spans="1:20">
      <c r="A191" s="230"/>
      <c r="B191" s="230"/>
      <c r="C191" s="230"/>
      <c r="D191" s="230"/>
      <c r="E191" s="230"/>
      <c r="F191" s="230"/>
      <c r="G191" s="230"/>
      <c r="H191" s="230"/>
      <c r="I191" s="230"/>
      <c r="J191" s="230"/>
      <c r="L191" s="230"/>
      <c r="M191" s="230"/>
      <c r="N191" s="230"/>
      <c r="O191" s="230"/>
      <c r="P191" s="230"/>
      <c r="Q191" s="230"/>
      <c r="R191" s="230"/>
      <c r="S191" s="230"/>
      <c r="T191" s="230"/>
    </row>
    <row r="192" spans="1:20">
      <c r="A192" s="230"/>
      <c r="B192" s="230"/>
      <c r="C192" s="230"/>
      <c r="D192" s="230"/>
      <c r="E192" s="230"/>
      <c r="F192" s="230"/>
      <c r="G192" s="230"/>
      <c r="H192" s="230"/>
      <c r="I192" s="230"/>
      <c r="J192" s="230"/>
      <c r="L192" s="230"/>
      <c r="M192" s="230"/>
      <c r="N192" s="230"/>
      <c r="O192" s="230"/>
      <c r="P192" s="230"/>
      <c r="Q192" s="230"/>
      <c r="R192" s="230"/>
      <c r="S192" s="230"/>
      <c r="T192" s="230"/>
    </row>
    <row r="193" spans="1:20">
      <c r="A193" s="230"/>
      <c r="B193" s="230"/>
      <c r="C193" s="230"/>
      <c r="D193" s="230"/>
      <c r="E193" s="230"/>
      <c r="F193" s="230"/>
      <c r="G193" s="230"/>
      <c r="H193" s="230"/>
      <c r="I193" s="230"/>
      <c r="J193" s="230"/>
      <c r="L193" s="230"/>
      <c r="M193" s="230"/>
      <c r="N193" s="230"/>
      <c r="O193" s="230"/>
      <c r="P193" s="230"/>
      <c r="Q193" s="230"/>
      <c r="R193" s="230"/>
      <c r="S193" s="230"/>
      <c r="T193" s="230"/>
    </row>
    <row r="194" spans="1:20">
      <c r="A194" s="230"/>
      <c r="B194" s="230"/>
      <c r="C194" s="230"/>
      <c r="D194" s="230"/>
      <c r="E194" s="230"/>
      <c r="F194" s="230"/>
      <c r="G194" s="230"/>
      <c r="H194" s="230"/>
      <c r="I194" s="230"/>
      <c r="J194" s="230"/>
      <c r="L194" s="230"/>
      <c r="M194" s="230"/>
      <c r="N194" s="230"/>
      <c r="O194" s="230"/>
      <c r="P194" s="230"/>
      <c r="Q194" s="230"/>
      <c r="R194" s="230"/>
      <c r="S194" s="230"/>
      <c r="T194" s="230"/>
    </row>
    <row r="195" spans="1:20">
      <c r="A195" s="230"/>
      <c r="B195" s="230"/>
      <c r="C195" s="230"/>
      <c r="D195" s="230"/>
      <c r="E195" s="230"/>
      <c r="F195" s="230"/>
      <c r="G195" s="230"/>
      <c r="H195" s="230"/>
      <c r="I195" s="230"/>
      <c r="J195" s="230"/>
      <c r="L195" s="230"/>
      <c r="M195" s="230"/>
      <c r="N195" s="230"/>
      <c r="O195" s="230"/>
      <c r="P195" s="230"/>
      <c r="Q195" s="230"/>
      <c r="R195" s="230"/>
      <c r="S195" s="230"/>
      <c r="T195" s="230"/>
    </row>
    <row r="196" spans="1:20">
      <c r="A196" s="230"/>
      <c r="B196" s="230"/>
      <c r="C196" s="230"/>
      <c r="D196" s="230"/>
      <c r="E196" s="230"/>
      <c r="F196" s="230"/>
      <c r="G196" s="230"/>
      <c r="H196" s="230"/>
      <c r="I196" s="230"/>
      <c r="J196" s="230"/>
      <c r="L196" s="230"/>
      <c r="M196" s="230"/>
      <c r="N196" s="230"/>
      <c r="O196" s="230"/>
      <c r="P196" s="230"/>
      <c r="Q196" s="230"/>
      <c r="R196" s="230"/>
      <c r="S196" s="230"/>
      <c r="T196" s="230"/>
    </row>
  </sheetData>
  <mergeCells count="116">
    <mergeCell ref="A56:B56"/>
    <mergeCell ref="A55:E55"/>
    <mergeCell ref="G92:H92"/>
    <mergeCell ref="A1:I2"/>
    <mergeCell ref="J1:J2"/>
    <mergeCell ref="F17:F18"/>
    <mergeCell ref="A22:D22"/>
    <mergeCell ref="A29:D29"/>
    <mergeCell ref="E29:H29"/>
    <mergeCell ref="A49:C49"/>
    <mergeCell ref="E49:G49"/>
    <mergeCell ref="D23:D24"/>
    <mergeCell ref="A4:D4"/>
    <mergeCell ref="F4:I4"/>
    <mergeCell ref="A11:D11"/>
    <mergeCell ref="D12:E12"/>
    <mergeCell ref="D13:E13"/>
    <mergeCell ref="F12:F13"/>
    <mergeCell ref="A50:C50"/>
    <mergeCell ref="E50:G50"/>
    <mergeCell ref="J49:K49"/>
    <mergeCell ref="J50:K50"/>
    <mergeCell ref="A77:D77"/>
    <mergeCell ref="A85:D85"/>
    <mergeCell ref="A61:B61"/>
    <mergeCell ref="A62:B62"/>
    <mergeCell ref="A63:B63"/>
    <mergeCell ref="A67:G67"/>
    <mergeCell ref="G94:H94"/>
    <mergeCell ref="A91:G91"/>
    <mergeCell ref="A76:E76"/>
    <mergeCell ref="A86:D86"/>
    <mergeCell ref="A87:D87"/>
    <mergeCell ref="A78:E78"/>
    <mergeCell ref="A81:D81"/>
    <mergeCell ref="A79:D79"/>
    <mergeCell ref="A80:D80"/>
    <mergeCell ref="A165:B165"/>
    <mergeCell ref="A28:G28"/>
    <mergeCell ref="E51:G51"/>
    <mergeCell ref="A51:C51"/>
    <mergeCell ref="A69:F69"/>
    <mergeCell ref="A70:F70"/>
    <mergeCell ref="A71:F71"/>
    <mergeCell ref="A57:B57"/>
    <mergeCell ref="A58:B58"/>
    <mergeCell ref="A59:B59"/>
    <mergeCell ref="A60:B60"/>
    <mergeCell ref="A68:F68"/>
    <mergeCell ref="A98:D98"/>
    <mergeCell ref="A99:D99"/>
    <mergeCell ref="A97:D97"/>
    <mergeCell ref="A104:B104"/>
    <mergeCell ref="A105:B105"/>
    <mergeCell ref="A106:B106"/>
    <mergeCell ref="A107:B107"/>
    <mergeCell ref="A108:B108"/>
    <mergeCell ref="A92:B92"/>
    <mergeCell ref="C92:D92"/>
    <mergeCell ref="A115:B115"/>
    <mergeCell ref="A150:B150"/>
    <mergeCell ref="A103:B103"/>
    <mergeCell ref="A120:D120"/>
    <mergeCell ref="A121:D121"/>
    <mergeCell ref="A122:D122"/>
    <mergeCell ref="A142:B142"/>
    <mergeCell ref="A137:F137"/>
    <mergeCell ref="A109:B109"/>
    <mergeCell ref="A110:B110"/>
    <mergeCell ref="A111:B111"/>
    <mergeCell ref="A112:B112"/>
    <mergeCell ref="A113:B113"/>
    <mergeCell ref="A114:B114"/>
    <mergeCell ref="A156:B156"/>
    <mergeCell ref="A148:C148"/>
    <mergeCell ref="A132:B132"/>
    <mergeCell ref="A119:D119"/>
    <mergeCell ref="A138:B138"/>
    <mergeCell ref="A139:B139"/>
    <mergeCell ref="A141:B141"/>
    <mergeCell ref="D138:E138"/>
    <mergeCell ref="D139:E139"/>
    <mergeCell ref="D140:E140"/>
    <mergeCell ref="A140:C140"/>
    <mergeCell ref="A123:D123"/>
    <mergeCell ref="A127:B127"/>
    <mergeCell ref="A128:B128"/>
    <mergeCell ref="A129:B129"/>
    <mergeCell ref="A130:B130"/>
    <mergeCell ref="A131:B131"/>
    <mergeCell ref="A149:B149"/>
    <mergeCell ref="A151:B151"/>
    <mergeCell ref="L11:O11"/>
    <mergeCell ref="L6:O6"/>
    <mergeCell ref="L9:O9"/>
    <mergeCell ref="A166:B166"/>
    <mergeCell ref="C163:D163"/>
    <mergeCell ref="C164:D164"/>
    <mergeCell ref="C165:D165"/>
    <mergeCell ref="C166:D166"/>
    <mergeCell ref="E163:F163"/>
    <mergeCell ref="E164:F164"/>
    <mergeCell ref="E165:F165"/>
    <mergeCell ref="E166:F166"/>
    <mergeCell ref="A162:B162"/>
    <mergeCell ref="C162:D162"/>
    <mergeCell ref="E162:F162"/>
    <mergeCell ref="A163:B163"/>
    <mergeCell ref="A164:B164"/>
    <mergeCell ref="A161:G161"/>
    <mergeCell ref="A152:B152"/>
    <mergeCell ref="A153:B153"/>
    <mergeCell ref="L7:O7"/>
    <mergeCell ref="E92:F92"/>
    <mergeCell ref="A154:B154"/>
    <mergeCell ref="A155:B15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6"/>
  <sheetViews>
    <sheetView topLeftCell="A4" workbookViewId="0">
      <selection activeCell="C46" sqref="C46"/>
    </sheetView>
  </sheetViews>
  <sheetFormatPr baseColWidth="10" defaultRowHeight="15.75"/>
  <cols>
    <col min="1" max="1" width="23.875" bestFit="1" customWidth="1"/>
    <col min="2" max="2" width="11.625" bestFit="1" customWidth="1"/>
    <col min="5" max="5" width="11.5" bestFit="1" customWidth="1"/>
    <col min="47" max="47" width="11.5" bestFit="1" customWidth="1"/>
  </cols>
  <sheetData>
    <row r="1" spans="1:17">
      <c r="A1" s="230"/>
      <c r="B1" s="230"/>
      <c r="C1" s="230"/>
      <c r="D1" s="230"/>
      <c r="E1" s="230"/>
      <c r="F1" s="230"/>
      <c r="G1" s="230"/>
      <c r="H1" s="230"/>
      <c r="I1" s="230"/>
      <c r="J1" s="230"/>
      <c r="K1" s="230"/>
      <c r="L1" s="230"/>
      <c r="M1" s="230"/>
      <c r="N1" s="230"/>
      <c r="O1" s="230"/>
      <c r="P1" s="230"/>
      <c r="Q1" s="230"/>
    </row>
    <row r="2" spans="1:17">
      <c r="A2" s="246" t="s">
        <v>178</v>
      </c>
      <c r="B2" s="247"/>
      <c r="C2" s="247"/>
      <c r="D2" s="248"/>
      <c r="E2" s="230"/>
      <c r="F2" s="230"/>
      <c r="G2" s="230"/>
      <c r="H2" s="230"/>
      <c r="I2" s="230"/>
      <c r="J2" s="230"/>
      <c r="K2" s="230"/>
      <c r="L2" s="230"/>
      <c r="M2" s="230"/>
      <c r="N2" s="230"/>
      <c r="O2" s="230"/>
      <c r="P2" s="230"/>
      <c r="Q2" s="230"/>
    </row>
    <row r="3" spans="1:17">
      <c r="A3" s="68" t="s">
        <v>179</v>
      </c>
      <c r="B3" s="68" t="s">
        <v>185</v>
      </c>
      <c r="C3" s="68" t="s">
        <v>186</v>
      </c>
      <c r="D3" s="68" t="s">
        <v>2</v>
      </c>
      <c r="E3" s="230"/>
      <c r="F3" s="230"/>
      <c r="G3" s="230"/>
      <c r="H3" s="230"/>
      <c r="I3" s="230"/>
      <c r="J3" s="230"/>
      <c r="K3" s="230"/>
      <c r="L3" s="230"/>
      <c r="M3" s="230"/>
      <c r="N3" s="230"/>
      <c r="O3" s="230"/>
      <c r="P3" s="230"/>
      <c r="Q3" s="230"/>
    </row>
    <row r="4" spans="1:17">
      <c r="A4" s="70" t="s">
        <v>180</v>
      </c>
      <c r="B4" s="70" t="str">
        <f>IF(C4&gt;0,"Correcta","Omitida")</f>
        <v>Omitida</v>
      </c>
      <c r="D4" s="70">
        <f>SQRT((180-C4)^2)</f>
        <v>180</v>
      </c>
      <c r="E4" s="230"/>
      <c r="F4" s="230"/>
      <c r="G4" s="230"/>
      <c r="H4" s="230"/>
      <c r="I4" s="230"/>
      <c r="J4" s="230"/>
      <c r="K4" s="230"/>
      <c r="L4" s="230"/>
      <c r="M4" s="230"/>
      <c r="N4" s="230"/>
      <c r="O4" s="230"/>
      <c r="P4" s="230"/>
      <c r="Q4" s="230"/>
    </row>
    <row r="5" spans="1:17">
      <c r="A5" s="70" t="s">
        <v>181</v>
      </c>
      <c r="B5" s="70" t="str">
        <f t="shared" ref="B5:B8" si="0">IF(C5&gt;0,"Correcta","Omitida")</f>
        <v>Omitida</v>
      </c>
      <c r="D5" s="70">
        <f t="shared" ref="D5:D8" si="1">SQRT((180-C5)^2)</f>
        <v>180</v>
      </c>
      <c r="E5" s="230"/>
      <c r="F5" s="230"/>
      <c r="G5" s="230"/>
      <c r="H5" s="230"/>
      <c r="I5" s="230"/>
      <c r="J5" s="230"/>
      <c r="K5" s="230"/>
      <c r="L5" s="230"/>
      <c r="M5" s="230"/>
      <c r="N5" s="230"/>
      <c r="O5" s="230"/>
      <c r="P5" s="230"/>
      <c r="Q5" s="230"/>
    </row>
    <row r="6" spans="1:17">
      <c r="A6" s="70" t="s">
        <v>182</v>
      </c>
      <c r="B6" s="70" t="str">
        <f t="shared" si="0"/>
        <v>Omitida</v>
      </c>
      <c r="D6" s="70">
        <f t="shared" si="1"/>
        <v>180</v>
      </c>
      <c r="E6" s="230"/>
      <c r="F6" s="230"/>
      <c r="G6" s="230"/>
      <c r="H6" s="230"/>
      <c r="I6" s="230"/>
      <c r="J6" s="230"/>
      <c r="K6" s="230"/>
      <c r="L6" s="230"/>
      <c r="M6" s="230"/>
      <c r="N6" s="230"/>
      <c r="O6" s="230"/>
      <c r="P6" s="230"/>
      <c r="Q6" s="230"/>
    </row>
    <row r="7" spans="1:17">
      <c r="A7" s="70" t="s">
        <v>183</v>
      </c>
      <c r="B7" s="70" t="str">
        <f t="shared" si="0"/>
        <v>Omitida</v>
      </c>
      <c r="D7" s="70">
        <f t="shared" si="1"/>
        <v>180</v>
      </c>
      <c r="E7" s="230"/>
      <c r="F7" s="230"/>
      <c r="G7" s="230"/>
      <c r="H7" s="230"/>
      <c r="I7" s="230"/>
      <c r="J7" s="230"/>
      <c r="K7" s="230"/>
      <c r="L7" s="230"/>
      <c r="M7" s="230"/>
      <c r="N7" s="230"/>
      <c r="O7" s="230"/>
      <c r="P7" s="230"/>
      <c r="Q7" s="230"/>
    </row>
    <row r="8" spans="1:17" ht="16.5" thickBot="1">
      <c r="A8" s="70" t="s">
        <v>184</v>
      </c>
      <c r="B8" s="70" t="str">
        <f t="shared" si="0"/>
        <v>Omitida</v>
      </c>
      <c r="D8" s="70">
        <f t="shared" si="1"/>
        <v>180</v>
      </c>
      <c r="E8" s="230"/>
      <c r="F8" s="230"/>
      <c r="G8" s="230"/>
      <c r="H8" s="230"/>
      <c r="I8" s="230"/>
      <c r="J8" s="230"/>
      <c r="K8" s="230"/>
      <c r="L8" s="230"/>
      <c r="M8" s="230"/>
      <c r="N8" s="230"/>
      <c r="O8" s="230"/>
      <c r="P8" s="230"/>
      <c r="Q8" s="230"/>
    </row>
    <row r="9" spans="1:17" ht="16.5" thickBot="1">
      <c r="A9" s="70" t="s">
        <v>187</v>
      </c>
      <c r="B9" s="70">
        <f>COUNTIF(B4:B8,"Correcta")</f>
        <v>0</v>
      </c>
      <c r="C9" s="70">
        <f>SUM(C4:C8)</f>
        <v>0</v>
      </c>
      <c r="D9" s="70">
        <f>SUM(D4:D8)</f>
        <v>900</v>
      </c>
      <c r="E9" s="72">
        <f>(227-D9)/130</f>
        <v>-5.1769230769230772</v>
      </c>
      <c r="F9" s="230"/>
      <c r="G9" s="230"/>
      <c r="H9" s="230"/>
      <c r="I9" s="230"/>
      <c r="J9" s="230"/>
      <c r="K9" s="230"/>
      <c r="L9" s="230"/>
      <c r="M9" s="230"/>
      <c r="N9" s="230"/>
      <c r="O9" s="230"/>
      <c r="P9" s="230"/>
      <c r="Q9" s="230"/>
    </row>
    <row r="10" spans="1:17">
      <c r="A10" s="68" t="s">
        <v>188</v>
      </c>
      <c r="B10" s="68" t="s">
        <v>185</v>
      </c>
      <c r="C10" s="68" t="s">
        <v>186</v>
      </c>
      <c r="D10" s="68" t="s">
        <v>2</v>
      </c>
      <c r="F10" s="230"/>
      <c r="G10" s="230"/>
      <c r="H10" s="230"/>
      <c r="I10" s="230"/>
      <c r="J10" s="230"/>
      <c r="K10" s="230"/>
      <c r="L10" s="230"/>
      <c r="M10" s="230"/>
      <c r="N10" s="230"/>
      <c r="O10" s="230"/>
      <c r="P10" s="230"/>
      <c r="Q10" s="230"/>
    </row>
    <row r="11" spans="1:17">
      <c r="A11" s="70" t="s">
        <v>189</v>
      </c>
      <c r="B11" s="70" t="str">
        <f>IF(ISBLANK(C11),"Omitida","Correcta")</f>
        <v>Omitida</v>
      </c>
      <c r="C11" s="105"/>
      <c r="D11" s="70">
        <f>SQRT((360-C11)^2)</f>
        <v>360</v>
      </c>
      <c r="E11" s="71">
        <f>C11/86400</f>
        <v>0</v>
      </c>
      <c r="F11" s="244"/>
      <c r="G11" s="245"/>
      <c r="H11" s="230"/>
      <c r="I11" s="230"/>
      <c r="J11" s="230"/>
      <c r="K11" s="230"/>
      <c r="L11" s="230"/>
      <c r="M11" s="230"/>
      <c r="N11" s="230"/>
      <c r="O11" s="230"/>
      <c r="P11" s="230"/>
      <c r="Q11" s="230"/>
    </row>
    <row r="12" spans="1:17">
      <c r="A12" s="70" t="s">
        <v>190</v>
      </c>
      <c r="B12" s="70" t="str">
        <f>IF(ISBLANK(C12),"Omitida","Correcta")</f>
        <v>Omitida</v>
      </c>
      <c r="C12" s="105"/>
      <c r="D12" s="70">
        <f>SQRT((720-C12)^2)</f>
        <v>720</v>
      </c>
      <c r="E12" s="71">
        <f>C12/86400</f>
        <v>0</v>
      </c>
      <c r="F12" s="230"/>
      <c r="G12" s="230"/>
      <c r="H12" s="230"/>
      <c r="I12" s="230"/>
      <c r="J12" s="230"/>
      <c r="K12" s="230"/>
      <c r="L12" s="230"/>
      <c r="M12" s="230"/>
      <c r="N12" s="230"/>
      <c r="O12" s="230"/>
      <c r="P12" s="230"/>
      <c r="Q12" s="230"/>
    </row>
    <row r="13" spans="1:17">
      <c r="A13" s="70" t="s">
        <v>191</v>
      </c>
      <c r="B13" s="70">
        <f>COUNTIF(B11:B12,"Correcta")</f>
        <v>0</v>
      </c>
      <c r="C13" s="70"/>
      <c r="D13" s="70">
        <f>SUM(D11:D12)</f>
        <v>1080</v>
      </c>
      <c r="E13" s="73">
        <f>IF(B13=0,0,IF(D13&lt;61,4,IF(D13&lt;121,3,IF(D13&lt;181,2,1))))</f>
        <v>0</v>
      </c>
      <c r="F13" s="230"/>
      <c r="G13" s="230"/>
      <c r="H13" s="230"/>
      <c r="I13" s="230"/>
      <c r="J13" s="230"/>
      <c r="K13" s="230"/>
      <c r="L13" s="230"/>
      <c r="M13" s="230"/>
      <c r="N13" s="230"/>
      <c r="O13" s="230"/>
      <c r="P13" s="230"/>
      <c r="Q13" s="230"/>
    </row>
    <row r="14" spans="1:17">
      <c r="A14" s="230"/>
      <c r="B14" s="230"/>
      <c r="C14" s="230"/>
      <c r="D14" s="230"/>
      <c r="E14" s="230"/>
      <c r="F14" s="230"/>
      <c r="G14" s="230"/>
      <c r="H14" s="230"/>
      <c r="I14" s="230"/>
      <c r="J14" s="230"/>
      <c r="K14" s="230"/>
      <c r="L14" s="230"/>
      <c r="M14" s="230"/>
      <c r="N14" s="230"/>
      <c r="O14" s="230"/>
      <c r="P14" s="230"/>
      <c r="Q14" s="230"/>
    </row>
    <row r="15" spans="1:17">
      <c r="A15" s="230"/>
      <c r="B15" s="230"/>
      <c r="C15" s="230"/>
      <c r="D15" s="230"/>
      <c r="E15" s="230"/>
      <c r="F15" s="230"/>
      <c r="G15" s="230"/>
      <c r="H15" s="230"/>
      <c r="I15" s="230"/>
      <c r="J15" s="230"/>
      <c r="K15" s="230"/>
      <c r="L15" s="230"/>
      <c r="M15" s="230"/>
      <c r="N15" s="230"/>
      <c r="O15" s="230"/>
      <c r="P15" s="230"/>
      <c r="Q15" s="230"/>
    </row>
    <row r="16" spans="1:17">
      <c r="A16" s="246" t="s">
        <v>192</v>
      </c>
      <c r="B16" s="248"/>
      <c r="C16" s="230"/>
      <c r="D16" s="230"/>
      <c r="E16" s="230"/>
      <c r="F16" s="230"/>
      <c r="G16" s="230"/>
      <c r="H16" s="230"/>
      <c r="I16" s="230"/>
      <c r="J16" s="230"/>
      <c r="K16" s="230"/>
      <c r="L16" s="230"/>
      <c r="M16" s="230"/>
      <c r="N16" s="230"/>
      <c r="O16" s="230"/>
      <c r="P16" s="230"/>
      <c r="Q16" s="230"/>
    </row>
    <row r="17" spans="1:17">
      <c r="A17" s="70" t="s">
        <v>187</v>
      </c>
      <c r="B17" s="230"/>
      <c r="C17" s="230"/>
      <c r="D17" s="230"/>
      <c r="E17" s="230"/>
      <c r="F17" s="230"/>
      <c r="G17" s="230"/>
      <c r="H17" s="230"/>
      <c r="I17" s="230"/>
      <c r="J17" s="230"/>
      <c r="K17" s="230"/>
      <c r="L17" s="230"/>
      <c r="M17" s="230"/>
      <c r="N17" s="230"/>
      <c r="O17" s="230"/>
      <c r="P17" s="230"/>
      <c r="Q17" s="230"/>
    </row>
    <row r="18" spans="1:17">
      <c r="A18" s="230"/>
      <c r="B18" s="230"/>
      <c r="C18" s="230"/>
      <c r="D18" s="230"/>
      <c r="E18" s="230"/>
      <c r="F18" s="230"/>
      <c r="G18" s="230"/>
      <c r="H18" s="230"/>
      <c r="I18" s="230"/>
      <c r="J18" s="230"/>
      <c r="K18" s="230"/>
      <c r="L18" s="230"/>
      <c r="M18" s="230"/>
      <c r="N18" s="230"/>
      <c r="O18" s="230"/>
      <c r="P18" s="230"/>
      <c r="Q18" s="230"/>
    </row>
    <row r="19" spans="1:17">
      <c r="A19" s="246" t="s">
        <v>193</v>
      </c>
      <c r="B19" s="248"/>
      <c r="C19" s="230"/>
      <c r="D19" s="230"/>
      <c r="E19" s="230"/>
      <c r="F19" s="230"/>
      <c r="G19" s="230"/>
      <c r="H19" s="230"/>
      <c r="I19" s="230"/>
      <c r="J19" s="230"/>
      <c r="K19" s="230"/>
      <c r="L19" s="230"/>
      <c r="M19" s="230"/>
      <c r="N19" s="230"/>
      <c r="O19" s="230"/>
      <c r="P19" s="230"/>
      <c r="Q19" s="230"/>
    </row>
    <row r="20" spans="1:17">
      <c r="A20" s="70" t="s">
        <v>187</v>
      </c>
      <c r="B20" s="230"/>
      <c r="C20" s="230"/>
      <c r="D20" s="230"/>
      <c r="E20" s="230"/>
      <c r="F20" s="230"/>
      <c r="G20" s="230"/>
      <c r="H20" s="230"/>
      <c r="I20" s="230"/>
      <c r="J20" s="230"/>
      <c r="K20" s="230"/>
      <c r="L20" s="230"/>
      <c r="M20" s="230"/>
      <c r="N20" s="230"/>
      <c r="O20" s="230"/>
      <c r="P20" s="230"/>
      <c r="Q20" s="230"/>
    </row>
    <row r="21" spans="1:17">
      <c r="A21" s="230"/>
      <c r="B21" s="230"/>
      <c r="C21" s="230"/>
      <c r="D21" s="230"/>
      <c r="E21" s="230"/>
      <c r="F21" s="230"/>
      <c r="G21" s="230"/>
      <c r="H21" s="230"/>
      <c r="I21" s="230"/>
      <c r="J21" s="230"/>
      <c r="K21" s="230"/>
      <c r="L21" s="230"/>
      <c r="M21" s="230"/>
      <c r="N21" s="230"/>
      <c r="O21" s="230"/>
      <c r="P21" s="230"/>
      <c r="Q21" s="230"/>
    </row>
    <row r="22" spans="1:17">
      <c r="A22" s="246" t="s">
        <v>194</v>
      </c>
      <c r="B22" s="248"/>
      <c r="C22" s="230"/>
      <c r="D22" s="230"/>
      <c r="E22" s="230"/>
      <c r="F22" s="230"/>
      <c r="G22" s="230"/>
      <c r="H22" s="230"/>
      <c r="I22" s="230"/>
      <c r="J22" s="230"/>
      <c r="K22" s="230"/>
      <c r="L22" s="230"/>
      <c r="M22" s="230"/>
      <c r="N22" s="230"/>
      <c r="O22" s="230"/>
      <c r="P22" s="230"/>
      <c r="Q22" s="230"/>
    </row>
    <row r="23" spans="1:17">
      <c r="A23" s="68" t="s">
        <v>195</v>
      </c>
      <c r="B23" s="75"/>
      <c r="C23" s="68" t="s">
        <v>198</v>
      </c>
      <c r="D23" s="68" t="s">
        <v>199</v>
      </c>
      <c r="E23" s="230"/>
      <c r="F23" s="230"/>
      <c r="G23" s="230"/>
      <c r="H23" s="230"/>
      <c r="I23" s="230"/>
      <c r="J23" s="230"/>
      <c r="K23" s="230"/>
      <c r="L23" s="230"/>
      <c r="M23" s="230"/>
      <c r="N23" s="230"/>
      <c r="O23" s="230"/>
      <c r="P23" s="230"/>
      <c r="Q23" s="230"/>
    </row>
    <row r="24" spans="1:17">
      <c r="A24" s="70" t="s">
        <v>187</v>
      </c>
      <c r="C24" s="73">
        <f>B24*1.5/4</f>
        <v>0</v>
      </c>
      <c r="D24" s="73">
        <f>(C24-13.2)/1.5</f>
        <v>-8.7999999999999989</v>
      </c>
      <c r="E24" s="230"/>
      <c r="F24" s="230"/>
      <c r="G24" s="230"/>
      <c r="H24" s="230"/>
      <c r="I24" s="230"/>
      <c r="J24" s="230"/>
      <c r="K24" s="230"/>
      <c r="L24" s="230"/>
      <c r="M24" s="230"/>
      <c r="N24" s="230"/>
      <c r="O24" s="230"/>
      <c r="P24" s="230"/>
      <c r="Q24" s="230"/>
    </row>
    <row r="25" spans="1:17">
      <c r="A25" s="70" t="s">
        <v>196</v>
      </c>
      <c r="C25" s="70" t="str">
        <f>IF(B25&gt;3,"normales","descendidos")</f>
        <v>descendidos</v>
      </c>
      <c r="D25" s="70"/>
      <c r="E25" s="230"/>
      <c r="F25" s="230"/>
      <c r="G25" s="230"/>
      <c r="H25" s="230"/>
      <c r="I25" s="230"/>
      <c r="J25" s="230"/>
      <c r="K25" s="230"/>
      <c r="L25" s="230"/>
      <c r="M25" s="230"/>
      <c r="N25" s="230"/>
      <c r="O25" s="230"/>
      <c r="P25" s="230"/>
      <c r="Q25" s="230"/>
    </row>
    <row r="26" spans="1:17">
      <c r="A26" s="70" t="s">
        <v>197</v>
      </c>
      <c r="C26" s="70" t="str">
        <f>IF(B26&gt;3,"normales","descendidos")</f>
        <v>descendidos</v>
      </c>
      <c r="D26" s="70"/>
      <c r="E26" s="249" t="b">
        <f>EXACT(C25,C26)</f>
        <v>1</v>
      </c>
      <c r="F26" s="230"/>
      <c r="G26" s="230"/>
      <c r="H26" s="230"/>
      <c r="I26" s="230"/>
      <c r="J26" s="230"/>
      <c r="K26" s="230"/>
      <c r="L26" s="230"/>
      <c r="M26" s="230"/>
      <c r="N26" s="230"/>
      <c r="O26" s="230"/>
      <c r="P26" s="230"/>
      <c r="Q26" s="230"/>
    </row>
    <row r="27" spans="1:17">
      <c r="A27" s="68" t="s">
        <v>200</v>
      </c>
      <c r="B27" s="75"/>
      <c r="C27" s="68" t="s">
        <v>198</v>
      </c>
      <c r="D27" s="68" t="s">
        <v>199</v>
      </c>
      <c r="E27" s="230"/>
      <c r="F27" s="230"/>
      <c r="G27" s="230"/>
      <c r="H27" s="230"/>
      <c r="I27" s="230"/>
      <c r="J27" s="230"/>
      <c r="K27" s="230"/>
      <c r="L27" s="230"/>
      <c r="M27" s="230"/>
      <c r="N27" s="230"/>
      <c r="O27" s="230"/>
      <c r="P27" s="230"/>
      <c r="Q27" s="230"/>
    </row>
    <row r="28" spans="1:17">
      <c r="A28" s="70" t="s">
        <v>201</v>
      </c>
      <c r="C28" s="70"/>
      <c r="D28" s="70"/>
      <c r="E28" s="230"/>
      <c r="F28" s="230"/>
      <c r="G28" s="230"/>
      <c r="H28" s="230"/>
      <c r="I28" s="230"/>
      <c r="J28" s="230"/>
      <c r="K28" s="230"/>
      <c r="L28" s="230"/>
      <c r="M28" s="230"/>
      <c r="N28" s="230"/>
      <c r="O28" s="230"/>
      <c r="P28" s="230"/>
      <c r="Q28" s="230"/>
    </row>
    <row r="29" spans="1:17">
      <c r="A29" s="70" t="s">
        <v>202</v>
      </c>
      <c r="C29" s="70"/>
      <c r="D29" s="70"/>
      <c r="E29" s="230"/>
      <c r="F29" s="230"/>
      <c r="G29" s="230"/>
      <c r="H29" s="230"/>
      <c r="I29" s="230"/>
      <c r="J29" s="230"/>
      <c r="K29" s="230"/>
      <c r="L29" s="230"/>
      <c r="M29" s="230"/>
      <c r="N29" s="230"/>
      <c r="O29" s="230"/>
      <c r="P29" s="230"/>
      <c r="Q29" s="230"/>
    </row>
    <row r="30" spans="1:17">
      <c r="A30" s="70" t="s">
        <v>203</v>
      </c>
      <c r="C30" s="70"/>
      <c r="D30" s="70"/>
      <c r="E30" s="230"/>
      <c r="F30" s="230"/>
      <c r="G30" s="230"/>
      <c r="H30" s="230"/>
      <c r="I30" s="230"/>
      <c r="J30" s="230"/>
      <c r="K30" s="230"/>
      <c r="L30" s="230"/>
      <c r="M30" s="230"/>
      <c r="N30" s="230"/>
      <c r="O30" s="230"/>
      <c r="P30" s="230"/>
      <c r="Q30" s="230"/>
    </row>
    <row r="31" spans="1:17">
      <c r="A31" s="70" t="s">
        <v>205</v>
      </c>
      <c r="C31" s="70"/>
      <c r="D31" s="70"/>
      <c r="E31" s="230"/>
      <c r="F31" s="230"/>
      <c r="G31" s="230"/>
      <c r="H31" s="230"/>
      <c r="I31" s="230"/>
      <c r="J31" s="230"/>
      <c r="K31" s="230"/>
      <c r="L31" s="230"/>
      <c r="M31" s="230"/>
      <c r="N31" s="230"/>
      <c r="O31" s="230"/>
      <c r="P31" s="230"/>
      <c r="Q31" s="230"/>
    </row>
    <row r="32" spans="1:17">
      <c r="A32" s="70" t="s">
        <v>204</v>
      </c>
      <c r="C32" s="70"/>
      <c r="D32" s="70"/>
      <c r="E32" s="230"/>
      <c r="F32" s="230"/>
      <c r="G32" s="230"/>
      <c r="H32" s="230"/>
      <c r="I32" s="230"/>
      <c r="J32" s="230"/>
      <c r="K32" s="230"/>
      <c r="L32" s="230"/>
      <c r="M32" s="230"/>
      <c r="N32" s="230"/>
      <c r="O32" s="230"/>
      <c r="P32" s="230"/>
      <c r="Q32" s="230"/>
    </row>
    <row r="33" spans="1:17">
      <c r="A33" s="70" t="s">
        <v>206</v>
      </c>
      <c r="C33" s="70"/>
      <c r="D33" s="70"/>
      <c r="E33" s="230"/>
      <c r="F33" s="230"/>
      <c r="G33" s="230"/>
      <c r="H33" s="230"/>
      <c r="I33" s="230"/>
      <c r="J33" s="230"/>
      <c r="K33" s="230"/>
      <c r="L33" s="230"/>
      <c r="M33" s="230"/>
      <c r="N33" s="230"/>
      <c r="O33" s="230"/>
      <c r="P33" s="230"/>
      <c r="Q33" s="230"/>
    </row>
    <row r="34" spans="1:17">
      <c r="A34" s="70" t="s">
        <v>207</v>
      </c>
      <c r="C34" s="70"/>
      <c r="D34" s="70"/>
      <c r="E34" s="230"/>
      <c r="F34" s="230"/>
      <c r="G34" s="230"/>
      <c r="H34" s="230"/>
      <c r="I34" s="230"/>
      <c r="J34" s="230"/>
      <c r="K34" s="230"/>
      <c r="L34" s="230"/>
      <c r="M34" s="230"/>
      <c r="N34" s="230"/>
      <c r="O34" s="230"/>
      <c r="P34" s="230"/>
      <c r="Q34" s="230"/>
    </row>
    <row r="35" spans="1:17">
      <c r="A35" s="76" t="s">
        <v>187</v>
      </c>
      <c r="B35" s="70">
        <f>SUM(B28:B34)</f>
        <v>0</v>
      </c>
      <c r="C35" s="73">
        <f>B35*1.5/3.5</f>
        <v>0</v>
      </c>
      <c r="D35" s="73">
        <f>(C35-12.6)/1.1</f>
        <v>-11.454545454545453</v>
      </c>
      <c r="E35" s="230"/>
      <c r="F35" s="230"/>
      <c r="G35" s="230"/>
      <c r="H35" s="230"/>
      <c r="I35" s="230"/>
      <c r="J35" s="230"/>
      <c r="K35" s="230"/>
      <c r="L35" s="230"/>
      <c r="M35" s="230"/>
      <c r="N35" s="230"/>
      <c r="O35" s="230"/>
      <c r="P35" s="230"/>
      <c r="Q35" s="230"/>
    </row>
    <row r="36" spans="1:17">
      <c r="A36" s="68" t="s">
        <v>208</v>
      </c>
      <c r="B36" s="75"/>
      <c r="C36" s="68">
        <f>C24+C35</f>
        <v>0</v>
      </c>
      <c r="D36" s="68">
        <f>(C36-25.8)/1.8</f>
        <v>-14.333333333333334</v>
      </c>
      <c r="E36" s="230"/>
      <c r="F36" s="230"/>
      <c r="G36" s="230"/>
      <c r="H36" s="230"/>
      <c r="I36" s="230"/>
      <c r="J36" s="230"/>
      <c r="K36" s="230"/>
      <c r="L36" s="230"/>
      <c r="M36" s="230"/>
      <c r="N36" s="230"/>
      <c r="O36" s="230"/>
      <c r="P36" s="230"/>
      <c r="Q36" s="230"/>
    </row>
    <row r="37" spans="1:17">
      <c r="A37" s="230"/>
      <c r="B37" s="230"/>
      <c r="C37" s="230"/>
      <c r="D37" s="230"/>
      <c r="E37" s="230"/>
      <c r="F37" s="230"/>
      <c r="G37" s="230"/>
      <c r="H37" s="230"/>
      <c r="I37" s="230"/>
      <c r="J37" s="230"/>
      <c r="K37" s="230"/>
      <c r="L37" s="230"/>
      <c r="M37" s="230"/>
      <c r="N37" s="230"/>
      <c r="O37" s="230"/>
      <c r="P37" s="230"/>
      <c r="Q37" s="230"/>
    </row>
    <row r="38" spans="1:17">
      <c r="A38" s="69" t="s">
        <v>209</v>
      </c>
      <c r="B38" s="74"/>
      <c r="C38" s="230"/>
      <c r="D38" s="230"/>
      <c r="E38" s="230"/>
      <c r="F38" s="230"/>
      <c r="G38" s="230"/>
      <c r="H38" s="230"/>
      <c r="I38" s="230"/>
      <c r="J38" s="230"/>
      <c r="K38" s="230"/>
      <c r="L38" s="230"/>
      <c r="M38" s="230"/>
      <c r="N38" s="230"/>
      <c r="O38" s="230"/>
      <c r="P38" s="230"/>
      <c r="Q38" s="230"/>
    </row>
    <row r="39" spans="1:17">
      <c r="A39" s="70" t="s">
        <v>210</v>
      </c>
      <c r="B39" s="230"/>
      <c r="C39" s="230"/>
      <c r="D39" s="230"/>
      <c r="E39" s="230"/>
      <c r="F39" s="230"/>
      <c r="G39" s="230"/>
      <c r="H39" s="230"/>
      <c r="I39" s="230"/>
      <c r="J39" s="230"/>
      <c r="K39" s="230"/>
      <c r="L39" s="230"/>
      <c r="M39" s="230"/>
      <c r="N39" s="230"/>
      <c r="O39" s="230"/>
      <c r="P39" s="230"/>
      <c r="Q39" s="230"/>
    </row>
    <row r="40" spans="1:17">
      <c r="A40" s="70" t="s">
        <v>211</v>
      </c>
      <c r="B40" s="230"/>
      <c r="C40" s="230"/>
      <c r="D40" s="230"/>
      <c r="E40" s="230"/>
      <c r="F40" s="230"/>
      <c r="G40" s="230"/>
      <c r="H40" s="230"/>
      <c r="I40" s="230"/>
      <c r="J40" s="230"/>
      <c r="K40" s="230"/>
      <c r="L40" s="230"/>
      <c r="M40" s="230"/>
      <c r="N40" s="230"/>
      <c r="O40" s="230"/>
      <c r="P40" s="230"/>
      <c r="Q40" s="230"/>
    </row>
    <row r="41" spans="1:17">
      <c r="A41" s="70" t="s">
        <v>212</v>
      </c>
      <c r="B41" s="230"/>
      <c r="C41" s="230"/>
      <c r="D41" s="230"/>
      <c r="E41" s="230"/>
      <c r="F41" s="230"/>
      <c r="G41" s="230"/>
      <c r="H41" s="230"/>
      <c r="I41" s="230"/>
      <c r="J41" s="230"/>
      <c r="K41" s="230"/>
      <c r="L41" s="230"/>
      <c r="M41" s="230"/>
      <c r="N41" s="230"/>
      <c r="O41" s="230"/>
      <c r="P41" s="230"/>
      <c r="Q41" s="230"/>
    </row>
    <row r="42" spans="1:17">
      <c r="A42" s="70" t="s">
        <v>186</v>
      </c>
      <c r="B42" s="230"/>
      <c r="C42" s="230"/>
      <c r="D42" s="230"/>
      <c r="E42" s="230"/>
      <c r="F42" s="230"/>
      <c r="G42" s="230"/>
      <c r="H42" s="230"/>
      <c r="I42" s="230"/>
      <c r="J42" s="230"/>
      <c r="K42" s="230"/>
      <c r="L42" s="230"/>
      <c r="M42" s="230"/>
      <c r="N42" s="230"/>
      <c r="O42" s="230"/>
      <c r="P42" s="230"/>
      <c r="Q42" s="230"/>
    </row>
    <row r="43" spans="1:17">
      <c r="A43" s="230"/>
      <c r="B43" s="230"/>
      <c r="C43" s="230"/>
      <c r="D43" s="230"/>
      <c r="E43" s="230"/>
      <c r="F43" s="230"/>
      <c r="G43" s="230"/>
      <c r="H43" s="230"/>
      <c r="I43" s="230"/>
      <c r="J43" s="230"/>
      <c r="K43" s="230"/>
      <c r="L43" s="230"/>
      <c r="M43" s="230"/>
      <c r="N43" s="230"/>
      <c r="O43" s="230"/>
      <c r="P43" s="230"/>
      <c r="Q43" s="230"/>
    </row>
    <row r="44" spans="1:17">
      <c r="A44" s="69" t="s">
        <v>213</v>
      </c>
      <c r="B44" s="74"/>
      <c r="C44" s="230"/>
      <c r="D44" s="230"/>
      <c r="E44" s="230"/>
      <c r="F44" s="230"/>
      <c r="G44" s="230"/>
      <c r="H44" s="230"/>
      <c r="I44" s="230"/>
      <c r="J44" s="230"/>
      <c r="K44" s="230"/>
      <c r="L44" s="230"/>
      <c r="M44" s="230"/>
      <c r="N44" s="230"/>
      <c r="O44" s="230"/>
      <c r="P44" s="230"/>
      <c r="Q44" s="230"/>
    </row>
    <row r="45" spans="1:17">
      <c r="A45" s="70" t="s">
        <v>210</v>
      </c>
      <c r="B45" s="230"/>
      <c r="C45" s="230"/>
      <c r="D45" s="230"/>
      <c r="E45" s="230"/>
      <c r="F45" s="230"/>
      <c r="G45" s="230"/>
      <c r="H45" s="230"/>
      <c r="I45" s="230"/>
      <c r="J45" s="230"/>
      <c r="K45" s="230"/>
      <c r="L45" s="230"/>
      <c r="M45" s="230"/>
      <c r="N45" s="230"/>
      <c r="O45" s="230"/>
      <c r="P45" s="230"/>
      <c r="Q45" s="230"/>
    </row>
    <row r="46" spans="1:17">
      <c r="A46" s="70" t="s">
        <v>211</v>
      </c>
      <c r="B46" s="230"/>
      <c r="C46" s="230" t="s">
        <v>327</v>
      </c>
      <c r="D46" s="230"/>
      <c r="E46" s="230"/>
      <c r="F46" s="230"/>
      <c r="G46" s="230"/>
      <c r="H46" s="230"/>
      <c r="I46" s="230"/>
      <c r="J46" s="230"/>
      <c r="K46" s="230"/>
      <c r="L46" s="230"/>
      <c r="M46" s="230"/>
      <c r="N46" s="230"/>
      <c r="O46" s="230"/>
      <c r="P46" s="230"/>
      <c r="Q46" s="230"/>
    </row>
    <row r="47" spans="1:17">
      <c r="A47" s="70" t="s">
        <v>212</v>
      </c>
      <c r="B47" s="230"/>
      <c r="C47" s="230"/>
      <c r="D47" s="230"/>
      <c r="E47" s="230"/>
      <c r="F47" s="230"/>
      <c r="G47" s="230"/>
      <c r="H47" s="230"/>
      <c r="I47" s="230"/>
      <c r="J47" s="230"/>
      <c r="K47" s="230"/>
      <c r="L47" s="230"/>
      <c r="M47" s="230"/>
      <c r="N47" s="230"/>
      <c r="O47" s="230"/>
      <c r="P47" s="230"/>
      <c r="Q47" s="230"/>
    </row>
    <row r="48" spans="1:17">
      <c r="A48" s="70" t="s">
        <v>186</v>
      </c>
      <c r="B48" s="230"/>
      <c r="C48" s="230"/>
      <c r="D48" s="230"/>
      <c r="E48" s="230"/>
      <c r="F48" s="230"/>
      <c r="G48" s="230"/>
      <c r="H48" s="230"/>
      <c r="I48" s="230"/>
      <c r="J48" s="230"/>
      <c r="K48" s="230"/>
      <c r="L48" s="230"/>
      <c r="M48" s="230"/>
      <c r="N48" s="230"/>
      <c r="O48" s="230"/>
      <c r="P48" s="230"/>
      <c r="Q48" s="230"/>
    </row>
    <row r="49" spans="1:17">
      <c r="A49" s="230"/>
      <c r="B49" s="230"/>
      <c r="C49" s="230"/>
      <c r="D49" s="230"/>
      <c r="E49" s="230"/>
      <c r="F49" s="230"/>
      <c r="G49" s="230"/>
      <c r="H49" s="230"/>
      <c r="I49" s="230"/>
      <c r="J49" s="230"/>
      <c r="K49" s="230"/>
      <c r="L49" s="230"/>
      <c r="M49" s="230"/>
      <c r="N49" s="230"/>
      <c r="O49" s="230"/>
      <c r="P49" s="230"/>
      <c r="Q49" s="230"/>
    </row>
    <row r="50" spans="1:17">
      <c r="A50" s="230"/>
      <c r="B50" s="230"/>
      <c r="C50" s="230"/>
      <c r="D50" s="230"/>
      <c r="E50" s="230"/>
      <c r="F50" s="230"/>
      <c r="G50" s="230"/>
      <c r="H50" s="230"/>
      <c r="I50" s="230"/>
      <c r="J50" s="230"/>
      <c r="K50" s="230"/>
      <c r="L50" s="230"/>
      <c r="M50" s="230"/>
      <c r="N50" s="230"/>
      <c r="O50" s="230"/>
      <c r="P50" s="230"/>
      <c r="Q50" s="230"/>
    </row>
    <row r="51" spans="1:17">
      <c r="A51" s="230"/>
      <c r="B51" s="230"/>
      <c r="C51" s="230"/>
      <c r="D51" s="230"/>
      <c r="E51" s="230"/>
      <c r="F51" s="230"/>
      <c r="G51" s="230"/>
      <c r="H51" s="230"/>
      <c r="I51" s="230"/>
      <c r="J51" s="230"/>
      <c r="K51" s="230"/>
      <c r="L51" s="230"/>
      <c r="M51" s="230"/>
      <c r="N51" s="230"/>
      <c r="O51" s="230"/>
      <c r="P51" s="230"/>
      <c r="Q51" s="230"/>
    </row>
    <row r="52" spans="1:17">
      <c r="A52" s="230"/>
      <c r="B52" s="230"/>
      <c r="C52" s="230"/>
      <c r="D52" s="230"/>
      <c r="E52" s="230"/>
      <c r="F52" s="230"/>
      <c r="G52" s="230"/>
      <c r="H52" s="230"/>
      <c r="I52" s="230"/>
      <c r="J52" s="230"/>
      <c r="K52" s="230"/>
      <c r="L52" s="230"/>
      <c r="M52" s="230"/>
      <c r="N52" s="230"/>
      <c r="O52" s="230"/>
      <c r="P52" s="230"/>
      <c r="Q52" s="230"/>
    </row>
    <row r="53" spans="1:17">
      <c r="A53" s="230"/>
      <c r="B53" s="230"/>
      <c r="C53" s="230"/>
      <c r="D53" s="230"/>
      <c r="E53" s="230"/>
      <c r="F53" s="230"/>
      <c r="G53" s="230"/>
      <c r="H53" s="230"/>
      <c r="I53" s="230"/>
      <c r="J53" s="230"/>
      <c r="K53" s="230"/>
      <c r="L53" s="230"/>
      <c r="M53" s="230"/>
      <c r="N53" s="230"/>
      <c r="O53" s="230"/>
      <c r="P53" s="230"/>
      <c r="Q53" s="230"/>
    </row>
    <row r="54" spans="1:17">
      <c r="A54" s="230"/>
      <c r="B54" s="230"/>
      <c r="C54" s="230"/>
      <c r="D54" s="230"/>
      <c r="E54" s="230"/>
      <c r="F54" s="230"/>
      <c r="G54" s="230"/>
      <c r="H54" s="230"/>
      <c r="I54" s="230"/>
      <c r="J54" s="230"/>
      <c r="K54" s="230"/>
      <c r="L54" s="230"/>
      <c r="M54" s="230"/>
      <c r="N54" s="230"/>
      <c r="O54" s="230"/>
      <c r="P54" s="230"/>
      <c r="Q54" s="230"/>
    </row>
    <row r="55" spans="1:17">
      <c r="A55" s="230"/>
      <c r="B55" s="230"/>
      <c r="C55" s="230"/>
      <c r="D55" s="230"/>
      <c r="E55" s="230"/>
      <c r="F55" s="230"/>
      <c r="G55" s="230"/>
      <c r="H55" s="230"/>
      <c r="I55" s="230"/>
      <c r="J55" s="230"/>
      <c r="K55" s="230"/>
      <c r="L55" s="230"/>
      <c r="M55" s="230"/>
      <c r="N55" s="230"/>
      <c r="O55" s="230"/>
      <c r="P55" s="230"/>
      <c r="Q55" s="230"/>
    </row>
    <row r="56" spans="1:17">
      <c r="A56" s="230"/>
      <c r="B56" s="230"/>
      <c r="C56" s="230"/>
      <c r="D56" s="230"/>
      <c r="E56" s="230"/>
      <c r="F56" s="230"/>
      <c r="G56" s="230"/>
      <c r="H56" s="230"/>
      <c r="I56" s="230"/>
      <c r="J56" s="230"/>
      <c r="K56" s="230"/>
      <c r="L56" s="230"/>
      <c r="M56" s="230"/>
      <c r="N56" s="230"/>
      <c r="O56" s="230"/>
      <c r="P56" s="230"/>
      <c r="Q56" s="230"/>
    </row>
    <row r="57" spans="1:17">
      <c r="A57" s="230"/>
      <c r="B57" s="230"/>
      <c r="C57" s="230"/>
      <c r="D57" s="230"/>
      <c r="E57" s="230"/>
      <c r="F57" s="230"/>
      <c r="G57" s="230"/>
      <c r="H57" s="230"/>
      <c r="I57" s="230"/>
      <c r="J57" s="230"/>
      <c r="K57" s="230"/>
      <c r="L57" s="230"/>
      <c r="M57" s="230"/>
      <c r="N57" s="230"/>
      <c r="O57" s="230"/>
      <c r="P57" s="230"/>
      <c r="Q57" s="230"/>
    </row>
    <row r="58" spans="1:17">
      <c r="A58" s="230"/>
      <c r="B58" s="230"/>
      <c r="C58" s="230"/>
      <c r="D58" s="230"/>
      <c r="E58" s="230"/>
      <c r="F58" s="230"/>
      <c r="G58" s="230"/>
      <c r="H58" s="230"/>
      <c r="I58" s="230"/>
      <c r="J58" s="230"/>
      <c r="K58" s="230"/>
      <c r="L58" s="230"/>
      <c r="M58" s="230"/>
      <c r="N58" s="230"/>
      <c r="O58" s="230"/>
      <c r="P58" s="230"/>
      <c r="Q58" s="230"/>
    </row>
    <row r="59" spans="1:17">
      <c r="A59" s="230"/>
      <c r="B59" s="230"/>
      <c r="C59" s="230"/>
      <c r="D59" s="230"/>
      <c r="E59" s="230"/>
      <c r="F59" s="230"/>
      <c r="G59" s="230"/>
      <c r="H59" s="230"/>
      <c r="I59" s="230"/>
      <c r="J59" s="230"/>
      <c r="K59" s="230"/>
      <c r="L59" s="230"/>
      <c r="M59" s="230"/>
      <c r="N59" s="230"/>
      <c r="O59" s="230"/>
      <c r="P59" s="230"/>
      <c r="Q59" s="230"/>
    </row>
    <row r="99" spans="1:1">
      <c r="A99" s="21" t="s">
        <v>303</v>
      </c>
    </row>
    <row r="100" spans="1:1">
      <c r="A100" s="21" t="s">
        <v>295</v>
      </c>
    </row>
    <row r="101" spans="1:1">
      <c r="A101" s="21" t="s">
        <v>296</v>
      </c>
    </row>
    <row r="103" spans="1:1">
      <c r="A103" s="18" t="s">
        <v>297</v>
      </c>
    </row>
    <row r="104" spans="1:1">
      <c r="A104" t="s">
        <v>298</v>
      </c>
    </row>
    <row r="106" spans="1:1">
      <c r="A106" t="s">
        <v>300</v>
      </c>
    </row>
    <row r="107" spans="1:1">
      <c r="A107" t="s">
        <v>301</v>
      </c>
    </row>
    <row r="108" spans="1:1">
      <c r="A108" t="s">
        <v>302</v>
      </c>
    </row>
    <row r="110" spans="1:1">
      <c r="A110" t="s">
        <v>87</v>
      </c>
    </row>
    <row r="111" spans="1:1">
      <c r="A111" t="s">
        <v>361</v>
      </c>
    </row>
    <row r="112" spans="1:1">
      <c r="A112" t="s">
        <v>88</v>
      </c>
    </row>
    <row r="114" spans="1:1">
      <c r="A114" t="s">
        <v>87</v>
      </c>
    </row>
    <row r="115" spans="1:1">
      <c r="A115" t="s">
        <v>307</v>
      </c>
    </row>
    <row r="116" spans="1:1">
      <c r="A116" t="s">
        <v>88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6"/>
  <sheetViews>
    <sheetView workbookViewId="0">
      <selection activeCell="B6" sqref="B6"/>
    </sheetView>
  </sheetViews>
  <sheetFormatPr baseColWidth="10" defaultRowHeight="15.75"/>
  <cols>
    <col min="4" max="4" width="11.5" bestFit="1" customWidth="1"/>
    <col min="8" max="9" width="11.5" bestFit="1" customWidth="1"/>
  </cols>
  <sheetData>
    <row r="1" spans="1:9" ht="16.5" thickTop="1">
      <c r="A1" s="77"/>
      <c r="B1" s="79" t="s">
        <v>198</v>
      </c>
      <c r="C1" s="79"/>
      <c r="D1" s="79"/>
      <c r="E1" s="79"/>
      <c r="F1" s="79"/>
      <c r="G1" s="79"/>
      <c r="H1" s="81"/>
    </row>
    <row r="2" spans="1:9" ht="16.5" thickBot="1">
      <c r="A2" s="78" t="s">
        <v>214</v>
      </c>
      <c r="B2" s="80" t="s">
        <v>215</v>
      </c>
      <c r="C2" s="80" t="s">
        <v>216</v>
      </c>
      <c r="D2" s="80" t="s">
        <v>217</v>
      </c>
      <c r="E2" s="80" t="s">
        <v>218</v>
      </c>
      <c r="F2" s="80" t="s">
        <v>219</v>
      </c>
      <c r="G2" s="80" t="s">
        <v>220</v>
      </c>
      <c r="H2" s="82" t="s">
        <v>221</v>
      </c>
    </row>
    <row r="3" spans="1:9" ht="24" thickTop="1" thickBot="1">
      <c r="A3" s="83" t="s">
        <v>222</v>
      </c>
      <c r="B3" s="318"/>
      <c r="C3" s="84"/>
      <c r="D3" s="320" t="str">
        <f>IF(B3="","",WAIStablas!A274)</f>
        <v/>
      </c>
      <c r="E3" s="84"/>
      <c r="F3" s="85" t="str">
        <f>D3</f>
        <v/>
      </c>
      <c r="G3" s="86"/>
      <c r="H3" s="87"/>
    </row>
    <row r="4" spans="1:9" ht="17.25" thickTop="1" thickBot="1">
      <c r="A4" s="83" t="s">
        <v>223</v>
      </c>
      <c r="B4" s="319" t="str">
        <f>IF(Resumen!B3="","",Resumen!B3)</f>
        <v/>
      </c>
      <c r="C4" s="85" t="str">
        <f>IF(B4="","",WAIStablas!A24)</f>
        <v/>
      </c>
      <c r="D4" s="321"/>
      <c r="E4" s="85" t="str">
        <f>C4</f>
        <v/>
      </c>
      <c r="F4" s="86"/>
      <c r="G4" s="86"/>
      <c r="H4" s="87"/>
    </row>
    <row r="5" spans="1:9" ht="24" thickTop="1" thickBot="1">
      <c r="A5" s="83" t="s">
        <v>224</v>
      </c>
      <c r="B5" s="319" t="e">
        <f>IF(Resumen!#REF!="","",Resumen!#REF!)</f>
        <v>#REF!</v>
      </c>
      <c r="C5" s="84"/>
      <c r="D5" s="320" t="e">
        <f>IF(B5="","",WAIStablas!A174)</f>
        <v>#REF!</v>
      </c>
      <c r="E5" s="84"/>
      <c r="F5" s="86"/>
      <c r="G5" s="86"/>
      <c r="H5" s="88" t="e">
        <f>D5</f>
        <v>#REF!</v>
      </c>
    </row>
    <row r="6" spans="1:9" ht="17.25" thickTop="1" thickBot="1">
      <c r="A6" s="83" t="s">
        <v>225</v>
      </c>
      <c r="B6" s="319"/>
      <c r="C6" s="320" t="str">
        <f>IF(B6="","",WAIStablas!A199)</f>
        <v/>
      </c>
      <c r="D6" s="321"/>
      <c r="E6" s="85" t="str">
        <f>C6</f>
        <v/>
      </c>
      <c r="F6" s="86"/>
      <c r="G6" s="86"/>
      <c r="H6" s="87"/>
    </row>
    <row r="7" spans="1:9" ht="24" thickTop="1" thickBot="1">
      <c r="A7" s="83" t="s">
        <v>226</v>
      </c>
      <c r="B7" s="319"/>
      <c r="C7" s="322"/>
      <c r="D7" s="320" t="str">
        <f>IF(B7="","",WAIStablas!A299)</f>
        <v/>
      </c>
      <c r="E7" s="84"/>
      <c r="F7" s="85" t="str">
        <f>D7</f>
        <v/>
      </c>
      <c r="G7" s="86"/>
      <c r="H7" s="87"/>
    </row>
    <row r="8" spans="1:9" ht="17.25" thickTop="1" thickBot="1">
      <c r="A8" s="83" t="s">
        <v>227</v>
      </c>
      <c r="B8" s="319" t="e">
        <f>IF(Resumen!#REF!="","",Resumen!#REF!)</f>
        <v>#REF!</v>
      </c>
      <c r="C8" s="320" t="e">
        <f>IF(B8="","",WAIStablas!A124)</f>
        <v>#REF!</v>
      </c>
      <c r="D8" s="321"/>
      <c r="E8" s="86"/>
      <c r="F8" s="86"/>
      <c r="G8" s="85" t="e">
        <f>C8</f>
        <v>#REF!</v>
      </c>
      <c r="H8" s="87"/>
    </row>
    <row r="9" spans="1:9" ht="24" thickTop="1" thickBot="1">
      <c r="A9" s="83" t="s">
        <v>228</v>
      </c>
      <c r="B9" s="323" t="str">
        <f>IF(Resumen!B2="","",Resumen!B2)</f>
        <v/>
      </c>
      <c r="C9" s="321"/>
      <c r="D9" s="320" t="str">
        <f>IF(B9="","",WAIStablas!A49)</f>
        <v/>
      </c>
      <c r="E9" s="86"/>
      <c r="F9" s="85" t="str">
        <f>D9</f>
        <v/>
      </c>
      <c r="G9" s="86"/>
      <c r="H9" s="87"/>
      <c r="I9" s="22"/>
    </row>
    <row r="10" spans="1:9" ht="17.25" thickTop="1" thickBot="1">
      <c r="A10" s="83" t="s">
        <v>47</v>
      </c>
      <c r="B10" s="319" t="e">
        <f>IF(Resumen!#REF!="","",Resumen!#REF!)</f>
        <v>#REF!</v>
      </c>
      <c r="C10" s="320" t="e">
        <f>IF(B10="","",WAIStablas!A74)</f>
        <v>#REF!</v>
      </c>
      <c r="D10" s="321"/>
      <c r="E10" s="86"/>
      <c r="F10" s="86"/>
      <c r="G10" s="85" t="e">
        <f>C10</f>
        <v>#REF!</v>
      </c>
      <c r="H10" s="87"/>
    </row>
    <row r="11" spans="1:9" ht="17.25" thickTop="1" thickBot="1">
      <c r="A11" s="83" t="s">
        <v>229</v>
      </c>
      <c r="B11" s="319"/>
      <c r="C11" s="320" t="str">
        <f>IF(B11="","",WAIStablas!A224)</f>
        <v/>
      </c>
      <c r="D11" s="321"/>
      <c r="E11" s="85" t="str">
        <f>C11</f>
        <v/>
      </c>
      <c r="F11" s="86"/>
      <c r="G11" s="86"/>
      <c r="H11" s="87"/>
    </row>
    <row r="12" spans="1:9" ht="24" thickTop="1" thickBot="1">
      <c r="A12" s="83" t="s">
        <v>230</v>
      </c>
      <c r="B12" s="319"/>
      <c r="C12" s="321"/>
      <c r="D12" s="320" t="str">
        <f>IF(B12="","",WAIStablas!A324)</f>
        <v/>
      </c>
      <c r="E12" s="86"/>
      <c r="F12" s="86"/>
      <c r="G12" s="86"/>
      <c r="H12" s="87"/>
    </row>
    <row r="13" spans="1:9" ht="17.25" thickTop="1" thickBot="1">
      <c r="A13" s="83" t="s">
        <v>231</v>
      </c>
      <c r="B13" s="319"/>
      <c r="C13" s="320" t="str">
        <f>IF(B13="","",WAIStablas!A249)</f>
        <v/>
      </c>
      <c r="D13" s="321"/>
      <c r="E13" s="86"/>
      <c r="F13" s="86"/>
      <c r="G13" s="86"/>
      <c r="H13" s="87"/>
    </row>
    <row r="14" spans="1:9" ht="24" thickTop="1" thickBot="1">
      <c r="A14" s="83" t="s">
        <v>232</v>
      </c>
      <c r="B14" s="319" t="e">
        <f>IF(Resumen!#REF!="","",Resumen!#REF!)</f>
        <v>#REF!</v>
      </c>
      <c r="C14" s="321"/>
      <c r="D14" s="320" t="e">
        <f>IF(B14="","",WAIStablas!A149)</f>
        <v>#REF!</v>
      </c>
      <c r="E14" s="86"/>
      <c r="F14" s="86"/>
      <c r="G14" s="86"/>
      <c r="H14" s="88" t="e">
        <f>D14</f>
        <v>#REF!</v>
      </c>
    </row>
    <row r="15" spans="1:9" ht="24" thickTop="1" thickBot="1">
      <c r="A15" s="83" t="s">
        <v>233</v>
      </c>
      <c r="B15" s="319" t="e">
        <f>IF(Resumen!#REF!="","",Resumen!#REF!)</f>
        <v>#REF!</v>
      </c>
      <c r="C15" s="320" t="e">
        <f>IF(B15="","",WAIStablas!A99)</f>
        <v>#REF!</v>
      </c>
      <c r="D15" s="86"/>
      <c r="E15" s="86"/>
      <c r="F15" s="86"/>
      <c r="G15" s="85" t="e">
        <f>C15</f>
        <v>#REF!</v>
      </c>
      <c r="H15" s="87"/>
    </row>
    <row r="16" spans="1:9" ht="17.25" thickTop="1" thickBot="1">
      <c r="A16" s="83" t="s">
        <v>234</v>
      </c>
      <c r="B16" s="89" t="s">
        <v>150</v>
      </c>
      <c r="C16" s="90"/>
      <c r="D16" s="91" t="s">
        <v>150</v>
      </c>
      <c r="E16" s="92"/>
      <c r="F16" s="92"/>
      <c r="G16" s="93"/>
      <c r="H16" s="94"/>
    </row>
    <row r="17" spans="1:9 16384:16384" ht="24" thickTop="1" thickBot="1">
      <c r="A17" s="83" t="s">
        <v>235</v>
      </c>
      <c r="B17" s="95"/>
      <c r="C17" s="324" t="e">
        <f>C4+C6+C8+C10+C11+C13</f>
        <v>#VALUE!</v>
      </c>
      <c r="D17" s="324" t="e">
        <f>D3+D5+D7+D9+D12</f>
        <v>#VALUE!</v>
      </c>
      <c r="E17" s="96" t="e">
        <f>E4+E6+E11</f>
        <v>#VALUE!</v>
      </c>
      <c r="F17" s="96" t="e">
        <f>F3+F7+F9</f>
        <v>#VALUE!</v>
      </c>
      <c r="G17" s="96" t="e">
        <f>G8+G10+G15</f>
        <v>#REF!</v>
      </c>
      <c r="H17" s="96" t="e">
        <f>H5+H14</f>
        <v>#REF!</v>
      </c>
    </row>
    <row r="18" spans="1:9 16384:16384" ht="17.25" thickTop="1" thickBot="1"/>
    <row r="19" spans="1:9 16384:16384" ht="16.5" thickBot="1">
      <c r="A19" s="97" t="s">
        <v>236</v>
      </c>
      <c r="B19" s="98" t="s">
        <v>237</v>
      </c>
      <c r="C19" s="98" t="s">
        <v>238</v>
      </c>
      <c r="D19" s="98" t="s">
        <v>239</v>
      </c>
      <c r="E19" s="98" t="s">
        <v>240</v>
      </c>
      <c r="F19" s="98" t="s">
        <v>241</v>
      </c>
      <c r="G19" s="98" t="s">
        <v>174</v>
      </c>
      <c r="H19" s="98" t="s">
        <v>175</v>
      </c>
    </row>
    <row r="20" spans="1:9 16384:16384" ht="39" thickBot="1">
      <c r="A20" s="100" t="s">
        <v>242</v>
      </c>
      <c r="B20" s="101" t="e">
        <f>C17</f>
        <v>#VALUE!</v>
      </c>
      <c r="C20" s="101" t="e">
        <f>D17</f>
        <v>#VALUE!</v>
      </c>
      <c r="D20" s="101" t="e">
        <f>C17+D17</f>
        <v>#VALUE!</v>
      </c>
      <c r="E20" s="101" t="e">
        <f>E17</f>
        <v>#VALUE!</v>
      </c>
      <c r="F20" s="101" t="e">
        <f>F17</f>
        <v>#VALUE!</v>
      </c>
      <c r="G20" s="101" t="e">
        <f>G17</f>
        <v>#REF!</v>
      </c>
      <c r="H20" s="101" t="e">
        <f>H17</f>
        <v>#REF!</v>
      </c>
    </row>
    <row r="21" spans="1:9 16384:16384" ht="16.5" thickBot="1">
      <c r="A21" s="100" t="s">
        <v>243</v>
      </c>
      <c r="B21" s="99"/>
      <c r="C21" s="99"/>
      <c r="D21" s="99"/>
      <c r="E21" s="99"/>
      <c r="F21" s="99"/>
      <c r="G21" s="99"/>
      <c r="H21" s="99"/>
      <c r="XFD21" s="99"/>
    </row>
    <row r="22" spans="1:9 16384:16384" ht="16.5" thickBot="1">
      <c r="A22" s="100"/>
      <c r="B22" s="101" t="str">
        <f>IF(B21&gt;115,"Altos",IF(B21&gt;84,"Normales",IF(B21&gt;70,"Bajos",IF(B21&gt;0,"Deficitarios","ausente"))))</f>
        <v>ausente</v>
      </c>
      <c r="C22" s="101" t="str">
        <f>IF(C21&gt;115,"Altos",IF(C21&gt;84,"Normales",IF(C21&gt;70,"Bajos",IF(C21&gt;0,"Deficitarios","ausente"))))</f>
        <v>ausente</v>
      </c>
      <c r="D22" s="101" t="str">
        <f t="shared" ref="D22:H22" si="0">IF(D21&gt;115,"Altos",IF(D21&gt;84,"Normales",IF(D21&gt;70,"Bajos",IF(D21&gt;0,"Deficitarios","ausente"))))</f>
        <v>ausente</v>
      </c>
      <c r="E22" s="101" t="str">
        <f>IF(E21&gt;115,"Altos",IF(E21&gt;84,"Normales",IF(E21&gt;70,"Bajos",IF(E21&gt;0,"Deficitarios","ausente"))))</f>
        <v>ausente</v>
      </c>
      <c r="F22" s="101" t="str">
        <f t="shared" si="0"/>
        <v>ausente</v>
      </c>
      <c r="G22" s="101" t="str">
        <f>IF(G21&gt;115,"Altos",IF(G21&gt;84,"Normales",IF(G21&gt;70,"Bajos",IF(G21&gt;0,"Deficitarios","ausente"))))</f>
        <v>ausente</v>
      </c>
      <c r="H22" s="101" t="str">
        <f t="shared" si="0"/>
        <v>ausente</v>
      </c>
    </row>
    <row r="23" spans="1:9 16384:16384">
      <c r="A23" s="102"/>
      <c r="B23" s="102"/>
      <c r="C23" s="102"/>
      <c r="D23" s="102"/>
      <c r="E23" s="102"/>
      <c r="F23" s="102"/>
      <c r="G23" s="102"/>
      <c r="H23" s="102"/>
      <c r="I23" s="102"/>
    </row>
    <row r="24" spans="1:9 16384:16384">
      <c r="A24" s="102"/>
      <c r="B24" s="103" t="str">
        <f>IF(B23&gt;115,"altos",IF(B23&gt;84,"normales",IF(B23&gt;70,"bajos",IF(B23&gt;0,"deficitarios","ausente"))))</f>
        <v>ausente</v>
      </c>
      <c r="C24" s="103" t="str">
        <f t="shared" ref="C24:H24" si="1">IF(C23&gt;115,"altos",IF(C23&gt;84,"normales",IF(C23&gt;70,"bajos",IF(C23&gt;0,"deficitarios","ausente"))))</f>
        <v>ausente</v>
      </c>
      <c r="D24" s="103" t="str">
        <f t="shared" si="1"/>
        <v>ausente</v>
      </c>
      <c r="E24" s="103" t="str">
        <f t="shared" si="1"/>
        <v>ausente</v>
      </c>
      <c r="F24" s="103" t="str">
        <f t="shared" si="1"/>
        <v>ausente</v>
      </c>
      <c r="G24" s="103" t="str">
        <f t="shared" si="1"/>
        <v>ausente</v>
      </c>
      <c r="H24" s="103" t="str">
        <f t="shared" si="1"/>
        <v>ausente</v>
      </c>
      <c r="I24" s="104"/>
    </row>
    <row r="25" spans="1:9 16384:16384">
      <c r="A25" s="102"/>
      <c r="B25" s="104" t="s">
        <v>237</v>
      </c>
      <c r="C25" s="104" t="s">
        <v>238</v>
      </c>
      <c r="D25" s="104" t="s">
        <v>239</v>
      </c>
      <c r="E25" s="104" t="s">
        <v>240</v>
      </c>
      <c r="F25" s="104" t="s">
        <v>241</v>
      </c>
      <c r="G25" s="104" t="s">
        <v>174</v>
      </c>
      <c r="H25" s="104" t="s">
        <v>175</v>
      </c>
      <c r="I25" s="104"/>
    </row>
    <row r="27" spans="1:9 16384:16384">
      <c r="D27" t="b">
        <f>EXACT(C24,D24)</f>
        <v>1</v>
      </c>
      <c r="E27">
        <f>IF(E21&lt;85,1,0)</f>
        <v>1</v>
      </c>
      <c r="F27">
        <f t="shared" ref="F27:H27" si="2">IF(F21&lt;85,1,0)</f>
        <v>1</v>
      </c>
      <c r="G27">
        <f t="shared" si="2"/>
        <v>1</v>
      </c>
      <c r="H27">
        <f t="shared" si="2"/>
        <v>1</v>
      </c>
      <c r="I27">
        <f>SUM(E27:H27)</f>
        <v>4</v>
      </c>
    </row>
    <row r="28" spans="1:9 16384:16384">
      <c r="H28" t="s">
        <v>343</v>
      </c>
      <c r="I28" t="s">
        <v>344</v>
      </c>
    </row>
    <row r="29" spans="1:9 16384:16384">
      <c r="E29" t="s">
        <v>339</v>
      </c>
      <c r="F29" t="str">
        <f>E25</f>
        <v>ICV</v>
      </c>
      <c r="G29">
        <f>E21</f>
        <v>0</v>
      </c>
      <c r="H29" t="b">
        <f>EXACT(E21,E34)</f>
        <v>0</v>
      </c>
      <c r="I29" t="b">
        <f>EXACT(E21,E35)</f>
        <v>0</v>
      </c>
    </row>
    <row r="30" spans="1:9 16384:16384">
      <c r="E30" t="s">
        <v>340</v>
      </c>
      <c r="F30" t="str">
        <f>F25</f>
        <v>IOP</v>
      </c>
      <c r="G30">
        <f>F21</f>
        <v>0</v>
      </c>
      <c r="H30" t="b">
        <f>EXACT(F21,E34)</f>
        <v>0</v>
      </c>
      <c r="I30" t="b">
        <f>EXACT(F21,E35)</f>
        <v>0</v>
      </c>
    </row>
    <row r="31" spans="1:9 16384:16384">
      <c r="E31" t="s">
        <v>341</v>
      </c>
      <c r="F31" t="str">
        <f>G25</f>
        <v>IMO</v>
      </c>
      <c r="G31">
        <f>G21</f>
        <v>0</v>
      </c>
      <c r="H31" t="b">
        <f>EXACT(G21,E34)</f>
        <v>0</v>
      </c>
      <c r="I31" t="b">
        <f>EXACT(G21,E35)</f>
        <v>0</v>
      </c>
    </row>
    <row r="32" spans="1:9 16384:16384">
      <c r="E32" t="s">
        <v>342</v>
      </c>
      <c r="F32" t="str">
        <f>H25</f>
        <v>IVP</v>
      </c>
      <c r="G32">
        <f>H21</f>
        <v>0</v>
      </c>
      <c r="H32" t="b">
        <f>EXACT(H21,E34)</f>
        <v>0</v>
      </c>
      <c r="I32" t="b">
        <f>EXACT(H21,E35)</f>
        <v>0</v>
      </c>
    </row>
    <row r="34" spans="5:12">
      <c r="E34">
        <f>MAX(E21:H21)</f>
        <v>0</v>
      </c>
      <c r="F34" t="s">
        <v>345</v>
      </c>
      <c r="K34" t="str">
        <f>IF(H29=TRUE,E29,IF(H30=TRUE,E30,IF(H31=TRUE,E31,E32)))</f>
        <v>velocidad de procesamiento</v>
      </c>
      <c r="L34" t="str">
        <f>IF(I29=TRUE,E29,IF(I30=TRUE,E30,IF(I31=TRUE,E31,E32)))</f>
        <v>velocidad de procesamiento</v>
      </c>
    </row>
    <row r="35" spans="5:12">
      <c r="E35">
        <f>MIN(E21:H21)</f>
        <v>0</v>
      </c>
      <c r="F35" t="s">
        <v>346</v>
      </c>
      <c r="K35" t="str">
        <f>IF(H29=TRUE,F29,IF(H30=TRUE,F30,IF(H31=TRUE,F31,F32)))</f>
        <v>IVP</v>
      </c>
      <c r="L35" t="str">
        <f>IF(I29=TRUE,F29,IF(I30=TRUE,F30,IF(I31=TRUE,F31,F32)))</f>
        <v>IVP</v>
      </c>
    </row>
    <row r="36" spans="5:12">
      <c r="K36">
        <f>IF(H29=TRUE,E21,IF(H30=TRUE,F21,IF(H31=TRUE,G21,H21)))</f>
        <v>0</v>
      </c>
      <c r="L36">
        <f>IF(I29=TRUE,E21,IF(I30=TRUE,F21,IF(I31=TRUE,G21,H21)))</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35"/>
  <sheetViews>
    <sheetView topLeftCell="A114" workbookViewId="0">
      <selection activeCell="F130" sqref="F130"/>
    </sheetView>
  </sheetViews>
  <sheetFormatPr baseColWidth="10" defaultRowHeight="15.75"/>
  <cols>
    <col min="7" max="7" width="10.875" style="207"/>
  </cols>
  <sheetData>
    <row r="1" spans="1:11">
      <c r="A1" s="378" t="s">
        <v>554</v>
      </c>
      <c r="B1" s="378"/>
      <c r="C1" s="378"/>
      <c r="D1" s="378"/>
      <c r="E1" s="378"/>
      <c r="F1" s="378"/>
      <c r="G1" s="178"/>
      <c r="H1" s="376" t="s">
        <v>578</v>
      </c>
      <c r="I1" s="376"/>
      <c r="J1" s="376"/>
      <c r="K1" s="376"/>
    </row>
    <row r="2" spans="1:11">
      <c r="A2" s="144" t="s">
        <v>0</v>
      </c>
      <c r="B2" s="145"/>
      <c r="C2" s="145" t="s">
        <v>1</v>
      </c>
      <c r="D2" s="145" t="s">
        <v>2</v>
      </c>
      <c r="E2" s="145" t="s">
        <v>549</v>
      </c>
      <c r="F2" s="184" t="s">
        <v>4</v>
      </c>
      <c r="G2" s="180"/>
      <c r="H2" s="195" t="s">
        <v>1</v>
      </c>
      <c r="I2" s="145" t="s">
        <v>2</v>
      </c>
      <c r="J2" s="145" t="s">
        <v>549</v>
      </c>
      <c r="K2" s="146" t="s">
        <v>4</v>
      </c>
    </row>
    <row r="3" spans="1:11">
      <c r="A3" s="147" t="s">
        <v>14</v>
      </c>
      <c r="B3" s="7" t="s">
        <v>15</v>
      </c>
      <c r="C3" s="53">
        <v>22.99</v>
      </c>
      <c r="D3" s="53">
        <v>6.66</v>
      </c>
      <c r="E3" s="138" t="e">
        <f>IF(ISBLANK(Resumen!#REF!)=TRUE,"",Resumen!#REF!)</f>
        <v>#REF!</v>
      </c>
      <c r="F3" s="185" t="e">
        <f t="shared" ref="F3:F12" si="0">+(E3-C3)/D3</f>
        <v>#REF!</v>
      </c>
      <c r="G3" s="204"/>
      <c r="H3" s="196">
        <v>22.99</v>
      </c>
      <c r="I3" s="53">
        <v>6.66</v>
      </c>
      <c r="J3" s="138" t="e">
        <f>E3</f>
        <v>#REF!</v>
      </c>
      <c r="K3" s="49" t="e">
        <f t="shared" ref="K3:K12" si="1">+(J3-H3)/I3</f>
        <v>#REF!</v>
      </c>
    </row>
    <row r="4" spans="1:11">
      <c r="A4" s="147"/>
      <c r="B4" s="7" t="s">
        <v>16</v>
      </c>
      <c r="C4" s="53">
        <v>19.84</v>
      </c>
      <c r="D4" s="53">
        <v>6.67</v>
      </c>
      <c r="E4" s="138" t="e">
        <f>IF(ISBLANK(Resumen!#REF!)=TRUE,"",Resumen!#REF!)</f>
        <v>#REF!</v>
      </c>
      <c r="F4" s="185" t="e">
        <f t="shared" si="0"/>
        <v>#REF!</v>
      </c>
      <c r="G4" s="204"/>
      <c r="H4" s="196">
        <v>19.84</v>
      </c>
      <c r="I4" s="53">
        <v>6.67</v>
      </c>
      <c r="J4" s="138" t="e">
        <f>E4</f>
        <v>#REF!</v>
      </c>
      <c r="K4" s="49" t="e">
        <f t="shared" si="1"/>
        <v>#REF!</v>
      </c>
    </row>
    <row r="5" spans="1:11">
      <c r="A5" s="147" t="s">
        <v>18</v>
      </c>
      <c r="B5" s="7" t="s">
        <v>19</v>
      </c>
      <c r="C5" s="53">
        <v>6.9</v>
      </c>
      <c r="D5" s="53">
        <v>1.8</v>
      </c>
      <c r="E5" s="138" t="e">
        <f>IF(ISBLANK(Resumen!#REF!)=TRUE,"",Resumen!#REF!)</f>
        <v>#REF!</v>
      </c>
      <c r="F5" s="185" t="e">
        <f t="shared" si="0"/>
        <v>#REF!</v>
      </c>
      <c r="G5" s="204"/>
      <c r="H5" s="196">
        <v>8</v>
      </c>
      <c r="I5" s="53">
        <v>1.8</v>
      </c>
      <c r="J5" s="138" t="e">
        <f t="shared" ref="J5:J27" si="2">E5</f>
        <v>#REF!</v>
      </c>
      <c r="K5" s="49" t="e">
        <f t="shared" si="1"/>
        <v>#REF!</v>
      </c>
    </row>
    <row r="6" spans="1:11">
      <c r="A6" s="147"/>
      <c r="B6" s="7" t="s">
        <v>15</v>
      </c>
      <c r="C6" s="53">
        <v>53.4</v>
      </c>
      <c r="D6" s="53">
        <v>5.4</v>
      </c>
      <c r="E6" s="138" t="e">
        <f>IF(ISBLANK(Resumen!#REF!)=TRUE,"",Resumen!#REF!)</f>
        <v>#REF!</v>
      </c>
      <c r="F6" s="185" t="e">
        <f t="shared" si="0"/>
        <v>#REF!</v>
      </c>
      <c r="G6" s="204"/>
      <c r="H6" s="196">
        <v>57.4</v>
      </c>
      <c r="I6" s="53">
        <v>5.9</v>
      </c>
      <c r="J6" s="138" t="e">
        <f t="shared" si="2"/>
        <v>#REF!</v>
      </c>
      <c r="K6" s="49" t="e">
        <f t="shared" si="1"/>
        <v>#REF!</v>
      </c>
    </row>
    <row r="7" spans="1:11">
      <c r="A7" s="147"/>
      <c r="B7" s="7" t="s">
        <v>20</v>
      </c>
      <c r="C7" s="53">
        <v>6.9</v>
      </c>
      <c r="D7" s="53">
        <v>1.9</v>
      </c>
      <c r="E7" s="138" t="e">
        <f>IF(ISBLANK(Resumen!#REF!)=TRUE,"",Resumen!#REF!)</f>
        <v>#REF!</v>
      </c>
      <c r="F7" s="185" t="e">
        <f t="shared" si="0"/>
        <v>#REF!</v>
      </c>
      <c r="G7" s="204"/>
      <c r="H7" s="196">
        <v>7.5</v>
      </c>
      <c r="I7" s="53">
        <v>1.6</v>
      </c>
      <c r="J7" s="138" t="e">
        <f t="shared" si="2"/>
        <v>#REF!</v>
      </c>
      <c r="K7" s="49" t="e">
        <f t="shared" si="1"/>
        <v>#REF!</v>
      </c>
    </row>
    <row r="8" spans="1:11">
      <c r="A8" s="147"/>
      <c r="B8" s="7" t="s">
        <v>16</v>
      </c>
      <c r="C8" s="53">
        <v>11.3</v>
      </c>
      <c r="D8" s="53">
        <v>1.7</v>
      </c>
      <c r="E8" s="138" t="e">
        <f>IF(ISBLANK(Resumen!#REF!)=TRUE,"",Resumen!#REF!)</f>
        <v>#REF!</v>
      </c>
      <c r="F8" s="185" t="e">
        <f t="shared" si="0"/>
        <v>#REF!</v>
      </c>
      <c r="G8" s="204"/>
      <c r="H8" s="196">
        <v>11.8</v>
      </c>
      <c r="I8" s="53">
        <v>2.5</v>
      </c>
      <c r="J8" s="138" t="e">
        <f t="shared" si="2"/>
        <v>#REF!</v>
      </c>
      <c r="K8" s="49" t="e">
        <f t="shared" si="1"/>
        <v>#REF!</v>
      </c>
    </row>
    <row r="9" spans="1:11">
      <c r="A9" s="147"/>
      <c r="B9" s="7" t="s">
        <v>17</v>
      </c>
      <c r="C9" s="53">
        <v>14.4</v>
      </c>
      <c r="D9" s="53">
        <v>0.9</v>
      </c>
      <c r="E9" s="138" t="e">
        <f>IF(ISBLANK(Resumen!#REF!)=TRUE,"",Resumen!#REF!)</f>
        <v>#REF!</v>
      </c>
      <c r="F9" s="185" t="e">
        <f t="shared" si="0"/>
        <v>#REF!</v>
      </c>
      <c r="G9" s="204"/>
      <c r="H9" s="196">
        <v>13.6</v>
      </c>
      <c r="I9" s="53">
        <v>2.1</v>
      </c>
      <c r="J9" s="138" t="e">
        <f t="shared" si="2"/>
        <v>#REF!</v>
      </c>
      <c r="K9" s="49" t="e">
        <f t="shared" si="1"/>
        <v>#REF!</v>
      </c>
    </row>
    <row r="10" spans="1:11">
      <c r="A10" s="147" t="s">
        <v>21</v>
      </c>
      <c r="B10" s="7" t="s">
        <v>44</v>
      </c>
      <c r="C10" s="53">
        <v>12.8</v>
      </c>
      <c r="D10" s="53">
        <v>3.9</v>
      </c>
      <c r="E10" s="138" t="e">
        <f>IF(ISBLANK(Resumen!#REF!)=TRUE,"",Resumen!#REF!)</f>
        <v>#REF!</v>
      </c>
      <c r="F10" s="185" t="e">
        <f t="shared" si="0"/>
        <v>#REF!</v>
      </c>
      <c r="G10" s="204"/>
      <c r="H10" s="196">
        <v>12.8</v>
      </c>
      <c r="I10" s="53">
        <v>3.9</v>
      </c>
      <c r="J10" s="138" t="e">
        <f t="shared" si="2"/>
        <v>#REF!</v>
      </c>
      <c r="K10" s="49" t="e">
        <f t="shared" si="1"/>
        <v>#REF!</v>
      </c>
    </row>
    <row r="11" spans="1:11">
      <c r="A11" s="147" t="s">
        <v>21</v>
      </c>
      <c r="B11" s="7" t="s">
        <v>45</v>
      </c>
      <c r="C11" s="53">
        <v>16.3</v>
      </c>
      <c r="D11" s="53">
        <v>6.1</v>
      </c>
      <c r="E11" s="138" t="e">
        <f>IF(ISBLANK(Resumen!#REF!)=TRUE,"",Resumen!#REF!)</f>
        <v>#REF!</v>
      </c>
      <c r="F11" s="185" t="e">
        <f t="shared" si="0"/>
        <v>#REF!</v>
      </c>
      <c r="G11" s="204"/>
      <c r="H11" s="196">
        <v>16.3</v>
      </c>
      <c r="I11" s="53">
        <v>6.1</v>
      </c>
      <c r="J11" s="138" t="e">
        <f t="shared" si="2"/>
        <v>#REF!</v>
      </c>
      <c r="K11" s="49" t="e">
        <f t="shared" si="1"/>
        <v>#REF!</v>
      </c>
    </row>
    <row r="12" spans="1:11">
      <c r="A12" s="147" t="s">
        <v>21</v>
      </c>
      <c r="B12" s="7" t="s">
        <v>46</v>
      </c>
      <c r="C12" s="53">
        <v>18.100000000000001</v>
      </c>
      <c r="D12" s="53">
        <v>6.2</v>
      </c>
      <c r="E12" s="138" t="e">
        <f>IF(ISBLANK(Resumen!#REF!)=TRUE,"",Resumen!#REF!)</f>
        <v>#REF!</v>
      </c>
      <c r="F12" s="185" t="e">
        <f t="shared" si="0"/>
        <v>#REF!</v>
      </c>
      <c r="G12" s="204"/>
      <c r="H12" s="196">
        <v>18.100000000000001</v>
      </c>
      <c r="I12" s="53">
        <v>6.2</v>
      </c>
      <c r="J12" s="138" t="e">
        <f t="shared" si="2"/>
        <v>#REF!</v>
      </c>
      <c r="K12" s="49" t="e">
        <f t="shared" si="1"/>
        <v>#REF!</v>
      </c>
    </row>
    <row r="13" spans="1:11">
      <c r="A13" s="147" t="s">
        <v>22</v>
      </c>
      <c r="B13" s="7" t="s">
        <v>44</v>
      </c>
      <c r="C13" s="53">
        <v>16.5</v>
      </c>
      <c r="D13" s="53">
        <v>2.8</v>
      </c>
      <c r="E13" s="138" t="e">
        <f>IF(ISBLANK(Resumen!#REF!)=TRUE,"",Resumen!#REF!)</f>
        <v>#REF!</v>
      </c>
      <c r="F13" s="185" t="e">
        <f>+((E13-C13)/D13)</f>
        <v>#REF!</v>
      </c>
      <c r="G13" s="204"/>
      <c r="H13" s="196">
        <v>16.5</v>
      </c>
      <c r="I13" s="53">
        <v>2.8</v>
      </c>
      <c r="J13" s="138" t="e">
        <f t="shared" si="2"/>
        <v>#REF!</v>
      </c>
      <c r="K13" s="49" t="e">
        <f>+((J13-H13)/I13)</f>
        <v>#REF!</v>
      </c>
    </row>
    <row r="14" spans="1:11">
      <c r="A14" s="147" t="s">
        <v>22</v>
      </c>
      <c r="B14" s="7" t="s">
        <v>45</v>
      </c>
      <c r="C14" s="53">
        <v>20.9</v>
      </c>
      <c r="D14" s="53">
        <v>5.6</v>
      </c>
      <c r="E14" s="138" t="e">
        <f>IF(ISBLANK(Resumen!#REF!)=TRUE,"",Resumen!#REF!)</f>
        <v>#REF!</v>
      </c>
      <c r="F14" s="185" t="e">
        <f t="shared" ref="F14:F19" si="3">+(E14-C14)/D14</f>
        <v>#REF!</v>
      </c>
      <c r="G14" s="204"/>
      <c r="H14" s="196">
        <v>20.9</v>
      </c>
      <c r="I14" s="53">
        <v>5.6</v>
      </c>
      <c r="J14" s="138" t="e">
        <f t="shared" si="2"/>
        <v>#REF!</v>
      </c>
      <c r="K14" s="49" t="e">
        <f t="shared" ref="K14:K19" si="4">+(J14-H14)/I14</f>
        <v>#REF!</v>
      </c>
    </row>
    <row r="15" spans="1:11">
      <c r="A15" s="147" t="s">
        <v>22</v>
      </c>
      <c r="B15" s="7" t="s">
        <v>46</v>
      </c>
      <c r="C15" s="53">
        <v>23.8</v>
      </c>
      <c r="D15" s="53">
        <v>6.2</v>
      </c>
      <c r="E15" s="138" t="e">
        <f>IF(ISBLANK(Resumen!#REF!)=TRUE,"",Resumen!#REF!)</f>
        <v>#REF!</v>
      </c>
      <c r="F15" s="185" t="e">
        <f t="shared" si="3"/>
        <v>#REF!</v>
      </c>
      <c r="G15" s="204"/>
      <c r="H15" s="196">
        <v>23.8</v>
      </c>
      <c r="I15" s="53">
        <v>6.2</v>
      </c>
      <c r="J15" s="138" t="e">
        <f t="shared" si="2"/>
        <v>#REF!</v>
      </c>
      <c r="K15" s="49" t="e">
        <f t="shared" si="4"/>
        <v>#REF!</v>
      </c>
    </row>
    <row r="16" spans="1:11">
      <c r="A16" s="147" t="s">
        <v>23</v>
      </c>
      <c r="B16" s="7" t="s">
        <v>24</v>
      </c>
      <c r="C16" s="53">
        <v>25.7</v>
      </c>
      <c r="D16" s="53">
        <v>8.8000000000000007</v>
      </c>
      <c r="E16" s="138" t="e">
        <f>IF(ISBLANK(Resumen!#REF!)=TRUE,"",Resumen!#REF!)</f>
        <v>#REF!</v>
      </c>
      <c r="F16" s="185" t="e">
        <f>-(+(E16-C16)/D16)</f>
        <v>#REF!</v>
      </c>
      <c r="G16" s="204"/>
      <c r="H16" s="196">
        <v>25.7</v>
      </c>
      <c r="I16" s="53">
        <v>8.8000000000000007</v>
      </c>
      <c r="J16" s="138" t="e">
        <f t="shared" si="2"/>
        <v>#REF!</v>
      </c>
      <c r="K16" s="49" t="e">
        <f>-(+(J16-H16)/I16)</f>
        <v>#REF!</v>
      </c>
    </row>
    <row r="17" spans="1:11">
      <c r="A17" s="147"/>
      <c r="B17" s="7" t="s">
        <v>25</v>
      </c>
      <c r="C17" s="53">
        <v>49.8</v>
      </c>
      <c r="D17" s="53">
        <v>15.2</v>
      </c>
      <c r="E17" s="138" t="e">
        <f>IF(ISBLANK(Resumen!#REF!)=TRUE,"",Resumen!#REF!)</f>
        <v>#REF!</v>
      </c>
      <c r="F17" s="185" t="e">
        <f>-(+(E17-C17)/D17)</f>
        <v>#REF!</v>
      </c>
      <c r="G17" s="204"/>
      <c r="H17" s="196">
        <v>49.8</v>
      </c>
      <c r="I17" s="53">
        <v>15.2</v>
      </c>
      <c r="J17" s="138" t="e">
        <f t="shared" si="2"/>
        <v>#REF!</v>
      </c>
      <c r="K17" s="49" t="e">
        <f>-(+(J17-H17)/I17)</f>
        <v>#REF!</v>
      </c>
    </row>
    <row r="18" spans="1:11">
      <c r="A18" s="147" t="s">
        <v>26</v>
      </c>
      <c r="B18" s="7" t="s">
        <v>15</v>
      </c>
      <c r="C18" s="53">
        <v>33.700000000000003</v>
      </c>
      <c r="D18" s="53">
        <v>1.59</v>
      </c>
      <c r="E18" s="138" t="e">
        <f>IF(ISBLANK(Resumen!#REF!)=TRUE,"",Resumen!#REF!)</f>
        <v>#REF!</v>
      </c>
      <c r="F18" s="185" t="e">
        <f t="shared" si="3"/>
        <v>#REF!</v>
      </c>
      <c r="G18" s="204"/>
      <c r="H18" s="196">
        <v>33.700000000000003</v>
      </c>
      <c r="I18" s="53">
        <v>1.59</v>
      </c>
      <c r="J18" s="138" t="e">
        <f t="shared" si="2"/>
        <v>#REF!</v>
      </c>
      <c r="K18" s="49" t="e">
        <f t="shared" si="4"/>
        <v>#REF!</v>
      </c>
    </row>
    <row r="19" spans="1:11">
      <c r="A19" s="147"/>
      <c r="B19" s="7" t="s">
        <v>16</v>
      </c>
      <c r="C19" s="53">
        <v>21.8</v>
      </c>
      <c r="D19" s="53">
        <v>6.56</v>
      </c>
      <c r="E19" s="138" t="e">
        <f>IF(ISBLANK(Resumen!#REF!)=TRUE,"",Resumen!#REF!)</f>
        <v>#REF!</v>
      </c>
      <c r="F19" s="185" t="e">
        <f t="shared" si="3"/>
        <v>#REF!</v>
      </c>
      <c r="G19" s="204"/>
      <c r="H19" s="196">
        <v>21.8</v>
      </c>
      <c r="I19" s="53">
        <v>6.56</v>
      </c>
      <c r="J19" s="138" t="e">
        <f t="shared" si="2"/>
        <v>#REF!</v>
      </c>
      <c r="K19" s="49" t="e">
        <f t="shared" si="4"/>
        <v>#REF!</v>
      </c>
    </row>
    <row r="20" spans="1:11">
      <c r="A20" s="147"/>
      <c r="B20" s="7" t="s">
        <v>17</v>
      </c>
      <c r="C20" s="53">
        <v>21.5</v>
      </c>
      <c r="D20" s="53">
        <v>1.5</v>
      </c>
      <c r="E20" s="138" t="e">
        <f>IF(ISBLANK(Resumen!#REF!)=TRUE,"",Resumen!#REF!)</f>
        <v>#REF!</v>
      </c>
      <c r="F20" s="185" t="e">
        <f>(E20-C20)/D20</f>
        <v>#REF!</v>
      </c>
      <c r="G20" s="204"/>
      <c r="H20" s="196">
        <v>21.5</v>
      </c>
      <c r="I20" s="53">
        <v>1.5</v>
      </c>
      <c r="J20" s="138" t="e">
        <f t="shared" si="2"/>
        <v>#REF!</v>
      </c>
      <c r="K20" s="49" t="e">
        <f>(J20-H20)/I20</f>
        <v>#REF!</v>
      </c>
    </row>
    <row r="21" spans="1:11">
      <c r="A21" s="147" t="s">
        <v>27</v>
      </c>
      <c r="B21" s="7" t="s">
        <v>28</v>
      </c>
      <c r="C21" s="53">
        <v>6.72</v>
      </c>
      <c r="D21" s="53">
        <v>1.32</v>
      </c>
      <c r="E21" s="138" t="e">
        <f>IF(ISBLANK(Resumen!#REF!)=TRUE,"",Resumen!#REF!)</f>
        <v>#REF!</v>
      </c>
      <c r="F21" s="185" t="e">
        <f>+(E21-C21)/D21</f>
        <v>#REF!</v>
      </c>
      <c r="G21" s="204"/>
      <c r="H21" s="196">
        <v>6.72</v>
      </c>
      <c r="I21" s="53">
        <v>1.32</v>
      </c>
      <c r="J21" s="138" t="e">
        <f t="shared" si="2"/>
        <v>#REF!</v>
      </c>
      <c r="K21" s="49" t="e">
        <f>+(J21-H21)/I21</f>
        <v>#REF!</v>
      </c>
    </row>
    <row r="22" spans="1:11">
      <c r="A22" s="147"/>
      <c r="B22" s="7" t="s">
        <v>29</v>
      </c>
      <c r="C22" s="53">
        <v>4.88</v>
      </c>
      <c r="D22" s="53">
        <v>1.44</v>
      </c>
      <c r="E22" s="138" t="e">
        <f>IF(ISBLANK(Resumen!#REF!)=TRUE,"",Resumen!#REF!)</f>
        <v>#REF!</v>
      </c>
      <c r="F22" s="185" t="e">
        <f>+(E22-C22)/D22</f>
        <v>#REF!</v>
      </c>
      <c r="G22" s="204"/>
      <c r="H22" s="196">
        <v>4.88</v>
      </c>
      <c r="I22" s="53">
        <v>1.44</v>
      </c>
      <c r="J22" s="138" t="e">
        <f t="shared" si="2"/>
        <v>#REF!</v>
      </c>
      <c r="K22" s="49" t="e">
        <f>+(J22-H22)/I22</f>
        <v>#REF!</v>
      </c>
    </row>
    <row r="23" spans="1:11">
      <c r="A23" s="147" t="s">
        <v>34</v>
      </c>
      <c r="B23" s="7" t="s">
        <v>39</v>
      </c>
      <c r="C23" s="53">
        <v>0.76</v>
      </c>
      <c r="D23" s="53">
        <v>0.48</v>
      </c>
      <c r="E23" s="138" t="e">
        <f>IF(ISBLANK(Resumen!#REF!)=TRUE,"",Resumen!#REF!)</f>
        <v>#REF!</v>
      </c>
      <c r="F23" s="185" t="e">
        <f>-(((E23/15)-(C23))/D23)</f>
        <v>#REF!</v>
      </c>
      <c r="G23" s="204"/>
      <c r="H23" s="196">
        <v>0.76</v>
      </c>
      <c r="I23" s="53">
        <v>0.48</v>
      </c>
      <c r="J23" s="138" t="e">
        <f t="shared" si="2"/>
        <v>#REF!</v>
      </c>
      <c r="K23" s="49" t="e">
        <f>-(((J23/15)-(H23))/I23)</f>
        <v>#REF!</v>
      </c>
    </row>
    <row r="24" spans="1:11">
      <c r="A24" s="147" t="s">
        <v>34</v>
      </c>
      <c r="B24" s="7" t="s">
        <v>40</v>
      </c>
      <c r="C24" s="53">
        <v>0.55000000000000004</v>
      </c>
      <c r="D24" s="53">
        <v>0.33</v>
      </c>
      <c r="E24" s="138" t="e">
        <f>IF(ISBLANK(Resumen!#REF!)=TRUE,"",Resumen!#REF!)</f>
        <v>#REF!</v>
      </c>
      <c r="F24" s="185" t="e">
        <f>-(((E24/15)-(C24))/D24)</f>
        <v>#REF!</v>
      </c>
      <c r="G24" s="204"/>
      <c r="H24" s="196">
        <v>0.55000000000000004</v>
      </c>
      <c r="I24" s="53">
        <v>0.33</v>
      </c>
      <c r="J24" s="138" t="e">
        <f t="shared" si="2"/>
        <v>#REF!</v>
      </c>
      <c r="K24" s="49" t="e">
        <f>-(((J24/15)-(H24))/I24)</f>
        <v>#REF!</v>
      </c>
    </row>
    <row r="25" spans="1:11" ht="16.5" thickBot="1">
      <c r="A25" s="147" t="s">
        <v>35</v>
      </c>
      <c r="B25" s="6" t="s">
        <v>36</v>
      </c>
      <c r="C25" s="53">
        <v>5.34</v>
      </c>
      <c r="D25" s="53">
        <v>1.32</v>
      </c>
      <c r="E25" s="138" t="e">
        <f>IF(ISBLANK(Resumen!#REF!)=TRUE,"",Resumen!#REF!)</f>
        <v>#REF!</v>
      </c>
      <c r="F25" s="185" t="e">
        <f>+(E25-C25)/D25</f>
        <v>#REF!</v>
      </c>
      <c r="G25" s="204"/>
      <c r="H25" s="196">
        <v>5.34</v>
      </c>
      <c r="I25" s="53">
        <v>1.32</v>
      </c>
      <c r="J25" s="138" t="e">
        <f t="shared" si="2"/>
        <v>#REF!</v>
      </c>
      <c r="K25" s="49" t="e">
        <f>+(J25-H25)/I25</f>
        <v>#REF!</v>
      </c>
    </row>
    <row r="26" spans="1:11" ht="16.5" thickBot="1">
      <c r="A26" s="147" t="s">
        <v>35</v>
      </c>
      <c r="B26" s="6" t="s">
        <v>37</v>
      </c>
      <c r="C26" s="53">
        <v>5.34</v>
      </c>
      <c r="D26" s="53">
        <v>1.32</v>
      </c>
      <c r="E26" s="138" t="e">
        <f>IF(ISBLANK(Resumen!#REF!)=TRUE,"",Resumen!#REF!)</f>
        <v>#REF!</v>
      </c>
      <c r="F26" s="185" t="e">
        <f>+(E26-C26)/D26</f>
        <v>#REF!</v>
      </c>
      <c r="G26" s="204"/>
      <c r="H26" s="196">
        <v>5.34</v>
      </c>
      <c r="I26" s="53">
        <v>1.32</v>
      </c>
      <c r="J26" s="138" t="e">
        <f t="shared" si="2"/>
        <v>#REF!</v>
      </c>
      <c r="K26" s="49" t="e">
        <f>+(J26-H26)/I26</f>
        <v>#REF!</v>
      </c>
    </row>
    <row r="27" spans="1:11" ht="16.5" thickBot="1">
      <c r="A27" s="147" t="s">
        <v>35</v>
      </c>
      <c r="B27" s="6" t="s">
        <v>38</v>
      </c>
      <c r="C27" s="53">
        <v>5.34</v>
      </c>
      <c r="D27" s="53">
        <v>1.32</v>
      </c>
      <c r="E27" s="138" t="e">
        <f>IF(ISBLANK(Resumen!#REF!)=TRUE,"",Resumen!#REF!)</f>
        <v>#REF!</v>
      </c>
      <c r="F27" s="185" t="e">
        <f>+(E27-C27)/D27</f>
        <v>#REF!</v>
      </c>
      <c r="G27" s="204"/>
      <c r="H27" s="196">
        <v>5.34</v>
      </c>
      <c r="I27" s="53">
        <v>1.32</v>
      </c>
      <c r="J27" s="138" t="e">
        <f t="shared" si="2"/>
        <v>#REF!</v>
      </c>
      <c r="K27" s="49" t="e">
        <f>+(J27-H27)/I27</f>
        <v>#REF!</v>
      </c>
    </row>
    <row r="29" spans="1:11">
      <c r="A29" s="377" t="s">
        <v>553</v>
      </c>
      <c r="B29" s="377"/>
      <c r="C29" s="377"/>
      <c r="D29" s="377"/>
      <c r="E29" s="377"/>
      <c r="F29" s="377"/>
      <c r="G29" s="179"/>
      <c r="H29" s="376"/>
      <c r="I29" s="376"/>
      <c r="J29" s="376"/>
      <c r="K29" s="376"/>
    </row>
    <row r="30" spans="1:11">
      <c r="A30" s="144" t="s">
        <v>0</v>
      </c>
      <c r="B30" s="149"/>
      <c r="C30" s="149" t="s">
        <v>1</v>
      </c>
      <c r="D30" s="149" t="s">
        <v>2</v>
      </c>
      <c r="E30" s="149" t="s">
        <v>549</v>
      </c>
      <c r="F30" s="186" t="s">
        <v>4</v>
      </c>
      <c r="G30" s="180"/>
      <c r="H30" s="195" t="s">
        <v>1</v>
      </c>
      <c r="I30" s="145" t="s">
        <v>2</v>
      </c>
      <c r="J30" s="145" t="s">
        <v>549</v>
      </c>
      <c r="K30" s="146" t="s">
        <v>4</v>
      </c>
    </row>
    <row r="31" spans="1:11">
      <c r="A31" s="147" t="s">
        <v>14</v>
      </c>
      <c r="B31" s="7" t="s">
        <v>15</v>
      </c>
      <c r="C31" s="53">
        <v>22.99</v>
      </c>
      <c r="D31" s="53">
        <v>6.66</v>
      </c>
      <c r="E31" s="138" t="e">
        <f>E3</f>
        <v>#REF!</v>
      </c>
      <c r="F31" s="185" t="e">
        <f t="shared" ref="F31:F40" si="5">+(E31-C31)/D31</f>
        <v>#REF!</v>
      </c>
      <c r="G31" s="204"/>
      <c r="H31" s="196">
        <v>22.99</v>
      </c>
      <c r="I31" s="53">
        <v>6.66</v>
      </c>
      <c r="J31" s="138" t="e">
        <f>E3</f>
        <v>#REF!</v>
      </c>
      <c r="K31" s="49" t="e">
        <f t="shared" ref="K31:K40" si="6">+(J31-H31)/I31</f>
        <v>#REF!</v>
      </c>
    </row>
    <row r="32" spans="1:11">
      <c r="A32" s="147"/>
      <c r="B32" s="7" t="s">
        <v>16</v>
      </c>
      <c r="C32" s="53">
        <v>19.84</v>
      </c>
      <c r="D32" s="53">
        <v>6.67</v>
      </c>
      <c r="E32" s="138" t="e">
        <f t="shared" ref="E32:E55" si="7">E4</f>
        <v>#REF!</v>
      </c>
      <c r="F32" s="185" t="e">
        <f t="shared" si="5"/>
        <v>#REF!</v>
      </c>
      <c r="G32" s="204"/>
      <c r="H32" s="196">
        <v>19.84</v>
      </c>
      <c r="I32" s="53">
        <v>6.67</v>
      </c>
      <c r="J32" s="138" t="e">
        <f t="shared" ref="J32:J55" si="8">E4</f>
        <v>#REF!</v>
      </c>
      <c r="K32" s="49" t="e">
        <f t="shared" si="6"/>
        <v>#REF!</v>
      </c>
    </row>
    <row r="33" spans="1:11">
      <c r="A33" s="147" t="s">
        <v>18</v>
      </c>
      <c r="B33" s="7" t="s">
        <v>19</v>
      </c>
      <c r="C33" s="53">
        <v>7.1</v>
      </c>
      <c r="D33" s="53">
        <v>1.4</v>
      </c>
      <c r="E33" s="138" t="e">
        <f t="shared" si="7"/>
        <v>#REF!</v>
      </c>
      <c r="F33" s="185" t="e">
        <f t="shared" si="5"/>
        <v>#REF!</v>
      </c>
      <c r="G33" s="204"/>
      <c r="H33" s="196">
        <v>7.2</v>
      </c>
      <c r="I33" s="53">
        <v>1.6</v>
      </c>
      <c r="J33" s="138" t="e">
        <f t="shared" si="8"/>
        <v>#REF!</v>
      </c>
      <c r="K33" s="49" t="e">
        <f t="shared" si="6"/>
        <v>#REF!</v>
      </c>
    </row>
    <row r="34" spans="1:11">
      <c r="A34" s="147"/>
      <c r="B34" s="7" t="s">
        <v>15</v>
      </c>
      <c r="C34" s="53">
        <v>52.2</v>
      </c>
      <c r="D34" s="53">
        <v>7.3</v>
      </c>
      <c r="E34" s="138" t="e">
        <f t="shared" si="7"/>
        <v>#REF!</v>
      </c>
      <c r="F34" s="185" t="e">
        <f t="shared" si="5"/>
        <v>#REF!</v>
      </c>
      <c r="G34" s="204"/>
      <c r="H34" s="196">
        <v>52.3</v>
      </c>
      <c r="I34" s="53">
        <v>8</v>
      </c>
      <c r="J34" s="138" t="e">
        <f t="shared" si="8"/>
        <v>#REF!</v>
      </c>
      <c r="K34" s="49" t="e">
        <f t="shared" si="6"/>
        <v>#REF!</v>
      </c>
    </row>
    <row r="35" spans="1:11">
      <c r="A35" s="147"/>
      <c r="B35" s="7" t="s">
        <v>20</v>
      </c>
      <c r="C35" s="53">
        <v>6.6</v>
      </c>
      <c r="D35" s="53">
        <v>1.8</v>
      </c>
      <c r="E35" s="138" t="e">
        <f t="shared" si="7"/>
        <v>#REF!</v>
      </c>
      <c r="F35" s="185" t="e">
        <f t="shared" si="5"/>
        <v>#REF!</v>
      </c>
      <c r="G35" s="204"/>
      <c r="H35" s="196">
        <v>6.5</v>
      </c>
      <c r="I35" s="53">
        <v>1.9</v>
      </c>
      <c r="J35" s="138" t="e">
        <f t="shared" si="8"/>
        <v>#REF!</v>
      </c>
      <c r="K35" s="49" t="e">
        <f t="shared" si="6"/>
        <v>#REF!</v>
      </c>
    </row>
    <row r="36" spans="1:11">
      <c r="A36" s="147"/>
      <c r="B36" s="7" t="s">
        <v>16</v>
      </c>
      <c r="C36" s="53">
        <v>11.1</v>
      </c>
      <c r="D36" s="53">
        <v>2.4</v>
      </c>
      <c r="E36" s="138" t="e">
        <f t="shared" si="7"/>
        <v>#REF!</v>
      </c>
      <c r="F36" s="185" t="e">
        <f t="shared" si="5"/>
        <v>#REF!</v>
      </c>
      <c r="G36" s="204"/>
      <c r="H36" s="196">
        <v>11.1</v>
      </c>
      <c r="I36" s="53">
        <v>2.7</v>
      </c>
      <c r="J36" s="138" t="e">
        <f t="shared" si="8"/>
        <v>#REF!</v>
      </c>
      <c r="K36" s="49" t="e">
        <f t="shared" si="6"/>
        <v>#REF!</v>
      </c>
    </row>
    <row r="37" spans="1:11">
      <c r="A37" s="147"/>
      <c r="B37" s="7" t="s">
        <v>17</v>
      </c>
      <c r="C37" s="53">
        <v>12.8</v>
      </c>
      <c r="D37" s="53">
        <v>2.2000000000000002</v>
      </c>
      <c r="E37" s="138" t="e">
        <f t="shared" si="7"/>
        <v>#REF!</v>
      </c>
      <c r="F37" s="185" t="e">
        <f t="shared" si="5"/>
        <v>#REF!</v>
      </c>
      <c r="G37" s="204"/>
      <c r="H37" s="196">
        <v>13.5</v>
      </c>
      <c r="I37" s="53">
        <v>1.6</v>
      </c>
      <c r="J37" s="138" t="e">
        <f t="shared" si="8"/>
        <v>#REF!</v>
      </c>
      <c r="K37" s="49" t="e">
        <f t="shared" si="6"/>
        <v>#REF!</v>
      </c>
    </row>
    <row r="38" spans="1:11">
      <c r="A38" s="147" t="s">
        <v>21</v>
      </c>
      <c r="B38" s="7" t="s">
        <v>44</v>
      </c>
      <c r="C38" s="53">
        <v>12.8</v>
      </c>
      <c r="D38" s="53">
        <v>3.9</v>
      </c>
      <c r="E38" s="138" t="e">
        <f t="shared" si="7"/>
        <v>#REF!</v>
      </c>
      <c r="F38" s="185" t="e">
        <f t="shared" si="5"/>
        <v>#REF!</v>
      </c>
      <c r="G38" s="204"/>
      <c r="H38" s="196">
        <v>12.8</v>
      </c>
      <c r="I38" s="53">
        <v>3.9</v>
      </c>
      <c r="J38" s="138" t="e">
        <f t="shared" si="8"/>
        <v>#REF!</v>
      </c>
      <c r="K38" s="49" t="e">
        <f t="shared" si="6"/>
        <v>#REF!</v>
      </c>
    </row>
    <row r="39" spans="1:11">
      <c r="A39" s="147" t="s">
        <v>21</v>
      </c>
      <c r="B39" s="7" t="s">
        <v>45</v>
      </c>
      <c r="C39" s="53">
        <v>16.3</v>
      </c>
      <c r="D39" s="53">
        <v>6.1</v>
      </c>
      <c r="E39" s="138" t="e">
        <f t="shared" si="7"/>
        <v>#REF!</v>
      </c>
      <c r="F39" s="185" t="e">
        <f t="shared" si="5"/>
        <v>#REF!</v>
      </c>
      <c r="G39" s="204"/>
      <c r="H39" s="196">
        <v>16.3</v>
      </c>
      <c r="I39" s="53">
        <v>6.1</v>
      </c>
      <c r="J39" s="138" t="e">
        <f t="shared" si="8"/>
        <v>#REF!</v>
      </c>
      <c r="K39" s="49" t="e">
        <f t="shared" si="6"/>
        <v>#REF!</v>
      </c>
    </row>
    <row r="40" spans="1:11">
      <c r="A40" s="147" t="s">
        <v>21</v>
      </c>
      <c r="B40" s="7" t="s">
        <v>46</v>
      </c>
      <c r="C40" s="53">
        <v>18.100000000000001</v>
      </c>
      <c r="D40" s="53">
        <v>6.2</v>
      </c>
      <c r="E40" s="138" t="e">
        <f t="shared" si="7"/>
        <v>#REF!</v>
      </c>
      <c r="F40" s="185" t="e">
        <f t="shared" si="5"/>
        <v>#REF!</v>
      </c>
      <c r="G40" s="204"/>
      <c r="H40" s="196">
        <v>18.100000000000001</v>
      </c>
      <c r="I40" s="53">
        <v>6.2</v>
      </c>
      <c r="J40" s="138" t="e">
        <f t="shared" si="8"/>
        <v>#REF!</v>
      </c>
      <c r="K40" s="49" t="e">
        <f t="shared" si="6"/>
        <v>#REF!</v>
      </c>
    </row>
    <row r="41" spans="1:11">
      <c r="A41" s="147" t="s">
        <v>22</v>
      </c>
      <c r="B41" s="7" t="s">
        <v>44</v>
      </c>
      <c r="C41" s="53">
        <v>16.5</v>
      </c>
      <c r="D41" s="53">
        <v>2.8</v>
      </c>
      <c r="E41" s="138" t="e">
        <f t="shared" si="7"/>
        <v>#REF!</v>
      </c>
      <c r="F41" s="185" t="e">
        <f>+((E41-C41)/D41)</f>
        <v>#REF!</v>
      </c>
      <c r="G41" s="204"/>
      <c r="H41" s="196">
        <v>16.5</v>
      </c>
      <c r="I41" s="53">
        <v>2.8</v>
      </c>
      <c r="J41" s="138" t="e">
        <f t="shared" si="8"/>
        <v>#REF!</v>
      </c>
      <c r="K41" s="49" t="e">
        <f>+((J41-H41)/I41)</f>
        <v>#REF!</v>
      </c>
    </row>
    <row r="42" spans="1:11">
      <c r="A42" s="147" t="s">
        <v>22</v>
      </c>
      <c r="B42" s="7" t="s">
        <v>45</v>
      </c>
      <c r="C42" s="53">
        <v>20.9</v>
      </c>
      <c r="D42" s="53">
        <v>5.6</v>
      </c>
      <c r="E42" s="138" t="e">
        <f t="shared" si="7"/>
        <v>#REF!</v>
      </c>
      <c r="F42" s="185" t="e">
        <f t="shared" ref="F42:F47" si="9">+(E42-C42)/D42</f>
        <v>#REF!</v>
      </c>
      <c r="G42" s="204"/>
      <c r="H42" s="196">
        <v>20.9</v>
      </c>
      <c r="I42" s="53">
        <v>5.6</v>
      </c>
      <c r="J42" s="138" t="e">
        <f t="shared" si="8"/>
        <v>#REF!</v>
      </c>
      <c r="K42" s="49" t="e">
        <f t="shared" ref="K42:K47" si="10">+(J42-H42)/I42</f>
        <v>#REF!</v>
      </c>
    </row>
    <row r="43" spans="1:11">
      <c r="A43" s="147" t="s">
        <v>22</v>
      </c>
      <c r="B43" s="7" t="s">
        <v>46</v>
      </c>
      <c r="C43" s="53">
        <v>23.8</v>
      </c>
      <c r="D43" s="53">
        <v>6.2</v>
      </c>
      <c r="E43" s="138" t="e">
        <f t="shared" si="7"/>
        <v>#REF!</v>
      </c>
      <c r="F43" s="185" t="e">
        <f t="shared" si="9"/>
        <v>#REF!</v>
      </c>
      <c r="G43" s="204"/>
      <c r="H43" s="196">
        <v>23.8</v>
      </c>
      <c r="I43" s="53">
        <v>6.2</v>
      </c>
      <c r="J43" s="138" t="e">
        <f t="shared" si="8"/>
        <v>#REF!</v>
      </c>
      <c r="K43" s="49" t="e">
        <f t="shared" si="10"/>
        <v>#REF!</v>
      </c>
    </row>
    <row r="44" spans="1:11">
      <c r="A44" s="147" t="s">
        <v>23</v>
      </c>
      <c r="B44" s="7" t="s">
        <v>24</v>
      </c>
      <c r="C44" s="53">
        <v>27.4</v>
      </c>
      <c r="D44" s="53">
        <v>9.6</v>
      </c>
      <c r="E44" s="138" t="e">
        <f t="shared" si="7"/>
        <v>#REF!</v>
      </c>
      <c r="F44" s="185" t="e">
        <f>-(+(E44-C44)/D44)</f>
        <v>#REF!</v>
      </c>
      <c r="G44" s="204"/>
      <c r="H44" s="196">
        <v>27.4</v>
      </c>
      <c r="I44" s="53">
        <v>9.6</v>
      </c>
      <c r="J44" s="138" t="e">
        <f t="shared" si="8"/>
        <v>#REF!</v>
      </c>
      <c r="K44" s="49" t="e">
        <f>-(+(J44-H44)/I44)</f>
        <v>#REF!</v>
      </c>
    </row>
    <row r="45" spans="1:11">
      <c r="A45" s="147"/>
      <c r="B45" s="7" t="s">
        <v>25</v>
      </c>
      <c r="C45" s="53">
        <v>58.7</v>
      </c>
      <c r="D45" s="53">
        <v>15.9</v>
      </c>
      <c r="E45" s="138" t="e">
        <f t="shared" si="7"/>
        <v>#REF!</v>
      </c>
      <c r="F45" s="185" t="e">
        <f>-(+(E45-C45)/D45)</f>
        <v>#REF!</v>
      </c>
      <c r="G45" s="204"/>
      <c r="H45" s="196">
        <v>58.7</v>
      </c>
      <c r="I45" s="53">
        <v>15.9</v>
      </c>
      <c r="J45" s="138" t="e">
        <f t="shared" si="8"/>
        <v>#REF!</v>
      </c>
      <c r="K45" s="49" t="e">
        <f>-(+(J45-H45)/I45)</f>
        <v>#REF!</v>
      </c>
    </row>
    <row r="46" spans="1:11">
      <c r="A46" s="147" t="s">
        <v>26</v>
      </c>
      <c r="B46" s="7" t="s">
        <v>15</v>
      </c>
      <c r="C46" s="53">
        <v>33.700000000000003</v>
      </c>
      <c r="D46" s="53">
        <v>1.59</v>
      </c>
      <c r="E46" s="138" t="e">
        <f t="shared" si="7"/>
        <v>#REF!</v>
      </c>
      <c r="F46" s="185" t="e">
        <f t="shared" si="9"/>
        <v>#REF!</v>
      </c>
      <c r="G46" s="204"/>
      <c r="H46" s="196">
        <v>33.700000000000003</v>
      </c>
      <c r="I46" s="53">
        <v>1.59</v>
      </c>
      <c r="J46" s="138" t="e">
        <f t="shared" si="8"/>
        <v>#REF!</v>
      </c>
      <c r="K46" s="49" t="e">
        <f t="shared" si="10"/>
        <v>#REF!</v>
      </c>
    </row>
    <row r="47" spans="1:11">
      <c r="A47" s="147"/>
      <c r="B47" s="7" t="s">
        <v>16</v>
      </c>
      <c r="C47" s="53">
        <v>21.8</v>
      </c>
      <c r="D47" s="53">
        <v>6.56</v>
      </c>
      <c r="E47" s="138" t="e">
        <f t="shared" si="7"/>
        <v>#REF!</v>
      </c>
      <c r="F47" s="185" t="e">
        <f t="shared" si="9"/>
        <v>#REF!</v>
      </c>
      <c r="G47" s="204"/>
      <c r="H47" s="196">
        <v>21.8</v>
      </c>
      <c r="I47" s="53">
        <v>6.56</v>
      </c>
      <c r="J47" s="138" t="e">
        <f t="shared" si="8"/>
        <v>#REF!</v>
      </c>
      <c r="K47" s="49" t="e">
        <f t="shared" si="10"/>
        <v>#REF!</v>
      </c>
    </row>
    <row r="48" spans="1:11">
      <c r="A48" s="147"/>
      <c r="B48" s="7" t="s">
        <v>17</v>
      </c>
      <c r="C48" s="53">
        <v>21.5</v>
      </c>
      <c r="D48" s="53">
        <v>1.5</v>
      </c>
      <c r="E48" s="138" t="e">
        <f t="shared" si="7"/>
        <v>#REF!</v>
      </c>
      <c r="F48" s="185" t="e">
        <f>(E48-C48)/D48</f>
        <v>#REF!</v>
      </c>
      <c r="G48" s="204"/>
      <c r="H48" s="196">
        <v>21.5</v>
      </c>
      <c r="I48" s="53">
        <v>1.5</v>
      </c>
      <c r="J48" s="138" t="e">
        <f t="shared" si="8"/>
        <v>#REF!</v>
      </c>
      <c r="K48" s="49" t="e">
        <f>(J48-H48)/I48</f>
        <v>#REF!</v>
      </c>
    </row>
    <row r="49" spans="1:11">
      <c r="A49" s="147" t="s">
        <v>27</v>
      </c>
      <c r="B49" s="7" t="s">
        <v>28</v>
      </c>
      <c r="C49" s="53">
        <v>6.8</v>
      </c>
      <c r="D49" s="53">
        <v>1.27</v>
      </c>
      <c r="E49" s="138" t="e">
        <f t="shared" si="7"/>
        <v>#REF!</v>
      </c>
      <c r="F49" s="185" t="e">
        <f t="shared" ref="F49:F50" si="11">+(E49-C49)/D49</f>
        <v>#REF!</v>
      </c>
      <c r="G49" s="204"/>
      <c r="H49" s="196">
        <v>6.8</v>
      </c>
      <c r="I49" s="53">
        <v>1.27</v>
      </c>
      <c r="J49" s="138" t="e">
        <f t="shared" si="8"/>
        <v>#REF!</v>
      </c>
      <c r="K49" s="49" t="e">
        <f t="shared" ref="K49:K50" si="12">+(J49-H49)/I49</f>
        <v>#REF!</v>
      </c>
    </row>
    <row r="50" spans="1:11">
      <c r="A50" s="147"/>
      <c r="B50" s="7" t="s">
        <v>29</v>
      </c>
      <c r="C50" s="53">
        <v>5.0999999999999996</v>
      </c>
      <c r="D50" s="53">
        <v>1.51</v>
      </c>
      <c r="E50" s="138" t="e">
        <f t="shared" si="7"/>
        <v>#REF!</v>
      </c>
      <c r="F50" s="185" t="e">
        <f t="shared" si="11"/>
        <v>#REF!</v>
      </c>
      <c r="G50" s="204"/>
      <c r="H50" s="196">
        <v>5.0999999999999996</v>
      </c>
      <c r="I50" s="53">
        <v>1.51</v>
      </c>
      <c r="J50" s="138" t="e">
        <f t="shared" si="8"/>
        <v>#REF!</v>
      </c>
      <c r="K50" s="49" t="e">
        <f t="shared" si="12"/>
        <v>#REF!</v>
      </c>
    </row>
    <row r="51" spans="1:11" ht="16.5" thickBot="1">
      <c r="A51" s="147" t="s">
        <v>34</v>
      </c>
      <c r="B51" s="6" t="s">
        <v>39</v>
      </c>
      <c r="C51" s="53">
        <v>0.76</v>
      </c>
      <c r="D51" s="53">
        <v>0.48</v>
      </c>
      <c r="E51" s="138" t="e">
        <f t="shared" si="7"/>
        <v>#REF!</v>
      </c>
      <c r="F51" s="185" t="e">
        <f>-(((E51/15)-(C51))/D51)</f>
        <v>#REF!</v>
      </c>
      <c r="G51" s="204"/>
      <c r="H51" s="196">
        <v>0.76</v>
      </c>
      <c r="I51" s="53">
        <v>0.55000000000000004</v>
      </c>
      <c r="J51" s="138" t="e">
        <f t="shared" si="8"/>
        <v>#REF!</v>
      </c>
      <c r="K51" s="49" t="e">
        <f>-(((J51/15)-(H51))/I51)</f>
        <v>#REF!</v>
      </c>
    </row>
    <row r="52" spans="1:11" ht="16.5" thickBot="1">
      <c r="A52" s="147" t="s">
        <v>34</v>
      </c>
      <c r="B52" s="6" t="s">
        <v>40</v>
      </c>
      <c r="C52" s="53">
        <v>0.55000000000000004</v>
      </c>
      <c r="D52" s="53">
        <v>0.33</v>
      </c>
      <c r="E52" s="138" t="e">
        <f t="shared" si="7"/>
        <v>#REF!</v>
      </c>
      <c r="F52" s="185" t="e">
        <f>-(((E52/15)-(C52))/D52)</f>
        <v>#REF!</v>
      </c>
      <c r="G52" s="204"/>
      <c r="H52" s="196">
        <v>0.55000000000000004</v>
      </c>
      <c r="I52" s="53">
        <v>0.33</v>
      </c>
      <c r="J52" s="138" t="e">
        <f t="shared" si="8"/>
        <v>#REF!</v>
      </c>
      <c r="K52" s="49" t="e">
        <f>-(((J52/15)-(H52))/I52)</f>
        <v>#REF!</v>
      </c>
    </row>
    <row r="53" spans="1:11">
      <c r="A53" s="147" t="s">
        <v>35</v>
      </c>
      <c r="B53" s="60" t="s">
        <v>36</v>
      </c>
      <c r="C53" s="53">
        <v>5.34</v>
      </c>
      <c r="D53" s="53">
        <v>1.32</v>
      </c>
      <c r="E53" s="138" t="e">
        <f t="shared" si="7"/>
        <v>#REF!</v>
      </c>
      <c r="F53" s="185" t="e">
        <f>+(E53-C53)/D53</f>
        <v>#REF!</v>
      </c>
      <c r="G53" s="204"/>
      <c r="H53" s="196">
        <v>5.34</v>
      </c>
      <c r="I53" s="53">
        <v>1.32</v>
      </c>
      <c r="J53" s="138" t="e">
        <f t="shared" si="8"/>
        <v>#REF!</v>
      </c>
      <c r="K53" s="49" t="e">
        <f>+(J53-H53)/I53</f>
        <v>#REF!</v>
      </c>
    </row>
    <row r="54" spans="1:11">
      <c r="A54" s="147" t="s">
        <v>35</v>
      </c>
      <c r="B54" s="60" t="s">
        <v>37</v>
      </c>
      <c r="C54" s="53">
        <v>5.34</v>
      </c>
      <c r="D54" s="53">
        <v>1.32</v>
      </c>
      <c r="E54" s="138" t="e">
        <f t="shared" si="7"/>
        <v>#REF!</v>
      </c>
      <c r="F54" s="185" t="e">
        <f>+(E54-C54)/D54</f>
        <v>#REF!</v>
      </c>
      <c r="G54" s="204"/>
      <c r="H54" s="196">
        <v>5.34</v>
      </c>
      <c r="I54" s="53">
        <v>1.32</v>
      </c>
      <c r="J54" s="138" t="e">
        <f t="shared" si="8"/>
        <v>#REF!</v>
      </c>
      <c r="K54" s="49" t="e">
        <f>+(J54-H54)/I54</f>
        <v>#REF!</v>
      </c>
    </row>
    <row r="55" spans="1:11">
      <c r="A55" s="147" t="s">
        <v>35</v>
      </c>
      <c r="B55" s="60" t="s">
        <v>38</v>
      </c>
      <c r="C55" s="53">
        <v>5.34</v>
      </c>
      <c r="D55" s="53">
        <v>1.32</v>
      </c>
      <c r="E55" s="138" t="e">
        <f t="shared" si="7"/>
        <v>#REF!</v>
      </c>
      <c r="F55" s="185" t="e">
        <f>+(E55-C55)/D55</f>
        <v>#REF!</v>
      </c>
      <c r="G55" s="204"/>
      <c r="H55" s="196">
        <v>5.34</v>
      </c>
      <c r="I55" s="53">
        <v>1.32</v>
      </c>
      <c r="J55" s="138" t="e">
        <f t="shared" si="8"/>
        <v>#REF!</v>
      </c>
      <c r="K55" s="49" t="e">
        <f>+(J55-H55)/I55</f>
        <v>#REF!</v>
      </c>
    </row>
    <row r="57" spans="1:11">
      <c r="A57" s="377" t="s">
        <v>550</v>
      </c>
      <c r="B57" s="377"/>
      <c r="C57" s="377"/>
      <c r="D57" s="377"/>
      <c r="E57" s="377"/>
      <c r="F57" s="377"/>
      <c r="G57" s="179"/>
      <c r="H57" s="376"/>
      <c r="I57" s="376"/>
      <c r="J57" s="376"/>
      <c r="K57" s="376"/>
    </row>
    <row r="58" spans="1:11">
      <c r="A58" s="144" t="s">
        <v>0</v>
      </c>
      <c r="B58" s="150"/>
      <c r="C58" s="150" t="s">
        <v>1</v>
      </c>
      <c r="D58" s="150" t="s">
        <v>2</v>
      </c>
      <c r="E58" s="150" t="s">
        <v>551</v>
      </c>
      <c r="F58" s="187" t="s">
        <v>4</v>
      </c>
      <c r="G58" s="181"/>
      <c r="H58" s="195" t="s">
        <v>1</v>
      </c>
      <c r="I58" s="145" t="s">
        <v>2</v>
      </c>
      <c r="J58" s="145" t="s">
        <v>549</v>
      </c>
      <c r="K58" s="146" t="s">
        <v>4</v>
      </c>
    </row>
    <row r="59" spans="1:11">
      <c r="A59" s="147" t="s">
        <v>14</v>
      </c>
      <c r="B59" s="7" t="s">
        <v>15</v>
      </c>
      <c r="C59" s="53">
        <v>24.57</v>
      </c>
      <c r="D59" s="53">
        <v>6.97</v>
      </c>
      <c r="E59" s="209" t="e">
        <f>E3</f>
        <v>#REF!</v>
      </c>
      <c r="F59" s="185" t="e">
        <f t="shared" ref="F59:F65" si="13">+(E59-C59)/D59</f>
        <v>#REF!</v>
      </c>
      <c r="G59" s="204"/>
      <c r="H59" s="196">
        <v>24.57</v>
      </c>
      <c r="I59" s="53">
        <v>6.97</v>
      </c>
      <c r="J59" s="209" t="e">
        <f>E3</f>
        <v>#REF!</v>
      </c>
      <c r="K59" s="49" t="e">
        <f t="shared" ref="K59:K65" si="14">+(J59-H59)/I59</f>
        <v>#REF!</v>
      </c>
    </row>
    <row r="60" spans="1:11">
      <c r="A60" s="147"/>
      <c r="B60" s="7" t="s">
        <v>16</v>
      </c>
      <c r="C60" s="53">
        <v>22.16</v>
      </c>
      <c r="D60" s="53">
        <v>7.57</v>
      </c>
      <c r="E60" s="209" t="e">
        <f t="shared" ref="E60:E82" si="15">E4</f>
        <v>#REF!</v>
      </c>
      <c r="F60" s="185" t="e">
        <f t="shared" si="13"/>
        <v>#REF!</v>
      </c>
      <c r="G60" s="204"/>
      <c r="H60" s="196">
        <v>22.16</v>
      </c>
      <c r="I60" s="53">
        <v>7.57</v>
      </c>
      <c r="J60" s="209" t="e">
        <f t="shared" ref="J60:J83" si="16">E4</f>
        <v>#REF!</v>
      </c>
      <c r="K60" s="49" t="e">
        <f t="shared" si="14"/>
        <v>#REF!</v>
      </c>
    </row>
    <row r="61" spans="1:11">
      <c r="A61" s="147" t="s">
        <v>18</v>
      </c>
      <c r="B61" s="7" t="s">
        <v>552</v>
      </c>
      <c r="C61" s="53">
        <v>6.3</v>
      </c>
      <c r="D61" s="53">
        <v>1.7</v>
      </c>
      <c r="E61" s="209" t="e">
        <f t="shared" si="15"/>
        <v>#REF!</v>
      </c>
      <c r="F61" s="185" t="e">
        <f t="shared" si="13"/>
        <v>#REF!</v>
      </c>
      <c r="G61" s="204"/>
      <c r="H61" s="196">
        <v>7.3</v>
      </c>
      <c r="I61" s="53">
        <v>1.9</v>
      </c>
      <c r="J61" s="209" t="e">
        <f t="shared" si="16"/>
        <v>#REF!</v>
      </c>
      <c r="K61" s="49" t="e">
        <f t="shared" si="14"/>
        <v>#REF!</v>
      </c>
    </row>
    <row r="62" spans="1:11">
      <c r="A62" s="147"/>
      <c r="B62" s="7" t="s">
        <v>15</v>
      </c>
      <c r="C62" s="53">
        <v>48.6</v>
      </c>
      <c r="D62" s="53">
        <v>10.3</v>
      </c>
      <c r="E62" s="209" t="e">
        <f t="shared" si="15"/>
        <v>#REF!</v>
      </c>
      <c r="F62" s="185" t="e">
        <f t="shared" si="13"/>
        <v>#REF!</v>
      </c>
      <c r="G62" s="204"/>
      <c r="H62" s="197">
        <v>53.6</v>
      </c>
      <c r="I62" s="49">
        <v>8.3000000000000007</v>
      </c>
      <c r="J62" s="209" t="e">
        <f t="shared" si="16"/>
        <v>#REF!</v>
      </c>
      <c r="K62" s="49" t="e">
        <f t="shared" si="14"/>
        <v>#REF!</v>
      </c>
    </row>
    <row r="63" spans="1:11">
      <c r="A63" s="147"/>
      <c r="B63" s="7" t="s">
        <v>20</v>
      </c>
      <c r="C63" s="53">
        <v>5.8</v>
      </c>
      <c r="D63" s="53">
        <v>1.8</v>
      </c>
      <c r="E63" s="209" t="e">
        <f t="shared" si="15"/>
        <v>#REF!</v>
      </c>
      <c r="F63" s="185" t="e">
        <f t="shared" si="13"/>
        <v>#REF!</v>
      </c>
      <c r="G63" s="204"/>
      <c r="H63" s="197">
        <v>6.6</v>
      </c>
      <c r="I63" s="49">
        <v>2.1</v>
      </c>
      <c r="J63" s="209" t="e">
        <f t="shared" si="16"/>
        <v>#REF!</v>
      </c>
      <c r="K63" s="49" t="e">
        <f t="shared" si="14"/>
        <v>#REF!</v>
      </c>
    </row>
    <row r="64" spans="1:11">
      <c r="A64" s="147"/>
      <c r="B64" s="7" t="s">
        <v>16</v>
      </c>
      <c r="C64" s="53">
        <v>10</v>
      </c>
      <c r="D64" s="53">
        <v>3.4</v>
      </c>
      <c r="E64" s="209" t="e">
        <f t="shared" si="15"/>
        <v>#REF!</v>
      </c>
      <c r="F64" s="185" t="e">
        <f t="shared" si="13"/>
        <v>#REF!</v>
      </c>
      <c r="G64" s="204"/>
      <c r="H64" s="197">
        <v>11.2</v>
      </c>
      <c r="I64" s="49">
        <v>2.8</v>
      </c>
      <c r="J64" s="209" t="e">
        <f t="shared" si="16"/>
        <v>#REF!</v>
      </c>
      <c r="K64" s="49" t="e">
        <f t="shared" si="14"/>
        <v>#REF!</v>
      </c>
    </row>
    <row r="65" spans="1:11">
      <c r="A65" s="147"/>
      <c r="B65" s="7" t="s">
        <v>17</v>
      </c>
      <c r="C65" s="53">
        <v>12.7</v>
      </c>
      <c r="D65" s="53">
        <v>2.5</v>
      </c>
      <c r="E65" s="209" t="e">
        <f t="shared" si="15"/>
        <v>#REF!</v>
      </c>
      <c r="F65" s="185" t="e">
        <f t="shared" si="13"/>
        <v>#REF!</v>
      </c>
      <c r="G65" s="204"/>
      <c r="H65" s="197">
        <v>13.6</v>
      </c>
      <c r="I65" s="49">
        <v>1.9</v>
      </c>
      <c r="J65" s="209" t="e">
        <f t="shared" si="16"/>
        <v>#REF!</v>
      </c>
      <c r="K65" s="49" t="e">
        <f t="shared" si="14"/>
        <v>#REF!</v>
      </c>
    </row>
    <row r="66" spans="1:11">
      <c r="A66" s="147" t="s">
        <v>21</v>
      </c>
      <c r="B66" s="7" t="s">
        <v>44</v>
      </c>
      <c r="C66" s="53">
        <v>12.8</v>
      </c>
      <c r="D66" s="53">
        <v>3.9</v>
      </c>
      <c r="E66" s="209" t="e">
        <f t="shared" si="15"/>
        <v>#REF!</v>
      </c>
      <c r="F66" s="185" t="e">
        <f t="shared" ref="F66:F71" si="17">+(E66-C66)/D66</f>
        <v>#REF!</v>
      </c>
      <c r="G66" s="204"/>
      <c r="H66" s="196">
        <v>12.8</v>
      </c>
      <c r="I66" s="53">
        <v>3.9</v>
      </c>
      <c r="J66" s="209" t="e">
        <f t="shared" si="16"/>
        <v>#REF!</v>
      </c>
      <c r="K66" s="49" t="e">
        <f t="shared" ref="K66:K71" si="18">+(J66-H66)/I66</f>
        <v>#REF!</v>
      </c>
    </row>
    <row r="67" spans="1:11">
      <c r="A67" s="147" t="s">
        <v>21</v>
      </c>
      <c r="B67" s="54" t="s">
        <v>45</v>
      </c>
      <c r="C67" s="53">
        <v>16.3</v>
      </c>
      <c r="D67" s="53">
        <v>6.1</v>
      </c>
      <c r="E67" s="209" t="e">
        <f t="shared" si="15"/>
        <v>#REF!</v>
      </c>
      <c r="F67" s="185" t="e">
        <f t="shared" si="17"/>
        <v>#REF!</v>
      </c>
      <c r="G67" s="204"/>
      <c r="H67" s="196">
        <v>16.3</v>
      </c>
      <c r="I67" s="53">
        <v>6.1</v>
      </c>
      <c r="J67" s="209" t="e">
        <f t="shared" si="16"/>
        <v>#REF!</v>
      </c>
      <c r="K67" s="49" t="e">
        <f t="shared" si="18"/>
        <v>#REF!</v>
      </c>
    </row>
    <row r="68" spans="1:11">
      <c r="A68" s="147" t="s">
        <v>21</v>
      </c>
      <c r="B68" s="7" t="s">
        <v>46</v>
      </c>
      <c r="C68" s="53">
        <v>18.100000000000001</v>
      </c>
      <c r="D68" s="53">
        <v>6.2</v>
      </c>
      <c r="E68" s="209" t="e">
        <f t="shared" si="15"/>
        <v>#REF!</v>
      </c>
      <c r="F68" s="185" t="e">
        <f t="shared" si="17"/>
        <v>#REF!</v>
      </c>
      <c r="G68" s="204"/>
      <c r="H68" s="196">
        <v>18.100000000000001</v>
      </c>
      <c r="I68" s="53">
        <v>6.2</v>
      </c>
      <c r="J68" s="209" t="e">
        <f t="shared" si="16"/>
        <v>#REF!</v>
      </c>
      <c r="K68" s="49" t="e">
        <f t="shared" si="18"/>
        <v>#REF!</v>
      </c>
    </row>
    <row r="69" spans="1:11">
      <c r="A69" s="147" t="s">
        <v>22</v>
      </c>
      <c r="B69" s="7" t="s">
        <v>44</v>
      </c>
      <c r="C69" s="53">
        <v>16.5</v>
      </c>
      <c r="D69" s="53">
        <v>2.8</v>
      </c>
      <c r="E69" s="209" t="e">
        <f t="shared" si="15"/>
        <v>#REF!</v>
      </c>
      <c r="F69" s="185" t="e">
        <f>+((E69-C69)/D69)</f>
        <v>#REF!</v>
      </c>
      <c r="G69" s="204"/>
      <c r="H69" s="196">
        <v>16.5</v>
      </c>
      <c r="I69" s="53">
        <v>2.8</v>
      </c>
      <c r="J69" s="209" t="e">
        <f t="shared" si="16"/>
        <v>#REF!</v>
      </c>
      <c r="K69" s="49" t="e">
        <f>+((J69-H69)/I69)</f>
        <v>#REF!</v>
      </c>
    </row>
    <row r="70" spans="1:11">
      <c r="A70" s="147" t="s">
        <v>22</v>
      </c>
      <c r="B70" s="54" t="s">
        <v>45</v>
      </c>
      <c r="C70" s="53">
        <v>20.9</v>
      </c>
      <c r="D70" s="53">
        <v>5.6</v>
      </c>
      <c r="E70" s="209" t="e">
        <f t="shared" si="15"/>
        <v>#REF!</v>
      </c>
      <c r="F70" s="185" t="e">
        <f t="shared" si="17"/>
        <v>#REF!</v>
      </c>
      <c r="G70" s="204"/>
      <c r="H70" s="196">
        <v>20.9</v>
      </c>
      <c r="I70" s="53">
        <v>5.6</v>
      </c>
      <c r="J70" s="209" t="e">
        <f t="shared" si="16"/>
        <v>#REF!</v>
      </c>
      <c r="K70" s="49" t="e">
        <f t="shared" si="18"/>
        <v>#REF!</v>
      </c>
    </row>
    <row r="71" spans="1:11">
      <c r="A71" s="147" t="s">
        <v>22</v>
      </c>
      <c r="B71" s="7" t="s">
        <v>46</v>
      </c>
      <c r="C71" s="53">
        <v>23.8</v>
      </c>
      <c r="D71" s="53">
        <v>6.2</v>
      </c>
      <c r="E71" s="209" t="e">
        <f t="shared" si="15"/>
        <v>#REF!</v>
      </c>
      <c r="F71" s="185" t="e">
        <f t="shared" si="17"/>
        <v>#REF!</v>
      </c>
      <c r="G71" s="204"/>
      <c r="H71" s="196">
        <v>23.8</v>
      </c>
      <c r="I71" s="53">
        <v>6.2</v>
      </c>
      <c r="J71" s="209" t="e">
        <f t="shared" si="16"/>
        <v>#REF!</v>
      </c>
      <c r="K71" s="49" t="e">
        <f t="shared" si="18"/>
        <v>#REF!</v>
      </c>
    </row>
    <row r="72" spans="1:11">
      <c r="A72" s="147" t="s">
        <v>23</v>
      </c>
      <c r="B72" s="7" t="s">
        <v>24</v>
      </c>
      <c r="C72" s="49">
        <v>30.2</v>
      </c>
      <c r="D72" s="49">
        <v>10.4</v>
      </c>
      <c r="E72" s="209" t="e">
        <f t="shared" si="15"/>
        <v>#REF!</v>
      </c>
      <c r="F72" s="185" t="e">
        <f>-(+(E72-C72)/D72)</f>
        <v>#REF!</v>
      </c>
      <c r="G72" s="204"/>
      <c r="H72" s="197">
        <v>30.2</v>
      </c>
      <c r="I72" s="49">
        <v>10.4</v>
      </c>
      <c r="J72" s="209" t="e">
        <f t="shared" si="16"/>
        <v>#REF!</v>
      </c>
      <c r="K72" s="49" t="e">
        <f>-(+(J72-H72)/I72)</f>
        <v>#REF!</v>
      </c>
    </row>
    <row r="73" spans="1:11">
      <c r="A73" s="147"/>
      <c r="B73" s="7" t="s">
        <v>25</v>
      </c>
      <c r="C73" s="49">
        <v>64</v>
      </c>
      <c r="D73" s="49">
        <v>23.4</v>
      </c>
      <c r="E73" s="209" t="e">
        <f t="shared" si="15"/>
        <v>#REF!</v>
      </c>
      <c r="F73" s="185" t="e">
        <f>-(+(E73-C73)/D73)</f>
        <v>#REF!</v>
      </c>
      <c r="G73" s="204"/>
      <c r="H73" s="197">
        <v>64</v>
      </c>
      <c r="I73" s="49">
        <v>23.4</v>
      </c>
      <c r="J73" s="209" t="e">
        <f t="shared" si="16"/>
        <v>#REF!</v>
      </c>
      <c r="K73" s="49" t="e">
        <f>-(+(J73-H73)/I73)</f>
        <v>#REF!</v>
      </c>
    </row>
    <row r="74" spans="1:11">
      <c r="A74" s="147" t="s">
        <v>26</v>
      </c>
      <c r="B74" s="7" t="s">
        <v>15</v>
      </c>
      <c r="C74" s="49">
        <v>31.75</v>
      </c>
      <c r="D74" s="49">
        <v>3.21</v>
      </c>
      <c r="E74" s="209" t="e">
        <f t="shared" si="15"/>
        <v>#REF!</v>
      </c>
      <c r="F74" s="185" t="e">
        <f t="shared" ref="F74:F78" si="19">+(E74-C74)/D74</f>
        <v>#REF!</v>
      </c>
      <c r="G74" s="204"/>
      <c r="H74" s="197">
        <v>31.75</v>
      </c>
      <c r="I74" s="49">
        <v>3.21</v>
      </c>
      <c r="J74" s="209" t="e">
        <f t="shared" si="16"/>
        <v>#REF!</v>
      </c>
      <c r="K74" s="49" t="e">
        <f t="shared" ref="K74:K78" si="20">+(J74-H74)/I74</f>
        <v>#REF!</v>
      </c>
    </row>
    <row r="75" spans="1:11">
      <c r="A75" s="147"/>
      <c r="B75" s="7" t="s">
        <v>16</v>
      </c>
      <c r="C75" s="49">
        <v>17.2</v>
      </c>
      <c r="D75" s="49">
        <v>7.08</v>
      </c>
      <c r="E75" s="209" t="e">
        <f t="shared" si="15"/>
        <v>#REF!</v>
      </c>
      <c r="F75" s="185" t="e">
        <f t="shared" si="19"/>
        <v>#REF!</v>
      </c>
      <c r="G75" s="204"/>
      <c r="H75" s="197">
        <v>17.2</v>
      </c>
      <c r="I75" s="49">
        <v>7.08</v>
      </c>
      <c r="J75" s="209" t="e">
        <f t="shared" si="16"/>
        <v>#REF!</v>
      </c>
      <c r="K75" s="49" t="e">
        <f t="shared" si="20"/>
        <v>#REF!</v>
      </c>
    </row>
    <row r="76" spans="1:11">
      <c r="A76" s="147"/>
      <c r="B76" s="7" t="s">
        <v>17</v>
      </c>
      <c r="C76" s="53">
        <v>21</v>
      </c>
      <c r="D76" s="53">
        <v>1.9</v>
      </c>
      <c r="E76" s="209" t="e">
        <f t="shared" si="15"/>
        <v>#REF!</v>
      </c>
      <c r="F76" s="185" t="e">
        <f t="shared" si="19"/>
        <v>#REF!</v>
      </c>
      <c r="G76" s="204"/>
      <c r="H76" s="196">
        <v>21</v>
      </c>
      <c r="I76" s="53">
        <v>1.9</v>
      </c>
      <c r="J76" s="209" t="e">
        <f t="shared" si="16"/>
        <v>#REF!</v>
      </c>
      <c r="K76" s="49" t="e">
        <f t="shared" si="20"/>
        <v>#REF!</v>
      </c>
    </row>
    <row r="77" spans="1:11">
      <c r="A77" s="147" t="s">
        <v>27</v>
      </c>
      <c r="B77" s="7" t="s">
        <v>28</v>
      </c>
      <c r="C77" s="53">
        <v>6.61</v>
      </c>
      <c r="D77" s="53">
        <v>1.35</v>
      </c>
      <c r="E77" s="209" t="e">
        <f t="shared" si="15"/>
        <v>#REF!</v>
      </c>
      <c r="F77" s="185" t="e">
        <f t="shared" si="19"/>
        <v>#REF!</v>
      </c>
      <c r="G77" s="204"/>
      <c r="H77" s="196">
        <v>6.61</v>
      </c>
      <c r="I77" s="53">
        <v>1.35</v>
      </c>
      <c r="J77" s="209" t="e">
        <f t="shared" si="16"/>
        <v>#REF!</v>
      </c>
      <c r="K77" s="49" t="e">
        <f t="shared" si="20"/>
        <v>#REF!</v>
      </c>
    </row>
    <row r="78" spans="1:11">
      <c r="A78" s="147"/>
      <c r="B78" s="7" t="s">
        <v>29</v>
      </c>
      <c r="C78" s="53">
        <v>4.87</v>
      </c>
      <c r="D78" s="53">
        <v>1.44</v>
      </c>
      <c r="E78" s="209" t="e">
        <f t="shared" si="15"/>
        <v>#REF!</v>
      </c>
      <c r="F78" s="185" t="e">
        <f t="shared" si="19"/>
        <v>#REF!</v>
      </c>
      <c r="G78" s="204"/>
      <c r="H78" s="196">
        <v>4.87</v>
      </c>
      <c r="I78" s="53">
        <v>1.44</v>
      </c>
      <c r="J78" s="209" t="e">
        <f t="shared" si="16"/>
        <v>#REF!</v>
      </c>
      <c r="K78" s="49" t="e">
        <f t="shared" si="20"/>
        <v>#REF!</v>
      </c>
    </row>
    <row r="79" spans="1:11">
      <c r="A79" s="147" t="s">
        <v>34</v>
      </c>
      <c r="B79" s="60" t="s">
        <v>39</v>
      </c>
      <c r="C79" s="151">
        <v>0.76</v>
      </c>
      <c r="D79" s="151">
        <v>0.48</v>
      </c>
      <c r="E79" s="209" t="e">
        <f t="shared" si="15"/>
        <v>#REF!</v>
      </c>
      <c r="F79" s="185" t="e">
        <f>-(((E79/15)-(C79))/D79)</f>
        <v>#REF!</v>
      </c>
      <c r="G79" s="204"/>
      <c r="H79" s="196">
        <v>0.76</v>
      </c>
      <c r="I79" s="53">
        <v>0.55000000000000004</v>
      </c>
      <c r="J79" s="209" t="e">
        <f t="shared" si="16"/>
        <v>#REF!</v>
      </c>
      <c r="K79" s="49" t="e">
        <f>-(((J79/15)-(H79))/I79)</f>
        <v>#REF!</v>
      </c>
    </row>
    <row r="80" spans="1:11">
      <c r="A80" s="147" t="s">
        <v>34</v>
      </c>
      <c r="B80" s="60" t="s">
        <v>40</v>
      </c>
      <c r="C80" s="151">
        <v>0.55000000000000004</v>
      </c>
      <c r="D80" s="151">
        <v>0.33</v>
      </c>
      <c r="E80" s="209" t="e">
        <f t="shared" si="15"/>
        <v>#REF!</v>
      </c>
      <c r="F80" s="185" t="e">
        <f>-(((E80/15)-(C80))/D80)</f>
        <v>#REF!</v>
      </c>
      <c r="G80" s="204"/>
      <c r="H80" s="196">
        <v>0.55000000000000004</v>
      </c>
      <c r="I80" s="53">
        <v>0.33</v>
      </c>
      <c r="J80" s="209" t="e">
        <f t="shared" si="16"/>
        <v>#REF!</v>
      </c>
      <c r="K80" s="49" t="e">
        <f>-(((J80/15)-(H80))/I80)</f>
        <v>#REF!</v>
      </c>
    </row>
    <row r="81" spans="1:11">
      <c r="A81" s="147" t="s">
        <v>35</v>
      </c>
      <c r="B81" s="60" t="s">
        <v>36</v>
      </c>
      <c r="C81" s="53">
        <v>5.34</v>
      </c>
      <c r="D81" s="53">
        <v>1.32</v>
      </c>
      <c r="E81" s="209" t="e">
        <f t="shared" si="15"/>
        <v>#REF!</v>
      </c>
      <c r="F81" s="185" t="e">
        <f>+(E81-C81)/D81</f>
        <v>#REF!</v>
      </c>
      <c r="G81" s="204"/>
      <c r="H81" s="196">
        <v>5.34</v>
      </c>
      <c r="I81" s="53">
        <v>1.32</v>
      </c>
      <c r="J81" s="209" t="e">
        <f t="shared" si="16"/>
        <v>#REF!</v>
      </c>
      <c r="K81" s="49" t="e">
        <f>+(J81-H81)/I81</f>
        <v>#REF!</v>
      </c>
    </row>
    <row r="82" spans="1:11">
      <c r="A82" s="147" t="s">
        <v>35</v>
      </c>
      <c r="B82" s="60" t="s">
        <v>37</v>
      </c>
      <c r="C82" s="53">
        <v>5.34</v>
      </c>
      <c r="D82" s="53">
        <v>1.32</v>
      </c>
      <c r="E82" s="209" t="e">
        <f t="shared" si="15"/>
        <v>#REF!</v>
      </c>
      <c r="F82" s="185" t="e">
        <f>+(E82-C82)/D82</f>
        <v>#REF!</v>
      </c>
      <c r="G82" s="204"/>
      <c r="H82" s="196">
        <v>5.34</v>
      </c>
      <c r="I82" s="53">
        <v>1.32</v>
      </c>
      <c r="J82" s="209" t="e">
        <f t="shared" si="16"/>
        <v>#REF!</v>
      </c>
      <c r="K82" s="49" t="e">
        <f>+(J82-H82)/I82</f>
        <v>#REF!</v>
      </c>
    </row>
    <row r="83" spans="1:11">
      <c r="A83" s="147" t="s">
        <v>35</v>
      </c>
      <c r="B83" s="60" t="s">
        <v>38</v>
      </c>
      <c r="C83" s="53">
        <v>5.34</v>
      </c>
      <c r="D83" s="53">
        <v>1.32</v>
      </c>
      <c r="E83" s="209" t="e">
        <f>E27</f>
        <v>#REF!</v>
      </c>
      <c r="F83" s="185" t="e">
        <f>+(E83-C83)/D83</f>
        <v>#REF!</v>
      </c>
      <c r="G83" s="204"/>
      <c r="H83" s="196">
        <v>5.34</v>
      </c>
      <c r="I83" s="53">
        <v>1.32</v>
      </c>
      <c r="J83" s="209" t="e">
        <f t="shared" si="16"/>
        <v>#REF!</v>
      </c>
      <c r="K83" s="49" t="e">
        <f>+(J83-H83)/I83</f>
        <v>#REF!</v>
      </c>
    </row>
    <row r="85" spans="1:11">
      <c r="A85" s="377" t="s">
        <v>555</v>
      </c>
      <c r="B85" s="377"/>
      <c r="C85" s="377"/>
      <c r="D85" s="377"/>
      <c r="E85" s="377"/>
      <c r="F85" s="377"/>
      <c r="G85" s="179"/>
      <c r="H85" s="376"/>
      <c r="I85" s="376"/>
      <c r="J85" s="376"/>
      <c r="K85" s="376"/>
    </row>
    <row r="86" spans="1:11">
      <c r="A86" s="144" t="s">
        <v>0</v>
      </c>
      <c r="B86" s="145"/>
      <c r="C86" s="145" t="s">
        <v>1</v>
      </c>
      <c r="D86" s="145" t="s">
        <v>2</v>
      </c>
      <c r="E86" s="145" t="s">
        <v>3</v>
      </c>
      <c r="F86" s="188" t="s">
        <v>4</v>
      </c>
      <c r="G86" s="182"/>
      <c r="H86" s="195" t="s">
        <v>1</v>
      </c>
      <c r="I86" s="145" t="s">
        <v>2</v>
      </c>
      <c r="J86" s="145" t="s">
        <v>549</v>
      </c>
      <c r="K86" s="146" t="s">
        <v>4</v>
      </c>
    </row>
    <row r="87" spans="1:11">
      <c r="A87" s="147" t="s">
        <v>14</v>
      </c>
      <c r="B87" s="7" t="s">
        <v>15</v>
      </c>
      <c r="C87" s="49">
        <v>23.44</v>
      </c>
      <c r="D87" s="49">
        <v>5.01</v>
      </c>
      <c r="E87" s="209" t="e">
        <f>E3</f>
        <v>#REF!</v>
      </c>
      <c r="F87" s="189" t="e">
        <f t="shared" ref="F87:F93" si="21">+(E87-C87)/D87</f>
        <v>#REF!</v>
      </c>
      <c r="G87" s="205"/>
      <c r="H87" s="198">
        <v>23.44</v>
      </c>
      <c r="I87" s="151">
        <v>5.01</v>
      </c>
      <c r="J87" s="209" t="e">
        <f>E3</f>
        <v>#REF!</v>
      </c>
      <c r="K87" s="152" t="e">
        <f t="shared" ref="K87:K93" si="22">+(J87-H87)/I87</f>
        <v>#REF!</v>
      </c>
    </row>
    <row r="88" spans="1:11">
      <c r="A88" s="147"/>
      <c r="B88" s="7" t="s">
        <v>154</v>
      </c>
      <c r="C88" s="49">
        <v>21.07</v>
      </c>
      <c r="D88" s="49">
        <v>5.91</v>
      </c>
      <c r="E88" s="209" t="e">
        <f t="shared" ref="E88:E111" si="23">E4</f>
        <v>#REF!</v>
      </c>
      <c r="F88" s="189" t="e">
        <f t="shared" si="21"/>
        <v>#REF!</v>
      </c>
      <c r="G88" s="205"/>
      <c r="H88" s="198">
        <v>21.07</v>
      </c>
      <c r="I88" s="151">
        <v>5.91</v>
      </c>
      <c r="J88" s="209" t="e">
        <f t="shared" ref="J88:J111" si="24">E4</f>
        <v>#REF!</v>
      </c>
      <c r="K88" s="152" t="e">
        <f t="shared" si="22"/>
        <v>#REF!</v>
      </c>
    </row>
    <row r="89" spans="1:11">
      <c r="A89" s="147" t="s">
        <v>18</v>
      </c>
      <c r="B89" s="7" t="s">
        <v>19</v>
      </c>
      <c r="C89" s="53">
        <v>6.2</v>
      </c>
      <c r="D89" s="53">
        <v>1.6</v>
      </c>
      <c r="E89" s="209" t="e">
        <f t="shared" si="23"/>
        <v>#REF!</v>
      </c>
      <c r="F89" s="189" t="e">
        <f t="shared" si="21"/>
        <v>#REF!</v>
      </c>
      <c r="G89" s="205"/>
      <c r="H89" s="198">
        <v>6.6</v>
      </c>
      <c r="I89" s="151">
        <v>1.5</v>
      </c>
      <c r="J89" s="209" t="e">
        <f t="shared" si="24"/>
        <v>#REF!</v>
      </c>
      <c r="K89" s="152" t="e">
        <f t="shared" si="22"/>
        <v>#REF!</v>
      </c>
    </row>
    <row r="90" spans="1:11">
      <c r="A90" s="147"/>
      <c r="B90" s="7" t="s">
        <v>15</v>
      </c>
      <c r="C90" s="53">
        <v>47.4</v>
      </c>
      <c r="D90" s="53">
        <v>8.8000000000000007</v>
      </c>
      <c r="E90" s="209" t="e">
        <f t="shared" si="23"/>
        <v>#REF!</v>
      </c>
      <c r="F90" s="189" t="e">
        <f t="shared" si="21"/>
        <v>#REF!</v>
      </c>
      <c r="G90" s="205"/>
      <c r="H90" s="198">
        <v>50.6</v>
      </c>
      <c r="I90" s="151">
        <v>7.1</v>
      </c>
      <c r="J90" s="209" t="e">
        <f t="shared" si="24"/>
        <v>#REF!</v>
      </c>
      <c r="K90" s="152" t="e">
        <f t="shared" si="22"/>
        <v>#REF!</v>
      </c>
    </row>
    <row r="91" spans="1:11">
      <c r="A91" s="147"/>
      <c r="B91" s="7" t="s">
        <v>20</v>
      </c>
      <c r="C91" s="53">
        <v>5.9</v>
      </c>
      <c r="D91" s="53">
        <v>1.7</v>
      </c>
      <c r="E91" s="209" t="e">
        <f t="shared" si="23"/>
        <v>#REF!</v>
      </c>
      <c r="F91" s="189" t="e">
        <f t="shared" si="21"/>
        <v>#REF!</v>
      </c>
      <c r="G91" s="205"/>
      <c r="H91" s="198">
        <v>5.9</v>
      </c>
      <c r="I91" s="151">
        <v>1.9</v>
      </c>
      <c r="J91" s="209" t="e">
        <f t="shared" si="24"/>
        <v>#REF!</v>
      </c>
      <c r="K91" s="152" t="e">
        <f t="shared" si="22"/>
        <v>#REF!</v>
      </c>
    </row>
    <row r="92" spans="1:11">
      <c r="A92" s="147"/>
      <c r="B92" s="7" t="s">
        <v>16</v>
      </c>
      <c r="C92" s="53">
        <v>9.4</v>
      </c>
      <c r="D92" s="53">
        <v>3.3</v>
      </c>
      <c r="E92" s="209" t="e">
        <f t="shared" si="23"/>
        <v>#REF!</v>
      </c>
      <c r="F92" s="189" t="e">
        <f t="shared" si="21"/>
        <v>#REF!</v>
      </c>
      <c r="G92" s="205"/>
      <c r="H92" s="198">
        <v>10.6</v>
      </c>
      <c r="I92" s="151">
        <v>2.5</v>
      </c>
      <c r="J92" s="209" t="e">
        <f t="shared" si="24"/>
        <v>#REF!</v>
      </c>
      <c r="K92" s="152" t="e">
        <f t="shared" si="22"/>
        <v>#REF!</v>
      </c>
    </row>
    <row r="93" spans="1:11">
      <c r="A93" s="147"/>
      <c r="B93" s="7" t="s">
        <v>17</v>
      </c>
      <c r="C93" s="53">
        <v>12.2</v>
      </c>
      <c r="D93" s="53">
        <v>2.6</v>
      </c>
      <c r="E93" s="209" t="e">
        <f t="shared" si="23"/>
        <v>#REF!</v>
      </c>
      <c r="F93" s="189" t="e">
        <f t="shared" si="21"/>
        <v>#REF!</v>
      </c>
      <c r="G93" s="205"/>
      <c r="H93" s="198">
        <v>13</v>
      </c>
      <c r="I93" s="151">
        <v>2.2000000000000002</v>
      </c>
      <c r="J93" s="209" t="e">
        <f t="shared" si="24"/>
        <v>#REF!</v>
      </c>
      <c r="K93" s="152" t="e">
        <f t="shared" si="22"/>
        <v>#REF!</v>
      </c>
    </row>
    <row r="94" spans="1:11">
      <c r="A94" s="147" t="s">
        <v>21</v>
      </c>
      <c r="B94" s="7" t="s">
        <v>44</v>
      </c>
      <c r="C94" s="53">
        <v>12.8</v>
      </c>
      <c r="D94" s="53">
        <v>3.9</v>
      </c>
      <c r="E94" s="209" t="e">
        <f t="shared" si="23"/>
        <v>#REF!</v>
      </c>
      <c r="F94" s="189" t="e">
        <f t="shared" ref="F94:F99" si="25">+(E94-C94)/D94</f>
        <v>#REF!</v>
      </c>
      <c r="G94" s="205"/>
      <c r="H94" s="196">
        <v>14.8</v>
      </c>
      <c r="I94" s="53">
        <v>2.6</v>
      </c>
      <c r="J94" s="209" t="e">
        <f t="shared" si="24"/>
        <v>#REF!</v>
      </c>
      <c r="K94" s="152" t="e">
        <f t="shared" ref="K94:K99" si="26">+(J94-H94)/I94</f>
        <v>#REF!</v>
      </c>
    </row>
    <row r="95" spans="1:11">
      <c r="A95" s="147" t="s">
        <v>21</v>
      </c>
      <c r="B95" s="54" t="s">
        <v>45</v>
      </c>
      <c r="C95" s="53">
        <v>16.3</v>
      </c>
      <c r="D95" s="53">
        <v>6.1</v>
      </c>
      <c r="E95" s="209" t="e">
        <f t="shared" si="23"/>
        <v>#REF!</v>
      </c>
      <c r="F95" s="189" t="e">
        <f t="shared" si="25"/>
        <v>#REF!</v>
      </c>
      <c r="G95" s="205"/>
      <c r="H95" s="196">
        <v>19</v>
      </c>
      <c r="I95" s="53">
        <v>4.7</v>
      </c>
      <c r="J95" s="209" t="e">
        <f t="shared" si="24"/>
        <v>#REF!</v>
      </c>
      <c r="K95" s="152" t="e">
        <f t="shared" si="26"/>
        <v>#REF!</v>
      </c>
    </row>
    <row r="96" spans="1:11">
      <c r="A96" s="147" t="s">
        <v>21</v>
      </c>
      <c r="B96" s="7" t="s">
        <v>46</v>
      </c>
      <c r="C96" s="53">
        <v>18.100000000000001</v>
      </c>
      <c r="D96" s="53">
        <v>6.2</v>
      </c>
      <c r="E96" s="209" t="e">
        <f t="shared" si="23"/>
        <v>#REF!</v>
      </c>
      <c r="F96" s="189" t="e">
        <f t="shared" si="25"/>
        <v>#REF!</v>
      </c>
      <c r="G96" s="205"/>
      <c r="H96" s="196">
        <v>17.100000000000001</v>
      </c>
      <c r="I96" s="53">
        <v>4.0999999999999996</v>
      </c>
      <c r="J96" s="209" t="e">
        <f t="shared" si="24"/>
        <v>#REF!</v>
      </c>
      <c r="K96" s="152" t="e">
        <f t="shared" si="26"/>
        <v>#REF!</v>
      </c>
    </row>
    <row r="97" spans="1:11">
      <c r="A97" s="147" t="s">
        <v>22</v>
      </c>
      <c r="B97" s="7" t="s">
        <v>44</v>
      </c>
      <c r="C97" s="53">
        <v>16.5</v>
      </c>
      <c r="D97" s="53">
        <v>2.8</v>
      </c>
      <c r="E97" s="209" t="e">
        <f t="shared" si="23"/>
        <v>#REF!</v>
      </c>
      <c r="F97" s="189" t="e">
        <f>+((E97-C97)/D97)</f>
        <v>#REF!</v>
      </c>
      <c r="G97" s="205"/>
      <c r="H97" s="196">
        <v>18.7</v>
      </c>
      <c r="I97" s="53">
        <v>3</v>
      </c>
      <c r="J97" s="209" t="e">
        <f t="shared" si="24"/>
        <v>#REF!</v>
      </c>
      <c r="K97" s="152" t="e">
        <f>+((J97-H97)/I97)</f>
        <v>#REF!</v>
      </c>
    </row>
    <row r="98" spans="1:11">
      <c r="A98" s="147" t="s">
        <v>22</v>
      </c>
      <c r="B98" s="54" t="s">
        <v>45</v>
      </c>
      <c r="C98" s="53">
        <v>20.9</v>
      </c>
      <c r="D98" s="53">
        <v>5.6</v>
      </c>
      <c r="E98" s="209" t="e">
        <f t="shared" si="23"/>
        <v>#REF!</v>
      </c>
      <c r="F98" s="189" t="e">
        <f t="shared" si="25"/>
        <v>#REF!</v>
      </c>
      <c r="G98" s="205"/>
      <c r="H98" s="196">
        <v>22.4</v>
      </c>
      <c r="I98" s="53">
        <v>4.7</v>
      </c>
      <c r="J98" s="209" t="e">
        <f t="shared" si="24"/>
        <v>#REF!</v>
      </c>
      <c r="K98" s="152" t="e">
        <f t="shared" si="26"/>
        <v>#REF!</v>
      </c>
    </row>
    <row r="99" spans="1:11">
      <c r="A99" s="147" t="s">
        <v>22</v>
      </c>
      <c r="B99" s="7" t="s">
        <v>46</v>
      </c>
      <c r="C99" s="53">
        <v>23.8</v>
      </c>
      <c r="D99" s="53">
        <v>6.2</v>
      </c>
      <c r="E99" s="209" t="e">
        <f t="shared" si="23"/>
        <v>#REF!</v>
      </c>
      <c r="F99" s="189" t="e">
        <f t="shared" si="25"/>
        <v>#REF!</v>
      </c>
      <c r="G99" s="205"/>
      <c r="H99" s="196">
        <v>22.4</v>
      </c>
      <c r="I99" s="53">
        <v>4.8</v>
      </c>
      <c r="J99" s="209" t="e">
        <f t="shared" si="24"/>
        <v>#REF!</v>
      </c>
      <c r="K99" s="152" t="e">
        <f t="shared" si="26"/>
        <v>#REF!</v>
      </c>
    </row>
    <row r="100" spans="1:11">
      <c r="A100" s="147" t="s">
        <v>23</v>
      </c>
      <c r="B100" s="7" t="s">
        <v>24</v>
      </c>
      <c r="C100" s="49">
        <v>30.7</v>
      </c>
      <c r="D100" s="49">
        <v>8.8000000000000007</v>
      </c>
      <c r="E100" s="209" t="e">
        <f t="shared" si="23"/>
        <v>#REF!</v>
      </c>
      <c r="F100" s="189" t="e">
        <f>-(+(E100-C100)/D100)</f>
        <v>#REF!</v>
      </c>
      <c r="G100" s="205"/>
      <c r="H100" s="198">
        <v>30.7</v>
      </c>
      <c r="I100" s="151">
        <v>8.8000000000000007</v>
      </c>
      <c r="J100" s="209" t="e">
        <f t="shared" si="24"/>
        <v>#REF!</v>
      </c>
      <c r="K100" s="152" t="e">
        <f>-(+(J100-H100)/I100)</f>
        <v>#REF!</v>
      </c>
    </row>
    <row r="101" spans="1:11">
      <c r="A101" s="147"/>
      <c r="B101" s="7" t="s">
        <v>25</v>
      </c>
      <c r="C101" s="49">
        <v>64.400000000000006</v>
      </c>
      <c r="D101" s="49">
        <v>18.3</v>
      </c>
      <c r="E101" s="209" t="e">
        <f t="shared" si="23"/>
        <v>#REF!</v>
      </c>
      <c r="F101" s="189" t="e">
        <f>-(+(E101-C101)/D101)</f>
        <v>#REF!</v>
      </c>
      <c r="G101" s="205"/>
      <c r="H101" s="198">
        <v>64.400000000000006</v>
      </c>
      <c r="I101" s="151">
        <v>18.3</v>
      </c>
      <c r="J101" s="209" t="e">
        <f t="shared" si="24"/>
        <v>#REF!</v>
      </c>
      <c r="K101" s="152" t="e">
        <f>-(+(J101-H101)/I101)</f>
        <v>#REF!</v>
      </c>
    </row>
    <row r="102" spans="1:11">
      <c r="A102" s="147" t="s">
        <v>26</v>
      </c>
      <c r="B102" s="7" t="s">
        <v>15</v>
      </c>
      <c r="C102" s="49">
        <v>32.31</v>
      </c>
      <c r="D102" s="49">
        <v>2.67</v>
      </c>
      <c r="E102" s="209" t="e">
        <f t="shared" si="23"/>
        <v>#REF!</v>
      </c>
      <c r="F102" s="189" t="e">
        <f t="shared" ref="F102:F106" si="27">+(E102-C102)/D102</f>
        <v>#REF!</v>
      </c>
      <c r="G102" s="205"/>
      <c r="H102" s="198">
        <v>32.31</v>
      </c>
      <c r="I102" s="151">
        <v>2.67</v>
      </c>
      <c r="J102" s="209" t="e">
        <f t="shared" si="24"/>
        <v>#REF!</v>
      </c>
      <c r="K102" s="152" t="e">
        <f t="shared" ref="K102:K106" si="28">+(J102-H102)/I102</f>
        <v>#REF!</v>
      </c>
    </row>
    <row r="103" spans="1:11">
      <c r="A103" s="147"/>
      <c r="B103" s="7" t="s">
        <v>16</v>
      </c>
      <c r="C103" s="49">
        <v>16.559999999999999</v>
      </c>
      <c r="D103" s="49">
        <v>6.69</v>
      </c>
      <c r="E103" s="209" t="e">
        <f t="shared" si="23"/>
        <v>#REF!</v>
      </c>
      <c r="F103" s="189" t="e">
        <f t="shared" si="27"/>
        <v>#REF!</v>
      </c>
      <c r="G103" s="205"/>
      <c r="H103" s="198">
        <v>16.559999999999999</v>
      </c>
      <c r="I103" s="151">
        <v>6.69</v>
      </c>
      <c r="J103" s="209" t="e">
        <f t="shared" si="24"/>
        <v>#REF!</v>
      </c>
      <c r="K103" s="152" t="e">
        <f t="shared" si="28"/>
        <v>#REF!</v>
      </c>
    </row>
    <row r="104" spans="1:11">
      <c r="A104" s="147"/>
      <c r="B104" s="7" t="s">
        <v>17</v>
      </c>
      <c r="C104" s="49">
        <v>21</v>
      </c>
      <c r="D104" s="49">
        <v>1.5</v>
      </c>
      <c r="E104" s="209" t="e">
        <f t="shared" si="23"/>
        <v>#REF!</v>
      </c>
      <c r="F104" s="189" t="e">
        <f t="shared" si="27"/>
        <v>#REF!</v>
      </c>
      <c r="G104" s="205"/>
      <c r="H104" s="198">
        <v>21</v>
      </c>
      <c r="I104" s="151">
        <v>1.5</v>
      </c>
      <c r="J104" s="209" t="e">
        <f t="shared" si="24"/>
        <v>#REF!</v>
      </c>
      <c r="K104" s="152" t="e">
        <f t="shared" si="28"/>
        <v>#REF!</v>
      </c>
    </row>
    <row r="105" spans="1:11">
      <c r="A105" s="147" t="s">
        <v>27</v>
      </c>
      <c r="B105" s="7" t="s">
        <v>28</v>
      </c>
      <c r="C105" s="53">
        <v>6.57</v>
      </c>
      <c r="D105" s="53">
        <v>1.38</v>
      </c>
      <c r="E105" s="209" t="e">
        <f t="shared" si="23"/>
        <v>#REF!</v>
      </c>
      <c r="F105" s="189" t="e">
        <f t="shared" si="27"/>
        <v>#REF!</v>
      </c>
      <c r="G105" s="205"/>
      <c r="H105" s="198">
        <v>6.57</v>
      </c>
      <c r="I105" s="151">
        <v>1.38</v>
      </c>
      <c r="J105" s="209" t="e">
        <f t="shared" si="24"/>
        <v>#REF!</v>
      </c>
      <c r="K105" s="152" t="e">
        <f t="shared" si="28"/>
        <v>#REF!</v>
      </c>
    </row>
    <row r="106" spans="1:11">
      <c r="A106" s="147"/>
      <c r="B106" s="56" t="s">
        <v>29</v>
      </c>
      <c r="C106" s="57">
        <v>4.79</v>
      </c>
      <c r="D106" s="57">
        <v>1.42</v>
      </c>
      <c r="E106" s="209" t="e">
        <f t="shared" si="23"/>
        <v>#REF!</v>
      </c>
      <c r="F106" s="190" t="e">
        <f t="shared" si="27"/>
        <v>#REF!</v>
      </c>
      <c r="G106" s="205"/>
      <c r="H106" s="198">
        <v>4.79</v>
      </c>
      <c r="I106" s="151">
        <v>1.42</v>
      </c>
      <c r="J106" s="209" t="e">
        <f t="shared" si="24"/>
        <v>#REF!</v>
      </c>
      <c r="K106" s="153" t="e">
        <f t="shared" si="28"/>
        <v>#REF!</v>
      </c>
    </row>
    <row r="107" spans="1:11">
      <c r="A107" s="147" t="s">
        <v>34</v>
      </c>
      <c r="B107" s="7" t="s">
        <v>39</v>
      </c>
      <c r="C107" s="57">
        <v>0.76</v>
      </c>
      <c r="D107" s="57">
        <v>0.48</v>
      </c>
      <c r="E107" s="209" t="e">
        <f t="shared" si="23"/>
        <v>#REF!</v>
      </c>
      <c r="F107" s="189" t="e">
        <f>-(((E107/15)-(C107))/D107)</f>
        <v>#REF!</v>
      </c>
      <c r="G107" s="205"/>
      <c r="H107" s="198">
        <v>0.76</v>
      </c>
      <c r="I107" s="151">
        <v>0.55000000000000004</v>
      </c>
      <c r="J107" s="209" t="e">
        <f t="shared" si="24"/>
        <v>#REF!</v>
      </c>
      <c r="K107" s="152" t="e">
        <f>-(((J107/15)-(H107))/I107)</f>
        <v>#REF!</v>
      </c>
    </row>
    <row r="108" spans="1:11">
      <c r="A108" s="147" t="s">
        <v>34</v>
      </c>
      <c r="B108" s="7" t="s">
        <v>40</v>
      </c>
      <c r="C108" s="53">
        <v>0.55000000000000004</v>
      </c>
      <c r="D108" s="53">
        <v>0.33</v>
      </c>
      <c r="E108" s="209" t="e">
        <f t="shared" si="23"/>
        <v>#REF!</v>
      </c>
      <c r="F108" s="189" t="e">
        <f>-(((E108/15)-(C108))/D108)</f>
        <v>#REF!</v>
      </c>
      <c r="G108" s="205"/>
      <c r="H108" s="198">
        <v>0.55000000000000004</v>
      </c>
      <c r="I108" s="151">
        <v>0.33</v>
      </c>
      <c r="J108" s="209" t="e">
        <f t="shared" si="24"/>
        <v>#REF!</v>
      </c>
      <c r="K108" s="152" t="e">
        <f>-(((J108/15)-(H108))/I108)</f>
        <v>#REF!</v>
      </c>
    </row>
    <row r="109" spans="1:11">
      <c r="A109" s="147" t="s">
        <v>35</v>
      </c>
      <c r="B109" s="60" t="s">
        <v>36</v>
      </c>
      <c r="C109" s="53">
        <v>5.34</v>
      </c>
      <c r="D109" s="53">
        <v>1.32</v>
      </c>
      <c r="E109" s="209" t="e">
        <f t="shared" si="23"/>
        <v>#REF!</v>
      </c>
      <c r="F109" s="185" t="e">
        <f>+(E109-C109)/D109</f>
        <v>#REF!</v>
      </c>
      <c r="G109" s="204"/>
      <c r="H109" s="196">
        <v>5.34</v>
      </c>
      <c r="I109" s="53">
        <v>1.32</v>
      </c>
      <c r="J109" s="209" t="e">
        <f t="shared" si="24"/>
        <v>#REF!</v>
      </c>
      <c r="K109" s="49" t="e">
        <f>+(J109-H109)/I109</f>
        <v>#REF!</v>
      </c>
    </row>
    <row r="110" spans="1:11">
      <c r="A110" s="147" t="s">
        <v>35</v>
      </c>
      <c r="B110" s="60" t="s">
        <v>37</v>
      </c>
      <c r="C110" s="53">
        <v>5.34</v>
      </c>
      <c r="D110" s="53">
        <v>1.32</v>
      </c>
      <c r="E110" s="209" t="e">
        <f t="shared" si="23"/>
        <v>#REF!</v>
      </c>
      <c r="F110" s="185" t="e">
        <f>+(E110-C110)/D110</f>
        <v>#REF!</v>
      </c>
      <c r="G110" s="204"/>
      <c r="H110" s="196">
        <v>5.34</v>
      </c>
      <c r="I110" s="53">
        <v>1.32</v>
      </c>
      <c r="J110" s="209" t="e">
        <f t="shared" si="24"/>
        <v>#REF!</v>
      </c>
      <c r="K110" s="49" t="e">
        <f>+(J110-H110)/I110</f>
        <v>#REF!</v>
      </c>
    </row>
    <row r="111" spans="1:11">
      <c r="A111" s="147" t="s">
        <v>35</v>
      </c>
      <c r="B111" s="60" t="s">
        <v>38</v>
      </c>
      <c r="C111" s="53">
        <v>5.34</v>
      </c>
      <c r="D111" s="53">
        <v>1.32</v>
      </c>
      <c r="E111" s="209" t="e">
        <f t="shared" si="23"/>
        <v>#REF!</v>
      </c>
      <c r="F111" s="185" t="e">
        <f>+(E111-C111)/D111</f>
        <v>#REF!</v>
      </c>
      <c r="G111" s="204"/>
      <c r="H111" s="196">
        <v>5.34</v>
      </c>
      <c r="I111" s="53">
        <v>1.32</v>
      </c>
      <c r="J111" s="209" t="e">
        <f t="shared" si="24"/>
        <v>#REF!</v>
      </c>
      <c r="K111" s="49" t="e">
        <f>+(J111-H111)/I111</f>
        <v>#REF!</v>
      </c>
    </row>
    <row r="113" spans="1:11">
      <c r="A113" s="377" t="s">
        <v>556</v>
      </c>
      <c r="B113" s="377"/>
      <c r="C113" s="377"/>
      <c r="D113" s="377"/>
      <c r="E113" s="377"/>
      <c r="F113" s="377"/>
      <c r="G113" s="179"/>
      <c r="H113" s="376"/>
      <c r="I113" s="376"/>
      <c r="J113" s="376"/>
      <c r="K113" s="376"/>
    </row>
    <row r="114" spans="1:11">
      <c r="A114" s="144" t="s">
        <v>0</v>
      </c>
      <c r="B114" s="154"/>
      <c r="C114" s="154" t="s">
        <v>1</v>
      </c>
      <c r="D114" s="154" t="s">
        <v>2</v>
      </c>
      <c r="E114" s="154" t="s">
        <v>3</v>
      </c>
      <c r="F114" s="191" t="s">
        <v>4</v>
      </c>
      <c r="G114" s="183"/>
      <c r="H114" s="195" t="s">
        <v>1</v>
      </c>
      <c r="I114" s="145" t="s">
        <v>2</v>
      </c>
      <c r="J114" s="145" t="s">
        <v>549</v>
      </c>
      <c r="K114" s="146" t="s">
        <v>4</v>
      </c>
    </row>
    <row r="115" spans="1:11">
      <c r="A115" s="147" t="s">
        <v>14</v>
      </c>
      <c r="B115" s="155" t="s">
        <v>15</v>
      </c>
      <c r="C115" s="156">
        <v>23.44</v>
      </c>
      <c r="D115" s="156">
        <v>5.01</v>
      </c>
      <c r="E115" s="209" t="e">
        <f>E3</f>
        <v>#REF!</v>
      </c>
      <c r="F115" s="185" t="e">
        <f>+(E115-C115)/D115</f>
        <v>#REF!</v>
      </c>
      <c r="G115" s="206"/>
      <c r="H115" s="198">
        <v>23.44</v>
      </c>
      <c r="I115" s="151">
        <v>5.01</v>
      </c>
      <c r="J115" s="209" t="e">
        <f>E3</f>
        <v>#REF!</v>
      </c>
      <c r="K115" s="49" t="e">
        <f>+(J115-H115)/I115</f>
        <v>#REF!</v>
      </c>
    </row>
    <row r="116" spans="1:11">
      <c r="A116" s="147"/>
      <c r="B116" s="155" t="s">
        <v>154</v>
      </c>
      <c r="C116" s="156">
        <v>21.07</v>
      </c>
      <c r="D116" s="156">
        <v>5.91</v>
      </c>
      <c r="E116" s="209" t="e">
        <f t="shared" ref="E116:E139" si="29">E4</f>
        <v>#REF!</v>
      </c>
      <c r="F116" s="185" t="e">
        <f t="shared" ref="F116:F139" si="30">+(E116-C116)/D116</f>
        <v>#REF!</v>
      </c>
      <c r="G116" s="206"/>
      <c r="H116" s="198">
        <v>21.07</v>
      </c>
      <c r="I116" s="151">
        <v>5.91</v>
      </c>
      <c r="J116" s="209" t="e">
        <f t="shared" ref="J116:J139" si="31">E4</f>
        <v>#REF!</v>
      </c>
      <c r="K116" s="49" t="e">
        <f t="shared" ref="K116:K121" si="32">+(J116-H116)/I116</f>
        <v>#REF!</v>
      </c>
    </row>
    <row r="117" spans="1:11">
      <c r="A117" s="147" t="s">
        <v>18</v>
      </c>
      <c r="B117" s="155" t="s">
        <v>19</v>
      </c>
      <c r="C117" s="158">
        <v>6.2</v>
      </c>
      <c r="D117" s="158">
        <v>1.6</v>
      </c>
      <c r="E117" s="209" t="e">
        <f t="shared" si="29"/>
        <v>#REF!</v>
      </c>
      <c r="F117" s="185" t="e">
        <f t="shared" si="30"/>
        <v>#REF!</v>
      </c>
      <c r="G117" s="206"/>
      <c r="H117" s="198">
        <v>6.6</v>
      </c>
      <c r="I117" s="151">
        <v>1.5</v>
      </c>
      <c r="J117" s="209" t="e">
        <f t="shared" si="31"/>
        <v>#REF!</v>
      </c>
      <c r="K117" s="49" t="e">
        <f t="shared" si="32"/>
        <v>#REF!</v>
      </c>
    </row>
    <row r="118" spans="1:11">
      <c r="A118" s="147"/>
      <c r="B118" s="155" t="s">
        <v>15</v>
      </c>
      <c r="C118" s="158">
        <v>47.4</v>
      </c>
      <c r="D118" s="158">
        <v>8.8000000000000007</v>
      </c>
      <c r="E118" s="209" t="e">
        <f t="shared" si="29"/>
        <v>#REF!</v>
      </c>
      <c r="F118" s="185" t="e">
        <f t="shared" si="30"/>
        <v>#REF!</v>
      </c>
      <c r="G118" s="206"/>
      <c r="H118" s="198">
        <v>50.6</v>
      </c>
      <c r="I118" s="151">
        <v>7.1</v>
      </c>
      <c r="J118" s="209" t="e">
        <f t="shared" si="31"/>
        <v>#REF!</v>
      </c>
      <c r="K118" s="49" t="e">
        <f t="shared" si="32"/>
        <v>#REF!</v>
      </c>
    </row>
    <row r="119" spans="1:11">
      <c r="A119" s="147"/>
      <c r="B119" s="155" t="s">
        <v>20</v>
      </c>
      <c r="C119" s="158">
        <v>5.9</v>
      </c>
      <c r="D119" s="158">
        <v>1.7</v>
      </c>
      <c r="E119" s="209" t="e">
        <f t="shared" si="29"/>
        <v>#REF!</v>
      </c>
      <c r="F119" s="185" t="e">
        <f t="shared" si="30"/>
        <v>#REF!</v>
      </c>
      <c r="G119" s="206"/>
      <c r="H119" s="198">
        <v>5.9</v>
      </c>
      <c r="I119" s="151">
        <v>1.9</v>
      </c>
      <c r="J119" s="209" t="e">
        <f t="shared" si="31"/>
        <v>#REF!</v>
      </c>
      <c r="K119" s="49" t="e">
        <f t="shared" si="32"/>
        <v>#REF!</v>
      </c>
    </row>
    <row r="120" spans="1:11">
      <c r="A120" s="147"/>
      <c r="B120" s="155" t="s">
        <v>16</v>
      </c>
      <c r="C120" s="158">
        <v>9.4</v>
      </c>
      <c r="D120" s="158">
        <v>3.3</v>
      </c>
      <c r="E120" s="209" t="e">
        <f t="shared" si="29"/>
        <v>#REF!</v>
      </c>
      <c r="F120" s="185" t="e">
        <f t="shared" si="30"/>
        <v>#REF!</v>
      </c>
      <c r="G120" s="206"/>
      <c r="H120" s="198">
        <v>10.6</v>
      </c>
      <c r="I120" s="151">
        <v>2.5</v>
      </c>
      <c r="J120" s="209" t="e">
        <f t="shared" si="31"/>
        <v>#REF!</v>
      </c>
      <c r="K120" s="49" t="e">
        <f t="shared" si="32"/>
        <v>#REF!</v>
      </c>
    </row>
    <row r="121" spans="1:11">
      <c r="A121" s="147"/>
      <c r="B121" s="155" t="s">
        <v>17</v>
      </c>
      <c r="C121" s="158">
        <v>12.2</v>
      </c>
      <c r="D121" s="158">
        <v>2.6</v>
      </c>
      <c r="E121" s="209" t="e">
        <f t="shared" si="29"/>
        <v>#REF!</v>
      </c>
      <c r="F121" s="185" t="e">
        <f t="shared" si="30"/>
        <v>#REF!</v>
      </c>
      <c r="G121" s="206"/>
      <c r="H121" s="198">
        <v>13</v>
      </c>
      <c r="I121" s="151">
        <v>2.2000000000000002</v>
      </c>
      <c r="J121" s="209" t="e">
        <f t="shared" si="31"/>
        <v>#REF!</v>
      </c>
      <c r="K121" s="49" t="e">
        <f t="shared" si="32"/>
        <v>#REF!</v>
      </c>
    </row>
    <row r="122" spans="1:11">
      <c r="A122" s="147" t="s">
        <v>21</v>
      </c>
      <c r="B122" s="159" t="s">
        <v>44</v>
      </c>
      <c r="C122" s="158">
        <v>14.8</v>
      </c>
      <c r="D122" s="158">
        <v>2.6</v>
      </c>
      <c r="E122" s="209" t="e">
        <f t="shared" si="29"/>
        <v>#REF!</v>
      </c>
      <c r="F122" s="185" t="e">
        <f t="shared" si="30"/>
        <v>#REF!</v>
      </c>
      <c r="G122" s="206"/>
      <c r="H122" s="196">
        <v>14.8</v>
      </c>
      <c r="I122" s="53">
        <v>2.6</v>
      </c>
      <c r="J122" s="209" t="e">
        <f t="shared" si="31"/>
        <v>#REF!</v>
      </c>
      <c r="K122" s="49" t="e">
        <f t="shared" ref="K122:K127" si="33">+(J122-H122)/I122</f>
        <v>#REF!</v>
      </c>
    </row>
    <row r="123" spans="1:11">
      <c r="A123" s="147" t="s">
        <v>21</v>
      </c>
      <c r="B123" s="160" t="s">
        <v>45</v>
      </c>
      <c r="C123" s="158">
        <v>19</v>
      </c>
      <c r="D123" s="158">
        <v>4.7</v>
      </c>
      <c r="E123" s="209" t="e">
        <f t="shared" si="29"/>
        <v>#REF!</v>
      </c>
      <c r="F123" s="185" t="e">
        <f t="shared" si="30"/>
        <v>#REF!</v>
      </c>
      <c r="G123" s="206"/>
      <c r="H123" s="196">
        <v>19</v>
      </c>
      <c r="I123" s="53">
        <v>4.7</v>
      </c>
      <c r="J123" s="209" t="e">
        <f t="shared" si="31"/>
        <v>#REF!</v>
      </c>
      <c r="K123" s="49" t="e">
        <f t="shared" si="33"/>
        <v>#REF!</v>
      </c>
    </row>
    <row r="124" spans="1:11">
      <c r="A124" s="147" t="s">
        <v>21</v>
      </c>
      <c r="B124" s="155" t="s">
        <v>46</v>
      </c>
      <c r="C124" s="158">
        <v>17.100000000000001</v>
      </c>
      <c r="D124" s="158">
        <v>4.0999999999999996</v>
      </c>
      <c r="E124" s="209" t="e">
        <f t="shared" si="29"/>
        <v>#REF!</v>
      </c>
      <c r="F124" s="185" t="e">
        <f t="shared" si="30"/>
        <v>#REF!</v>
      </c>
      <c r="G124" s="206"/>
      <c r="H124" s="196">
        <v>17.100000000000001</v>
      </c>
      <c r="I124" s="53">
        <v>4.0999999999999996</v>
      </c>
      <c r="J124" s="209" t="e">
        <f t="shared" si="31"/>
        <v>#REF!</v>
      </c>
      <c r="K124" s="49" t="e">
        <f t="shared" si="33"/>
        <v>#REF!</v>
      </c>
    </row>
    <row r="125" spans="1:11">
      <c r="A125" s="147" t="s">
        <v>22</v>
      </c>
      <c r="B125" s="155" t="s">
        <v>44</v>
      </c>
      <c r="C125" s="158">
        <v>18.7</v>
      </c>
      <c r="D125" s="158">
        <v>3</v>
      </c>
      <c r="E125" s="209" t="e">
        <f t="shared" si="29"/>
        <v>#REF!</v>
      </c>
      <c r="F125" s="185" t="e">
        <f t="shared" si="30"/>
        <v>#REF!</v>
      </c>
      <c r="G125" s="206"/>
      <c r="H125" s="196">
        <v>18.7</v>
      </c>
      <c r="I125" s="53">
        <v>3</v>
      </c>
      <c r="J125" s="209" t="e">
        <f t="shared" si="31"/>
        <v>#REF!</v>
      </c>
      <c r="K125" s="49" t="e">
        <f>+((J125-H125)/I125)</f>
        <v>#REF!</v>
      </c>
    </row>
    <row r="126" spans="1:11">
      <c r="A126" s="147" t="s">
        <v>22</v>
      </c>
      <c r="B126" s="160" t="s">
        <v>45</v>
      </c>
      <c r="C126" s="158">
        <v>22.4</v>
      </c>
      <c r="D126" s="158">
        <v>4.7</v>
      </c>
      <c r="E126" s="209" t="e">
        <f t="shared" si="29"/>
        <v>#REF!</v>
      </c>
      <c r="F126" s="185" t="e">
        <f t="shared" si="30"/>
        <v>#REF!</v>
      </c>
      <c r="G126" s="206"/>
      <c r="H126" s="196">
        <v>22.4</v>
      </c>
      <c r="I126" s="53">
        <v>4.7</v>
      </c>
      <c r="J126" s="209" t="e">
        <f t="shared" si="31"/>
        <v>#REF!</v>
      </c>
      <c r="K126" s="49" t="e">
        <f t="shared" si="33"/>
        <v>#REF!</v>
      </c>
    </row>
    <row r="127" spans="1:11">
      <c r="A127" s="147" t="s">
        <v>22</v>
      </c>
      <c r="B127" s="155" t="s">
        <v>46</v>
      </c>
      <c r="C127" s="158">
        <v>22.4</v>
      </c>
      <c r="D127" s="158">
        <v>4.8</v>
      </c>
      <c r="E127" s="209" t="e">
        <f t="shared" si="29"/>
        <v>#REF!</v>
      </c>
      <c r="F127" s="185" t="e">
        <f t="shared" si="30"/>
        <v>#REF!</v>
      </c>
      <c r="G127" s="206"/>
      <c r="H127" s="196">
        <v>22.4</v>
      </c>
      <c r="I127" s="53">
        <v>4.8</v>
      </c>
      <c r="J127" s="209" t="e">
        <f t="shared" si="31"/>
        <v>#REF!</v>
      </c>
      <c r="K127" s="49" t="e">
        <f t="shared" si="33"/>
        <v>#REF!</v>
      </c>
    </row>
    <row r="128" spans="1:11">
      <c r="A128" s="147" t="s">
        <v>23</v>
      </c>
      <c r="B128" s="155" t="s">
        <v>24</v>
      </c>
      <c r="C128" s="156">
        <v>30.7</v>
      </c>
      <c r="D128" s="156">
        <v>8.8000000000000007</v>
      </c>
      <c r="E128" s="209" t="e">
        <f t="shared" si="29"/>
        <v>#REF!</v>
      </c>
      <c r="F128" s="185" t="e">
        <f>-(+(E128-C128)/D128)</f>
        <v>#REF!</v>
      </c>
      <c r="G128" s="206"/>
      <c r="H128" s="198">
        <v>30.7</v>
      </c>
      <c r="I128" s="151">
        <v>8.8000000000000007</v>
      </c>
      <c r="J128" s="209" t="e">
        <f t="shared" si="31"/>
        <v>#REF!</v>
      </c>
      <c r="K128" s="49" t="e">
        <f>-(+(J128-H128)/I128)</f>
        <v>#REF!</v>
      </c>
    </row>
    <row r="129" spans="1:11">
      <c r="A129" s="147"/>
      <c r="B129" s="155" t="s">
        <v>25</v>
      </c>
      <c r="C129" s="156">
        <v>64.400000000000006</v>
      </c>
      <c r="D129" s="156">
        <v>18.3</v>
      </c>
      <c r="E129" s="209" t="e">
        <f t="shared" si="29"/>
        <v>#REF!</v>
      </c>
      <c r="F129" s="185" t="e">
        <f>-(+(E129-C129)/D129)</f>
        <v>#REF!</v>
      </c>
      <c r="G129" s="206"/>
      <c r="H129" s="198">
        <v>64.400000000000006</v>
      </c>
      <c r="I129" s="151">
        <v>18.3</v>
      </c>
      <c r="J129" s="209" t="e">
        <f t="shared" si="31"/>
        <v>#REF!</v>
      </c>
      <c r="K129" s="49" t="e">
        <f>-(+(J129-H129)/I129)</f>
        <v>#REF!</v>
      </c>
    </row>
    <row r="130" spans="1:11">
      <c r="A130" s="147" t="s">
        <v>26</v>
      </c>
      <c r="B130" s="155" t="s">
        <v>15</v>
      </c>
      <c r="C130" s="156">
        <v>32.31</v>
      </c>
      <c r="D130" s="156">
        <v>2.67</v>
      </c>
      <c r="E130" s="209" t="e">
        <f t="shared" si="29"/>
        <v>#REF!</v>
      </c>
      <c r="F130" s="185" t="e">
        <f t="shared" si="30"/>
        <v>#REF!</v>
      </c>
      <c r="G130" s="206"/>
      <c r="H130" s="198">
        <v>32.31</v>
      </c>
      <c r="I130" s="151">
        <v>2.67</v>
      </c>
      <c r="J130" s="209" t="e">
        <f t="shared" si="31"/>
        <v>#REF!</v>
      </c>
      <c r="K130" s="49" t="e">
        <f t="shared" ref="K130:K134" si="34">+(J130-H130)/I130</f>
        <v>#REF!</v>
      </c>
    </row>
    <row r="131" spans="1:11">
      <c r="A131" s="147"/>
      <c r="B131" s="155" t="s">
        <v>16</v>
      </c>
      <c r="C131" s="156">
        <v>16.559999999999999</v>
      </c>
      <c r="D131" s="156">
        <v>6.69</v>
      </c>
      <c r="E131" s="209" t="e">
        <f t="shared" si="29"/>
        <v>#REF!</v>
      </c>
      <c r="F131" s="185" t="e">
        <f t="shared" si="30"/>
        <v>#REF!</v>
      </c>
      <c r="G131" s="206"/>
      <c r="H131" s="198">
        <v>16.559999999999999</v>
      </c>
      <c r="I131" s="151">
        <v>6.69</v>
      </c>
      <c r="J131" s="209" t="e">
        <f t="shared" si="31"/>
        <v>#REF!</v>
      </c>
      <c r="K131" s="49" t="e">
        <f t="shared" si="34"/>
        <v>#REF!</v>
      </c>
    </row>
    <row r="132" spans="1:11">
      <c r="A132" s="147"/>
      <c r="B132" s="155" t="s">
        <v>17</v>
      </c>
      <c r="C132" s="156">
        <v>21</v>
      </c>
      <c r="D132" s="156">
        <v>1.5</v>
      </c>
      <c r="E132" s="209" t="e">
        <f t="shared" si="29"/>
        <v>#REF!</v>
      </c>
      <c r="F132" s="185" t="e">
        <f t="shared" si="30"/>
        <v>#REF!</v>
      </c>
      <c r="G132" s="206"/>
      <c r="H132" s="198">
        <v>21</v>
      </c>
      <c r="I132" s="151">
        <v>1.5</v>
      </c>
      <c r="J132" s="209" t="e">
        <f t="shared" si="31"/>
        <v>#REF!</v>
      </c>
      <c r="K132" s="49" t="e">
        <f t="shared" si="34"/>
        <v>#REF!</v>
      </c>
    </row>
    <row r="133" spans="1:11">
      <c r="A133" s="147" t="s">
        <v>27</v>
      </c>
      <c r="B133" s="155" t="s">
        <v>28</v>
      </c>
      <c r="C133" s="158">
        <v>6.57</v>
      </c>
      <c r="D133" s="158">
        <v>1.38</v>
      </c>
      <c r="E133" s="209" t="e">
        <f t="shared" si="29"/>
        <v>#REF!</v>
      </c>
      <c r="F133" s="185" t="e">
        <f t="shared" si="30"/>
        <v>#REF!</v>
      </c>
      <c r="G133" s="206"/>
      <c r="H133" s="198">
        <v>6.57</v>
      </c>
      <c r="I133" s="151">
        <v>1.38</v>
      </c>
      <c r="J133" s="209" t="e">
        <f t="shared" si="31"/>
        <v>#REF!</v>
      </c>
      <c r="K133" s="49" t="e">
        <f t="shared" si="34"/>
        <v>#REF!</v>
      </c>
    </row>
    <row r="134" spans="1:11">
      <c r="A134" s="147"/>
      <c r="B134" s="161" t="s">
        <v>29</v>
      </c>
      <c r="C134" s="162">
        <v>4.79</v>
      </c>
      <c r="D134" s="162">
        <v>1.42</v>
      </c>
      <c r="E134" s="209" t="e">
        <f t="shared" si="29"/>
        <v>#REF!</v>
      </c>
      <c r="F134" s="185" t="e">
        <f t="shared" si="30"/>
        <v>#REF!</v>
      </c>
      <c r="G134" s="206"/>
      <c r="H134" s="198">
        <v>4.79</v>
      </c>
      <c r="I134" s="151">
        <v>1.42</v>
      </c>
      <c r="J134" s="209" t="e">
        <f t="shared" si="31"/>
        <v>#REF!</v>
      </c>
      <c r="K134" s="58" t="e">
        <f t="shared" si="34"/>
        <v>#REF!</v>
      </c>
    </row>
    <row r="135" spans="1:11">
      <c r="A135" s="147" t="s">
        <v>34</v>
      </c>
      <c r="B135" s="155" t="s">
        <v>39</v>
      </c>
      <c r="C135" s="158">
        <v>0.76</v>
      </c>
      <c r="D135" s="158">
        <v>0.48</v>
      </c>
      <c r="E135" s="209" t="e">
        <f t="shared" si="29"/>
        <v>#REF!</v>
      </c>
      <c r="F135" s="185" t="e">
        <f t="shared" si="30"/>
        <v>#REF!</v>
      </c>
      <c r="G135" s="206"/>
      <c r="H135" s="198">
        <v>0.76</v>
      </c>
      <c r="I135" s="151">
        <v>0.55000000000000004</v>
      </c>
      <c r="J135" s="209" t="e">
        <f t="shared" si="31"/>
        <v>#REF!</v>
      </c>
      <c r="K135" s="49" t="e">
        <f>-(((J135/15)-(H135))/I135)</f>
        <v>#REF!</v>
      </c>
    </row>
    <row r="136" spans="1:11">
      <c r="A136" s="147" t="s">
        <v>34</v>
      </c>
      <c r="B136" s="155" t="s">
        <v>40</v>
      </c>
      <c r="C136" s="158">
        <v>0.55000000000000004</v>
      </c>
      <c r="D136" s="158">
        <v>0.33</v>
      </c>
      <c r="E136" s="209" t="e">
        <f t="shared" si="29"/>
        <v>#REF!</v>
      </c>
      <c r="F136" s="185" t="e">
        <f t="shared" si="30"/>
        <v>#REF!</v>
      </c>
      <c r="G136" s="206"/>
      <c r="H136" s="198">
        <v>0.55000000000000004</v>
      </c>
      <c r="I136" s="151">
        <v>0.33</v>
      </c>
      <c r="J136" s="209" t="e">
        <f t="shared" si="31"/>
        <v>#REF!</v>
      </c>
      <c r="K136" s="49" t="e">
        <f>-(((J136/15)-(H136))/I136)</f>
        <v>#REF!</v>
      </c>
    </row>
    <row r="137" spans="1:11">
      <c r="A137" s="147" t="s">
        <v>35</v>
      </c>
      <c r="B137" s="163" t="s">
        <v>36</v>
      </c>
      <c r="C137" s="158">
        <v>5.34</v>
      </c>
      <c r="D137" s="158">
        <v>1.32</v>
      </c>
      <c r="E137" s="209" t="e">
        <f t="shared" si="29"/>
        <v>#REF!</v>
      </c>
      <c r="F137" s="185" t="e">
        <f t="shared" si="30"/>
        <v>#REF!</v>
      </c>
      <c r="G137" s="206"/>
      <c r="H137" s="196">
        <v>5.34</v>
      </c>
      <c r="I137" s="53">
        <v>1.32</v>
      </c>
      <c r="J137" s="209" t="e">
        <f t="shared" si="31"/>
        <v>#REF!</v>
      </c>
      <c r="K137" s="49" t="e">
        <f>+(J137-H137)/I137</f>
        <v>#REF!</v>
      </c>
    </row>
    <row r="138" spans="1:11">
      <c r="A138" s="147" t="s">
        <v>35</v>
      </c>
      <c r="B138" s="163" t="s">
        <v>37</v>
      </c>
      <c r="C138" s="158">
        <v>5.34</v>
      </c>
      <c r="D138" s="158">
        <v>1.32</v>
      </c>
      <c r="E138" s="209" t="e">
        <f t="shared" si="29"/>
        <v>#REF!</v>
      </c>
      <c r="F138" s="185" t="e">
        <f t="shared" si="30"/>
        <v>#REF!</v>
      </c>
      <c r="G138" s="206"/>
      <c r="H138" s="196">
        <v>5.34</v>
      </c>
      <c r="I138" s="53">
        <v>1.32</v>
      </c>
      <c r="J138" s="209" t="e">
        <f t="shared" si="31"/>
        <v>#REF!</v>
      </c>
      <c r="K138" s="49" t="e">
        <f>+(J138-H138)/I138</f>
        <v>#REF!</v>
      </c>
    </row>
    <row r="139" spans="1:11">
      <c r="A139" s="147" t="s">
        <v>35</v>
      </c>
      <c r="B139" s="163" t="s">
        <v>38</v>
      </c>
      <c r="C139" s="158">
        <v>5.34</v>
      </c>
      <c r="D139" s="158">
        <v>1.32</v>
      </c>
      <c r="E139" s="209" t="e">
        <f t="shared" si="29"/>
        <v>#REF!</v>
      </c>
      <c r="F139" s="185" t="e">
        <f t="shared" si="30"/>
        <v>#REF!</v>
      </c>
      <c r="G139" s="206"/>
      <c r="H139" s="196">
        <v>5.34</v>
      </c>
      <c r="I139" s="53">
        <v>1.32</v>
      </c>
      <c r="J139" s="209" t="e">
        <f t="shared" si="31"/>
        <v>#REF!</v>
      </c>
      <c r="K139" s="49" t="e">
        <f>+(J139-H139)/I139</f>
        <v>#REF!</v>
      </c>
    </row>
    <row r="141" spans="1:11">
      <c r="A141" s="377" t="s">
        <v>557</v>
      </c>
      <c r="B141" s="377"/>
      <c r="C141" s="377"/>
      <c r="D141" s="377"/>
      <c r="E141" s="377"/>
      <c r="F141" s="377"/>
      <c r="G141" s="179"/>
      <c r="H141" s="376"/>
      <c r="I141" s="376"/>
      <c r="J141" s="376"/>
      <c r="K141" s="376"/>
    </row>
    <row r="142" spans="1:11">
      <c r="A142" s="144" t="s">
        <v>0</v>
      </c>
      <c r="B142" s="145"/>
      <c r="C142" s="145" t="s">
        <v>1</v>
      </c>
      <c r="D142" s="145" t="s">
        <v>2</v>
      </c>
      <c r="E142" s="145" t="s">
        <v>3</v>
      </c>
      <c r="F142" s="184" t="s">
        <v>4</v>
      </c>
      <c r="G142" s="180"/>
      <c r="H142" s="195" t="s">
        <v>1</v>
      </c>
      <c r="I142" s="145" t="s">
        <v>2</v>
      </c>
      <c r="J142" s="145" t="s">
        <v>549</v>
      </c>
      <c r="K142" s="146" t="s">
        <v>4</v>
      </c>
    </row>
    <row r="143" spans="1:11">
      <c r="A143" s="147" t="s">
        <v>14</v>
      </c>
      <c r="B143" s="7" t="s">
        <v>15</v>
      </c>
      <c r="C143" s="53">
        <v>23.63</v>
      </c>
      <c r="D143" s="53">
        <v>6.14</v>
      </c>
      <c r="E143" s="209" t="e">
        <f>E3</f>
        <v>#REF!</v>
      </c>
      <c r="F143" s="185" t="e">
        <f>+(E143-C143)/D143</f>
        <v>#REF!</v>
      </c>
      <c r="G143" s="204"/>
      <c r="H143" s="196">
        <v>23.63</v>
      </c>
      <c r="I143" s="53">
        <v>6.14</v>
      </c>
      <c r="J143" s="209" t="e">
        <f>E3</f>
        <v>#REF!</v>
      </c>
      <c r="K143" s="49" t="e">
        <f t="shared" ref="K143:K152" si="35">+(J143-H143)/I143</f>
        <v>#REF!</v>
      </c>
    </row>
    <row r="144" spans="1:11">
      <c r="A144" s="147"/>
      <c r="B144" s="7" t="s">
        <v>154</v>
      </c>
      <c r="C144" s="53">
        <v>20.13</v>
      </c>
      <c r="D144" s="53">
        <v>6.48</v>
      </c>
      <c r="E144" s="209" t="e">
        <f t="shared" ref="E144:E167" si="36">E4</f>
        <v>#REF!</v>
      </c>
      <c r="F144" s="185" t="e">
        <f t="shared" ref="F144:F152" si="37">+(E144-C144)/D144</f>
        <v>#REF!</v>
      </c>
      <c r="G144" s="204"/>
      <c r="H144" s="196">
        <v>20.13</v>
      </c>
      <c r="I144" s="53">
        <v>6.48</v>
      </c>
      <c r="J144" s="209" t="e">
        <f t="shared" ref="J144:J167" si="38">E4</f>
        <v>#REF!</v>
      </c>
      <c r="K144" s="49" t="e">
        <f t="shared" si="35"/>
        <v>#REF!</v>
      </c>
    </row>
    <row r="145" spans="1:11">
      <c r="A145" s="147" t="s">
        <v>18</v>
      </c>
      <c r="B145" s="7" t="s">
        <v>19</v>
      </c>
      <c r="C145" s="53">
        <v>6.3</v>
      </c>
      <c r="D145" s="53">
        <v>1.5</v>
      </c>
      <c r="E145" s="209" t="e">
        <f t="shared" si="36"/>
        <v>#REF!</v>
      </c>
      <c r="F145" s="185" t="e">
        <f t="shared" si="37"/>
        <v>#REF!</v>
      </c>
      <c r="G145" s="204"/>
      <c r="H145" s="196">
        <v>6.3</v>
      </c>
      <c r="I145" s="53">
        <v>2</v>
      </c>
      <c r="J145" s="209" t="e">
        <f t="shared" si="38"/>
        <v>#REF!</v>
      </c>
      <c r="K145" s="49" t="e">
        <f t="shared" si="35"/>
        <v>#REF!</v>
      </c>
    </row>
    <row r="146" spans="1:11">
      <c r="A146" s="147"/>
      <c r="B146" s="7" t="s">
        <v>15</v>
      </c>
      <c r="C146" s="53">
        <v>46.4</v>
      </c>
      <c r="D146" s="53">
        <v>7.6</v>
      </c>
      <c r="E146" s="209" t="e">
        <f t="shared" si="36"/>
        <v>#REF!</v>
      </c>
      <c r="F146" s="185" t="e">
        <f t="shared" si="37"/>
        <v>#REF!</v>
      </c>
      <c r="G146" s="204"/>
      <c r="H146" s="196">
        <v>48.5</v>
      </c>
      <c r="I146" s="53">
        <v>8.4</v>
      </c>
      <c r="J146" s="209" t="e">
        <f t="shared" si="38"/>
        <v>#REF!</v>
      </c>
      <c r="K146" s="49" t="e">
        <f t="shared" si="35"/>
        <v>#REF!</v>
      </c>
    </row>
    <row r="147" spans="1:11">
      <c r="A147" s="147"/>
      <c r="B147" s="7" t="s">
        <v>20</v>
      </c>
      <c r="C147" s="53">
        <v>5.4</v>
      </c>
      <c r="D147" s="53">
        <v>1.8</v>
      </c>
      <c r="E147" s="209" t="e">
        <f t="shared" si="36"/>
        <v>#REF!</v>
      </c>
      <c r="F147" s="185" t="e">
        <f t="shared" si="37"/>
        <v>#REF!</v>
      </c>
      <c r="G147" s="204"/>
      <c r="H147" s="196">
        <v>5.2</v>
      </c>
      <c r="I147" s="53">
        <v>1.8</v>
      </c>
      <c r="J147" s="209" t="e">
        <f t="shared" si="38"/>
        <v>#REF!</v>
      </c>
      <c r="K147" s="49" t="e">
        <f t="shared" si="35"/>
        <v>#REF!</v>
      </c>
    </row>
    <row r="148" spans="1:11">
      <c r="A148" s="147"/>
      <c r="B148" s="7" t="s">
        <v>154</v>
      </c>
      <c r="C148" s="53">
        <v>8.6999999999999993</v>
      </c>
      <c r="D148" s="53">
        <v>3</v>
      </c>
      <c r="E148" s="209" t="e">
        <f t="shared" si="36"/>
        <v>#REF!</v>
      </c>
      <c r="F148" s="185" t="e">
        <f t="shared" si="37"/>
        <v>#REF!</v>
      </c>
      <c r="G148" s="204"/>
      <c r="H148" s="196">
        <v>10.199999999999999</v>
      </c>
      <c r="I148" s="53">
        <v>2.5</v>
      </c>
      <c r="J148" s="209" t="e">
        <f t="shared" si="38"/>
        <v>#REF!</v>
      </c>
      <c r="K148" s="49" t="e">
        <f t="shared" si="35"/>
        <v>#REF!</v>
      </c>
    </row>
    <row r="149" spans="1:11">
      <c r="A149" s="147"/>
      <c r="B149" s="7" t="s">
        <v>17</v>
      </c>
      <c r="C149" s="53">
        <v>11.4</v>
      </c>
      <c r="D149" s="53">
        <v>2.7</v>
      </c>
      <c r="E149" s="209" t="e">
        <f t="shared" si="36"/>
        <v>#REF!</v>
      </c>
      <c r="F149" s="185" t="e">
        <f t="shared" si="37"/>
        <v>#REF!</v>
      </c>
      <c r="G149" s="204"/>
      <c r="H149" s="196">
        <v>12.1</v>
      </c>
      <c r="I149" s="53">
        <v>2.7</v>
      </c>
      <c r="J149" s="209" t="e">
        <f t="shared" si="38"/>
        <v>#REF!</v>
      </c>
      <c r="K149" s="49" t="e">
        <f t="shared" si="35"/>
        <v>#REF!</v>
      </c>
    </row>
    <row r="150" spans="1:11">
      <c r="A150" s="147" t="s">
        <v>21</v>
      </c>
      <c r="B150" s="7" t="s">
        <v>44</v>
      </c>
      <c r="C150" s="53">
        <v>13.3</v>
      </c>
      <c r="D150" s="53">
        <v>5.7</v>
      </c>
      <c r="E150" s="209" t="e">
        <f t="shared" si="36"/>
        <v>#REF!</v>
      </c>
      <c r="F150" s="185" t="e">
        <f t="shared" si="37"/>
        <v>#REF!</v>
      </c>
      <c r="G150" s="204"/>
      <c r="H150" s="196">
        <v>13.3</v>
      </c>
      <c r="I150" s="53">
        <v>5.7</v>
      </c>
      <c r="J150" s="209" t="e">
        <f t="shared" si="38"/>
        <v>#REF!</v>
      </c>
      <c r="K150" s="49" t="e">
        <f t="shared" si="35"/>
        <v>#REF!</v>
      </c>
    </row>
    <row r="151" spans="1:11">
      <c r="A151" s="147" t="s">
        <v>21</v>
      </c>
      <c r="B151" s="54" t="s">
        <v>45</v>
      </c>
      <c r="C151" s="53">
        <v>15.2</v>
      </c>
      <c r="D151" s="53">
        <v>4</v>
      </c>
      <c r="E151" s="209" t="e">
        <f t="shared" si="36"/>
        <v>#REF!</v>
      </c>
      <c r="F151" s="185" t="e">
        <f t="shared" si="37"/>
        <v>#REF!</v>
      </c>
      <c r="G151" s="204"/>
      <c r="H151" s="196">
        <v>15.2</v>
      </c>
      <c r="I151" s="53">
        <v>4</v>
      </c>
      <c r="J151" s="209" t="e">
        <f t="shared" si="38"/>
        <v>#REF!</v>
      </c>
      <c r="K151" s="49" t="e">
        <f t="shared" si="35"/>
        <v>#REF!</v>
      </c>
    </row>
    <row r="152" spans="1:11">
      <c r="A152" s="147" t="s">
        <v>21</v>
      </c>
      <c r="B152" s="7" t="s">
        <v>46</v>
      </c>
      <c r="C152" s="53">
        <v>16.600000000000001</v>
      </c>
      <c r="D152" s="53">
        <v>3.2</v>
      </c>
      <c r="E152" s="209" t="e">
        <f t="shared" si="36"/>
        <v>#REF!</v>
      </c>
      <c r="F152" s="185" t="e">
        <f t="shared" si="37"/>
        <v>#REF!</v>
      </c>
      <c r="G152" s="204"/>
      <c r="H152" s="196">
        <v>16.600000000000001</v>
      </c>
      <c r="I152" s="53">
        <v>3.2</v>
      </c>
      <c r="J152" s="209" t="e">
        <f t="shared" si="38"/>
        <v>#REF!</v>
      </c>
      <c r="K152" s="49" t="e">
        <f t="shared" si="35"/>
        <v>#REF!</v>
      </c>
    </row>
    <row r="153" spans="1:11">
      <c r="A153" s="147" t="s">
        <v>22</v>
      </c>
      <c r="B153" s="7" t="s">
        <v>44</v>
      </c>
      <c r="C153" s="53">
        <v>18.7</v>
      </c>
      <c r="D153" s="53">
        <v>3</v>
      </c>
      <c r="E153" s="209" t="e">
        <f t="shared" si="36"/>
        <v>#REF!</v>
      </c>
      <c r="F153" s="185" t="e">
        <f>+((E153-C153)/D153)</f>
        <v>#REF!</v>
      </c>
      <c r="G153" s="204"/>
      <c r="H153" s="196">
        <v>18.7</v>
      </c>
      <c r="I153" s="53">
        <v>3</v>
      </c>
      <c r="J153" s="209" t="e">
        <f t="shared" si="38"/>
        <v>#REF!</v>
      </c>
      <c r="K153" s="49" t="e">
        <f>+((J153-H153)/I153)</f>
        <v>#REF!</v>
      </c>
    </row>
    <row r="154" spans="1:11">
      <c r="A154" s="147" t="s">
        <v>22</v>
      </c>
      <c r="B154" s="54" t="s">
        <v>45</v>
      </c>
      <c r="C154" s="53">
        <v>22.4</v>
      </c>
      <c r="D154" s="53">
        <v>4.7</v>
      </c>
      <c r="E154" s="209" t="e">
        <f t="shared" si="36"/>
        <v>#REF!</v>
      </c>
      <c r="F154" s="185" t="e">
        <f>+(E154-C154)/D154</f>
        <v>#REF!</v>
      </c>
      <c r="G154" s="204"/>
      <c r="H154" s="196">
        <v>22.4</v>
      </c>
      <c r="I154" s="53">
        <v>4.7</v>
      </c>
      <c r="J154" s="209" t="e">
        <f t="shared" si="38"/>
        <v>#REF!</v>
      </c>
      <c r="K154" s="49" t="e">
        <f>+(J154-H154)/I154</f>
        <v>#REF!</v>
      </c>
    </row>
    <row r="155" spans="1:11">
      <c r="A155" s="147" t="s">
        <v>22</v>
      </c>
      <c r="B155" s="7" t="s">
        <v>46</v>
      </c>
      <c r="C155" s="53">
        <v>22.4</v>
      </c>
      <c r="D155" s="53">
        <v>4.8</v>
      </c>
      <c r="E155" s="209" t="e">
        <f t="shared" si="36"/>
        <v>#REF!</v>
      </c>
      <c r="F155" s="185" t="e">
        <f>+(E155-C155)/D155</f>
        <v>#REF!</v>
      </c>
      <c r="G155" s="204"/>
      <c r="H155" s="196">
        <v>22.4</v>
      </c>
      <c r="I155" s="53">
        <v>4.8</v>
      </c>
      <c r="J155" s="209" t="e">
        <f t="shared" si="38"/>
        <v>#REF!</v>
      </c>
      <c r="K155" s="49" t="e">
        <f>+(J155-H155)/I155</f>
        <v>#REF!</v>
      </c>
    </row>
    <row r="156" spans="1:11">
      <c r="A156" s="147" t="s">
        <v>23</v>
      </c>
      <c r="B156" s="7" t="s">
        <v>24</v>
      </c>
      <c r="C156" s="53">
        <v>35.1</v>
      </c>
      <c r="D156" s="53">
        <v>10.6</v>
      </c>
      <c r="E156" s="209" t="e">
        <f t="shared" si="36"/>
        <v>#REF!</v>
      </c>
      <c r="F156" s="185" t="e">
        <f>-(+(E156-C156)/D156)</f>
        <v>#REF!</v>
      </c>
      <c r="G156" s="204"/>
      <c r="H156" s="196">
        <v>35.1</v>
      </c>
      <c r="I156" s="53">
        <v>10.6</v>
      </c>
      <c r="J156" s="209" t="e">
        <f t="shared" si="38"/>
        <v>#REF!</v>
      </c>
      <c r="K156" s="49" t="e">
        <f>-(+(J156-H156)/I156)</f>
        <v>#REF!</v>
      </c>
    </row>
    <row r="157" spans="1:11">
      <c r="A157" s="147"/>
      <c r="B157" s="7" t="s">
        <v>25</v>
      </c>
      <c r="C157" s="53">
        <v>77.7</v>
      </c>
      <c r="D157" s="53">
        <v>23.8</v>
      </c>
      <c r="E157" s="209" t="e">
        <f t="shared" si="36"/>
        <v>#REF!</v>
      </c>
      <c r="F157" s="185" t="e">
        <f>-(+(E157-C157)/D157)</f>
        <v>#REF!</v>
      </c>
      <c r="G157" s="204"/>
      <c r="H157" s="196">
        <v>77.7</v>
      </c>
      <c r="I157" s="53">
        <v>23.8</v>
      </c>
      <c r="J157" s="209" t="e">
        <f t="shared" si="38"/>
        <v>#REF!</v>
      </c>
      <c r="K157" s="49" t="e">
        <f>-(+(J157-H157)/I157)</f>
        <v>#REF!</v>
      </c>
    </row>
    <row r="158" spans="1:11">
      <c r="A158" s="147" t="s">
        <v>26</v>
      </c>
      <c r="B158" s="7" t="s">
        <v>15</v>
      </c>
      <c r="C158" s="53">
        <v>31.19</v>
      </c>
      <c r="D158" s="53">
        <v>3.68</v>
      </c>
      <c r="E158" s="209" t="e">
        <f t="shared" si="36"/>
        <v>#REF!</v>
      </c>
      <c r="F158" s="185" t="e">
        <f t="shared" ref="F158:F162" si="39">+(E158-C158)/D158</f>
        <v>#REF!</v>
      </c>
      <c r="G158" s="204"/>
      <c r="H158" s="196">
        <v>31.19</v>
      </c>
      <c r="I158" s="53">
        <v>3.68</v>
      </c>
      <c r="J158" s="209" t="e">
        <f t="shared" si="38"/>
        <v>#REF!</v>
      </c>
      <c r="K158" s="49" t="e">
        <f t="shared" ref="K158:K162" si="40">+(J158-H158)/I158</f>
        <v>#REF!</v>
      </c>
    </row>
    <row r="159" spans="1:11">
      <c r="A159" s="147"/>
      <c r="B159" s="7" t="s">
        <v>154</v>
      </c>
      <c r="C159" s="53">
        <v>14.88</v>
      </c>
      <c r="D159" s="53">
        <v>6.95</v>
      </c>
      <c r="E159" s="209" t="e">
        <f t="shared" si="36"/>
        <v>#REF!</v>
      </c>
      <c r="F159" s="185" t="e">
        <f t="shared" si="39"/>
        <v>#REF!</v>
      </c>
      <c r="G159" s="204"/>
      <c r="H159" s="196">
        <v>14.88</v>
      </c>
      <c r="I159" s="53">
        <v>6.95</v>
      </c>
      <c r="J159" s="209" t="e">
        <f t="shared" si="38"/>
        <v>#REF!</v>
      </c>
      <c r="K159" s="49" t="e">
        <f t="shared" si="40"/>
        <v>#REF!</v>
      </c>
    </row>
    <row r="160" spans="1:11">
      <c r="A160" s="147"/>
      <c r="B160" s="7" t="s">
        <v>17</v>
      </c>
      <c r="C160" s="49">
        <v>20.5</v>
      </c>
      <c r="D160" s="49">
        <v>1.5</v>
      </c>
      <c r="E160" s="209" t="e">
        <f t="shared" si="36"/>
        <v>#REF!</v>
      </c>
      <c r="F160" s="185" t="e">
        <f t="shared" si="39"/>
        <v>#REF!</v>
      </c>
      <c r="G160" s="204"/>
      <c r="H160" s="197">
        <v>20.5</v>
      </c>
      <c r="I160" s="49">
        <v>1.5</v>
      </c>
      <c r="J160" s="209" t="e">
        <f t="shared" si="38"/>
        <v>#REF!</v>
      </c>
      <c r="K160" s="49" t="e">
        <f t="shared" si="40"/>
        <v>#REF!</v>
      </c>
    </row>
    <row r="161" spans="1:11">
      <c r="A161" s="147" t="s">
        <v>27</v>
      </c>
      <c r="B161" s="7" t="s">
        <v>28</v>
      </c>
      <c r="C161" s="53">
        <v>6.35</v>
      </c>
      <c r="D161" s="53">
        <v>1.45</v>
      </c>
      <c r="E161" s="209" t="e">
        <f t="shared" si="36"/>
        <v>#REF!</v>
      </c>
      <c r="F161" s="185" t="e">
        <f t="shared" si="39"/>
        <v>#REF!</v>
      </c>
      <c r="G161" s="204"/>
      <c r="H161" s="196">
        <v>6.35</v>
      </c>
      <c r="I161" s="53">
        <v>1.45</v>
      </c>
      <c r="J161" s="209" t="e">
        <f t="shared" si="38"/>
        <v>#REF!</v>
      </c>
      <c r="K161" s="49" t="e">
        <f t="shared" si="40"/>
        <v>#REF!</v>
      </c>
    </row>
    <row r="162" spans="1:11">
      <c r="A162" s="147"/>
      <c r="B162" s="7" t="s">
        <v>29</v>
      </c>
      <c r="C162" s="53">
        <v>4.55</v>
      </c>
      <c r="D162" s="53">
        <v>1.56</v>
      </c>
      <c r="E162" s="209" t="e">
        <f t="shared" si="36"/>
        <v>#REF!</v>
      </c>
      <c r="F162" s="185" t="e">
        <f t="shared" si="39"/>
        <v>#REF!</v>
      </c>
      <c r="G162" s="204"/>
      <c r="H162" s="196">
        <v>4.55</v>
      </c>
      <c r="I162" s="53">
        <v>1.56</v>
      </c>
      <c r="J162" s="209" t="e">
        <f t="shared" si="38"/>
        <v>#REF!</v>
      </c>
      <c r="K162" s="49" t="e">
        <f t="shared" si="40"/>
        <v>#REF!</v>
      </c>
    </row>
    <row r="163" spans="1:11">
      <c r="A163" s="147" t="s">
        <v>34</v>
      </c>
      <c r="B163" s="7" t="s">
        <v>39</v>
      </c>
      <c r="C163" s="53">
        <v>0.73</v>
      </c>
      <c r="D163" s="53">
        <v>0.46</v>
      </c>
      <c r="E163" s="209" t="e">
        <f t="shared" si="36"/>
        <v>#REF!</v>
      </c>
      <c r="F163" s="185" t="e">
        <f>-(((E163/15)-(C163))/D163)</f>
        <v>#REF!</v>
      </c>
      <c r="G163" s="204"/>
      <c r="H163" s="196">
        <v>0.73</v>
      </c>
      <c r="I163" s="53">
        <v>0.46</v>
      </c>
      <c r="J163" s="209" t="e">
        <f t="shared" si="38"/>
        <v>#REF!</v>
      </c>
      <c r="K163" s="49" t="e">
        <f>-(((J163/15)-(H163))/I163)</f>
        <v>#REF!</v>
      </c>
    </row>
    <row r="164" spans="1:11">
      <c r="A164" s="147" t="s">
        <v>34</v>
      </c>
      <c r="B164" s="7" t="s">
        <v>40</v>
      </c>
      <c r="C164" s="53">
        <v>0.51</v>
      </c>
      <c r="D164" s="53">
        <v>0.44</v>
      </c>
      <c r="E164" s="209" t="e">
        <f t="shared" si="36"/>
        <v>#REF!</v>
      </c>
      <c r="F164" s="185" t="e">
        <f>-(((E164/15)-(C164))/D164)</f>
        <v>#REF!</v>
      </c>
      <c r="G164" s="204"/>
      <c r="H164" s="196">
        <v>0.51</v>
      </c>
      <c r="I164" s="53">
        <v>0.44</v>
      </c>
      <c r="J164" s="209" t="e">
        <f t="shared" si="38"/>
        <v>#REF!</v>
      </c>
      <c r="K164" s="49" t="e">
        <f>-(((J164/15)-(H164))/I164)</f>
        <v>#REF!</v>
      </c>
    </row>
    <row r="165" spans="1:11">
      <c r="A165" s="147" t="s">
        <v>35</v>
      </c>
      <c r="B165" s="60" t="s">
        <v>36</v>
      </c>
      <c r="C165" s="53">
        <v>5.34</v>
      </c>
      <c r="D165" s="53">
        <v>1.32</v>
      </c>
      <c r="E165" s="209" t="e">
        <f t="shared" si="36"/>
        <v>#REF!</v>
      </c>
      <c r="F165" s="185" t="e">
        <f>+(E165-C165)/D165</f>
        <v>#REF!</v>
      </c>
      <c r="G165" s="204"/>
      <c r="H165" s="196">
        <v>5.34</v>
      </c>
      <c r="I165" s="53">
        <v>1.32</v>
      </c>
      <c r="J165" s="209" t="e">
        <f t="shared" si="38"/>
        <v>#REF!</v>
      </c>
      <c r="K165" s="49" t="e">
        <f>+(J165-H165)/I165</f>
        <v>#REF!</v>
      </c>
    </row>
    <row r="166" spans="1:11">
      <c r="A166" s="147" t="s">
        <v>35</v>
      </c>
      <c r="B166" s="60" t="s">
        <v>37</v>
      </c>
      <c r="C166" s="53">
        <v>5.34</v>
      </c>
      <c r="D166" s="53">
        <v>1.32</v>
      </c>
      <c r="E166" s="209" t="e">
        <f t="shared" si="36"/>
        <v>#REF!</v>
      </c>
      <c r="F166" s="185" t="e">
        <f>+(E166-C166)/D166</f>
        <v>#REF!</v>
      </c>
      <c r="G166" s="204"/>
      <c r="H166" s="196">
        <v>5.34</v>
      </c>
      <c r="I166" s="53">
        <v>1.32</v>
      </c>
      <c r="J166" s="209" t="e">
        <f t="shared" si="38"/>
        <v>#REF!</v>
      </c>
      <c r="K166" s="49" t="e">
        <f>+(J166-H166)/I166</f>
        <v>#REF!</v>
      </c>
    </row>
    <row r="167" spans="1:11">
      <c r="A167" s="147" t="s">
        <v>35</v>
      </c>
      <c r="B167" s="60" t="s">
        <v>38</v>
      </c>
      <c r="C167" s="53">
        <v>5.34</v>
      </c>
      <c r="D167" s="53">
        <v>1.32</v>
      </c>
      <c r="E167" s="209" t="e">
        <f t="shared" si="36"/>
        <v>#REF!</v>
      </c>
      <c r="F167" s="185" t="e">
        <f>+(E167-C167)/D167</f>
        <v>#REF!</v>
      </c>
      <c r="G167" s="204"/>
      <c r="H167" s="196">
        <v>5.34</v>
      </c>
      <c r="I167" s="53">
        <v>1.32</v>
      </c>
      <c r="J167" s="209" t="e">
        <f t="shared" si="38"/>
        <v>#REF!</v>
      </c>
      <c r="K167" s="49" t="e">
        <f>+(J167-H167)/I167</f>
        <v>#REF!</v>
      </c>
    </row>
    <row r="169" spans="1:11" ht="16.5" thickBot="1">
      <c r="A169" s="379" t="s">
        <v>558</v>
      </c>
      <c r="B169" s="379"/>
      <c r="C169" s="379"/>
      <c r="D169" s="379"/>
      <c r="E169" s="379"/>
      <c r="F169" s="379"/>
      <c r="G169" s="179"/>
      <c r="H169" s="376"/>
      <c r="I169" s="376"/>
      <c r="J169" s="376"/>
      <c r="K169" s="376"/>
    </row>
    <row r="170" spans="1:11">
      <c r="A170" s="144" t="s">
        <v>0</v>
      </c>
      <c r="B170" s="164"/>
      <c r="C170" s="164" t="s">
        <v>1</v>
      </c>
      <c r="D170" s="165" t="s">
        <v>2</v>
      </c>
      <c r="E170" s="166" t="s">
        <v>3</v>
      </c>
      <c r="F170" s="167" t="s">
        <v>4</v>
      </c>
      <c r="G170" s="180"/>
      <c r="H170" s="195" t="s">
        <v>1</v>
      </c>
      <c r="I170" s="145" t="s">
        <v>2</v>
      </c>
      <c r="J170" s="145" t="s">
        <v>549</v>
      </c>
      <c r="K170" s="146" t="s">
        <v>4</v>
      </c>
    </row>
    <row r="171" spans="1:11">
      <c r="A171" s="147" t="s">
        <v>14</v>
      </c>
      <c r="B171" s="7" t="s">
        <v>15</v>
      </c>
      <c r="C171" s="53">
        <v>23.63</v>
      </c>
      <c r="D171" s="53">
        <v>6.14</v>
      </c>
      <c r="E171" s="209" t="e">
        <f>E3</f>
        <v>#REF!</v>
      </c>
      <c r="F171" s="185" t="e">
        <f t="shared" ref="F171:F177" si="41">+(E171-C171)/D171</f>
        <v>#REF!</v>
      </c>
      <c r="G171" s="204"/>
      <c r="H171" s="196">
        <v>23.63</v>
      </c>
      <c r="I171" s="53">
        <v>6.14</v>
      </c>
      <c r="J171" s="209" t="e">
        <f>E3</f>
        <v>#REF!</v>
      </c>
      <c r="K171" s="49" t="e">
        <f t="shared" ref="K171:K177" si="42">+(J171-H171)/I171</f>
        <v>#REF!</v>
      </c>
    </row>
    <row r="172" spans="1:11">
      <c r="A172" s="147"/>
      <c r="B172" s="7" t="s">
        <v>16</v>
      </c>
      <c r="C172" s="53">
        <v>20.13</v>
      </c>
      <c r="D172" s="53">
        <v>6.48</v>
      </c>
      <c r="E172" s="209" t="e">
        <f t="shared" ref="E172:E195" si="43">E4</f>
        <v>#REF!</v>
      </c>
      <c r="F172" s="185" t="e">
        <f t="shared" si="41"/>
        <v>#REF!</v>
      </c>
      <c r="G172" s="204"/>
      <c r="H172" s="196">
        <v>20.13</v>
      </c>
      <c r="I172" s="53">
        <v>6.48</v>
      </c>
      <c r="J172" s="209" t="e">
        <f t="shared" ref="J172:J195" si="44">E4</f>
        <v>#REF!</v>
      </c>
      <c r="K172" s="49" t="e">
        <f t="shared" si="42"/>
        <v>#REF!</v>
      </c>
    </row>
    <row r="173" spans="1:11">
      <c r="A173" s="147" t="s">
        <v>18</v>
      </c>
      <c r="B173" s="7" t="s">
        <v>19</v>
      </c>
      <c r="C173" s="53">
        <v>6.3</v>
      </c>
      <c r="D173" s="53">
        <v>1.5</v>
      </c>
      <c r="E173" s="209" t="e">
        <f t="shared" si="43"/>
        <v>#REF!</v>
      </c>
      <c r="F173" s="185" t="e">
        <f t="shared" si="41"/>
        <v>#REF!</v>
      </c>
      <c r="G173" s="204"/>
      <c r="H173" s="196">
        <v>6.3</v>
      </c>
      <c r="I173" s="53">
        <v>2</v>
      </c>
      <c r="J173" s="209" t="e">
        <f t="shared" si="44"/>
        <v>#REF!</v>
      </c>
      <c r="K173" s="49" t="e">
        <f t="shared" si="42"/>
        <v>#REF!</v>
      </c>
    </row>
    <row r="174" spans="1:11">
      <c r="A174" s="147"/>
      <c r="B174" s="7" t="s">
        <v>15</v>
      </c>
      <c r="C174" s="53">
        <v>46.4</v>
      </c>
      <c r="D174" s="53">
        <v>7.6</v>
      </c>
      <c r="E174" s="209" t="e">
        <f t="shared" si="43"/>
        <v>#REF!</v>
      </c>
      <c r="F174" s="185" t="e">
        <f t="shared" si="41"/>
        <v>#REF!</v>
      </c>
      <c r="G174" s="204"/>
      <c r="H174" s="196">
        <v>48.5</v>
      </c>
      <c r="I174" s="53">
        <v>8.4</v>
      </c>
      <c r="J174" s="209" t="e">
        <f t="shared" si="44"/>
        <v>#REF!</v>
      </c>
      <c r="K174" s="49" t="e">
        <f t="shared" si="42"/>
        <v>#REF!</v>
      </c>
    </row>
    <row r="175" spans="1:11">
      <c r="A175" s="147"/>
      <c r="B175" s="7" t="s">
        <v>20</v>
      </c>
      <c r="C175" s="53">
        <v>5.4</v>
      </c>
      <c r="D175" s="53">
        <v>1.8</v>
      </c>
      <c r="E175" s="209" t="e">
        <f t="shared" si="43"/>
        <v>#REF!</v>
      </c>
      <c r="F175" s="185" t="e">
        <f t="shared" si="41"/>
        <v>#REF!</v>
      </c>
      <c r="G175" s="204"/>
      <c r="H175" s="196">
        <v>5.2</v>
      </c>
      <c r="I175" s="53">
        <v>1.8</v>
      </c>
      <c r="J175" s="209" t="e">
        <f t="shared" si="44"/>
        <v>#REF!</v>
      </c>
      <c r="K175" s="49" t="e">
        <f t="shared" si="42"/>
        <v>#REF!</v>
      </c>
    </row>
    <row r="176" spans="1:11">
      <c r="A176" s="147"/>
      <c r="B176" s="7" t="s">
        <v>16</v>
      </c>
      <c r="C176" s="53">
        <v>8.6999999999999993</v>
      </c>
      <c r="D176" s="53">
        <v>3</v>
      </c>
      <c r="E176" s="209" t="e">
        <f t="shared" si="43"/>
        <v>#REF!</v>
      </c>
      <c r="F176" s="185" t="e">
        <f t="shared" si="41"/>
        <v>#REF!</v>
      </c>
      <c r="G176" s="204"/>
      <c r="H176" s="196">
        <v>10.199999999999999</v>
      </c>
      <c r="I176" s="53">
        <v>2.5</v>
      </c>
      <c r="J176" s="209" t="e">
        <f t="shared" si="44"/>
        <v>#REF!</v>
      </c>
      <c r="K176" s="49" t="e">
        <f t="shared" si="42"/>
        <v>#REF!</v>
      </c>
    </row>
    <row r="177" spans="1:11">
      <c r="A177" s="147"/>
      <c r="B177" s="7" t="s">
        <v>17</v>
      </c>
      <c r="C177" s="53">
        <v>11.4</v>
      </c>
      <c r="D177" s="53">
        <v>2.7</v>
      </c>
      <c r="E177" s="209" t="e">
        <f t="shared" si="43"/>
        <v>#REF!</v>
      </c>
      <c r="F177" s="185" t="e">
        <f t="shared" si="41"/>
        <v>#REF!</v>
      </c>
      <c r="G177" s="204"/>
      <c r="H177" s="196">
        <v>12.1</v>
      </c>
      <c r="I177" s="53">
        <v>2.7</v>
      </c>
      <c r="J177" s="209" t="e">
        <f t="shared" si="44"/>
        <v>#REF!</v>
      </c>
      <c r="K177" s="49" t="e">
        <f t="shared" si="42"/>
        <v>#REF!</v>
      </c>
    </row>
    <row r="178" spans="1:11">
      <c r="A178" s="147" t="s">
        <v>21</v>
      </c>
      <c r="B178" s="7" t="s">
        <v>44</v>
      </c>
      <c r="C178" s="53">
        <v>13.3</v>
      </c>
      <c r="D178" s="53">
        <v>5.7</v>
      </c>
      <c r="E178" s="209" t="e">
        <f t="shared" si="43"/>
        <v>#REF!</v>
      </c>
      <c r="F178" s="185" t="e">
        <f t="shared" ref="F178:F183" si="45">+(E178-C178)/D178</f>
        <v>#REF!</v>
      </c>
      <c r="G178" s="204"/>
      <c r="H178" s="196">
        <v>13.3</v>
      </c>
      <c r="I178" s="53">
        <v>5.7</v>
      </c>
      <c r="J178" s="209" t="e">
        <f t="shared" si="44"/>
        <v>#REF!</v>
      </c>
      <c r="K178" s="49" t="e">
        <f t="shared" ref="K178:K183" si="46">+(J178-H178)/I178</f>
        <v>#REF!</v>
      </c>
    </row>
    <row r="179" spans="1:11">
      <c r="A179" s="147" t="s">
        <v>21</v>
      </c>
      <c r="B179" s="54" t="s">
        <v>45</v>
      </c>
      <c r="C179" s="53">
        <v>15.2</v>
      </c>
      <c r="D179" s="53">
        <v>4</v>
      </c>
      <c r="E179" s="209" t="e">
        <f t="shared" si="43"/>
        <v>#REF!</v>
      </c>
      <c r="F179" s="185" t="e">
        <f t="shared" si="45"/>
        <v>#REF!</v>
      </c>
      <c r="G179" s="204"/>
      <c r="H179" s="196">
        <v>15.2</v>
      </c>
      <c r="I179" s="53">
        <v>4</v>
      </c>
      <c r="J179" s="209" t="e">
        <f t="shared" si="44"/>
        <v>#REF!</v>
      </c>
      <c r="K179" s="49" t="e">
        <f t="shared" si="46"/>
        <v>#REF!</v>
      </c>
    </row>
    <row r="180" spans="1:11">
      <c r="A180" s="147" t="s">
        <v>21</v>
      </c>
      <c r="B180" s="7" t="s">
        <v>46</v>
      </c>
      <c r="C180" s="53">
        <v>16.600000000000001</v>
      </c>
      <c r="D180" s="53">
        <v>3.2</v>
      </c>
      <c r="E180" s="209" t="e">
        <f t="shared" si="43"/>
        <v>#REF!</v>
      </c>
      <c r="F180" s="185" t="e">
        <f t="shared" si="45"/>
        <v>#REF!</v>
      </c>
      <c r="G180" s="204"/>
      <c r="H180" s="196">
        <v>16.600000000000001</v>
      </c>
      <c r="I180" s="53">
        <v>3.2</v>
      </c>
      <c r="J180" s="209" t="e">
        <f t="shared" si="44"/>
        <v>#REF!</v>
      </c>
      <c r="K180" s="49" t="e">
        <f t="shared" si="46"/>
        <v>#REF!</v>
      </c>
    </row>
    <row r="181" spans="1:11">
      <c r="A181" s="147" t="s">
        <v>22</v>
      </c>
      <c r="B181" s="7" t="s">
        <v>44</v>
      </c>
      <c r="C181" s="53">
        <v>15.5</v>
      </c>
      <c r="D181" s="53">
        <v>3.7</v>
      </c>
      <c r="E181" s="209" t="e">
        <f t="shared" si="43"/>
        <v>#REF!</v>
      </c>
      <c r="F181" s="185" t="e">
        <f t="shared" si="45"/>
        <v>#REF!</v>
      </c>
      <c r="G181" s="204"/>
      <c r="H181" s="196">
        <v>15.5</v>
      </c>
      <c r="I181" s="53">
        <v>3.7</v>
      </c>
      <c r="J181" s="209" t="e">
        <f t="shared" si="44"/>
        <v>#REF!</v>
      </c>
      <c r="K181" s="49" t="e">
        <f t="shared" si="46"/>
        <v>#REF!</v>
      </c>
    </row>
    <row r="182" spans="1:11">
      <c r="A182" s="147" t="s">
        <v>22</v>
      </c>
      <c r="B182" s="54" t="s">
        <v>45</v>
      </c>
      <c r="C182" s="53">
        <v>19.2</v>
      </c>
      <c r="D182" s="53">
        <v>5.2</v>
      </c>
      <c r="E182" s="209" t="e">
        <f t="shared" si="43"/>
        <v>#REF!</v>
      </c>
      <c r="F182" s="185" t="e">
        <f t="shared" si="45"/>
        <v>#REF!</v>
      </c>
      <c r="G182" s="204"/>
      <c r="H182" s="196">
        <v>19.2</v>
      </c>
      <c r="I182" s="53">
        <v>5.2</v>
      </c>
      <c r="J182" s="209" t="e">
        <f t="shared" si="44"/>
        <v>#REF!</v>
      </c>
      <c r="K182" s="49" t="e">
        <f t="shared" si="46"/>
        <v>#REF!</v>
      </c>
    </row>
    <row r="183" spans="1:11">
      <c r="A183" s="147" t="s">
        <v>22</v>
      </c>
      <c r="B183" s="7" t="s">
        <v>46</v>
      </c>
      <c r="C183" s="53">
        <v>21.6</v>
      </c>
      <c r="D183" s="53">
        <v>5.4</v>
      </c>
      <c r="E183" s="209" t="e">
        <f t="shared" si="43"/>
        <v>#REF!</v>
      </c>
      <c r="F183" s="185" t="e">
        <f t="shared" si="45"/>
        <v>#REF!</v>
      </c>
      <c r="G183" s="204"/>
      <c r="H183" s="196">
        <v>21.6</v>
      </c>
      <c r="I183" s="53">
        <v>5.4</v>
      </c>
      <c r="J183" s="209" t="e">
        <f t="shared" si="44"/>
        <v>#REF!</v>
      </c>
      <c r="K183" s="49" t="e">
        <f t="shared" si="46"/>
        <v>#REF!</v>
      </c>
    </row>
    <row r="184" spans="1:11">
      <c r="A184" s="147" t="s">
        <v>23</v>
      </c>
      <c r="B184" s="7" t="s">
        <v>24</v>
      </c>
      <c r="C184" s="53">
        <v>35.1</v>
      </c>
      <c r="D184" s="53">
        <v>10.6</v>
      </c>
      <c r="E184" s="209" t="e">
        <f t="shared" si="43"/>
        <v>#REF!</v>
      </c>
      <c r="F184" s="185" t="e">
        <f>-(+(E184-C184)/D184)</f>
        <v>#REF!</v>
      </c>
      <c r="G184" s="204"/>
      <c r="H184" s="199">
        <v>35.1</v>
      </c>
      <c r="I184" s="176">
        <v>10.6</v>
      </c>
      <c r="J184" s="209" t="e">
        <f t="shared" si="44"/>
        <v>#REF!</v>
      </c>
      <c r="K184" s="49" t="e">
        <f>-(+(J184-H184)/I184)</f>
        <v>#REF!</v>
      </c>
    </row>
    <row r="185" spans="1:11">
      <c r="A185" s="147"/>
      <c r="B185" s="7" t="s">
        <v>25</v>
      </c>
      <c r="C185" s="53">
        <v>77.7</v>
      </c>
      <c r="D185" s="53">
        <v>23.8</v>
      </c>
      <c r="E185" s="209" t="e">
        <f t="shared" si="43"/>
        <v>#REF!</v>
      </c>
      <c r="F185" s="185" t="e">
        <f>-(+(E185-C185)/D185)</f>
        <v>#REF!</v>
      </c>
      <c r="G185" s="204"/>
      <c r="H185" s="196">
        <v>77.7</v>
      </c>
      <c r="I185" s="53">
        <v>23.8</v>
      </c>
      <c r="J185" s="209" t="e">
        <f t="shared" si="44"/>
        <v>#REF!</v>
      </c>
      <c r="K185" s="49" t="e">
        <f>-(+(J185-H185)/I185)</f>
        <v>#REF!</v>
      </c>
    </row>
    <row r="186" spans="1:11">
      <c r="A186" s="147" t="s">
        <v>26</v>
      </c>
      <c r="B186" s="7" t="s">
        <v>15</v>
      </c>
      <c r="C186" s="53">
        <v>31.19</v>
      </c>
      <c r="D186" s="53">
        <v>3.68</v>
      </c>
      <c r="E186" s="209" t="e">
        <f t="shared" si="43"/>
        <v>#REF!</v>
      </c>
      <c r="F186" s="185" t="e">
        <f t="shared" ref="F186:F190" si="47">+(E186-C186)/D186</f>
        <v>#REF!</v>
      </c>
      <c r="G186" s="204"/>
      <c r="H186" s="196">
        <v>31.19</v>
      </c>
      <c r="I186" s="53">
        <v>3.68</v>
      </c>
      <c r="J186" s="209" t="e">
        <f t="shared" si="44"/>
        <v>#REF!</v>
      </c>
      <c r="K186" s="49" t="e">
        <f t="shared" ref="K186:K190" si="48">+(J186-H186)/I186</f>
        <v>#REF!</v>
      </c>
    </row>
    <row r="187" spans="1:11">
      <c r="A187" s="147"/>
      <c r="B187" s="7" t="s">
        <v>16</v>
      </c>
      <c r="C187" s="53">
        <v>14.88</v>
      </c>
      <c r="D187" s="53">
        <v>6.95</v>
      </c>
      <c r="E187" s="209" t="e">
        <f t="shared" si="43"/>
        <v>#REF!</v>
      </c>
      <c r="F187" s="185" t="e">
        <f t="shared" si="47"/>
        <v>#REF!</v>
      </c>
      <c r="G187" s="204"/>
      <c r="H187" s="196">
        <v>14.88</v>
      </c>
      <c r="I187" s="53">
        <v>6.95</v>
      </c>
      <c r="J187" s="209" t="e">
        <f t="shared" si="44"/>
        <v>#REF!</v>
      </c>
      <c r="K187" s="49" t="e">
        <f t="shared" si="48"/>
        <v>#REF!</v>
      </c>
    </row>
    <row r="188" spans="1:11">
      <c r="A188" s="147"/>
      <c r="B188" s="7" t="s">
        <v>17</v>
      </c>
      <c r="C188" s="49">
        <v>20.5</v>
      </c>
      <c r="D188" s="49">
        <v>1.5</v>
      </c>
      <c r="E188" s="209" t="e">
        <f t="shared" si="43"/>
        <v>#REF!</v>
      </c>
      <c r="F188" s="185" t="e">
        <f t="shared" si="47"/>
        <v>#REF!</v>
      </c>
      <c r="G188" s="204"/>
      <c r="H188" s="197">
        <v>20.5</v>
      </c>
      <c r="I188" s="49">
        <v>1.5</v>
      </c>
      <c r="J188" s="209" t="e">
        <f t="shared" si="44"/>
        <v>#REF!</v>
      </c>
      <c r="K188" s="49" t="e">
        <f t="shared" si="48"/>
        <v>#REF!</v>
      </c>
    </row>
    <row r="189" spans="1:11">
      <c r="A189" s="147" t="s">
        <v>27</v>
      </c>
      <c r="B189" s="7" t="s">
        <v>28</v>
      </c>
      <c r="C189" s="53">
        <v>6.35</v>
      </c>
      <c r="D189" s="53">
        <v>1.45</v>
      </c>
      <c r="E189" s="209" t="e">
        <f t="shared" si="43"/>
        <v>#REF!</v>
      </c>
      <c r="F189" s="185" t="e">
        <f t="shared" si="47"/>
        <v>#REF!</v>
      </c>
      <c r="G189" s="204"/>
      <c r="H189" s="196">
        <v>6.35</v>
      </c>
      <c r="I189" s="53">
        <v>1.45</v>
      </c>
      <c r="J189" s="209" t="e">
        <f t="shared" si="44"/>
        <v>#REF!</v>
      </c>
      <c r="K189" s="49" t="e">
        <f t="shared" si="48"/>
        <v>#REF!</v>
      </c>
    </row>
    <row r="190" spans="1:11">
      <c r="A190" s="147"/>
      <c r="B190" s="7" t="s">
        <v>29</v>
      </c>
      <c r="C190" s="53">
        <v>4.55</v>
      </c>
      <c r="D190" s="53">
        <v>1.56</v>
      </c>
      <c r="E190" s="209" t="e">
        <f t="shared" si="43"/>
        <v>#REF!</v>
      </c>
      <c r="F190" s="185" t="e">
        <f t="shared" si="47"/>
        <v>#REF!</v>
      </c>
      <c r="G190" s="204"/>
      <c r="H190" s="196">
        <v>4.55</v>
      </c>
      <c r="I190" s="53">
        <v>1.56</v>
      </c>
      <c r="J190" s="209" t="e">
        <f t="shared" si="44"/>
        <v>#REF!</v>
      </c>
      <c r="K190" s="49" t="e">
        <f t="shared" si="48"/>
        <v>#REF!</v>
      </c>
    </row>
    <row r="191" spans="1:11">
      <c r="A191" s="147" t="s">
        <v>34</v>
      </c>
      <c r="B191" s="7" t="s">
        <v>39</v>
      </c>
      <c r="C191" s="53">
        <v>0.73</v>
      </c>
      <c r="D191" s="53">
        <v>0.46</v>
      </c>
      <c r="E191" s="209" t="e">
        <f t="shared" si="43"/>
        <v>#REF!</v>
      </c>
      <c r="F191" s="185" t="e">
        <f>-(((E191/15)-(C191))/D191)</f>
        <v>#REF!</v>
      </c>
      <c r="G191" s="204"/>
      <c r="H191" s="196">
        <v>0.73</v>
      </c>
      <c r="I191" s="53">
        <v>0.46</v>
      </c>
      <c r="J191" s="209" t="e">
        <f t="shared" si="44"/>
        <v>#REF!</v>
      </c>
      <c r="K191" s="49" t="e">
        <f>-(((J191/15)-(H191))/I191)</f>
        <v>#REF!</v>
      </c>
    </row>
    <row r="192" spans="1:11">
      <c r="A192" s="147" t="s">
        <v>34</v>
      </c>
      <c r="B192" s="7" t="s">
        <v>40</v>
      </c>
      <c r="C192" s="53">
        <v>0.51</v>
      </c>
      <c r="D192" s="53">
        <v>0.44</v>
      </c>
      <c r="E192" s="209" t="e">
        <f t="shared" si="43"/>
        <v>#REF!</v>
      </c>
      <c r="F192" s="185" t="e">
        <f>-(((E192/15)-(C192))/D192)</f>
        <v>#REF!</v>
      </c>
      <c r="G192" s="204"/>
      <c r="H192" s="196">
        <v>0.51</v>
      </c>
      <c r="I192" s="53">
        <v>0.44</v>
      </c>
      <c r="J192" s="209" t="e">
        <f t="shared" si="44"/>
        <v>#REF!</v>
      </c>
      <c r="K192" s="49" t="e">
        <f>-(((J192/15)-(H192))/I192)</f>
        <v>#REF!</v>
      </c>
    </row>
    <row r="193" spans="1:11">
      <c r="A193" s="147" t="s">
        <v>35</v>
      </c>
      <c r="B193" s="60" t="s">
        <v>36</v>
      </c>
      <c r="C193" s="53">
        <v>5.34</v>
      </c>
      <c r="D193" s="53">
        <v>1.32</v>
      </c>
      <c r="E193" s="209" t="e">
        <f t="shared" si="43"/>
        <v>#REF!</v>
      </c>
      <c r="F193" s="185" t="e">
        <f>+(E193-C193)/D193</f>
        <v>#REF!</v>
      </c>
      <c r="G193" s="204"/>
      <c r="H193" s="196">
        <v>5.34</v>
      </c>
      <c r="I193" s="53">
        <v>1.32</v>
      </c>
      <c r="J193" s="209" t="e">
        <f t="shared" si="44"/>
        <v>#REF!</v>
      </c>
      <c r="K193" s="49" t="e">
        <f>+(J193-H193)/I193</f>
        <v>#REF!</v>
      </c>
    </row>
    <row r="194" spans="1:11">
      <c r="A194" s="147" t="s">
        <v>35</v>
      </c>
      <c r="B194" s="60" t="s">
        <v>37</v>
      </c>
      <c r="C194" s="53">
        <v>5.34</v>
      </c>
      <c r="D194" s="53">
        <v>1.32</v>
      </c>
      <c r="E194" s="209" t="e">
        <f t="shared" si="43"/>
        <v>#REF!</v>
      </c>
      <c r="F194" s="185" t="e">
        <f>+(E194-C194)/D194</f>
        <v>#REF!</v>
      </c>
      <c r="G194" s="204"/>
      <c r="H194" s="196">
        <v>5.34</v>
      </c>
      <c r="I194" s="53">
        <v>1.32</v>
      </c>
      <c r="J194" s="209" t="e">
        <f t="shared" si="44"/>
        <v>#REF!</v>
      </c>
      <c r="K194" s="49" t="e">
        <f>+(J194-H194)/I194</f>
        <v>#REF!</v>
      </c>
    </row>
    <row r="195" spans="1:11">
      <c r="A195" s="147" t="s">
        <v>35</v>
      </c>
      <c r="B195" s="60" t="s">
        <v>38</v>
      </c>
      <c r="C195" s="53">
        <v>5.34</v>
      </c>
      <c r="D195" s="53">
        <v>1.32</v>
      </c>
      <c r="E195" s="209" t="e">
        <f t="shared" si="43"/>
        <v>#REF!</v>
      </c>
      <c r="F195" s="185" t="e">
        <f>+(E195-C195)/D195</f>
        <v>#REF!</v>
      </c>
      <c r="G195" s="204"/>
      <c r="H195" s="196">
        <v>5.34</v>
      </c>
      <c r="I195" s="53">
        <v>1.32</v>
      </c>
      <c r="J195" s="209" t="e">
        <f t="shared" si="44"/>
        <v>#REF!</v>
      </c>
      <c r="K195" s="49" t="e">
        <f>+(J195-H195)/I195</f>
        <v>#REF!</v>
      </c>
    </row>
    <row r="197" spans="1:11" ht="16.5" thickBot="1">
      <c r="A197" s="379" t="s">
        <v>559</v>
      </c>
      <c r="B197" s="379"/>
      <c r="C197" s="379"/>
      <c r="D197" s="379"/>
      <c r="E197" s="379"/>
      <c r="F197" s="379"/>
      <c r="G197" s="179"/>
      <c r="H197" s="376"/>
      <c r="I197" s="376"/>
      <c r="J197" s="376"/>
      <c r="K197" s="376"/>
    </row>
    <row r="198" spans="1:11">
      <c r="A198" s="144" t="s">
        <v>0</v>
      </c>
      <c r="B198" s="168"/>
      <c r="C198" s="168" t="s">
        <v>1</v>
      </c>
      <c r="D198" s="169" t="s">
        <v>2</v>
      </c>
      <c r="E198" s="170" t="s">
        <v>3</v>
      </c>
      <c r="F198" s="171" t="s">
        <v>4</v>
      </c>
      <c r="G198" s="180"/>
      <c r="H198" s="195" t="s">
        <v>1</v>
      </c>
      <c r="I198" s="145" t="s">
        <v>2</v>
      </c>
      <c r="J198" s="145" t="s">
        <v>549</v>
      </c>
      <c r="K198" s="146" t="s">
        <v>4</v>
      </c>
    </row>
    <row r="199" spans="1:11">
      <c r="A199" s="147" t="s">
        <v>14</v>
      </c>
      <c r="B199" s="7" t="s">
        <v>15</v>
      </c>
      <c r="C199" s="53">
        <v>20.48</v>
      </c>
      <c r="D199" s="53">
        <v>6.42</v>
      </c>
      <c r="E199" s="209" t="e">
        <f>E3</f>
        <v>#REF!</v>
      </c>
      <c r="F199" s="185" t="e">
        <f>+(E199-C199)/D199</f>
        <v>#REF!</v>
      </c>
      <c r="G199" s="204"/>
      <c r="H199" s="196">
        <v>20.48</v>
      </c>
      <c r="I199" s="53">
        <v>6.42</v>
      </c>
      <c r="J199" s="209" t="e">
        <f>E3</f>
        <v>#REF!</v>
      </c>
      <c r="K199" s="49" t="e">
        <f t="shared" ref="K199:K205" si="49">+(J199-H199)/I199</f>
        <v>#REF!</v>
      </c>
    </row>
    <row r="200" spans="1:11">
      <c r="A200" s="147"/>
      <c r="B200" s="7" t="s">
        <v>16</v>
      </c>
      <c r="C200" s="53">
        <v>17.34</v>
      </c>
      <c r="D200" s="53">
        <v>6.71</v>
      </c>
      <c r="E200" s="209" t="e">
        <f t="shared" ref="E200:E223" si="50">E4</f>
        <v>#REF!</v>
      </c>
      <c r="F200" s="185" t="e">
        <f t="shared" ref="F200:F205" si="51">+(E200-C200)/D200</f>
        <v>#REF!</v>
      </c>
      <c r="G200" s="204"/>
      <c r="H200" s="196">
        <v>17.34</v>
      </c>
      <c r="I200" s="53">
        <v>6.71</v>
      </c>
      <c r="J200" s="209" t="e">
        <f t="shared" ref="J200:J223" si="52">E4</f>
        <v>#REF!</v>
      </c>
      <c r="K200" s="49" t="e">
        <f t="shared" si="49"/>
        <v>#REF!</v>
      </c>
    </row>
    <row r="201" spans="1:11">
      <c r="A201" s="147" t="s">
        <v>18</v>
      </c>
      <c r="B201" s="7" t="s">
        <v>19</v>
      </c>
      <c r="C201" s="53">
        <v>5.2</v>
      </c>
      <c r="D201" s="53">
        <v>1.6</v>
      </c>
      <c r="E201" s="209" t="e">
        <f t="shared" si="50"/>
        <v>#REF!</v>
      </c>
      <c r="F201" s="185" t="e">
        <f t="shared" si="51"/>
        <v>#REF!</v>
      </c>
      <c r="G201" s="204"/>
      <c r="H201" s="196">
        <v>6.3</v>
      </c>
      <c r="I201" s="53">
        <v>2.1</v>
      </c>
      <c r="J201" s="209" t="e">
        <f t="shared" si="52"/>
        <v>#REF!</v>
      </c>
      <c r="K201" s="49" t="e">
        <f t="shared" si="49"/>
        <v>#REF!</v>
      </c>
    </row>
    <row r="202" spans="1:11">
      <c r="A202" s="147"/>
      <c r="B202" s="7" t="s">
        <v>15</v>
      </c>
      <c r="C202" s="53">
        <v>37.6</v>
      </c>
      <c r="D202" s="53">
        <v>9.8000000000000007</v>
      </c>
      <c r="E202" s="209" t="e">
        <f t="shared" si="50"/>
        <v>#REF!</v>
      </c>
      <c r="F202" s="185" t="e">
        <f t="shared" si="51"/>
        <v>#REF!</v>
      </c>
      <c r="G202" s="204"/>
      <c r="H202" s="196">
        <v>49.9</v>
      </c>
      <c r="I202" s="53">
        <v>7.5</v>
      </c>
      <c r="J202" s="209" t="e">
        <f t="shared" si="52"/>
        <v>#REF!</v>
      </c>
      <c r="K202" s="49" t="e">
        <f t="shared" si="49"/>
        <v>#REF!</v>
      </c>
    </row>
    <row r="203" spans="1:11">
      <c r="A203" s="147"/>
      <c r="B203" s="7" t="s">
        <v>20</v>
      </c>
      <c r="C203" s="53">
        <v>4.7</v>
      </c>
      <c r="D203" s="53">
        <v>1.5</v>
      </c>
      <c r="E203" s="209" t="e">
        <f t="shared" si="50"/>
        <v>#REF!</v>
      </c>
      <c r="F203" s="185" t="e">
        <f t="shared" si="51"/>
        <v>#REF!</v>
      </c>
      <c r="G203" s="204"/>
      <c r="H203" s="196">
        <v>5.6</v>
      </c>
      <c r="I203" s="53">
        <v>1.2</v>
      </c>
      <c r="J203" s="209" t="e">
        <f t="shared" si="52"/>
        <v>#REF!</v>
      </c>
      <c r="K203" s="49" t="e">
        <f t="shared" si="49"/>
        <v>#REF!</v>
      </c>
    </row>
    <row r="204" spans="1:11">
      <c r="A204" s="147"/>
      <c r="B204" s="7" t="s">
        <v>16</v>
      </c>
      <c r="C204" s="53">
        <v>6.8</v>
      </c>
      <c r="D204" s="53">
        <v>3.7</v>
      </c>
      <c r="E204" s="209" t="e">
        <f t="shared" si="50"/>
        <v>#REF!</v>
      </c>
      <c r="F204" s="185" t="e">
        <f t="shared" si="51"/>
        <v>#REF!</v>
      </c>
      <c r="G204" s="204"/>
      <c r="H204" s="196">
        <v>10.199999999999999</v>
      </c>
      <c r="I204" s="53">
        <v>2.5</v>
      </c>
      <c r="J204" s="209" t="e">
        <f t="shared" si="52"/>
        <v>#REF!</v>
      </c>
      <c r="K204" s="49" t="e">
        <f t="shared" si="49"/>
        <v>#REF!</v>
      </c>
    </row>
    <row r="205" spans="1:11">
      <c r="A205" s="147"/>
      <c r="B205" s="7" t="s">
        <v>17</v>
      </c>
      <c r="C205" s="53">
        <v>10.1</v>
      </c>
      <c r="D205" s="53">
        <v>3.3</v>
      </c>
      <c r="E205" s="209" t="e">
        <f t="shared" si="50"/>
        <v>#REF!</v>
      </c>
      <c r="F205" s="185" t="e">
        <f t="shared" si="51"/>
        <v>#REF!</v>
      </c>
      <c r="G205" s="204"/>
      <c r="H205" s="196">
        <v>11.3</v>
      </c>
      <c r="I205" s="53">
        <v>2.8</v>
      </c>
      <c r="J205" s="209" t="e">
        <f t="shared" si="52"/>
        <v>#REF!</v>
      </c>
      <c r="K205" s="49" t="e">
        <f t="shared" si="49"/>
        <v>#REF!</v>
      </c>
    </row>
    <row r="206" spans="1:11">
      <c r="A206" s="147" t="s">
        <v>21</v>
      </c>
      <c r="B206" s="7" t="s">
        <v>44</v>
      </c>
      <c r="C206" s="53">
        <v>13.3</v>
      </c>
      <c r="D206" s="53">
        <v>5.7</v>
      </c>
      <c r="E206" s="209" t="e">
        <f t="shared" si="50"/>
        <v>#REF!</v>
      </c>
      <c r="F206" s="185" t="e">
        <f t="shared" ref="F206:F211" si="53">+(E206-C206)/D206</f>
        <v>#REF!</v>
      </c>
      <c r="G206" s="204"/>
      <c r="H206" s="196">
        <v>13.3</v>
      </c>
      <c r="I206" s="53">
        <v>5.7</v>
      </c>
      <c r="J206" s="209" t="e">
        <f t="shared" si="52"/>
        <v>#REF!</v>
      </c>
      <c r="K206" s="49" t="e">
        <f t="shared" ref="K206:K211" si="54">+(J206-H206)/I206</f>
        <v>#REF!</v>
      </c>
    </row>
    <row r="207" spans="1:11">
      <c r="A207" s="147" t="s">
        <v>21</v>
      </c>
      <c r="B207" s="54" t="s">
        <v>45</v>
      </c>
      <c r="C207" s="53">
        <v>15.2</v>
      </c>
      <c r="D207" s="53">
        <v>4</v>
      </c>
      <c r="E207" s="209" t="e">
        <f t="shared" si="50"/>
        <v>#REF!</v>
      </c>
      <c r="F207" s="185" t="e">
        <f t="shared" si="53"/>
        <v>#REF!</v>
      </c>
      <c r="G207" s="204"/>
      <c r="H207" s="196">
        <v>15.2</v>
      </c>
      <c r="I207" s="53">
        <v>4</v>
      </c>
      <c r="J207" s="209" t="e">
        <f t="shared" si="52"/>
        <v>#REF!</v>
      </c>
      <c r="K207" s="49" t="e">
        <f t="shared" si="54"/>
        <v>#REF!</v>
      </c>
    </row>
    <row r="208" spans="1:11">
      <c r="A208" s="147" t="s">
        <v>21</v>
      </c>
      <c r="B208" s="7" t="s">
        <v>46</v>
      </c>
      <c r="C208" s="53">
        <v>16.600000000000001</v>
      </c>
      <c r="D208" s="53">
        <v>3.2</v>
      </c>
      <c r="E208" s="209" t="e">
        <f t="shared" si="50"/>
        <v>#REF!</v>
      </c>
      <c r="F208" s="185" t="e">
        <f t="shared" si="53"/>
        <v>#REF!</v>
      </c>
      <c r="G208" s="204"/>
      <c r="H208" s="196">
        <v>16.600000000000001</v>
      </c>
      <c r="I208" s="53">
        <v>3.2</v>
      </c>
      <c r="J208" s="209" t="e">
        <f t="shared" si="52"/>
        <v>#REF!</v>
      </c>
      <c r="K208" s="49" t="e">
        <f t="shared" si="54"/>
        <v>#REF!</v>
      </c>
    </row>
    <row r="209" spans="1:11">
      <c r="A209" s="147" t="s">
        <v>22</v>
      </c>
      <c r="B209" s="7" t="s">
        <v>44</v>
      </c>
      <c r="C209" s="53">
        <v>15.5</v>
      </c>
      <c r="D209" s="53">
        <v>3.7</v>
      </c>
      <c r="E209" s="209" t="e">
        <f t="shared" si="50"/>
        <v>#REF!</v>
      </c>
      <c r="F209" s="185" t="e">
        <f t="shared" si="53"/>
        <v>#REF!</v>
      </c>
      <c r="G209" s="204"/>
      <c r="H209" s="196">
        <v>15.5</v>
      </c>
      <c r="I209" s="53">
        <v>3.7</v>
      </c>
      <c r="J209" s="209" t="e">
        <f t="shared" si="52"/>
        <v>#REF!</v>
      </c>
      <c r="K209" s="49" t="e">
        <f t="shared" si="54"/>
        <v>#REF!</v>
      </c>
    </row>
    <row r="210" spans="1:11">
      <c r="A210" s="147" t="s">
        <v>22</v>
      </c>
      <c r="B210" s="54" t="s">
        <v>45</v>
      </c>
      <c r="C210" s="53">
        <v>19.2</v>
      </c>
      <c r="D210" s="53">
        <v>5.2</v>
      </c>
      <c r="E210" s="209" t="e">
        <f t="shared" si="50"/>
        <v>#REF!</v>
      </c>
      <c r="F210" s="185" t="e">
        <f t="shared" si="53"/>
        <v>#REF!</v>
      </c>
      <c r="G210" s="204"/>
      <c r="H210" s="196">
        <v>19.2</v>
      </c>
      <c r="I210" s="53">
        <v>5.2</v>
      </c>
      <c r="J210" s="209" t="e">
        <f t="shared" si="52"/>
        <v>#REF!</v>
      </c>
      <c r="K210" s="49" t="e">
        <f t="shared" si="54"/>
        <v>#REF!</v>
      </c>
    </row>
    <row r="211" spans="1:11">
      <c r="A211" s="147" t="s">
        <v>22</v>
      </c>
      <c r="B211" s="7" t="s">
        <v>46</v>
      </c>
      <c r="C211" s="53">
        <v>21.6</v>
      </c>
      <c r="D211" s="53">
        <v>5.4</v>
      </c>
      <c r="E211" s="209" t="e">
        <f t="shared" si="50"/>
        <v>#REF!</v>
      </c>
      <c r="F211" s="185" t="e">
        <f t="shared" si="53"/>
        <v>#REF!</v>
      </c>
      <c r="G211" s="204"/>
      <c r="H211" s="196">
        <v>21.6</v>
      </c>
      <c r="I211" s="53">
        <v>5.4</v>
      </c>
      <c r="J211" s="209" t="e">
        <f t="shared" si="52"/>
        <v>#REF!</v>
      </c>
      <c r="K211" s="49" t="e">
        <f t="shared" si="54"/>
        <v>#REF!</v>
      </c>
    </row>
    <row r="212" spans="1:11">
      <c r="A212" s="147" t="s">
        <v>23</v>
      </c>
      <c r="B212" s="7" t="s">
        <v>24</v>
      </c>
      <c r="C212" s="53">
        <v>35.799999999999997</v>
      </c>
      <c r="D212" s="53">
        <v>11.9</v>
      </c>
      <c r="E212" s="209" t="e">
        <f t="shared" si="50"/>
        <v>#REF!</v>
      </c>
      <c r="F212" s="192" t="e">
        <f>-(+(E212-C212)/D212)</f>
        <v>#REF!</v>
      </c>
      <c r="G212" s="204"/>
      <c r="H212" s="196">
        <v>35.799999999999997</v>
      </c>
      <c r="I212" s="53">
        <v>11.9</v>
      </c>
      <c r="J212" s="209" t="e">
        <f t="shared" si="52"/>
        <v>#REF!</v>
      </c>
      <c r="K212" s="172" t="e">
        <f>-(+(J212-H212)/I212)</f>
        <v>#REF!</v>
      </c>
    </row>
    <row r="213" spans="1:11">
      <c r="A213" s="147"/>
      <c r="B213" s="7" t="s">
        <v>25</v>
      </c>
      <c r="C213" s="53">
        <v>81.2</v>
      </c>
      <c r="D213" s="53">
        <v>38.5</v>
      </c>
      <c r="E213" s="209" t="e">
        <f t="shared" si="50"/>
        <v>#REF!</v>
      </c>
      <c r="F213" s="185" t="e">
        <f>-(+(E213-C213)/D213)</f>
        <v>#REF!</v>
      </c>
      <c r="G213" s="204"/>
      <c r="H213" s="196">
        <v>81.2</v>
      </c>
      <c r="I213" s="53">
        <v>38.5</v>
      </c>
      <c r="J213" s="209" t="e">
        <f t="shared" si="52"/>
        <v>#REF!</v>
      </c>
      <c r="K213" s="49" t="e">
        <f>-(+(J213-H213)/I213)</f>
        <v>#REF!</v>
      </c>
    </row>
    <row r="214" spans="1:11">
      <c r="A214" s="147" t="s">
        <v>26</v>
      </c>
      <c r="B214" s="7" t="s">
        <v>15</v>
      </c>
      <c r="C214" s="53">
        <v>30.79</v>
      </c>
      <c r="D214" s="53">
        <v>4.21</v>
      </c>
      <c r="E214" s="209" t="e">
        <f t="shared" si="50"/>
        <v>#REF!</v>
      </c>
      <c r="F214" s="185" t="e">
        <f t="shared" ref="F214:F218" si="55">+(E214-C214)/D214</f>
        <v>#REF!</v>
      </c>
      <c r="G214" s="204"/>
      <c r="H214" s="196">
        <v>30.79</v>
      </c>
      <c r="I214" s="53">
        <v>4.21</v>
      </c>
      <c r="J214" s="209" t="e">
        <f t="shared" si="52"/>
        <v>#REF!</v>
      </c>
      <c r="K214" s="49" t="e">
        <f t="shared" ref="K214:K218" si="56">+(J214-H214)/I214</f>
        <v>#REF!</v>
      </c>
    </row>
    <row r="215" spans="1:11">
      <c r="A215" s="147"/>
      <c r="B215" s="7" t="s">
        <v>16</v>
      </c>
      <c r="C215" s="53">
        <v>14.21</v>
      </c>
      <c r="D215" s="53">
        <v>7.5</v>
      </c>
      <c r="E215" s="209" t="e">
        <f t="shared" si="50"/>
        <v>#REF!</v>
      </c>
      <c r="F215" s="185" t="e">
        <f t="shared" si="55"/>
        <v>#REF!</v>
      </c>
      <c r="G215" s="204"/>
      <c r="H215" s="196">
        <v>14.21</v>
      </c>
      <c r="I215" s="53">
        <v>7.5</v>
      </c>
      <c r="J215" s="209" t="e">
        <f t="shared" si="52"/>
        <v>#REF!</v>
      </c>
      <c r="K215" s="49" t="e">
        <f t="shared" si="56"/>
        <v>#REF!</v>
      </c>
    </row>
    <row r="216" spans="1:11">
      <c r="A216" s="147"/>
      <c r="B216" s="7" t="s">
        <v>17</v>
      </c>
      <c r="C216" s="53">
        <v>20</v>
      </c>
      <c r="D216" s="53">
        <v>2</v>
      </c>
      <c r="E216" s="209" t="e">
        <f t="shared" si="50"/>
        <v>#REF!</v>
      </c>
      <c r="F216" s="185" t="e">
        <f t="shared" si="55"/>
        <v>#REF!</v>
      </c>
      <c r="G216" s="204"/>
      <c r="H216" s="196">
        <v>20</v>
      </c>
      <c r="I216" s="53">
        <v>2</v>
      </c>
      <c r="J216" s="209" t="e">
        <f t="shared" si="52"/>
        <v>#REF!</v>
      </c>
      <c r="K216" s="49" t="e">
        <f t="shared" si="56"/>
        <v>#REF!</v>
      </c>
    </row>
    <row r="217" spans="1:11">
      <c r="A217" s="147" t="s">
        <v>27</v>
      </c>
      <c r="B217" s="7" t="s">
        <v>28</v>
      </c>
      <c r="C217" s="53">
        <v>6.28</v>
      </c>
      <c r="D217" s="53">
        <v>1.42</v>
      </c>
      <c r="E217" s="209" t="e">
        <f t="shared" si="50"/>
        <v>#REF!</v>
      </c>
      <c r="F217" s="185" t="e">
        <f t="shared" si="55"/>
        <v>#REF!</v>
      </c>
      <c r="G217" s="204"/>
      <c r="H217" s="196">
        <v>6.28</v>
      </c>
      <c r="I217" s="53">
        <v>1.42</v>
      </c>
      <c r="J217" s="209" t="e">
        <f t="shared" si="52"/>
        <v>#REF!</v>
      </c>
      <c r="K217" s="49" t="e">
        <f t="shared" si="56"/>
        <v>#REF!</v>
      </c>
    </row>
    <row r="218" spans="1:11">
      <c r="A218" s="147"/>
      <c r="B218" s="7" t="s">
        <v>29</v>
      </c>
      <c r="C218" s="53">
        <v>4.4800000000000004</v>
      </c>
      <c r="D218" s="53">
        <v>1.44</v>
      </c>
      <c r="E218" s="209" t="e">
        <f t="shared" si="50"/>
        <v>#REF!</v>
      </c>
      <c r="F218" s="185" t="e">
        <f t="shared" si="55"/>
        <v>#REF!</v>
      </c>
      <c r="G218" s="204"/>
      <c r="H218" s="196">
        <v>4.4800000000000004</v>
      </c>
      <c r="I218" s="53">
        <v>1.44</v>
      </c>
      <c r="J218" s="209" t="e">
        <f t="shared" si="52"/>
        <v>#REF!</v>
      </c>
      <c r="K218" s="49" t="e">
        <f t="shared" si="56"/>
        <v>#REF!</v>
      </c>
    </row>
    <row r="219" spans="1:11">
      <c r="A219" s="147" t="s">
        <v>34</v>
      </c>
      <c r="B219" s="7" t="s">
        <v>39</v>
      </c>
      <c r="C219" s="53">
        <v>0.73</v>
      </c>
      <c r="D219" s="53">
        <v>0.46</v>
      </c>
      <c r="E219" s="209" t="e">
        <f t="shared" si="50"/>
        <v>#REF!</v>
      </c>
      <c r="F219" s="185" t="e">
        <f>-(((E219/15)-(C219))/D219)</f>
        <v>#REF!</v>
      </c>
      <c r="G219" s="204"/>
      <c r="H219" s="196">
        <v>0.73</v>
      </c>
      <c r="I219" s="53">
        <v>0.46</v>
      </c>
      <c r="J219" s="209" t="e">
        <f t="shared" si="52"/>
        <v>#REF!</v>
      </c>
      <c r="K219" s="49" t="e">
        <f>-(((J219/15)-(H219))/I219)</f>
        <v>#REF!</v>
      </c>
    </row>
    <row r="220" spans="1:11">
      <c r="A220" s="147" t="s">
        <v>34</v>
      </c>
      <c r="B220" s="7" t="s">
        <v>40</v>
      </c>
      <c r="C220" s="53">
        <v>0.51</v>
      </c>
      <c r="D220" s="53">
        <v>0.44</v>
      </c>
      <c r="E220" s="209" t="e">
        <f t="shared" si="50"/>
        <v>#REF!</v>
      </c>
      <c r="F220" s="185" t="e">
        <f>-(((E220/15)-(C220))/D220)</f>
        <v>#REF!</v>
      </c>
      <c r="G220" s="204"/>
      <c r="H220" s="196">
        <v>0.51</v>
      </c>
      <c r="I220" s="53">
        <v>0.44</v>
      </c>
      <c r="J220" s="209" t="e">
        <f t="shared" si="52"/>
        <v>#REF!</v>
      </c>
      <c r="K220" s="49" t="e">
        <f>-(((J220/15)-(H220))/I220)</f>
        <v>#REF!</v>
      </c>
    </row>
    <row r="221" spans="1:11">
      <c r="A221" s="147" t="s">
        <v>35</v>
      </c>
      <c r="B221" s="7" t="s">
        <v>36</v>
      </c>
      <c r="C221" s="53">
        <v>3.83</v>
      </c>
      <c r="D221" s="53">
        <v>1.89</v>
      </c>
      <c r="E221" s="209" t="e">
        <f t="shared" si="50"/>
        <v>#REF!</v>
      </c>
      <c r="F221" s="185" t="e">
        <f>+(E221-C221)/D221</f>
        <v>#REF!</v>
      </c>
      <c r="G221" s="204"/>
      <c r="H221" s="196">
        <v>3.83</v>
      </c>
      <c r="I221" s="53">
        <v>1.89</v>
      </c>
      <c r="J221" s="209" t="e">
        <f t="shared" si="52"/>
        <v>#REF!</v>
      </c>
      <c r="K221" s="49" t="e">
        <f>+(J221-H221)/I221</f>
        <v>#REF!</v>
      </c>
    </row>
    <row r="222" spans="1:11">
      <c r="A222" s="147" t="s">
        <v>35</v>
      </c>
      <c r="B222" s="7" t="s">
        <v>37</v>
      </c>
      <c r="C222" s="53">
        <v>4.9000000000000004</v>
      </c>
      <c r="D222" s="53">
        <v>1.66</v>
      </c>
      <c r="E222" s="209" t="e">
        <f t="shared" si="50"/>
        <v>#REF!</v>
      </c>
      <c r="F222" s="185" t="e">
        <f>+(E222-C222)/D222</f>
        <v>#REF!</v>
      </c>
      <c r="G222" s="204"/>
      <c r="H222" s="196">
        <v>4.9000000000000004</v>
      </c>
      <c r="I222" s="53">
        <v>1.66</v>
      </c>
      <c r="J222" s="209" t="e">
        <f t="shared" si="52"/>
        <v>#REF!</v>
      </c>
      <c r="K222" s="49" t="e">
        <f>+(J222-H222)/I222</f>
        <v>#REF!</v>
      </c>
    </row>
    <row r="223" spans="1:11">
      <c r="A223" s="147" t="s">
        <v>35</v>
      </c>
      <c r="B223" s="7" t="s">
        <v>38</v>
      </c>
      <c r="C223" s="53">
        <v>5.29</v>
      </c>
      <c r="D223" s="53">
        <v>1.31</v>
      </c>
      <c r="E223" s="209" t="e">
        <f t="shared" si="50"/>
        <v>#REF!</v>
      </c>
      <c r="F223" s="185" t="e">
        <f>+(E223-C223)/D223</f>
        <v>#REF!</v>
      </c>
      <c r="G223" s="204"/>
      <c r="H223" s="196">
        <v>5.29</v>
      </c>
      <c r="I223" s="53">
        <v>1.31</v>
      </c>
      <c r="J223" s="209" t="e">
        <f t="shared" si="52"/>
        <v>#REF!</v>
      </c>
      <c r="K223" s="49" t="e">
        <f>+(J223-H223)/I223</f>
        <v>#REF!</v>
      </c>
    </row>
    <row r="225" spans="1:11" ht="16.5" thickBot="1">
      <c r="A225" s="379" t="s">
        <v>560</v>
      </c>
      <c r="B225" s="379"/>
      <c r="C225" s="379"/>
      <c r="D225" s="379"/>
      <c r="E225" s="379"/>
      <c r="F225" s="379"/>
      <c r="G225" s="179"/>
      <c r="H225" s="376"/>
      <c r="I225" s="376"/>
      <c r="J225" s="376"/>
      <c r="K225" s="376"/>
    </row>
    <row r="226" spans="1:11">
      <c r="A226" s="144" t="s">
        <v>0</v>
      </c>
      <c r="B226" s="168"/>
      <c r="C226" s="168" t="s">
        <v>1</v>
      </c>
      <c r="D226" s="169" t="s">
        <v>2</v>
      </c>
      <c r="E226" s="170" t="s">
        <v>3</v>
      </c>
      <c r="F226" s="171" t="s">
        <v>4</v>
      </c>
      <c r="G226" s="180"/>
      <c r="H226" s="195" t="s">
        <v>1</v>
      </c>
      <c r="I226" s="145" t="s">
        <v>2</v>
      </c>
      <c r="J226" s="145" t="s">
        <v>549</v>
      </c>
      <c r="K226" s="146" t="s">
        <v>4</v>
      </c>
    </row>
    <row r="227" spans="1:11">
      <c r="A227" s="147" t="s">
        <v>14</v>
      </c>
      <c r="B227" s="7" t="s">
        <v>15</v>
      </c>
      <c r="C227" s="53">
        <v>20.48</v>
      </c>
      <c r="D227" s="53">
        <v>6.42</v>
      </c>
      <c r="E227" s="209" t="e">
        <f>E3</f>
        <v>#REF!</v>
      </c>
      <c r="F227" s="185" t="e">
        <f t="shared" ref="F227:F233" si="57">+(E227-C227)/D227</f>
        <v>#REF!</v>
      </c>
      <c r="G227" s="204"/>
      <c r="H227" s="196">
        <v>20.48</v>
      </c>
      <c r="I227" s="53">
        <v>6.42</v>
      </c>
      <c r="J227" s="209" t="e">
        <f>E3</f>
        <v>#REF!</v>
      </c>
      <c r="K227" s="49" t="e">
        <f t="shared" ref="K227:K233" si="58">+(J227-H227)/I227</f>
        <v>#REF!</v>
      </c>
    </row>
    <row r="228" spans="1:11">
      <c r="A228" s="147"/>
      <c r="B228" s="7" t="s">
        <v>16</v>
      </c>
      <c r="C228" s="53">
        <v>17.34</v>
      </c>
      <c r="D228" s="53">
        <v>6.71</v>
      </c>
      <c r="E228" s="209" t="e">
        <f t="shared" ref="E228:E251" si="59">E4</f>
        <v>#REF!</v>
      </c>
      <c r="F228" s="185" t="e">
        <f t="shared" si="57"/>
        <v>#REF!</v>
      </c>
      <c r="G228" s="204"/>
      <c r="H228" s="196">
        <v>17.34</v>
      </c>
      <c r="I228" s="53">
        <v>6.71</v>
      </c>
      <c r="J228" s="209" t="e">
        <f t="shared" ref="J228:J251" si="60">E4</f>
        <v>#REF!</v>
      </c>
      <c r="K228" s="49" t="e">
        <f t="shared" si="58"/>
        <v>#REF!</v>
      </c>
    </row>
    <row r="229" spans="1:11">
      <c r="A229" s="147" t="s">
        <v>18</v>
      </c>
      <c r="B229" s="7" t="s">
        <v>19</v>
      </c>
      <c r="C229" s="53">
        <v>5.2</v>
      </c>
      <c r="D229" s="53">
        <v>1.6</v>
      </c>
      <c r="E229" s="209" t="e">
        <f t="shared" si="59"/>
        <v>#REF!</v>
      </c>
      <c r="F229" s="185" t="e">
        <f t="shared" si="57"/>
        <v>#REF!</v>
      </c>
      <c r="G229" s="204"/>
      <c r="H229" s="196">
        <v>6.3</v>
      </c>
      <c r="I229" s="53">
        <v>2.1</v>
      </c>
      <c r="J229" s="209" t="e">
        <f t="shared" si="60"/>
        <v>#REF!</v>
      </c>
      <c r="K229" s="49" t="e">
        <f t="shared" si="58"/>
        <v>#REF!</v>
      </c>
    </row>
    <row r="230" spans="1:11">
      <c r="A230" s="147"/>
      <c r="B230" s="7" t="s">
        <v>15</v>
      </c>
      <c r="C230" s="53">
        <v>37.6</v>
      </c>
      <c r="D230" s="53">
        <v>9.8000000000000007</v>
      </c>
      <c r="E230" s="209" t="e">
        <f t="shared" si="59"/>
        <v>#REF!</v>
      </c>
      <c r="F230" s="185" t="e">
        <f t="shared" si="57"/>
        <v>#REF!</v>
      </c>
      <c r="G230" s="204"/>
      <c r="H230" s="196">
        <v>49.9</v>
      </c>
      <c r="I230" s="53">
        <v>7.5</v>
      </c>
      <c r="J230" s="209" t="e">
        <f t="shared" si="60"/>
        <v>#REF!</v>
      </c>
      <c r="K230" s="49" t="e">
        <f t="shared" si="58"/>
        <v>#REF!</v>
      </c>
    </row>
    <row r="231" spans="1:11">
      <c r="A231" s="147"/>
      <c r="B231" s="7" t="s">
        <v>20</v>
      </c>
      <c r="C231" s="53">
        <v>4.7</v>
      </c>
      <c r="D231" s="53">
        <v>1.5</v>
      </c>
      <c r="E231" s="209" t="e">
        <f t="shared" si="59"/>
        <v>#REF!</v>
      </c>
      <c r="F231" s="185" t="e">
        <f t="shared" si="57"/>
        <v>#REF!</v>
      </c>
      <c r="G231" s="204"/>
      <c r="H231" s="196">
        <v>5.6</v>
      </c>
      <c r="I231" s="53">
        <v>1.2</v>
      </c>
      <c r="J231" s="209" t="e">
        <f t="shared" si="60"/>
        <v>#REF!</v>
      </c>
      <c r="K231" s="49" t="e">
        <f t="shared" si="58"/>
        <v>#REF!</v>
      </c>
    </row>
    <row r="232" spans="1:11">
      <c r="A232" s="147"/>
      <c r="B232" s="7" t="s">
        <v>16</v>
      </c>
      <c r="C232" s="53">
        <v>6.8</v>
      </c>
      <c r="D232" s="53">
        <v>3.7</v>
      </c>
      <c r="E232" s="209" t="e">
        <f t="shared" si="59"/>
        <v>#REF!</v>
      </c>
      <c r="F232" s="185" t="e">
        <f t="shared" si="57"/>
        <v>#REF!</v>
      </c>
      <c r="G232" s="204"/>
      <c r="H232" s="196">
        <v>10.199999999999999</v>
      </c>
      <c r="I232" s="53">
        <v>2.5</v>
      </c>
      <c r="J232" s="209" t="e">
        <f t="shared" si="60"/>
        <v>#REF!</v>
      </c>
      <c r="K232" s="49" t="e">
        <f t="shared" si="58"/>
        <v>#REF!</v>
      </c>
    </row>
    <row r="233" spans="1:11">
      <c r="A233" s="147"/>
      <c r="B233" s="7" t="s">
        <v>17</v>
      </c>
      <c r="C233" s="53">
        <v>10.1</v>
      </c>
      <c r="D233" s="53">
        <v>3.3</v>
      </c>
      <c r="E233" s="209" t="e">
        <f t="shared" si="59"/>
        <v>#REF!</v>
      </c>
      <c r="F233" s="185" t="e">
        <f t="shared" si="57"/>
        <v>#REF!</v>
      </c>
      <c r="G233" s="204"/>
      <c r="H233" s="196">
        <v>11.3</v>
      </c>
      <c r="I233" s="53">
        <v>2.8</v>
      </c>
      <c r="J233" s="209" t="e">
        <f t="shared" si="60"/>
        <v>#REF!</v>
      </c>
      <c r="K233" s="49" t="e">
        <f t="shared" si="58"/>
        <v>#REF!</v>
      </c>
    </row>
    <row r="234" spans="1:11">
      <c r="A234" s="147" t="s">
        <v>21</v>
      </c>
      <c r="B234" s="7" t="s">
        <v>44</v>
      </c>
      <c r="C234" s="53">
        <v>10.8</v>
      </c>
      <c r="D234" s="49">
        <v>3.1</v>
      </c>
      <c r="E234" s="209" t="e">
        <f t="shared" si="59"/>
        <v>#REF!</v>
      </c>
      <c r="F234" s="185" t="e">
        <f t="shared" ref="F234:F239" si="61">+(E234-C234)/D234</f>
        <v>#REF!</v>
      </c>
      <c r="G234" s="204"/>
      <c r="H234" s="196">
        <v>10.8</v>
      </c>
      <c r="I234" s="53">
        <v>3.1</v>
      </c>
      <c r="J234" s="209" t="e">
        <f t="shared" si="60"/>
        <v>#REF!</v>
      </c>
      <c r="K234" s="49" t="e">
        <f t="shared" ref="K234:K239" si="62">+(J234-H234)/I234</f>
        <v>#REF!</v>
      </c>
    </row>
    <row r="235" spans="1:11">
      <c r="A235" s="147" t="s">
        <v>21</v>
      </c>
      <c r="B235" s="54" t="s">
        <v>45</v>
      </c>
      <c r="C235" s="53">
        <v>14.5</v>
      </c>
      <c r="D235" s="49">
        <v>3.5</v>
      </c>
      <c r="E235" s="209" t="e">
        <f t="shared" si="59"/>
        <v>#REF!</v>
      </c>
      <c r="F235" s="185" t="e">
        <f t="shared" si="61"/>
        <v>#REF!</v>
      </c>
      <c r="G235" s="204"/>
      <c r="H235" s="196">
        <v>14.5</v>
      </c>
      <c r="I235" s="53">
        <v>3.5</v>
      </c>
      <c r="J235" s="209" t="e">
        <f t="shared" si="60"/>
        <v>#REF!</v>
      </c>
      <c r="K235" s="49" t="e">
        <f t="shared" si="62"/>
        <v>#REF!</v>
      </c>
    </row>
    <row r="236" spans="1:11">
      <c r="A236" s="147" t="s">
        <v>21</v>
      </c>
      <c r="B236" s="7" t="s">
        <v>46</v>
      </c>
      <c r="C236" s="53">
        <v>16.399999999999999</v>
      </c>
      <c r="D236" s="49">
        <v>4.5</v>
      </c>
      <c r="E236" s="209" t="e">
        <f t="shared" si="59"/>
        <v>#REF!</v>
      </c>
      <c r="F236" s="185" t="e">
        <f t="shared" si="61"/>
        <v>#REF!</v>
      </c>
      <c r="G236" s="204"/>
      <c r="H236" s="196">
        <v>16.399999999999999</v>
      </c>
      <c r="I236" s="53">
        <v>4.5</v>
      </c>
      <c r="J236" s="209" t="e">
        <f t="shared" si="60"/>
        <v>#REF!</v>
      </c>
      <c r="K236" s="49" t="e">
        <f t="shared" si="62"/>
        <v>#REF!</v>
      </c>
    </row>
    <row r="237" spans="1:11">
      <c r="A237" s="147" t="s">
        <v>22</v>
      </c>
      <c r="B237" s="7" t="s">
        <v>44</v>
      </c>
      <c r="C237" s="53">
        <v>15.4</v>
      </c>
      <c r="D237" s="49">
        <v>3.9</v>
      </c>
      <c r="E237" s="209" t="e">
        <f t="shared" si="59"/>
        <v>#REF!</v>
      </c>
      <c r="F237" s="185" t="e">
        <f t="shared" si="61"/>
        <v>#REF!</v>
      </c>
      <c r="G237" s="204"/>
      <c r="H237" s="196">
        <v>15.4</v>
      </c>
      <c r="I237" s="53">
        <v>3.9</v>
      </c>
      <c r="J237" s="209" t="e">
        <f t="shared" si="60"/>
        <v>#REF!</v>
      </c>
      <c r="K237" s="49" t="e">
        <f t="shared" si="62"/>
        <v>#REF!</v>
      </c>
    </row>
    <row r="238" spans="1:11">
      <c r="A238" s="147" t="s">
        <v>22</v>
      </c>
      <c r="B238" s="54" t="s">
        <v>45</v>
      </c>
      <c r="C238" s="53">
        <v>19.3</v>
      </c>
      <c r="D238" s="49">
        <v>5.0999999999999996</v>
      </c>
      <c r="E238" s="209" t="e">
        <f t="shared" si="59"/>
        <v>#REF!</v>
      </c>
      <c r="F238" s="185" t="e">
        <f t="shared" si="61"/>
        <v>#REF!</v>
      </c>
      <c r="G238" s="204"/>
      <c r="H238" s="196">
        <v>19.3</v>
      </c>
      <c r="I238" s="53">
        <v>5.0999999999999996</v>
      </c>
      <c r="J238" s="209" t="e">
        <f t="shared" si="60"/>
        <v>#REF!</v>
      </c>
      <c r="K238" s="49" t="e">
        <f t="shared" si="62"/>
        <v>#REF!</v>
      </c>
    </row>
    <row r="239" spans="1:11">
      <c r="A239" s="147" t="s">
        <v>22</v>
      </c>
      <c r="B239" s="7" t="s">
        <v>46</v>
      </c>
      <c r="C239" s="53">
        <v>19.5</v>
      </c>
      <c r="D239" s="49">
        <v>5.5</v>
      </c>
      <c r="E239" s="209" t="e">
        <f t="shared" si="59"/>
        <v>#REF!</v>
      </c>
      <c r="F239" s="185" t="e">
        <f t="shared" si="61"/>
        <v>#REF!</v>
      </c>
      <c r="G239" s="204"/>
      <c r="H239" s="196">
        <v>19.5</v>
      </c>
      <c r="I239" s="53">
        <v>5.5</v>
      </c>
      <c r="J239" s="209" t="e">
        <f t="shared" si="60"/>
        <v>#REF!</v>
      </c>
      <c r="K239" s="49" t="e">
        <f t="shared" si="62"/>
        <v>#REF!</v>
      </c>
    </row>
    <row r="240" spans="1:11">
      <c r="A240" s="147" t="s">
        <v>23</v>
      </c>
      <c r="B240" s="7" t="s">
        <v>24</v>
      </c>
      <c r="C240" s="53">
        <v>35.799999999999997</v>
      </c>
      <c r="D240" s="53">
        <v>11.9</v>
      </c>
      <c r="E240" s="209" t="e">
        <f t="shared" si="59"/>
        <v>#REF!</v>
      </c>
      <c r="F240" s="185" t="e">
        <f>-(+(E240-C240)/D240)</f>
        <v>#REF!</v>
      </c>
      <c r="G240" s="204"/>
      <c r="H240" s="196">
        <v>35.799999999999997</v>
      </c>
      <c r="I240" s="53">
        <v>11.9</v>
      </c>
      <c r="J240" s="209" t="e">
        <f t="shared" si="60"/>
        <v>#REF!</v>
      </c>
      <c r="K240" s="49" t="e">
        <f>-(+(J240-H240)/I240)</f>
        <v>#REF!</v>
      </c>
    </row>
    <row r="241" spans="1:11">
      <c r="A241" s="147"/>
      <c r="B241" s="7" t="s">
        <v>25</v>
      </c>
      <c r="C241" s="53">
        <v>81.2</v>
      </c>
      <c r="D241" s="53">
        <v>38.5</v>
      </c>
      <c r="E241" s="209" t="e">
        <f t="shared" si="59"/>
        <v>#REF!</v>
      </c>
      <c r="F241" s="185" t="e">
        <f>-(+(E241-C241)/D241)</f>
        <v>#REF!</v>
      </c>
      <c r="G241" s="204"/>
      <c r="H241" s="196">
        <v>81.2</v>
      </c>
      <c r="I241" s="53">
        <v>38.5</v>
      </c>
      <c r="J241" s="209" t="e">
        <f t="shared" si="60"/>
        <v>#REF!</v>
      </c>
      <c r="K241" s="49" t="e">
        <f>-(+(J241-H241)/I241)</f>
        <v>#REF!</v>
      </c>
    </row>
    <row r="242" spans="1:11">
      <c r="A242" s="147" t="s">
        <v>26</v>
      </c>
      <c r="B242" s="7" t="s">
        <v>15</v>
      </c>
      <c r="C242" s="53">
        <v>30.79</v>
      </c>
      <c r="D242" s="53">
        <v>4.21</v>
      </c>
      <c r="E242" s="209" t="e">
        <f t="shared" si="59"/>
        <v>#REF!</v>
      </c>
      <c r="F242" s="185" t="e">
        <f t="shared" ref="F242:F246" si="63">+(E242-C242)/D242</f>
        <v>#REF!</v>
      </c>
      <c r="G242" s="204"/>
      <c r="H242" s="196">
        <v>30.79</v>
      </c>
      <c r="I242" s="53">
        <v>4.21</v>
      </c>
      <c r="J242" s="209" t="e">
        <f t="shared" si="60"/>
        <v>#REF!</v>
      </c>
      <c r="K242" s="49" t="e">
        <f t="shared" ref="K242:K246" si="64">+(J242-H242)/I242</f>
        <v>#REF!</v>
      </c>
    </row>
    <row r="243" spans="1:11">
      <c r="A243" s="147"/>
      <c r="B243" s="7" t="s">
        <v>16</v>
      </c>
      <c r="C243" s="53">
        <v>14.21</v>
      </c>
      <c r="D243" s="53">
        <v>7.5</v>
      </c>
      <c r="E243" s="209" t="e">
        <f t="shared" si="59"/>
        <v>#REF!</v>
      </c>
      <c r="F243" s="185" t="e">
        <f t="shared" si="63"/>
        <v>#REF!</v>
      </c>
      <c r="G243" s="204"/>
      <c r="H243" s="196">
        <v>14.21</v>
      </c>
      <c r="I243" s="53">
        <v>7.5</v>
      </c>
      <c r="J243" s="209" t="e">
        <f t="shared" si="60"/>
        <v>#REF!</v>
      </c>
      <c r="K243" s="49" t="e">
        <f t="shared" si="64"/>
        <v>#REF!</v>
      </c>
    </row>
    <row r="244" spans="1:11">
      <c r="A244" s="147"/>
      <c r="B244" s="7" t="s">
        <v>17</v>
      </c>
      <c r="C244" s="53">
        <v>20</v>
      </c>
      <c r="D244" s="53">
        <v>2</v>
      </c>
      <c r="E244" s="209" t="e">
        <f t="shared" si="59"/>
        <v>#REF!</v>
      </c>
      <c r="F244" s="185" t="e">
        <f t="shared" si="63"/>
        <v>#REF!</v>
      </c>
      <c r="G244" s="204"/>
      <c r="H244" s="196">
        <v>20</v>
      </c>
      <c r="I244" s="53">
        <v>2</v>
      </c>
      <c r="J244" s="209" t="e">
        <f t="shared" si="60"/>
        <v>#REF!</v>
      </c>
      <c r="K244" s="49" t="e">
        <f t="shared" si="64"/>
        <v>#REF!</v>
      </c>
    </row>
    <row r="245" spans="1:11">
      <c r="A245" s="147" t="s">
        <v>27</v>
      </c>
      <c r="B245" s="7" t="s">
        <v>28</v>
      </c>
      <c r="C245" s="53">
        <v>6.28</v>
      </c>
      <c r="D245" s="53">
        <v>1.42</v>
      </c>
      <c r="E245" s="209" t="e">
        <f t="shared" si="59"/>
        <v>#REF!</v>
      </c>
      <c r="F245" s="185" t="e">
        <f t="shared" si="63"/>
        <v>#REF!</v>
      </c>
      <c r="G245" s="204"/>
      <c r="H245" s="196">
        <v>6.28</v>
      </c>
      <c r="I245" s="53">
        <v>1.42</v>
      </c>
      <c r="J245" s="209" t="e">
        <f t="shared" si="60"/>
        <v>#REF!</v>
      </c>
      <c r="K245" s="49" t="e">
        <f t="shared" si="64"/>
        <v>#REF!</v>
      </c>
    </row>
    <row r="246" spans="1:11">
      <c r="A246" s="147"/>
      <c r="B246" s="7" t="s">
        <v>29</v>
      </c>
      <c r="C246" s="53">
        <v>4.4800000000000004</v>
      </c>
      <c r="D246" s="53">
        <v>1.44</v>
      </c>
      <c r="E246" s="209" t="e">
        <f t="shared" si="59"/>
        <v>#REF!</v>
      </c>
      <c r="F246" s="185" t="e">
        <f t="shared" si="63"/>
        <v>#REF!</v>
      </c>
      <c r="G246" s="204"/>
      <c r="H246" s="196">
        <v>4.4800000000000004</v>
      </c>
      <c r="I246" s="53">
        <v>1.44</v>
      </c>
      <c r="J246" s="209" t="e">
        <f t="shared" si="60"/>
        <v>#REF!</v>
      </c>
      <c r="K246" s="49" t="e">
        <f t="shared" si="64"/>
        <v>#REF!</v>
      </c>
    </row>
    <row r="247" spans="1:11">
      <c r="A247" s="147" t="s">
        <v>34</v>
      </c>
      <c r="B247" s="7" t="s">
        <v>39</v>
      </c>
      <c r="C247" s="53">
        <v>0.81</v>
      </c>
      <c r="D247" s="53">
        <v>0.53</v>
      </c>
      <c r="E247" s="209" t="e">
        <f t="shared" si="59"/>
        <v>#REF!</v>
      </c>
      <c r="F247" s="185" t="e">
        <f>-(((E247/15)-(C247))/D247)</f>
        <v>#REF!</v>
      </c>
      <c r="G247" s="204"/>
      <c r="H247" s="196">
        <v>0.81</v>
      </c>
      <c r="I247" s="53">
        <v>0.53</v>
      </c>
      <c r="J247" s="209" t="e">
        <f t="shared" si="60"/>
        <v>#REF!</v>
      </c>
      <c r="K247" s="49" t="e">
        <f>-(((J247/15)-(H247))/I247)</f>
        <v>#REF!</v>
      </c>
    </row>
    <row r="248" spans="1:11">
      <c r="A248" s="147" t="s">
        <v>34</v>
      </c>
      <c r="B248" s="7" t="s">
        <v>40</v>
      </c>
      <c r="C248" s="53">
        <v>0.72</v>
      </c>
      <c r="D248" s="53">
        <v>0.6</v>
      </c>
      <c r="E248" s="209" t="e">
        <f t="shared" si="59"/>
        <v>#REF!</v>
      </c>
      <c r="F248" s="185" t="e">
        <f>-(((E248/15)-(C248))/D248)</f>
        <v>#REF!</v>
      </c>
      <c r="G248" s="204"/>
      <c r="H248" s="196">
        <v>0.72</v>
      </c>
      <c r="I248" s="53">
        <v>0.6</v>
      </c>
      <c r="J248" s="209" t="e">
        <f t="shared" si="60"/>
        <v>#REF!</v>
      </c>
      <c r="K248" s="49" t="e">
        <f>-(((J248/15)-(H248))/I248)</f>
        <v>#REF!</v>
      </c>
    </row>
    <row r="249" spans="1:11">
      <c r="A249" s="147" t="s">
        <v>35</v>
      </c>
      <c r="B249" s="7" t="s">
        <v>36</v>
      </c>
      <c r="C249" s="53">
        <v>3.83</v>
      </c>
      <c r="D249" s="53">
        <v>1.89</v>
      </c>
      <c r="E249" s="209" t="e">
        <f t="shared" si="59"/>
        <v>#REF!</v>
      </c>
      <c r="F249" s="185" t="e">
        <f>+(E249-C249)/D249</f>
        <v>#REF!</v>
      </c>
      <c r="G249" s="204"/>
      <c r="H249" s="196">
        <v>3.83</v>
      </c>
      <c r="I249" s="53">
        <v>1.89</v>
      </c>
      <c r="J249" s="209" t="e">
        <f t="shared" si="60"/>
        <v>#REF!</v>
      </c>
      <c r="K249" s="49" t="e">
        <f>+(J249-H249)/I249</f>
        <v>#REF!</v>
      </c>
    </row>
    <row r="250" spans="1:11">
      <c r="A250" s="147" t="s">
        <v>35</v>
      </c>
      <c r="B250" s="7" t="s">
        <v>37</v>
      </c>
      <c r="C250" s="53">
        <v>4.9000000000000004</v>
      </c>
      <c r="D250" s="53">
        <v>1.66</v>
      </c>
      <c r="E250" s="209" t="e">
        <f t="shared" si="59"/>
        <v>#REF!</v>
      </c>
      <c r="F250" s="185" t="e">
        <f>+(E250-C250)/D250</f>
        <v>#REF!</v>
      </c>
      <c r="G250" s="204"/>
      <c r="H250" s="196">
        <v>4.9000000000000004</v>
      </c>
      <c r="I250" s="53">
        <v>1.66</v>
      </c>
      <c r="J250" s="209" t="e">
        <f t="shared" si="60"/>
        <v>#REF!</v>
      </c>
      <c r="K250" s="49" t="e">
        <f>+(J250-H250)/I250</f>
        <v>#REF!</v>
      </c>
    </row>
    <row r="251" spans="1:11">
      <c r="A251" s="147" t="s">
        <v>35</v>
      </c>
      <c r="B251" s="7" t="s">
        <v>38</v>
      </c>
      <c r="C251" s="53">
        <v>5.29</v>
      </c>
      <c r="D251" s="53">
        <v>1.31</v>
      </c>
      <c r="E251" s="209" t="e">
        <f t="shared" si="59"/>
        <v>#REF!</v>
      </c>
      <c r="F251" s="185" t="e">
        <f>+(E251-C251)/D251</f>
        <v>#REF!</v>
      </c>
      <c r="G251" s="204"/>
      <c r="H251" s="196">
        <v>5.29</v>
      </c>
      <c r="I251" s="53">
        <v>1.31</v>
      </c>
      <c r="J251" s="209" t="e">
        <f t="shared" si="60"/>
        <v>#REF!</v>
      </c>
      <c r="K251" s="49" t="e">
        <f>+(J251-H251)/I251</f>
        <v>#REF!</v>
      </c>
    </row>
    <row r="253" spans="1:11" ht="16.5" thickBot="1">
      <c r="A253" s="379" t="s">
        <v>561</v>
      </c>
      <c r="B253" s="379"/>
      <c r="C253" s="379"/>
      <c r="D253" s="379"/>
      <c r="E253" s="379"/>
      <c r="F253" s="379"/>
      <c r="G253" s="179"/>
      <c r="H253" s="376"/>
      <c r="I253" s="376"/>
      <c r="J253" s="376"/>
      <c r="K253" s="376"/>
    </row>
    <row r="254" spans="1:11">
      <c r="A254" s="144" t="s">
        <v>0</v>
      </c>
      <c r="B254" s="173"/>
      <c r="C254" s="173" t="s">
        <v>1</v>
      </c>
      <c r="D254" s="174" t="s">
        <v>2</v>
      </c>
      <c r="E254" s="175" t="s">
        <v>3</v>
      </c>
      <c r="F254" s="175" t="s">
        <v>4</v>
      </c>
      <c r="G254" s="181"/>
      <c r="H254" s="195" t="s">
        <v>1</v>
      </c>
      <c r="I254" s="145" t="s">
        <v>2</v>
      </c>
      <c r="J254" s="145" t="s">
        <v>549</v>
      </c>
      <c r="K254" s="146" t="s">
        <v>4</v>
      </c>
    </row>
    <row r="255" spans="1:11">
      <c r="A255" s="147" t="s">
        <v>14</v>
      </c>
      <c r="B255" s="7" t="s">
        <v>15</v>
      </c>
      <c r="C255" s="53">
        <v>19.11</v>
      </c>
      <c r="D255" s="53">
        <v>6.74</v>
      </c>
      <c r="E255" s="209" t="e">
        <f>E3</f>
        <v>#REF!</v>
      </c>
      <c r="F255" s="185" t="e">
        <f t="shared" ref="F255:F261" si="65">+(E255-C255)/D255</f>
        <v>#REF!</v>
      </c>
      <c r="G255" s="204"/>
      <c r="H255" s="196">
        <v>19.11</v>
      </c>
      <c r="I255" s="53">
        <v>6.74</v>
      </c>
      <c r="J255" s="209" t="e">
        <f>E3</f>
        <v>#REF!</v>
      </c>
      <c r="K255" s="49" t="e">
        <f t="shared" ref="K255:K261" si="66">+(J255-H255)/I255</f>
        <v>#REF!</v>
      </c>
    </row>
    <row r="256" spans="1:11">
      <c r="A256" s="147"/>
      <c r="B256" s="7" t="s">
        <v>16</v>
      </c>
      <c r="C256" s="53">
        <v>15.33</v>
      </c>
      <c r="D256" s="53">
        <v>7.57</v>
      </c>
      <c r="E256" s="209" t="e">
        <f t="shared" ref="E256:E279" si="67">E4</f>
        <v>#REF!</v>
      </c>
      <c r="F256" s="185" t="e">
        <f t="shared" si="65"/>
        <v>#REF!</v>
      </c>
      <c r="G256" s="204"/>
      <c r="H256" s="196">
        <v>15.33</v>
      </c>
      <c r="I256" s="53">
        <v>7.57</v>
      </c>
      <c r="J256" s="209" t="e">
        <f t="shared" ref="J256:J279" si="68">E4</f>
        <v>#REF!</v>
      </c>
      <c r="K256" s="49" t="e">
        <f t="shared" si="66"/>
        <v>#REF!</v>
      </c>
    </row>
    <row r="257" spans="1:11">
      <c r="A257" s="147" t="s">
        <v>18</v>
      </c>
      <c r="B257" s="7" t="s">
        <v>19</v>
      </c>
      <c r="C257" s="53">
        <v>3.6</v>
      </c>
      <c r="D257" s="53">
        <v>0.8</v>
      </c>
      <c r="E257" s="209" t="e">
        <f t="shared" si="67"/>
        <v>#REF!</v>
      </c>
      <c r="F257" s="185" t="e">
        <f t="shared" si="65"/>
        <v>#REF!</v>
      </c>
      <c r="G257" s="204"/>
      <c r="H257" s="196">
        <v>5.6</v>
      </c>
      <c r="I257" s="53">
        <v>1.4</v>
      </c>
      <c r="J257" s="209" t="e">
        <f t="shared" si="68"/>
        <v>#REF!</v>
      </c>
      <c r="K257" s="49" t="e">
        <f t="shared" si="66"/>
        <v>#REF!</v>
      </c>
    </row>
    <row r="258" spans="1:11">
      <c r="A258" s="147"/>
      <c r="B258" s="7" t="s">
        <v>15</v>
      </c>
      <c r="C258" s="53">
        <v>32.6</v>
      </c>
      <c r="D258" s="53">
        <v>8.3000000000000007</v>
      </c>
      <c r="E258" s="209" t="e">
        <f t="shared" si="67"/>
        <v>#REF!</v>
      </c>
      <c r="F258" s="185" t="e">
        <f t="shared" si="65"/>
        <v>#REF!</v>
      </c>
      <c r="G258" s="204"/>
      <c r="H258" s="196">
        <v>41.6</v>
      </c>
      <c r="I258" s="53">
        <v>6.6</v>
      </c>
      <c r="J258" s="209" t="e">
        <f t="shared" si="68"/>
        <v>#REF!</v>
      </c>
      <c r="K258" s="49" t="e">
        <f t="shared" si="66"/>
        <v>#REF!</v>
      </c>
    </row>
    <row r="259" spans="1:11">
      <c r="A259" s="147"/>
      <c r="B259" s="7" t="s">
        <v>20</v>
      </c>
      <c r="C259" s="53">
        <v>3.5</v>
      </c>
      <c r="D259" s="53">
        <v>1.2</v>
      </c>
      <c r="E259" s="209" t="e">
        <f t="shared" si="67"/>
        <v>#REF!</v>
      </c>
      <c r="F259" s="185" t="e">
        <f t="shared" si="65"/>
        <v>#REF!</v>
      </c>
      <c r="G259" s="204"/>
      <c r="H259" s="196">
        <v>4.2</v>
      </c>
      <c r="I259" s="53">
        <v>1.9</v>
      </c>
      <c r="J259" s="209" t="e">
        <f t="shared" si="68"/>
        <v>#REF!</v>
      </c>
      <c r="K259" s="49" t="e">
        <f t="shared" si="66"/>
        <v>#REF!</v>
      </c>
    </row>
    <row r="260" spans="1:11">
      <c r="A260" s="147"/>
      <c r="B260" s="7" t="s">
        <v>16</v>
      </c>
      <c r="C260" s="53">
        <v>5.6</v>
      </c>
      <c r="D260" s="53">
        <v>2.6</v>
      </c>
      <c r="E260" s="209" t="e">
        <f t="shared" si="67"/>
        <v>#REF!</v>
      </c>
      <c r="F260" s="185" t="e">
        <f t="shared" si="65"/>
        <v>#REF!</v>
      </c>
      <c r="G260" s="204"/>
      <c r="H260" s="196">
        <v>8.3000000000000007</v>
      </c>
      <c r="I260" s="53">
        <v>2.1</v>
      </c>
      <c r="J260" s="209" t="e">
        <f t="shared" si="68"/>
        <v>#REF!</v>
      </c>
      <c r="K260" s="49" t="e">
        <f t="shared" si="66"/>
        <v>#REF!</v>
      </c>
    </row>
    <row r="261" spans="1:11">
      <c r="A261" s="147"/>
      <c r="B261" s="7" t="s">
        <v>17</v>
      </c>
      <c r="C261" s="53">
        <v>11.5</v>
      </c>
      <c r="D261" s="53">
        <v>2.6</v>
      </c>
      <c r="E261" s="209" t="e">
        <f t="shared" si="67"/>
        <v>#REF!</v>
      </c>
      <c r="F261" s="185" t="e">
        <f t="shared" si="65"/>
        <v>#REF!</v>
      </c>
      <c r="G261" s="204"/>
      <c r="H261" s="196">
        <v>13.6</v>
      </c>
      <c r="I261" s="53">
        <v>2</v>
      </c>
      <c r="J261" s="209" t="e">
        <f t="shared" si="68"/>
        <v>#REF!</v>
      </c>
      <c r="K261" s="49" t="e">
        <f t="shared" si="66"/>
        <v>#REF!</v>
      </c>
    </row>
    <row r="262" spans="1:11">
      <c r="A262" s="147" t="s">
        <v>21</v>
      </c>
      <c r="B262" s="7" t="s">
        <v>44</v>
      </c>
      <c r="C262" s="53">
        <v>10.8</v>
      </c>
      <c r="D262" s="53">
        <v>3.1</v>
      </c>
      <c r="E262" s="209" t="e">
        <f t="shared" si="67"/>
        <v>#REF!</v>
      </c>
      <c r="F262" s="185" t="e">
        <f t="shared" ref="F262:F267" si="69">+(E262-C262)/D262</f>
        <v>#REF!</v>
      </c>
      <c r="G262" s="204"/>
      <c r="H262" s="196">
        <v>10.8</v>
      </c>
      <c r="I262" s="53">
        <v>3.1</v>
      </c>
      <c r="J262" s="209" t="e">
        <f t="shared" si="68"/>
        <v>#REF!</v>
      </c>
      <c r="K262" s="49" t="e">
        <f t="shared" ref="K262:K267" si="70">+(J262-H262)/I262</f>
        <v>#REF!</v>
      </c>
    </row>
    <row r="263" spans="1:11">
      <c r="A263" s="147" t="s">
        <v>21</v>
      </c>
      <c r="B263" s="54" t="s">
        <v>45</v>
      </c>
      <c r="C263" s="53">
        <v>14.5</v>
      </c>
      <c r="D263" s="53">
        <v>3.5</v>
      </c>
      <c r="E263" s="209" t="e">
        <f t="shared" si="67"/>
        <v>#REF!</v>
      </c>
      <c r="F263" s="185" t="e">
        <f t="shared" si="69"/>
        <v>#REF!</v>
      </c>
      <c r="G263" s="204"/>
      <c r="H263" s="196">
        <v>14.5</v>
      </c>
      <c r="I263" s="53">
        <v>3.5</v>
      </c>
      <c r="J263" s="209" t="e">
        <f t="shared" si="68"/>
        <v>#REF!</v>
      </c>
      <c r="K263" s="49" t="e">
        <f t="shared" si="70"/>
        <v>#REF!</v>
      </c>
    </row>
    <row r="264" spans="1:11">
      <c r="A264" s="147" t="s">
        <v>21</v>
      </c>
      <c r="B264" s="7" t="s">
        <v>46</v>
      </c>
      <c r="C264" s="53">
        <v>16.399999999999999</v>
      </c>
      <c r="D264" s="53">
        <v>4.5</v>
      </c>
      <c r="E264" s="209" t="e">
        <f t="shared" si="67"/>
        <v>#REF!</v>
      </c>
      <c r="F264" s="185" t="e">
        <f t="shared" si="69"/>
        <v>#REF!</v>
      </c>
      <c r="G264" s="204"/>
      <c r="H264" s="196">
        <v>16.399999999999999</v>
      </c>
      <c r="I264" s="53">
        <v>4.5</v>
      </c>
      <c r="J264" s="209" t="e">
        <f t="shared" si="68"/>
        <v>#REF!</v>
      </c>
      <c r="K264" s="49" t="e">
        <f t="shared" si="70"/>
        <v>#REF!</v>
      </c>
    </row>
    <row r="265" spans="1:11">
      <c r="A265" s="147" t="s">
        <v>22</v>
      </c>
      <c r="B265" s="7" t="s">
        <v>44</v>
      </c>
      <c r="C265" s="53">
        <v>15.4</v>
      </c>
      <c r="D265" s="53">
        <v>3.9</v>
      </c>
      <c r="E265" s="209" t="e">
        <f t="shared" si="67"/>
        <v>#REF!</v>
      </c>
      <c r="F265" s="185" t="e">
        <f t="shared" si="69"/>
        <v>#REF!</v>
      </c>
      <c r="G265" s="204"/>
      <c r="H265" s="196">
        <v>15.4</v>
      </c>
      <c r="I265" s="53">
        <v>3.9</v>
      </c>
      <c r="J265" s="209" t="e">
        <f t="shared" si="68"/>
        <v>#REF!</v>
      </c>
      <c r="K265" s="49" t="e">
        <f t="shared" si="70"/>
        <v>#REF!</v>
      </c>
    </row>
    <row r="266" spans="1:11">
      <c r="A266" s="147" t="s">
        <v>22</v>
      </c>
      <c r="B266" s="54" t="s">
        <v>45</v>
      </c>
      <c r="C266" s="53">
        <v>19.3</v>
      </c>
      <c r="D266" s="53">
        <v>5.0999999999999996</v>
      </c>
      <c r="E266" s="209" t="e">
        <f t="shared" si="67"/>
        <v>#REF!</v>
      </c>
      <c r="F266" s="185" t="e">
        <f t="shared" si="69"/>
        <v>#REF!</v>
      </c>
      <c r="G266" s="204"/>
      <c r="H266" s="196">
        <v>19.3</v>
      </c>
      <c r="I266" s="53">
        <v>5.0999999999999996</v>
      </c>
      <c r="J266" s="209" t="e">
        <f t="shared" si="68"/>
        <v>#REF!</v>
      </c>
      <c r="K266" s="49" t="e">
        <f t="shared" si="70"/>
        <v>#REF!</v>
      </c>
    </row>
    <row r="267" spans="1:11">
      <c r="A267" s="147" t="s">
        <v>22</v>
      </c>
      <c r="B267" s="7" t="s">
        <v>46</v>
      </c>
      <c r="C267" s="53">
        <v>19.5</v>
      </c>
      <c r="D267" s="53">
        <v>5.5</v>
      </c>
      <c r="E267" s="209" t="e">
        <f t="shared" si="67"/>
        <v>#REF!</v>
      </c>
      <c r="F267" s="185" t="e">
        <f t="shared" si="69"/>
        <v>#REF!</v>
      </c>
      <c r="G267" s="204"/>
      <c r="H267" s="196">
        <v>19.5</v>
      </c>
      <c r="I267" s="53">
        <v>5.5</v>
      </c>
      <c r="J267" s="209" t="e">
        <f t="shared" si="68"/>
        <v>#REF!</v>
      </c>
      <c r="K267" s="49" t="e">
        <f t="shared" si="70"/>
        <v>#REF!</v>
      </c>
    </row>
    <row r="268" spans="1:11">
      <c r="A268" s="147" t="s">
        <v>23</v>
      </c>
      <c r="B268" s="7" t="s">
        <v>24</v>
      </c>
      <c r="C268" s="53">
        <v>41.3</v>
      </c>
      <c r="D268" s="53">
        <v>15</v>
      </c>
      <c r="E268" s="209" t="e">
        <f t="shared" si="67"/>
        <v>#REF!</v>
      </c>
      <c r="F268" s="185" t="e">
        <f>-(+(E268-C268)/D268)</f>
        <v>#REF!</v>
      </c>
      <c r="G268" s="204"/>
      <c r="H268" s="196">
        <v>41.3</v>
      </c>
      <c r="I268" s="53">
        <v>15</v>
      </c>
      <c r="J268" s="209" t="e">
        <f t="shared" si="68"/>
        <v>#REF!</v>
      </c>
      <c r="K268" s="49" t="e">
        <f>-(+(J268-H268)/I268)</f>
        <v>#REF!</v>
      </c>
    </row>
    <row r="269" spans="1:11">
      <c r="A269" s="147"/>
      <c r="B269" s="7" t="s">
        <v>25</v>
      </c>
      <c r="C269" s="53">
        <v>111.4</v>
      </c>
      <c r="D269" s="53">
        <v>72.2</v>
      </c>
      <c r="E269" s="209" t="e">
        <f t="shared" si="67"/>
        <v>#REF!</v>
      </c>
      <c r="F269" s="185" t="e">
        <f>-(+(E269-C269)/D269)</f>
        <v>#REF!</v>
      </c>
      <c r="G269" s="204"/>
      <c r="H269" s="196">
        <v>111.4</v>
      </c>
      <c r="I269" s="53">
        <v>72.2</v>
      </c>
      <c r="J269" s="209" t="e">
        <f t="shared" si="68"/>
        <v>#REF!</v>
      </c>
      <c r="K269" s="49" t="e">
        <f>-(+(J269-H269)/I269)</f>
        <v>#REF!</v>
      </c>
    </row>
    <row r="270" spans="1:11">
      <c r="A270" s="147" t="s">
        <v>26</v>
      </c>
      <c r="B270" s="7" t="s">
        <v>15</v>
      </c>
      <c r="C270" s="53">
        <v>29.57</v>
      </c>
      <c r="D270" s="53">
        <v>3.37</v>
      </c>
      <c r="E270" s="209" t="e">
        <f t="shared" si="67"/>
        <v>#REF!</v>
      </c>
      <c r="F270" s="185" t="e">
        <f>+(E270-C270)/D270</f>
        <v>#REF!</v>
      </c>
      <c r="G270" s="204"/>
      <c r="H270" s="196">
        <v>29.57</v>
      </c>
      <c r="I270" s="53">
        <v>3.37</v>
      </c>
      <c r="J270" s="209" t="e">
        <f t="shared" si="68"/>
        <v>#REF!</v>
      </c>
      <c r="K270" s="49" t="e">
        <f>+(J270-H270)/I270</f>
        <v>#REF!</v>
      </c>
    </row>
    <row r="271" spans="1:11">
      <c r="A271" s="147"/>
      <c r="B271" s="7" t="s">
        <v>16</v>
      </c>
      <c r="C271" s="53">
        <v>11.74</v>
      </c>
      <c r="D271" s="53">
        <v>6.11</v>
      </c>
      <c r="E271" s="209" t="e">
        <f t="shared" si="67"/>
        <v>#REF!</v>
      </c>
      <c r="F271" s="185" t="e">
        <f>+(E271-C271)/D271</f>
        <v>#REF!</v>
      </c>
      <c r="G271" s="204"/>
      <c r="H271" s="196">
        <v>11.74</v>
      </c>
      <c r="I271" s="53">
        <v>6</v>
      </c>
      <c r="J271" s="209" t="e">
        <f t="shared" si="68"/>
        <v>#REF!</v>
      </c>
      <c r="K271" s="49" t="e">
        <f>+(J271-H271)/I271</f>
        <v>#REF!</v>
      </c>
    </row>
    <row r="272" spans="1:11">
      <c r="A272" s="147"/>
      <c r="B272" s="7" t="s">
        <v>17</v>
      </c>
      <c r="C272" s="53">
        <v>20</v>
      </c>
      <c r="D272" s="53">
        <v>2</v>
      </c>
      <c r="E272" s="209" t="e">
        <f t="shared" si="67"/>
        <v>#REF!</v>
      </c>
      <c r="F272" s="185" t="e">
        <f>+(E272-C272)/D272</f>
        <v>#REF!</v>
      </c>
      <c r="G272" s="204"/>
      <c r="H272" s="196">
        <v>20</v>
      </c>
      <c r="I272" s="53">
        <v>2</v>
      </c>
      <c r="J272" s="209" t="e">
        <f t="shared" si="68"/>
        <v>#REF!</v>
      </c>
      <c r="K272" s="49" t="e">
        <f>+(J272-H272)/I272</f>
        <v>#REF!</v>
      </c>
    </row>
    <row r="273" spans="1:11">
      <c r="A273" s="147" t="s">
        <v>27</v>
      </c>
      <c r="B273" s="7" t="s">
        <v>28</v>
      </c>
      <c r="C273" s="53">
        <v>6.14</v>
      </c>
      <c r="D273" s="53">
        <v>1.39</v>
      </c>
      <c r="E273" s="209" t="e">
        <f t="shared" si="67"/>
        <v>#REF!</v>
      </c>
      <c r="F273" s="185" t="e">
        <f>+(E273-C273)/D273</f>
        <v>#REF!</v>
      </c>
      <c r="G273" s="204"/>
      <c r="H273" s="199">
        <v>6.14</v>
      </c>
      <c r="I273" s="176">
        <v>1.39</v>
      </c>
      <c r="J273" s="209" t="e">
        <f t="shared" si="68"/>
        <v>#REF!</v>
      </c>
      <c r="K273" s="49" t="e">
        <f>+(J273-H273)/I273</f>
        <v>#REF!</v>
      </c>
    </row>
    <row r="274" spans="1:11">
      <c r="A274" s="147"/>
      <c r="B274" s="7" t="s">
        <v>29</v>
      </c>
      <c r="C274" s="53">
        <v>4.4000000000000004</v>
      </c>
      <c r="D274" s="53">
        <v>1.1599999999999999</v>
      </c>
      <c r="E274" s="209" t="e">
        <f t="shared" si="67"/>
        <v>#REF!</v>
      </c>
      <c r="F274" s="185" t="e">
        <f>+(E274-C274)/D274</f>
        <v>#REF!</v>
      </c>
      <c r="G274" s="204"/>
      <c r="H274" s="196">
        <v>4.4000000000000004</v>
      </c>
      <c r="I274" s="53">
        <v>1.1599999999999999</v>
      </c>
      <c r="J274" s="209" t="e">
        <f t="shared" si="68"/>
        <v>#REF!</v>
      </c>
      <c r="K274" s="49" t="e">
        <f>+(J274-H274)/I274</f>
        <v>#REF!</v>
      </c>
    </row>
    <row r="275" spans="1:11">
      <c r="A275" s="147" t="s">
        <v>34</v>
      </c>
      <c r="B275" s="7" t="s">
        <v>39</v>
      </c>
      <c r="C275" s="53">
        <v>0.81</v>
      </c>
      <c r="D275" s="53">
        <v>0.53</v>
      </c>
      <c r="E275" s="209" t="e">
        <f t="shared" si="67"/>
        <v>#REF!</v>
      </c>
      <c r="F275" s="185" t="e">
        <f>-(((E275/15)-(C275))/D275)</f>
        <v>#REF!</v>
      </c>
      <c r="G275" s="204"/>
      <c r="H275" s="196">
        <v>0.81</v>
      </c>
      <c r="I275" s="53">
        <v>0.53</v>
      </c>
      <c r="J275" s="209" t="e">
        <f t="shared" si="68"/>
        <v>#REF!</v>
      </c>
      <c r="K275" s="49" t="e">
        <f>-(((J275/15)-(H275))/I275)</f>
        <v>#REF!</v>
      </c>
    </row>
    <row r="276" spans="1:11">
      <c r="A276" s="147" t="s">
        <v>34</v>
      </c>
      <c r="B276" s="7" t="s">
        <v>40</v>
      </c>
      <c r="C276" s="53">
        <v>0.72</v>
      </c>
      <c r="D276" s="53">
        <v>0.6</v>
      </c>
      <c r="E276" s="209" t="e">
        <f t="shared" si="67"/>
        <v>#REF!</v>
      </c>
      <c r="F276" s="185" t="e">
        <f>-(((E276/15)-(C276))/D276)</f>
        <v>#REF!</v>
      </c>
      <c r="G276" s="204"/>
      <c r="H276" s="196">
        <v>0.72</v>
      </c>
      <c r="I276" s="53">
        <v>0.6</v>
      </c>
      <c r="J276" s="209" t="e">
        <f t="shared" si="68"/>
        <v>#REF!</v>
      </c>
      <c r="K276" s="49" t="e">
        <f>-(((J276/15)-(H276))/I276)</f>
        <v>#REF!</v>
      </c>
    </row>
    <row r="277" spans="1:11">
      <c r="A277" s="147" t="s">
        <v>35</v>
      </c>
      <c r="B277" s="7" t="s">
        <v>562</v>
      </c>
      <c r="C277" s="53">
        <v>3.83</v>
      </c>
      <c r="D277" s="53">
        <v>1.89</v>
      </c>
      <c r="E277" s="209" t="e">
        <f t="shared" si="67"/>
        <v>#REF!</v>
      </c>
      <c r="F277" s="185" t="e">
        <f>+(E277-C277)/D277</f>
        <v>#REF!</v>
      </c>
      <c r="G277" s="204"/>
      <c r="H277" s="196">
        <v>3.83</v>
      </c>
      <c r="I277" s="53">
        <v>1.89</v>
      </c>
      <c r="J277" s="209" t="e">
        <f t="shared" si="68"/>
        <v>#REF!</v>
      </c>
      <c r="K277" s="49" t="e">
        <f>+(J277-H277)/I277</f>
        <v>#REF!</v>
      </c>
    </row>
    <row r="278" spans="1:11">
      <c r="A278" s="147" t="s">
        <v>35</v>
      </c>
      <c r="B278" s="7" t="s">
        <v>563</v>
      </c>
      <c r="C278" s="151">
        <v>5.03</v>
      </c>
      <c r="D278" s="151">
        <v>1.51</v>
      </c>
      <c r="E278" s="209" t="e">
        <f t="shared" si="67"/>
        <v>#REF!</v>
      </c>
      <c r="F278" s="185" t="e">
        <f>+(E278-C278)/D278</f>
        <v>#REF!</v>
      </c>
      <c r="G278" s="204"/>
      <c r="H278" s="196">
        <v>5.03</v>
      </c>
      <c r="I278" s="53">
        <v>1.51</v>
      </c>
      <c r="J278" s="209" t="e">
        <f t="shared" si="68"/>
        <v>#REF!</v>
      </c>
      <c r="K278" s="49" t="e">
        <f>+(J278-H278)/I278</f>
        <v>#REF!</v>
      </c>
    </row>
    <row r="279" spans="1:11">
      <c r="A279" s="147" t="s">
        <v>35</v>
      </c>
      <c r="B279" s="48"/>
      <c r="C279" s="48"/>
      <c r="D279" s="48"/>
      <c r="E279" s="209" t="e">
        <f t="shared" si="67"/>
        <v>#REF!</v>
      </c>
      <c r="F279" s="185"/>
      <c r="G279" s="204"/>
      <c r="H279" s="200"/>
      <c r="I279" s="48"/>
      <c r="J279" s="209" t="e">
        <f t="shared" si="68"/>
        <v>#REF!</v>
      </c>
      <c r="K279" s="49"/>
    </row>
    <row r="281" spans="1:11" ht="16.5" thickBot="1">
      <c r="A281" s="379" t="s">
        <v>581</v>
      </c>
      <c r="B281" s="379"/>
      <c r="C281" s="379"/>
      <c r="D281" s="379"/>
      <c r="E281" s="379"/>
      <c r="F281" s="379"/>
      <c r="G281" s="179"/>
      <c r="H281" s="376"/>
      <c r="I281" s="376"/>
      <c r="J281" s="376"/>
      <c r="K281" s="376"/>
    </row>
    <row r="282" spans="1:11">
      <c r="A282" s="144" t="s">
        <v>0</v>
      </c>
      <c r="B282" s="164"/>
      <c r="C282" s="164" t="s">
        <v>1</v>
      </c>
      <c r="D282" s="165" t="s">
        <v>2</v>
      </c>
      <c r="E282" s="166" t="s">
        <v>3</v>
      </c>
      <c r="F282" s="167" t="s">
        <v>4</v>
      </c>
      <c r="G282" s="180"/>
      <c r="H282" s="195" t="s">
        <v>1</v>
      </c>
      <c r="I282" s="145" t="s">
        <v>2</v>
      </c>
      <c r="J282" s="145" t="s">
        <v>549</v>
      </c>
      <c r="K282" s="146" t="s">
        <v>4</v>
      </c>
    </row>
    <row r="283" spans="1:11">
      <c r="A283" s="147" t="s">
        <v>14</v>
      </c>
      <c r="B283" s="7" t="s">
        <v>15</v>
      </c>
      <c r="C283" s="53">
        <v>19.11</v>
      </c>
      <c r="D283" s="53">
        <v>6.74</v>
      </c>
      <c r="E283" s="209" t="e">
        <f>E3</f>
        <v>#REF!</v>
      </c>
      <c r="F283" s="185" t="e">
        <f t="shared" ref="F283:F289" si="71">+(E283-C283)/D283</f>
        <v>#REF!</v>
      </c>
      <c r="G283" s="204"/>
      <c r="H283" s="201">
        <v>19.11</v>
      </c>
      <c r="I283" s="177">
        <v>6.74</v>
      </c>
      <c r="J283" s="209" t="e">
        <f>E3</f>
        <v>#REF!</v>
      </c>
      <c r="K283" s="49" t="e">
        <f t="shared" ref="K283:K289" si="72">+(J283-H283)/I283</f>
        <v>#REF!</v>
      </c>
    </row>
    <row r="284" spans="1:11">
      <c r="A284" s="147"/>
      <c r="B284" s="7" t="s">
        <v>154</v>
      </c>
      <c r="C284" s="53">
        <v>15.33</v>
      </c>
      <c r="D284" s="53">
        <v>7.57</v>
      </c>
      <c r="E284" s="209" t="e">
        <f t="shared" ref="E284:E307" si="73">E4</f>
        <v>#REF!</v>
      </c>
      <c r="F284" s="185" t="e">
        <f t="shared" si="71"/>
        <v>#REF!</v>
      </c>
      <c r="G284" s="204"/>
      <c r="H284" s="201">
        <v>15.33</v>
      </c>
      <c r="I284" s="177">
        <v>7.57</v>
      </c>
      <c r="J284" s="209" t="e">
        <f t="shared" ref="J284:J307" si="74">E4</f>
        <v>#REF!</v>
      </c>
      <c r="K284" s="49" t="e">
        <f t="shared" si="72"/>
        <v>#REF!</v>
      </c>
    </row>
    <row r="285" spans="1:11">
      <c r="A285" s="147" t="s">
        <v>18</v>
      </c>
      <c r="B285" s="7" t="s">
        <v>19</v>
      </c>
      <c r="C285" s="53">
        <v>3.6</v>
      </c>
      <c r="D285" s="53">
        <v>0.8</v>
      </c>
      <c r="E285" s="209" t="e">
        <f t="shared" si="73"/>
        <v>#REF!</v>
      </c>
      <c r="F285" s="185" t="e">
        <f t="shared" si="71"/>
        <v>#REF!</v>
      </c>
      <c r="G285" s="204"/>
      <c r="H285" s="201">
        <v>5.6</v>
      </c>
      <c r="I285" s="177">
        <v>1.4</v>
      </c>
      <c r="J285" s="209" t="e">
        <f t="shared" si="74"/>
        <v>#REF!</v>
      </c>
      <c r="K285" s="49" t="e">
        <f t="shared" si="72"/>
        <v>#REF!</v>
      </c>
    </row>
    <row r="286" spans="1:11">
      <c r="A286" s="147"/>
      <c r="B286" s="7" t="s">
        <v>15</v>
      </c>
      <c r="C286" s="53">
        <v>32.6</v>
      </c>
      <c r="D286" s="53">
        <v>8.3000000000000007</v>
      </c>
      <c r="E286" s="209" t="e">
        <f t="shared" si="73"/>
        <v>#REF!</v>
      </c>
      <c r="F286" s="185" t="e">
        <f t="shared" si="71"/>
        <v>#REF!</v>
      </c>
      <c r="G286" s="204"/>
      <c r="H286" s="201">
        <v>41.6</v>
      </c>
      <c r="I286" s="177">
        <v>6.6</v>
      </c>
      <c r="J286" s="209" t="e">
        <f t="shared" si="74"/>
        <v>#REF!</v>
      </c>
      <c r="K286" s="49" t="e">
        <f t="shared" si="72"/>
        <v>#REF!</v>
      </c>
    </row>
    <row r="287" spans="1:11">
      <c r="A287" s="147"/>
      <c r="B287" s="7" t="s">
        <v>20</v>
      </c>
      <c r="C287" s="53">
        <v>3.5</v>
      </c>
      <c r="D287" s="53">
        <v>1.2</v>
      </c>
      <c r="E287" s="209" t="e">
        <f t="shared" si="73"/>
        <v>#REF!</v>
      </c>
      <c r="F287" s="185" t="e">
        <f t="shared" si="71"/>
        <v>#REF!</v>
      </c>
      <c r="G287" s="204"/>
      <c r="H287" s="201">
        <v>4.2</v>
      </c>
      <c r="I287" s="177">
        <v>1.9</v>
      </c>
      <c r="J287" s="209" t="e">
        <f t="shared" si="74"/>
        <v>#REF!</v>
      </c>
      <c r="K287" s="49" t="e">
        <f t="shared" si="72"/>
        <v>#REF!</v>
      </c>
    </row>
    <row r="288" spans="1:11">
      <c r="A288" s="147"/>
      <c r="B288" s="7" t="s">
        <v>154</v>
      </c>
      <c r="C288" s="53">
        <v>5.6</v>
      </c>
      <c r="D288" s="53">
        <v>2.6</v>
      </c>
      <c r="E288" s="209" t="e">
        <f t="shared" si="73"/>
        <v>#REF!</v>
      </c>
      <c r="F288" s="185" t="e">
        <f t="shared" si="71"/>
        <v>#REF!</v>
      </c>
      <c r="G288" s="204"/>
      <c r="H288" s="201">
        <v>8.3000000000000007</v>
      </c>
      <c r="I288" s="177">
        <v>2.1</v>
      </c>
      <c r="J288" s="209" t="e">
        <f t="shared" si="74"/>
        <v>#REF!</v>
      </c>
      <c r="K288" s="49" t="e">
        <f t="shared" si="72"/>
        <v>#REF!</v>
      </c>
    </row>
    <row r="289" spans="1:11">
      <c r="A289" s="147"/>
      <c r="B289" s="7" t="s">
        <v>17</v>
      </c>
      <c r="C289" s="53">
        <v>11.5</v>
      </c>
      <c r="D289" s="53">
        <v>2.6</v>
      </c>
      <c r="E289" s="209" t="e">
        <f t="shared" si="73"/>
        <v>#REF!</v>
      </c>
      <c r="F289" s="185" t="e">
        <f t="shared" si="71"/>
        <v>#REF!</v>
      </c>
      <c r="G289" s="204"/>
      <c r="H289" s="201">
        <v>13.6</v>
      </c>
      <c r="I289" s="177">
        <v>2</v>
      </c>
      <c r="J289" s="209" t="e">
        <f t="shared" si="74"/>
        <v>#REF!</v>
      </c>
      <c r="K289" s="49" t="e">
        <f t="shared" si="72"/>
        <v>#REF!</v>
      </c>
    </row>
    <row r="290" spans="1:11">
      <c r="A290" s="147" t="s">
        <v>21</v>
      </c>
      <c r="B290" s="7" t="s">
        <v>44</v>
      </c>
      <c r="C290" s="53">
        <v>9.8000000000000007</v>
      </c>
      <c r="D290" s="53">
        <v>4.7</v>
      </c>
      <c r="E290" s="209" t="e">
        <f t="shared" si="73"/>
        <v>#REF!</v>
      </c>
      <c r="F290" s="185" t="e">
        <f t="shared" ref="F290:F295" si="75">+(E290-C290)/D290</f>
        <v>#REF!</v>
      </c>
      <c r="G290" s="204"/>
      <c r="H290" s="201">
        <v>9.8000000000000007</v>
      </c>
      <c r="I290" s="177">
        <v>4.7</v>
      </c>
      <c r="J290" s="209" t="e">
        <f t="shared" si="74"/>
        <v>#REF!</v>
      </c>
      <c r="K290" s="49" t="e">
        <f t="shared" ref="K290:K295" si="76">+(J290-H290)/I290</f>
        <v>#REF!</v>
      </c>
    </row>
    <row r="291" spans="1:11">
      <c r="A291" s="147" t="s">
        <v>21</v>
      </c>
      <c r="B291" s="54" t="s">
        <v>45</v>
      </c>
      <c r="C291" s="53">
        <v>14</v>
      </c>
      <c r="D291" s="53">
        <v>3.7</v>
      </c>
      <c r="E291" s="209" t="e">
        <f t="shared" si="73"/>
        <v>#REF!</v>
      </c>
      <c r="F291" s="185" t="e">
        <f t="shared" si="75"/>
        <v>#REF!</v>
      </c>
      <c r="G291" s="204"/>
      <c r="H291" s="201">
        <v>14</v>
      </c>
      <c r="I291" s="177">
        <v>3.7</v>
      </c>
      <c r="J291" s="209" t="e">
        <f t="shared" si="74"/>
        <v>#REF!</v>
      </c>
      <c r="K291" s="49" t="e">
        <f t="shared" si="76"/>
        <v>#REF!</v>
      </c>
    </row>
    <row r="292" spans="1:11">
      <c r="A292" s="147" t="s">
        <v>21</v>
      </c>
      <c r="B292" s="7" t="s">
        <v>46</v>
      </c>
      <c r="C292" s="53">
        <v>9.8000000000000007</v>
      </c>
      <c r="D292" s="53">
        <v>4.7</v>
      </c>
      <c r="E292" s="209" t="e">
        <f t="shared" si="73"/>
        <v>#REF!</v>
      </c>
      <c r="F292" s="185" t="e">
        <f t="shared" si="75"/>
        <v>#REF!</v>
      </c>
      <c r="G292" s="204"/>
      <c r="H292" s="201">
        <v>9.8000000000000007</v>
      </c>
      <c r="I292" s="177">
        <v>4.7</v>
      </c>
      <c r="J292" s="209" t="e">
        <f t="shared" si="74"/>
        <v>#REF!</v>
      </c>
      <c r="K292" s="49" t="e">
        <f t="shared" si="76"/>
        <v>#REF!</v>
      </c>
    </row>
    <row r="293" spans="1:11">
      <c r="A293" s="147" t="s">
        <v>22</v>
      </c>
      <c r="B293" s="7" t="s">
        <v>44</v>
      </c>
      <c r="C293" s="53">
        <v>12.4</v>
      </c>
      <c r="D293" s="53">
        <v>2.9</v>
      </c>
      <c r="E293" s="209" t="e">
        <f t="shared" si="73"/>
        <v>#REF!</v>
      </c>
      <c r="F293" s="185" t="e">
        <f t="shared" si="75"/>
        <v>#REF!</v>
      </c>
      <c r="G293" s="204"/>
      <c r="H293" s="201">
        <v>12.4</v>
      </c>
      <c r="I293" s="177">
        <v>2.9</v>
      </c>
      <c r="J293" s="209" t="e">
        <f t="shared" si="74"/>
        <v>#REF!</v>
      </c>
      <c r="K293" s="49" t="e">
        <f t="shared" si="76"/>
        <v>#REF!</v>
      </c>
    </row>
    <row r="294" spans="1:11">
      <c r="A294" s="147" t="s">
        <v>22</v>
      </c>
      <c r="B294" s="54" t="s">
        <v>45</v>
      </c>
      <c r="C294" s="53">
        <v>16.5</v>
      </c>
      <c r="D294" s="53">
        <v>2.2999999999999998</v>
      </c>
      <c r="E294" s="209" t="e">
        <f t="shared" si="73"/>
        <v>#REF!</v>
      </c>
      <c r="F294" s="185" t="e">
        <f t="shared" si="75"/>
        <v>#REF!</v>
      </c>
      <c r="G294" s="204"/>
      <c r="H294" s="201">
        <v>16.5</v>
      </c>
      <c r="I294" s="177">
        <v>2.2999999999999998</v>
      </c>
      <c r="J294" s="209" t="e">
        <f t="shared" si="74"/>
        <v>#REF!</v>
      </c>
      <c r="K294" s="49" t="e">
        <f t="shared" si="76"/>
        <v>#REF!</v>
      </c>
    </row>
    <row r="295" spans="1:11">
      <c r="A295" s="147" t="s">
        <v>22</v>
      </c>
      <c r="B295" s="7" t="s">
        <v>46</v>
      </c>
      <c r="C295" s="53">
        <v>15.1</v>
      </c>
      <c r="D295" s="53">
        <v>3.5</v>
      </c>
      <c r="E295" s="209" t="e">
        <f t="shared" si="73"/>
        <v>#REF!</v>
      </c>
      <c r="F295" s="185" t="e">
        <f t="shared" si="75"/>
        <v>#REF!</v>
      </c>
      <c r="G295" s="204"/>
      <c r="H295" s="201">
        <v>15.1</v>
      </c>
      <c r="I295" s="177">
        <v>3.5</v>
      </c>
      <c r="J295" s="209" t="e">
        <f t="shared" si="74"/>
        <v>#REF!</v>
      </c>
      <c r="K295" s="49" t="e">
        <f t="shared" si="76"/>
        <v>#REF!</v>
      </c>
    </row>
    <row r="296" spans="1:11">
      <c r="A296" s="147" t="s">
        <v>23</v>
      </c>
      <c r="B296" s="7" t="s">
        <v>24</v>
      </c>
      <c r="C296" s="53">
        <v>47.2</v>
      </c>
      <c r="D296" s="53">
        <v>17.899999999999999</v>
      </c>
      <c r="E296" s="209" t="e">
        <f t="shared" si="73"/>
        <v>#REF!</v>
      </c>
      <c r="F296" s="185" t="e">
        <f>-(+(E296-C296)/D296)</f>
        <v>#REF!</v>
      </c>
      <c r="G296" s="204"/>
      <c r="H296" s="201">
        <v>47.2</v>
      </c>
      <c r="I296" s="177">
        <v>17.899999999999999</v>
      </c>
      <c r="J296" s="209" t="e">
        <f t="shared" si="74"/>
        <v>#REF!</v>
      </c>
      <c r="K296" s="49" t="e">
        <f>-(+(J296-H296)/I296)</f>
        <v>#REF!</v>
      </c>
    </row>
    <row r="297" spans="1:11">
      <c r="A297" s="147"/>
      <c r="B297" s="7" t="s">
        <v>25</v>
      </c>
      <c r="C297" s="53">
        <v>119.4</v>
      </c>
      <c r="D297" s="53">
        <v>50.2</v>
      </c>
      <c r="E297" s="209" t="e">
        <f t="shared" si="73"/>
        <v>#REF!</v>
      </c>
      <c r="F297" s="185" t="e">
        <f>-(+(E297-C297)/D297)</f>
        <v>#REF!</v>
      </c>
      <c r="G297" s="204"/>
      <c r="H297" s="201">
        <v>119.4</v>
      </c>
      <c r="I297" s="177">
        <v>50.2</v>
      </c>
      <c r="J297" s="209" t="e">
        <f t="shared" si="74"/>
        <v>#REF!</v>
      </c>
      <c r="K297" s="49" t="e">
        <f>-(+(J297-H297)/I297)</f>
        <v>#REF!</v>
      </c>
    </row>
    <row r="298" spans="1:11">
      <c r="A298" s="147" t="s">
        <v>26</v>
      </c>
      <c r="B298" s="7" t="s">
        <v>15</v>
      </c>
      <c r="C298" s="53">
        <v>29.57</v>
      </c>
      <c r="D298" s="53">
        <v>3.37</v>
      </c>
      <c r="E298" s="209" t="e">
        <f t="shared" si="73"/>
        <v>#REF!</v>
      </c>
      <c r="F298" s="185" t="e">
        <f t="shared" ref="F298:F302" si="77">+(E298-C298)/D298</f>
        <v>#REF!</v>
      </c>
      <c r="G298" s="204"/>
      <c r="H298" s="201">
        <v>29.57</v>
      </c>
      <c r="I298" s="177">
        <v>3.37</v>
      </c>
      <c r="J298" s="209" t="e">
        <f t="shared" si="74"/>
        <v>#REF!</v>
      </c>
      <c r="K298" s="49" t="e">
        <f t="shared" ref="K298:K302" si="78">+(J298-H298)/I298</f>
        <v>#REF!</v>
      </c>
    </row>
    <row r="299" spans="1:11">
      <c r="A299" s="147"/>
      <c r="B299" s="7" t="s">
        <v>154</v>
      </c>
      <c r="C299" s="53">
        <v>11.74</v>
      </c>
      <c r="D299" s="53">
        <v>6.11</v>
      </c>
      <c r="E299" s="209" t="e">
        <f t="shared" si="73"/>
        <v>#REF!</v>
      </c>
      <c r="F299" s="185" t="e">
        <f t="shared" si="77"/>
        <v>#REF!</v>
      </c>
      <c r="G299" s="204"/>
      <c r="H299" s="201">
        <v>11.74</v>
      </c>
      <c r="I299" s="177">
        <v>6.11</v>
      </c>
      <c r="J299" s="209" t="e">
        <f t="shared" si="74"/>
        <v>#REF!</v>
      </c>
      <c r="K299" s="49" t="e">
        <f t="shared" si="78"/>
        <v>#REF!</v>
      </c>
    </row>
    <row r="300" spans="1:11">
      <c r="A300" s="147"/>
      <c r="B300" s="7" t="s">
        <v>17</v>
      </c>
      <c r="C300" s="53">
        <v>20</v>
      </c>
      <c r="D300" s="53">
        <v>1.5</v>
      </c>
      <c r="E300" s="209" t="e">
        <f t="shared" si="73"/>
        <v>#REF!</v>
      </c>
      <c r="F300" s="185" t="e">
        <f t="shared" si="77"/>
        <v>#REF!</v>
      </c>
      <c r="G300" s="204"/>
      <c r="H300" s="201">
        <v>20</v>
      </c>
      <c r="I300" s="177">
        <v>1.5</v>
      </c>
      <c r="J300" s="209" t="e">
        <f t="shared" si="74"/>
        <v>#REF!</v>
      </c>
      <c r="K300" s="49" t="e">
        <f t="shared" si="78"/>
        <v>#REF!</v>
      </c>
    </row>
    <row r="301" spans="1:11">
      <c r="A301" s="147" t="s">
        <v>27</v>
      </c>
      <c r="B301" s="7" t="s">
        <v>564</v>
      </c>
      <c r="C301" s="53">
        <v>6.06</v>
      </c>
      <c r="D301" s="53">
        <v>1.26</v>
      </c>
      <c r="E301" s="209" t="e">
        <f t="shared" si="73"/>
        <v>#REF!</v>
      </c>
      <c r="F301" s="185" t="e">
        <f t="shared" si="77"/>
        <v>#REF!</v>
      </c>
      <c r="G301" s="204"/>
      <c r="H301" s="201">
        <v>6.06</v>
      </c>
      <c r="I301" s="177">
        <v>1.26</v>
      </c>
      <c r="J301" s="209" t="e">
        <f t="shared" si="74"/>
        <v>#REF!</v>
      </c>
      <c r="K301" s="49" t="e">
        <f t="shared" si="78"/>
        <v>#REF!</v>
      </c>
    </row>
    <row r="302" spans="1:11">
      <c r="A302" s="147"/>
      <c r="B302" s="7" t="s">
        <v>565</v>
      </c>
      <c r="C302" s="53">
        <v>4.3099999999999996</v>
      </c>
      <c r="D302" s="53">
        <v>1.17</v>
      </c>
      <c r="E302" s="209" t="e">
        <f t="shared" si="73"/>
        <v>#REF!</v>
      </c>
      <c r="F302" s="185" t="e">
        <f t="shared" si="77"/>
        <v>#REF!</v>
      </c>
      <c r="G302" s="204"/>
      <c r="H302" s="201">
        <v>4.3099999999999996</v>
      </c>
      <c r="I302" s="177">
        <v>1.17</v>
      </c>
      <c r="J302" s="209" t="e">
        <f t="shared" si="74"/>
        <v>#REF!</v>
      </c>
      <c r="K302" s="49" t="e">
        <f t="shared" si="78"/>
        <v>#REF!</v>
      </c>
    </row>
    <row r="303" spans="1:11">
      <c r="A303" s="147" t="s">
        <v>34</v>
      </c>
      <c r="B303" s="7" t="s">
        <v>39</v>
      </c>
      <c r="C303" s="53">
        <v>0.81</v>
      </c>
      <c r="D303" s="53">
        <v>0.53</v>
      </c>
      <c r="E303" s="209" t="e">
        <f t="shared" si="73"/>
        <v>#REF!</v>
      </c>
      <c r="F303" s="185" t="e">
        <f>-(((E303/15)-(C303))/D303)</f>
        <v>#REF!</v>
      </c>
      <c r="G303" s="204"/>
      <c r="H303" s="201">
        <v>0.81</v>
      </c>
      <c r="I303" s="177">
        <v>0.53</v>
      </c>
      <c r="J303" s="209" t="e">
        <f t="shared" si="74"/>
        <v>#REF!</v>
      </c>
      <c r="K303" s="49" t="e">
        <f>-(((J303/15)-(H303))/I303)</f>
        <v>#REF!</v>
      </c>
    </row>
    <row r="304" spans="1:11">
      <c r="A304" s="147" t="s">
        <v>34</v>
      </c>
      <c r="B304" s="7" t="s">
        <v>40</v>
      </c>
      <c r="C304" s="53">
        <v>0.72</v>
      </c>
      <c r="D304" s="53">
        <v>0.6</v>
      </c>
      <c r="E304" s="209" t="e">
        <f t="shared" si="73"/>
        <v>#REF!</v>
      </c>
      <c r="F304" s="185" t="e">
        <f>-(((E304/15)-(C304))/D304)</f>
        <v>#REF!</v>
      </c>
      <c r="G304" s="204"/>
      <c r="H304" s="201">
        <v>0.72</v>
      </c>
      <c r="I304" s="177">
        <v>0.6</v>
      </c>
      <c r="J304" s="209" t="e">
        <f t="shared" si="74"/>
        <v>#REF!</v>
      </c>
      <c r="K304" s="49" t="e">
        <f>-(((J304/15)-(H304))/I304)</f>
        <v>#REF!</v>
      </c>
    </row>
    <row r="305" spans="1:11">
      <c r="A305" s="147" t="s">
        <v>35</v>
      </c>
      <c r="B305" s="7" t="s">
        <v>566</v>
      </c>
      <c r="C305" s="53">
        <v>5.03</v>
      </c>
      <c r="D305" s="53">
        <v>1.51</v>
      </c>
      <c r="E305" s="209" t="e">
        <f t="shared" si="73"/>
        <v>#REF!</v>
      </c>
      <c r="F305" s="185" t="e">
        <f>+(E305-C305)/D305</f>
        <v>#REF!</v>
      </c>
      <c r="G305" s="204"/>
      <c r="H305" s="196">
        <v>5.03</v>
      </c>
      <c r="I305" s="53">
        <v>1.51</v>
      </c>
      <c r="J305" s="209" t="e">
        <f t="shared" si="74"/>
        <v>#REF!</v>
      </c>
      <c r="K305" s="49" t="e">
        <f>+(J305-H305)/I305</f>
        <v>#REF!</v>
      </c>
    </row>
    <row r="306" spans="1:11">
      <c r="A306" s="147" t="s">
        <v>35</v>
      </c>
      <c r="B306" s="7" t="s">
        <v>567</v>
      </c>
      <c r="C306" s="53">
        <v>5.46</v>
      </c>
      <c r="D306" s="53">
        <v>1.1000000000000001</v>
      </c>
      <c r="E306" s="209" t="e">
        <f t="shared" si="73"/>
        <v>#REF!</v>
      </c>
      <c r="F306" s="185" t="e">
        <f>+(E306-C306)/D306</f>
        <v>#REF!</v>
      </c>
      <c r="G306" s="204"/>
      <c r="H306" s="196">
        <v>5.46</v>
      </c>
      <c r="I306" s="53">
        <v>1.1000000000000001</v>
      </c>
      <c r="J306" s="209" t="e">
        <f t="shared" si="74"/>
        <v>#REF!</v>
      </c>
      <c r="K306" s="49" t="e">
        <f>+(J306-H306)/I306</f>
        <v>#REF!</v>
      </c>
    </row>
    <row r="307" spans="1:11">
      <c r="A307" s="147" t="s">
        <v>35</v>
      </c>
      <c r="B307" s="7"/>
      <c r="C307" s="7"/>
      <c r="D307" s="7"/>
      <c r="E307" s="209" t="e">
        <f t="shared" si="73"/>
        <v>#REF!</v>
      </c>
      <c r="F307" s="193"/>
      <c r="H307" s="202"/>
      <c r="I307" s="7"/>
      <c r="J307" s="209" t="e">
        <f t="shared" si="74"/>
        <v>#REF!</v>
      </c>
      <c r="K307" s="7"/>
    </row>
    <row r="309" spans="1:11">
      <c r="A309" s="377" t="s">
        <v>568</v>
      </c>
      <c r="B309" s="377"/>
      <c r="C309" s="377"/>
      <c r="D309" s="377"/>
      <c r="E309" s="377"/>
      <c r="F309" s="377"/>
      <c r="G309" s="179"/>
      <c r="H309" s="376"/>
      <c r="I309" s="376"/>
      <c r="J309" s="376"/>
      <c r="K309" s="376"/>
    </row>
    <row r="310" spans="1:11">
      <c r="A310" s="144" t="s">
        <v>0</v>
      </c>
      <c r="B310" s="145"/>
      <c r="C310" s="145" t="s">
        <v>1</v>
      </c>
      <c r="D310" s="145" t="s">
        <v>2</v>
      </c>
      <c r="E310" s="145" t="s">
        <v>3</v>
      </c>
      <c r="F310" s="188" t="s">
        <v>4</v>
      </c>
      <c r="G310" s="182"/>
      <c r="H310" s="195" t="s">
        <v>1</v>
      </c>
      <c r="I310" s="145" t="s">
        <v>2</v>
      </c>
      <c r="J310" s="145" t="s">
        <v>549</v>
      </c>
      <c r="K310" s="146" t="s">
        <v>4</v>
      </c>
    </row>
    <row r="311" spans="1:11">
      <c r="A311" s="147" t="s">
        <v>14</v>
      </c>
      <c r="B311" s="7" t="s">
        <v>15</v>
      </c>
      <c r="C311" s="53">
        <v>19.11</v>
      </c>
      <c r="D311" s="53">
        <v>6.74</v>
      </c>
      <c r="E311" s="209" t="e">
        <f>E3</f>
        <v>#REF!</v>
      </c>
      <c r="F311" s="185" t="e">
        <f t="shared" ref="F311:F317" si="79">+(E311-C311)/D311</f>
        <v>#REF!</v>
      </c>
      <c r="G311" s="204"/>
      <c r="H311" s="203">
        <v>19.11</v>
      </c>
      <c r="I311" s="45">
        <v>6.74</v>
      </c>
      <c r="J311" s="209" t="e">
        <f>E3</f>
        <v>#REF!</v>
      </c>
      <c r="K311" s="49" t="e">
        <f t="shared" ref="K311:K317" si="80">+(J311-H311)/I311</f>
        <v>#REF!</v>
      </c>
    </row>
    <row r="312" spans="1:11">
      <c r="A312" s="147"/>
      <c r="B312" s="7" t="s">
        <v>154</v>
      </c>
      <c r="C312" s="53">
        <v>15.33</v>
      </c>
      <c r="D312" s="53">
        <v>7.57</v>
      </c>
      <c r="E312" s="209" t="e">
        <f t="shared" ref="E312:E335" si="81">E4</f>
        <v>#REF!</v>
      </c>
      <c r="F312" s="185" t="e">
        <f t="shared" si="79"/>
        <v>#REF!</v>
      </c>
      <c r="G312" s="204"/>
      <c r="H312" s="203">
        <v>15.33</v>
      </c>
      <c r="I312" s="45">
        <v>7.57</v>
      </c>
      <c r="J312" s="209" t="e">
        <f t="shared" ref="J312:J335" si="82">E4</f>
        <v>#REF!</v>
      </c>
      <c r="K312" s="49" t="e">
        <f t="shared" si="80"/>
        <v>#REF!</v>
      </c>
    </row>
    <row r="313" spans="1:11">
      <c r="A313" s="147" t="s">
        <v>18</v>
      </c>
      <c r="B313" s="7" t="s">
        <v>19</v>
      </c>
      <c r="C313" s="53">
        <v>3.6</v>
      </c>
      <c r="D313" s="53">
        <v>0.8</v>
      </c>
      <c r="E313" s="209" t="e">
        <f t="shared" si="81"/>
        <v>#REF!</v>
      </c>
      <c r="F313" s="185" t="e">
        <f t="shared" si="79"/>
        <v>#REF!</v>
      </c>
      <c r="G313" s="204"/>
      <c r="H313" s="203">
        <v>5.6</v>
      </c>
      <c r="I313" s="45">
        <v>1.4</v>
      </c>
      <c r="J313" s="209" t="e">
        <f t="shared" si="82"/>
        <v>#REF!</v>
      </c>
      <c r="K313" s="49" t="e">
        <f t="shared" si="80"/>
        <v>#REF!</v>
      </c>
    </row>
    <row r="314" spans="1:11">
      <c r="A314" s="147"/>
      <c r="B314" s="7" t="s">
        <v>15</v>
      </c>
      <c r="C314" s="53">
        <v>32.6</v>
      </c>
      <c r="D314" s="53">
        <v>8.3000000000000007</v>
      </c>
      <c r="E314" s="209" t="e">
        <f t="shared" si="81"/>
        <v>#REF!</v>
      </c>
      <c r="F314" s="185" t="e">
        <f t="shared" si="79"/>
        <v>#REF!</v>
      </c>
      <c r="G314" s="204"/>
      <c r="H314" s="203">
        <v>41.6</v>
      </c>
      <c r="I314" s="45">
        <v>6.6</v>
      </c>
      <c r="J314" s="209" t="e">
        <f t="shared" si="82"/>
        <v>#REF!</v>
      </c>
      <c r="K314" s="49" t="e">
        <f t="shared" si="80"/>
        <v>#REF!</v>
      </c>
    </row>
    <row r="315" spans="1:11">
      <c r="A315" s="147"/>
      <c r="B315" s="7" t="s">
        <v>20</v>
      </c>
      <c r="C315" s="53">
        <v>3.5</v>
      </c>
      <c r="D315" s="53">
        <v>1.2</v>
      </c>
      <c r="E315" s="209" t="e">
        <f t="shared" si="81"/>
        <v>#REF!</v>
      </c>
      <c r="F315" s="185" t="e">
        <f t="shared" si="79"/>
        <v>#REF!</v>
      </c>
      <c r="G315" s="204"/>
      <c r="H315" s="203">
        <v>4.2</v>
      </c>
      <c r="I315" s="45">
        <v>1.9</v>
      </c>
      <c r="J315" s="209" t="e">
        <f t="shared" si="82"/>
        <v>#REF!</v>
      </c>
      <c r="K315" s="49" t="e">
        <f t="shared" si="80"/>
        <v>#REF!</v>
      </c>
    </row>
    <row r="316" spans="1:11">
      <c r="A316" s="147"/>
      <c r="B316" s="7" t="s">
        <v>154</v>
      </c>
      <c r="C316" s="53">
        <v>5.6</v>
      </c>
      <c r="D316" s="53">
        <v>2.6</v>
      </c>
      <c r="E316" s="209" t="e">
        <f t="shared" si="81"/>
        <v>#REF!</v>
      </c>
      <c r="F316" s="185" t="e">
        <f t="shared" si="79"/>
        <v>#REF!</v>
      </c>
      <c r="G316" s="204"/>
      <c r="H316" s="203">
        <v>8.3000000000000007</v>
      </c>
      <c r="I316" s="45">
        <v>2.1</v>
      </c>
      <c r="J316" s="209" t="e">
        <f t="shared" si="82"/>
        <v>#REF!</v>
      </c>
      <c r="K316" s="49" t="e">
        <f t="shared" si="80"/>
        <v>#REF!</v>
      </c>
    </row>
    <row r="317" spans="1:11">
      <c r="A317" s="147"/>
      <c r="B317" s="7" t="s">
        <v>17</v>
      </c>
      <c r="C317" s="53">
        <v>11.5</v>
      </c>
      <c r="D317" s="53">
        <v>2.6</v>
      </c>
      <c r="E317" s="209" t="e">
        <f t="shared" si="81"/>
        <v>#REF!</v>
      </c>
      <c r="F317" s="185" t="e">
        <f t="shared" si="79"/>
        <v>#REF!</v>
      </c>
      <c r="G317" s="204"/>
      <c r="H317" s="203">
        <v>13.6</v>
      </c>
      <c r="I317" s="45">
        <v>2</v>
      </c>
      <c r="J317" s="209" t="e">
        <f t="shared" si="82"/>
        <v>#REF!</v>
      </c>
      <c r="K317" s="49" t="e">
        <f t="shared" si="80"/>
        <v>#REF!</v>
      </c>
    </row>
    <row r="318" spans="1:11">
      <c r="A318" s="147" t="s">
        <v>21</v>
      </c>
      <c r="B318" s="7" t="s">
        <v>44</v>
      </c>
      <c r="C318" s="53">
        <v>9.8000000000000007</v>
      </c>
      <c r="D318" s="53">
        <v>4.7</v>
      </c>
      <c r="E318" s="209" t="e">
        <f t="shared" si="81"/>
        <v>#REF!</v>
      </c>
      <c r="F318" s="185" t="e">
        <f t="shared" ref="F318:F330" si="83">+(E318-C318)/D318</f>
        <v>#REF!</v>
      </c>
      <c r="G318" s="204"/>
      <c r="H318" s="203">
        <v>9.8000000000000007</v>
      </c>
      <c r="I318" s="45">
        <v>4.7</v>
      </c>
      <c r="J318" s="209" t="e">
        <f t="shared" si="82"/>
        <v>#REF!</v>
      </c>
      <c r="K318" s="49" t="e">
        <f t="shared" ref="K318:K330" si="84">+(J318-H318)/I318</f>
        <v>#REF!</v>
      </c>
    </row>
    <row r="319" spans="1:11">
      <c r="A319" s="147" t="s">
        <v>21</v>
      </c>
      <c r="B319" s="54" t="s">
        <v>45</v>
      </c>
      <c r="C319" s="53">
        <v>14</v>
      </c>
      <c r="D319" s="53">
        <v>3.7</v>
      </c>
      <c r="E319" s="209" t="e">
        <f t="shared" si="81"/>
        <v>#REF!</v>
      </c>
      <c r="F319" s="185" t="e">
        <f t="shared" si="83"/>
        <v>#REF!</v>
      </c>
      <c r="G319" s="204"/>
      <c r="H319" s="203">
        <v>14</v>
      </c>
      <c r="I319" s="45">
        <v>3.7</v>
      </c>
      <c r="J319" s="209" t="e">
        <f t="shared" si="82"/>
        <v>#REF!</v>
      </c>
      <c r="K319" s="49" t="e">
        <f t="shared" si="84"/>
        <v>#REF!</v>
      </c>
    </row>
    <row r="320" spans="1:11">
      <c r="A320" s="147" t="s">
        <v>21</v>
      </c>
      <c r="B320" s="7" t="s">
        <v>46</v>
      </c>
      <c r="C320" s="53">
        <v>9.8000000000000007</v>
      </c>
      <c r="D320" s="53">
        <v>4.7</v>
      </c>
      <c r="E320" s="209" t="e">
        <f t="shared" si="81"/>
        <v>#REF!</v>
      </c>
      <c r="F320" s="185" t="e">
        <f t="shared" si="83"/>
        <v>#REF!</v>
      </c>
      <c r="G320" s="204"/>
      <c r="H320" s="203">
        <v>9.8000000000000007</v>
      </c>
      <c r="I320" s="45">
        <v>4.7</v>
      </c>
      <c r="J320" s="209" t="e">
        <f t="shared" si="82"/>
        <v>#REF!</v>
      </c>
      <c r="K320" s="49" t="e">
        <f t="shared" si="84"/>
        <v>#REF!</v>
      </c>
    </row>
    <row r="321" spans="1:11">
      <c r="A321" s="147" t="s">
        <v>22</v>
      </c>
      <c r="B321" s="7" t="s">
        <v>44</v>
      </c>
      <c r="C321" s="53">
        <v>12.4</v>
      </c>
      <c r="D321" s="53">
        <v>2.9</v>
      </c>
      <c r="E321" s="209" t="e">
        <f t="shared" si="81"/>
        <v>#REF!</v>
      </c>
      <c r="F321" s="185" t="e">
        <f t="shared" si="83"/>
        <v>#REF!</v>
      </c>
      <c r="G321" s="204"/>
      <c r="H321" s="203">
        <v>12.4</v>
      </c>
      <c r="I321" s="45">
        <v>2.9</v>
      </c>
      <c r="J321" s="209" t="e">
        <f t="shared" si="82"/>
        <v>#REF!</v>
      </c>
      <c r="K321" s="49" t="e">
        <f t="shared" si="84"/>
        <v>#REF!</v>
      </c>
    </row>
    <row r="322" spans="1:11">
      <c r="A322" s="147" t="s">
        <v>22</v>
      </c>
      <c r="B322" s="54" t="s">
        <v>45</v>
      </c>
      <c r="C322" s="53">
        <v>16.5</v>
      </c>
      <c r="D322" s="53">
        <v>2.2999999999999998</v>
      </c>
      <c r="E322" s="209" t="e">
        <f t="shared" si="81"/>
        <v>#REF!</v>
      </c>
      <c r="F322" s="185" t="e">
        <f t="shared" si="83"/>
        <v>#REF!</v>
      </c>
      <c r="G322" s="204"/>
      <c r="H322" s="203">
        <v>16.5</v>
      </c>
      <c r="I322" s="45">
        <v>2.2999999999999998</v>
      </c>
      <c r="J322" s="209" t="e">
        <f t="shared" si="82"/>
        <v>#REF!</v>
      </c>
      <c r="K322" s="49" t="e">
        <f t="shared" si="84"/>
        <v>#REF!</v>
      </c>
    </row>
    <row r="323" spans="1:11">
      <c r="A323" s="147" t="s">
        <v>22</v>
      </c>
      <c r="B323" s="7" t="s">
        <v>46</v>
      </c>
      <c r="C323" s="53">
        <v>15.1</v>
      </c>
      <c r="D323" s="53">
        <v>3.5</v>
      </c>
      <c r="E323" s="209" t="e">
        <f t="shared" si="81"/>
        <v>#REF!</v>
      </c>
      <c r="F323" s="185" t="e">
        <f t="shared" si="83"/>
        <v>#REF!</v>
      </c>
      <c r="G323" s="204"/>
      <c r="H323" s="203">
        <v>15.1</v>
      </c>
      <c r="I323" s="45">
        <v>3.5</v>
      </c>
      <c r="J323" s="209" t="e">
        <f t="shared" si="82"/>
        <v>#REF!</v>
      </c>
      <c r="K323" s="49" t="e">
        <f t="shared" si="84"/>
        <v>#REF!</v>
      </c>
    </row>
    <row r="324" spans="1:11">
      <c r="A324" s="147" t="s">
        <v>23</v>
      </c>
      <c r="B324" s="7" t="s">
        <v>24</v>
      </c>
      <c r="C324" s="53">
        <v>60.7</v>
      </c>
      <c r="D324" s="53">
        <v>26</v>
      </c>
      <c r="E324" s="209" t="e">
        <f t="shared" si="81"/>
        <v>#REF!</v>
      </c>
      <c r="F324" s="185" t="e">
        <f>-(+(E324-C324)/D324)</f>
        <v>#REF!</v>
      </c>
      <c r="G324" s="204"/>
      <c r="H324" s="203">
        <v>60.7</v>
      </c>
      <c r="I324" s="45">
        <v>26</v>
      </c>
      <c r="J324" s="209" t="e">
        <f t="shared" si="82"/>
        <v>#REF!</v>
      </c>
      <c r="K324" s="49" t="e">
        <f>-(+(J324-H324)/I324)</f>
        <v>#REF!</v>
      </c>
    </row>
    <row r="325" spans="1:11">
      <c r="A325" s="147"/>
      <c r="B325" s="7" t="s">
        <v>25</v>
      </c>
      <c r="C325" s="53">
        <v>152.19999999999999</v>
      </c>
      <c r="D325" s="53">
        <v>83.1</v>
      </c>
      <c r="E325" s="209" t="e">
        <f t="shared" si="81"/>
        <v>#REF!</v>
      </c>
      <c r="F325" s="185" t="e">
        <f>-(+(E325-C325)/D325)</f>
        <v>#REF!</v>
      </c>
      <c r="G325" s="204"/>
      <c r="H325" s="203">
        <v>152.19999999999999</v>
      </c>
      <c r="I325" s="45">
        <v>83.1</v>
      </c>
      <c r="J325" s="209" t="e">
        <f t="shared" si="82"/>
        <v>#REF!</v>
      </c>
      <c r="K325" s="49" t="e">
        <f>-(+(J325-H325)/I325)</f>
        <v>#REF!</v>
      </c>
    </row>
    <row r="326" spans="1:11">
      <c r="A326" s="147" t="s">
        <v>26</v>
      </c>
      <c r="B326" s="7" t="s">
        <v>15</v>
      </c>
      <c r="C326" s="53">
        <v>29.57</v>
      </c>
      <c r="D326" s="53">
        <v>3.37</v>
      </c>
      <c r="E326" s="209" t="e">
        <f t="shared" si="81"/>
        <v>#REF!</v>
      </c>
      <c r="F326" s="185" t="e">
        <f t="shared" si="83"/>
        <v>#REF!</v>
      </c>
      <c r="G326" s="204"/>
      <c r="H326" s="203">
        <v>29.57</v>
      </c>
      <c r="I326" s="45">
        <v>3.37</v>
      </c>
      <c r="J326" s="209" t="e">
        <f t="shared" si="82"/>
        <v>#REF!</v>
      </c>
      <c r="K326" s="49" t="e">
        <f t="shared" si="84"/>
        <v>#REF!</v>
      </c>
    </row>
    <row r="327" spans="1:11">
      <c r="A327" s="147"/>
      <c r="B327" s="7" t="s">
        <v>154</v>
      </c>
      <c r="C327" s="53">
        <v>11.74</v>
      </c>
      <c r="D327" s="53">
        <v>6.11</v>
      </c>
      <c r="E327" s="209" t="e">
        <f t="shared" si="81"/>
        <v>#REF!</v>
      </c>
      <c r="F327" s="185" t="e">
        <f t="shared" si="83"/>
        <v>#REF!</v>
      </c>
      <c r="G327" s="204"/>
      <c r="H327" s="203">
        <v>11.74</v>
      </c>
      <c r="I327" s="45">
        <v>6.11</v>
      </c>
      <c r="J327" s="209" t="e">
        <f t="shared" si="82"/>
        <v>#REF!</v>
      </c>
      <c r="K327" s="49" t="e">
        <f t="shared" si="84"/>
        <v>#REF!</v>
      </c>
    </row>
    <row r="328" spans="1:11">
      <c r="A328" s="147"/>
      <c r="B328" s="7" t="s">
        <v>17</v>
      </c>
      <c r="C328" s="53">
        <v>19.899999999999999</v>
      </c>
      <c r="D328" s="53">
        <v>1.5</v>
      </c>
      <c r="E328" s="209" t="e">
        <f t="shared" si="81"/>
        <v>#REF!</v>
      </c>
      <c r="F328" s="185" t="e">
        <f t="shared" si="83"/>
        <v>#REF!</v>
      </c>
      <c r="G328" s="204"/>
      <c r="H328" s="203">
        <v>19.899999999999999</v>
      </c>
      <c r="I328" s="45">
        <v>1.5</v>
      </c>
      <c r="J328" s="209" t="e">
        <f t="shared" si="82"/>
        <v>#REF!</v>
      </c>
      <c r="K328" s="49" t="e">
        <f t="shared" si="84"/>
        <v>#REF!</v>
      </c>
    </row>
    <row r="329" spans="1:11">
      <c r="A329" s="147" t="s">
        <v>27</v>
      </c>
      <c r="B329" s="7" t="s">
        <v>564</v>
      </c>
      <c r="C329" s="53">
        <v>5.89</v>
      </c>
      <c r="D329" s="53">
        <v>1.26</v>
      </c>
      <c r="E329" s="209" t="e">
        <f t="shared" si="81"/>
        <v>#REF!</v>
      </c>
      <c r="F329" s="185" t="e">
        <f t="shared" si="83"/>
        <v>#REF!</v>
      </c>
      <c r="G329" s="204"/>
      <c r="H329" s="203">
        <v>5.89</v>
      </c>
      <c r="I329" s="45">
        <v>1.26</v>
      </c>
      <c r="J329" s="209" t="e">
        <f t="shared" si="82"/>
        <v>#REF!</v>
      </c>
      <c r="K329" s="49" t="e">
        <f t="shared" si="84"/>
        <v>#REF!</v>
      </c>
    </row>
    <row r="330" spans="1:11">
      <c r="A330" s="147"/>
      <c r="B330" s="7" t="s">
        <v>565</v>
      </c>
      <c r="C330" s="53">
        <v>4.25</v>
      </c>
      <c r="D330" s="53">
        <v>1.03</v>
      </c>
      <c r="E330" s="209" t="e">
        <f t="shared" si="81"/>
        <v>#REF!</v>
      </c>
      <c r="F330" s="185" t="e">
        <f t="shared" si="83"/>
        <v>#REF!</v>
      </c>
      <c r="G330" s="204"/>
      <c r="H330" s="203">
        <v>4.25</v>
      </c>
      <c r="I330" s="45">
        <v>1.03</v>
      </c>
      <c r="J330" s="209" t="e">
        <f t="shared" si="82"/>
        <v>#REF!</v>
      </c>
      <c r="K330" s="49" t="e">
        <f t="shared" si="84"/>
        <v>#REF!</v>
      </c>
    </row>
    <row r="331" spans="1:11">
      <c r="A331" s="147" t="s">
        <v>34</v>
      </c>
      <c r="B331" s="7" t="s">
        <v>39</v>
      </c>
      <c r="C331" s="53">
        <v>0.81</v>
      </c>
      <c r="D331" s="53">
        <v>0.53</v>
      </c>
      <c r="E331" s="209" t="e">
        <f t="shared" si="81"/>
        <v>#REF!</v>
      </c>
      <c r="F331" s="185" t="e">
        <f>-(((E331/15)-(C331))/D331)</f>
        <v>#REF!</v>
      </c>
      <c r="G331" s="204"/>
      <c r="H331" s="196">
        <v>0.81</v>
      </c>
      <c r="I331" s="53">
        <v>0.53</v>
      </c>
      <c r="J331" s="209" t="e">
        <f t="shared" si="82"/>
        <v>#REF!</v>
      </c>
      <c r="K331" s="49" t="e">
        <f>-(((J331/15)-(H331))/I331)</f>
        <v>#REF!</v>
      </c>
    </row>
    <row r="332" spans="1:11">
      <c r="A332" s="147" t="s">
        <v>34</v>
      </c>
      <c r="B332" s="7" t="s">
        <v>40</v>
      </c>
      <c r="C332" s="53">
        <v>0.72</v>
      </c>
      <c r="D332" s="53">
        <v>0.6</v>
      </c>
      <c r="E332" s="209" t="e">
        <f t="shared" si="81"/>
        <v>#REF!</v>
      </c>
      <c r="F332" s="185" t="e">
        <f>-(((E332/15)-(C332))/D332)</f>
        <v>#REF!</v>
      </c>
      <c r="G332" s="204"/>
      <c r="H332" s="196">
        <v>0.72</v>
      </c>
      <c r="I332" s="53">
        <v>0.6</v>
      </c>
      <c r="J332" s="209" t="e">
        <f t="shared" si="82"/>
        <v>#REF!</v>
      </c>
      <c r="K332" s="49" t="e">
        <f>-(((J332/15)-(H332))/I332)</f>
        <v>#REF!</v>
      </c>
    </row>
    <row r="333" spans="1:11">
      <c r="A333" s="147" t="s">
        <v>35</v>
      </c>
      <c r="B333" s="7" t="s">
        <v>569</v>
      </c>
      <c r="C333" s="53">
        <v>4.4400000000000004</v>
      </c>
      <c r="D333" s="53">
        <v>1.76</v>
      </c>
      <c r="E333" s="209" t="e">
        <f t="shared" si="81"/>
        <v>#REF!</v>
      </c>
      <c r="F333" s="185" t="e">
        <f>+(E333-C333)/D333</f>
        <v>#REF!</v>
      </c>
      <c r="G333" s="204"/>
      <c r="H333" s="203">
        <v>4.4400000000000004</v>
      </c>
      <c r="I333" s="45">
        <v>1.76</v>
      </c>
      <c r="J333" s="209" t="e">
        <f t="shared" si="82"/>
        <v>#REF!</v>
      </c>
      <c r="K333" s="49" t="e">
        <f>+(J333-H333)/I333</f>
        <v>#REF!</v>
      </c>
    </row>
    <row r="334" spans="1:11">
      <c r="A334" s="147" t="s">
        <v>35</v>
      </c>
      <c r="B334" s="7"/>
      <c r="C334" s="53"/>
      <c r="D334" s="53"/>
      <c r="E334" s="209" t="e">
        <f t="shared" si="81"/>
        <v>#REF!</v>
      </c>
      <c r="F334" s="185"/>
      <c r="G334" s="204"/>
      <c r="H334" s="196"/>
      <c r="I334" s="53"/>
      <c r="J334" s="209" t="e">
        <f t="shared" si="82"/>
        <v>#REF!</v>
      </c>
      <c r="K334" s="49"/>
    </row>
    <row r="335" spans="1:11">
      <c r="A335" s="147" t="s">
        <v>35</v>
      </c>
      <c r="B335" s="48"/>
      <c r="C335" s="48"/>
      <c r="D335" s="48"/>
      <c r="E335" s="209" t="e">
        <f t="shared" si="81"/>
        <v>#REF!</v>
      </c>
      <c r="F335" s="194"/>
      <c r="G335" s="208"/>
      <c r="H335" s="200"/>
      <c r="I335" s="48"/>
      <c r="J335" s="209" t="e">
        <f t="shared" si="82"/>
        <v>#REF!</v>
      </c>
      <c r="K335" s="48"/>
    </row>
  </sheetData>
  <mergeCells count="24">
    <mergeCell ref="A309:F309"/>
    <mergeCell ref="A1:F1"/>
    <mergeCell ref="A29:F29"/>
    <mergeCell ref="A57:F57"/>
    <mergeCell ref="A85:F85"/>
    <mergeCell ref="A113:F113"/>
    <mergeCell ref="A141:F141"/>
    <mergeCell ref="A169:F169"/>
    <mergeCell ref="A197:F197"/>
    <mergeCell ref="A225:F225"/>
    <mergeCell ref="A253:F253"/>
    <mergeCell ref="A281:F281"/>
    <mergeCell ref="H309:K309"/>
    <mergeCell ref="H1:K1"/>
    <mergeCell ref="H29:K29"/>
    <mergeCell ref="H57:K57"/>
    <mergeCell ref="H85:K85"/>
    <mergeCell ref="H113:K113"/>
    <mergeCell ref="H141:K141"/>
    <mergeCell ref="H169:K169"/>
    <mergeCell ref="H197:K197"/>
    <mergeCell ref="H225:K225"/>
    <mergeCell ref="H253:K253"/>
    <mergeCell ref="H281:K281"/>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48576"/>
  <sheetViews>
    <sheetView topLeftCell="A13" workbookViewId="0">
      <selection activeCell="V27" sqref="V27"/>
    </sheetView>
  </sheetViews>
  <sheetFormatPr baseColWidth="10" defaultRowHeight="15.75"/>
  <cols>
    <col min="5" max="5" width="17.125" bestFit="1" customWidth="1"/>
    <col min="6" max="6" width="16.125" bestFit="1" customWidth="1"/>
    <col min="7" max="9" width="16.125" customWidth="1"/>
  </cols>
  <sheetData>
    <row r="1" spans="1:21">
      <c r="E1" t="s">
        <v>53</v>
      </c>
      <c r="F1">
        <f>Resumen!B1</f>
        <v>0</v>
      </c>
      <c r="J1" t="s">
        <v>138</v>
      </c>
      <c r="O1" s="62" t="e">
        <f>Resumen!#REF!</f>
        <v>#REF!</v>
      </c>
    </row>
    <row r="3" spans="1:21">
      <c r="D3" t="s">
        <v>53</v>
      </c>
      <c r="E3" s="144" t="s">
        <v>0</v>
      </c>
      <c r="F3" s="145"/>
      <c r="G3" s="145"/>
      <c r="H3" s="145"/>
      <c r="I3" s="145"/>
      <c r="J3" s="145" t="s">
        <v>579</v>
      </c>
      <c r="K3" s="145"/>
      <c r="L3" s="145"/>
      <c r="M3" s="145"/>
      <c r="N3" s="145"/>
      <c r="O3" s="145" t="s">
        <v>580</v>
      </c>
      <c r="U3" s="210" t="s">
        <v>582</v>
      </c>
    </row>
    <row r="4" spans="1:21">
      <c r="A4">
        <f>F1</f>
        <v>0</v>
      </c>
      <c r="B4">
        <f>F1</f>
        <v>0</v>
      </c>
      <c r="C4">
        <f>F1</f>
        <v>0</v>
      </c>
      <c r="D4">
        <f>F1</f>
        <v>0</v>
      </c>
      <c r="E4" s="147" t="s">
        <v>14</v>
      </c>
      <c r="F4" s="7" t="s">
        <v>15</v>
      </c>
      <c r="G4" s="53">
        <f>IF(A4&gt;79,Tablas!C311,IF(A4&gt;74,Tablas!C283,IF(A4&gt;69,Tablas!C255,IF(A4&gt;64,Tablas!C227,IF(A4&gt;59,Tablas!C199,IF(A4&gt;54,Tablas!C171,IF(A4&gt;49,Tablas!C143,IF(A4&gt;44,Tablas!C115,IF(A4&gt;39,Tablas!C87,IF(A4&gt;29,Tablas!C59,IF(A4&gt;19,Tablas!C31,Tablas!C3)))))))))))</f>
        <v>22.99</v>
      </c>
      <c r="H4" s="53">
        <f>IF(B4&gt;79,Tablas!D311,IF(B4&gt;74,Tablas!D283,IF(B4&gt;69,Tablas!D255,IF(B4&gt;64,Tablas!D227,IF(B4&gt;59,Tablas!D199,IF(B4&gt;54,Tablas!D171,IF(B4&gt;49,Tablas!D143,IF(B4&gt;44,Tablas!D115,IF(B4&gt;39,Tablas!D87,IF(B4&gt;29,Tablas!D59,IF(B4&gt;19,Tablas!D31,Tablas!D3)))))))))))</f>
        <v>6.66</v>
      </c>
      <c r="I4" s="53" t="e">
        <f>IF(C4&gt;79,Tablas!E311,IF(C4&gt;74,Tablas!E283,IF(C4&gt;69,Tablas!E255,IF(C4&gt;64,Tablas!E227,IF(C4&gt;59,Tablas!E199,IF(C4&gt;54,Tablas!E171,IF(C4&gt;49,Tablas!E143,IF(C4&gt;44,Tablas!E115,IF(C4&gt;39,Tablas!E87,IF(C4&gt;29,Tablas!E59,IF(C4&gt;19,Tablas!E31,Tablas!E3)))))))))))</f>
        <v>#REF!</v>
      </c>
      <c r="J4" s="53" t="e">
        <f>IF(D4&gt;79,Tablas!F311,IF(D4&gt;74,Tablas!F283,IF(D4&gt;69,Tablas!F255,IF(D4&gt;64,Tablas!F227,IF(D4&gt;59,Tablas!F199,IF(D4&gt;54,Tablas!F171,IF(D4&gt;49,Tablas!F143,IF(D4&gt;44,Tablas!F115,IF(D4&gt;39,Tablas!F87,IF(D4&gt;29,Tablas!F59,IF(D4&gt;19,Tablas!F31,Tablas!F3)))))))))))</f>
        <v>#REF!</v>
      </c>
      <c r="K4" s="53"/>
      <c r="L4" s="53">
        <f>IF(A4&gt;79,Tablas!H311,IF(A4&gt;74,Tablas!H283,IF(A4&gt;69,Tablas!H255,IF(A4&gt;64,Tablas!H227,IF(A4&gt;59,Tablas!H199,IF(A4&gt;54,Tablas!H171,IF(A4&gt;49,Tablas!H143,IF(A4&gt;44,Tablas!H115,IF(A4&gt;39,Tablas!H87,IF(A4&gt;29,Tablas!H59,IF(A4&gt;19,Tablas!H31,Tablas!H3)))))))))))</f>
        <v>22.99</v>
      </c>
      <c r="M4" s="53">
        <f>IF(B4&gt;79,Tablas!I311,IF(B4&gt;74,Tablas!I283,IF(B4&gt;69,Tablas!I255,IF(B4&gt;64,Tablas!I227,IF(B4&gt;59,Tablas!I199,IF(B4&gt;54,Tablas!I171,IF(B4&gt;49,Tablas!I143,IF(B4&gt;44,Tablas!I115,IF(B4&gt;39,Tablas!I87,IF(B4&gt;29,Tablas!I59,IF(B4&gt;19,Tablas!I31,Tablas!I3)))))))))))</f>
        <v>6.66</v>
      </c>
      <c r="N4" s="53" t="e">
        <f>IF(C4&gt;79,Tablas!J311,IF(C4&gt;74,Tablas!J283,IF(C4&gt;69,Tablas!J255,IF(C4&gt;64,Tablas!J227,IF(C4&gt;59,Tablas!J199,IF(C4&gt;54,Tablas!J171,IF(C4&gt;49,Tablas!J143,IF(C4&gt;44,Tablas!J115,IF(C4&gt;39,Tablas!J87,IF(C4&gt;29,Tablas!J59,IF(C4&gt;19,Tablas!J31,Tablas!J3)))))))))))</f>
        <v>#REF!</v>
      </c>
      <c r="O4" s="53" t="e">
        <f>IF(D4&gt;79,Tablas!K311,IF(D4&gt;74,Tablas!K283,IF(D4&gt;69,Tablas!K255,IF(D4&gt;64,Tablas!K227,IF(D4&gt;59,Tablas!K199,IF(D4&gt;54,Tablas!K171,IF(D4&gt;49,Tablas!K143,IF(D4&gt;44,Tablas!K115,IF(D4&gt;39,Tablas!K87,IF(D4&gt;29,Tablas!K59,IF(D4&gt;19,Tablas!K31,Tablas!K3)))))))))))</f>
        <v>#REF!</v>
      </c>
      <c r="P4" s="62" t="e">
        <f>O1</f>
        <v>#REF!</v>
      </c>
      <c r="Q4" s="147" t="s">
        <v>14</v>
      </c>
      <c r="R4">
        <f>IF(M4=2,'Caso '!L4,'Caso '!G4)</f>
        <v>22.99</v>
      </c>
      <c r="S4" t="e">
        <f>IF(N4=2,'Caso '!M4,'Caso '!H4)</f>
        <v>#REF!</v>
      </c>
      <c r="T4" t="e">
        <f>IF(O4=2,'Caso '!N4,'Caso '!I4)</f>
        <v>#REF!</v>
      </c>
      <c r="U4" t="e">
        <f>IF(P4=2,'Caso '!O4,'Caso '!J4)</f>
        <v>#REF!</v>
      </c>
    </row>
    <row r="5" spans="1:21">
      <c r="A5">
        <f>F1</f>
        <v>0</v>
      </c>
      <c r="B5">
        <f>F1</f>
        <v>0</v>
      </c>
      <c r="C5">
        <f>F1</f>
        <v>0</v>
      </c>
      <c r="D5">
        <f>F1</f>
        <v>0</v>
      </c>
      <c r="E5" s="147"/>
      <c r="F5" s="7" t="s">
        <v>16</v>
      </c>
      <c r="G5" s="53">
        <f>IF(A5&gt;79,Tablas!C312,IF(A5&gt;74,Tablas!C284,IF(A5&gt;69,Tablas!C256,IF(A5&gt;64,Tablas!C228,IF(A5&gt;59,Tablas!C200,IF(A5&gt;54,Tablas!C172,IF(A5&gt;49,Tablas!C144,IF(A5&gt;44,Tablas!C116,IF(A5&gt;39,Tablas!C88,IF(A5&gt;29,Tablas!C60,IF(A5&gt;19,Tablas!C32,Tablas!C4)))))))))))</f>
        <v>19.84</v>
      </c>
      <c r="H5" s="53">
        <f>IF(B5&gt;79,Tablas!D312,IF(B5&gt;74,Tablas!D284,IF(B5&gt;69,Tablas!D256,IF(B5&gt;64,Tablas!D228,IF(B5&gt;59,Tablas!D200,IF(B5&gt;54,Tablas!D172,IF(B5&gt;49,Tablas!D144,IF(B5&gt;44,Tablas!D116,IF(B5&gt;39,Tablas!D88,IF(B5&gt;29,Tablas!D60,IF(B5&gt;19,Tablas!D32,Tablas!D4)))))))))))</f>
        <v>6.67</v>
      </c>
      <c r="I5" s="53" t="e">
        <f>IF(C5&gt;79,Tablas!E312,IF(C5&gt;74,Tablas!E284,IF(C5&gt;69,Tablas!E256,IF(C5&gt;64,Tablas!E228,IF(C5&gt;59,Tablas!E200,IF(C5&gt;54,Tablas!E172,IF(C5&gt;49,Tablas!E144,IF(C5&gt;44,Tablas!E116,IF(C5&gt;39,Tablas!E88,IF(C5&gt;29,Tablas!E60,IF(C5&gt;19,Tablas!E32,Tablas!E4)))))))))))</f>
        <v>#REF!</v>
      </c>
      <c r="J5" s="53" t="e">
        <f>IF(D5&gt;79,Tablas!F312,IF(D5&gt;74,Tablas!F284,IF(D5&gt;69,Tablas!F256,IF(D5&gt;64,Tablas!F228,IF(D5&gt;59,Tablas!F200,IF(D5&gt;54,Tablas!F172,IF(D5&gt;49,Tablas!F144,IF(D5&gt;44,Tablas!F116,IF(D5&gt;39,Tablas!F88,IF(D5&gt;29,Tablas!F60,IF(D5&gt;19,Tablas!F32,Tablas!F4)))))))))))</f>
        <v>#REF!</v>
      </c>
      <c r="K5" s="53"/>
      <c r="L5" s="53">
        <f>IF(A5&gt;79,Tablas!H312,IF(A5&gt;74,Tablas!H284,IF(A5&gt;69,Tablas!H256,IF(A5&gt;64,Tablas!H228,IF(A5&gt;59,Tablas!H200,IF(A5&gt;54,Tablas!H172,IF(A5&gt;49,Tablas!H144,IF(A5&gt;44,Tablas!H116,IF(A5&gt;39,Tablas!H88,IF(A5&gt;29,Tablas!H60,IF(A5&gt;19,Tablas!H32,Tablas!H4)))))))))))</f>
        <v>19.84</v>
      </c>
      <c r="M5" s="53">
        <f>IF(B5&gt;79,Tablas!I312,IF(B5&gt;74,Tablas!I284,IF(B5&gt;69,Tablas!I256,IF(B5&gt;64,Tablas!I228,IF(B5&gt;59,Tablas!I200,IF(B5&gt;54,Tablas!I172,IF(B5&gt;49,Tablas!I144,IF(B5&gt;44,Tablas!I116,IF(B5&gt;39,Tablas!I88,IF(B5&gt;29,Tablas!I60,IF(B5&gt;19,Tablas!I32,Tablas!I4)))))))))))</f>
        <v>6.67</v>
      </c>
      <c r="N5" s="53" t="e">
        <f>IF(C5&gt;79,Tablas!J312,IF(C5&gt;74,Tablas!J284,IF(C5&gt;69,Tablas!J256,IF(C5&gt;64,Tablas!J228,IF(C5&gt;59,Tablas!J200,IF(C5&gt;54,Tablas!J172,IF(C5&gt;49,Tablas!J144,IF(C5&gt;44,Tablas!J116,IF(C5&gt;39,Tablas!J88,IF(C5&gt;29,Tablas!J60,IF(C5&gt;19,Tablas!J32,Tablas!J4)))))))))))</f>
        <v>#REF!</v>
      </c>
      <c r="O5" s="53" t="e">
        <f>IF(D5&gt;79,Tablas!K312,IF(D5&gt;74,Tablas!K284,IF(D5&gt;69,Tablas!K256,IF(D5&gt;64,Tablas!K228,IF(D5&gt;59,Tablas!K200,IF(D5&gt;54,Tablas!K172,IF(D5&gt;49,Tablas!K144,IF(D5&gt;44,Tablas!K116,IF(D5&gt;39,Tablas!K88,IF(D5&gt;29,Tablas!K60,IF(D5&gt;19,Tablas!K32,Tablas!K4)))))))))))</f>
        <v>#REF!</v>
      </c>
      <c r="P5" s="62" t="e">
        <f>O1</f>
        <v>#REF!</v>
      </c>
      <c r="Q5" s="147"/>
      <c r="R5">
        <f>IF(M5=2,'Caso '!L5,'Caso '!G5)</f>
        <v>19.84</v>
      </c>
      <c r="S5" t="e">
        <f>IF(N5=2,'Caso '!M5,'Caso '!H5)</f>
        <v>#REF!</v>
      </c>
      <c r="T5" t="e">
        <f>IF(O5=2,'Caso '!N5,'Caso '!I5)</f>
        <v>#REF!</v>
      </c>
      <c r="U5" t="e">
        <f>IF(P5=2,'Caso '!O5,'Caso '!J5)</f>
        <v>#REF!</v>
      </c>
    </row>
    <row r="6" spans="1:21">
      <c r="A6">
        <f>F1</f>
        <v>0</v>
      </c>
      <c r="B6">
        <f>F1</f>
        <v>0</v>
      </c>
      <c r="C6">
        <f>F1</f>
        <v>0</v>
      </c>
      <c r="D6">
        <f>F1</f>
        <v>0</v>
      </c>
      <c r="E6" s="147" t="s">
        <v>18</v>
      </c>
      <c r="F6" s="7" t="s">
        <v>19</v>
      </c>
      <c r="G6" s="53">
        <f>IF(A6&gt;79,Tablas!C313,IF(A6&gt;74,Tablas!C285,IF(A6&gt;69,Tablas!C257,IF(A6&gt;64,Tablas!C229,IF(A6&gt;59,Tablas!C201,IF(A6&gt;54,Tablas!C173,IF(A6&gt;49,Tablas!C145,IF(A6&gt;44,Tablas!C117,IF(A6&gt;39,Tablas!C89,IF(A6&gt;29,Tablas!C61,IF(A6&gt;19,Tablas!C33,Tablas!C5)))))))))))</f>
        <v>6.9</v>
      </c>
      <c r="H6" s="53">
        <f>IF(B6&gt;79,Tablas!D313,IF(B6&gt;74,Tablas!D285,IF(B6&gt;69,Tablas!D257,IF(B6&gt;64,Tablas!D229,IF(B6&gt;59,Tablas!D201,IF(B6&gt;54,Tablas!D173,IF(B6&gt;49,Tablas!D145,IF(B6&gt;44,Tablas!D117,IF(B6&gt;39,Tablas!D89,IF(B6&gt;29,Tablas!D61,IF(B6&gt;19,Tablas!D33,Tablas!D5)))))))))))</f>
        <v>1.8</v>
      </c>
      <c r="I6" s="53" t="e">
        <f>IF(C6&gt;79,Tablas!E313,IF(C6&gt;74,Tablas!E285,IF(C6&gt;69,Tablas!E257,IF(C6&gt;64,Tablas!E229,IF(C6&gt;59,Tablas!E201,IF(C6&gt;54,Tablas!E173,IF(C6&gt;49,Tablas!E145,IF(C6&gt;44,Tablas!E117,IF(C6&gt;39,Tablas!E89,IF(C6&gt;29,Tablas!E61,IF(C6&gt;19,Tablas!E33,Tablas!E5)))))))))))</f>
        <v>#REF!</v>
      </c>
      <c r="J6" s="53" t="e">
        <f>IF(D6&gt;79,Tablas!F313,IF(D6&gt;74,Tablas!F285,IF(D6&gt;69,Tablas!F257,IF(D6&gt;64,Tablas!F229,IF(D6&gt;59,Tablas!F201,IF(D6&gt;54,Tablas!F173,IF(D6&gt;49,Tablas!F145,IF(D6&gt;44,Tablas!F117,IF(D6&gt;39,Tablas!F89,IF(D6&gt;29,Tablas!F61,IF(D6&gt;19,Tablas!F33,Tablas!F5)))))))))))</f>
        <v>#REF!</v>
      </c>
      <c r="K6" s="53"/>
      <c r="L6" s="53">
        <f>IF(A6&gt;79,Tablas!H313,IF(A6&gt;74,Tablas!H285,IF(A6&gt;69,Tablas!H257,IF(A6&gt;64,Tablas!H229,IF(A6&gt;59,Tablas!H201,IF(A6&gt;54,Tablas!H173,IF(A6&gt;49,Tablas!H145,IF(A6&gt;44,Tablas!H117,IF(A6&gt;39,Tablas!H89,IF(A6&gt;29,Tablas!H61,IF(A6&gt;19,Tablas!H33,Tablas!H5)))))))))))</f>
        <v>8</v>
      </c>
      <c r="M6" s="53">
        <f>IF(B6&gt;79,Tablas!I313,IF(B6&gt;74,Tablas!I285,IF(B6&gt;69,Tablas!I257,IF(B6&gt;64,Tablas!I229,IF(B6&gt;59,Tablas!I201,IF(B6&gt;54,Tablas!I173,IF(B6&gt;49,Tablas!I145,IF(B6&gt;44,Tablas!I117,IF(B6&gt;39,Tablas!I89,IF(B6&gt;29,Tablas!I61,IF(B6&gt;19,Tablas!I33,Tablas!I5)))))))))))</f>
        <v>1.8</v>
      </c>
      <c r="N6" s="53" t="e">
        <f>IF(C6&gt;79,Tablas!J313,IF(C6&gt;74,Tablas!J285,IF(C6&gt;69,Tablas!J257,IF(C6&gt;64,Tablas!J229,IF(C6&gt;59,Tablas!J201,IF(C6&gt;54,Tablas!J173,IF(C6&gt;49,Tablas!J145,IF(C6&gt;44,Tablas!J117,IF(C6&gt;39,Tablas!J89,IF(C6&gt;29,Tablas!J61,IF(C6&gt;19,Tablas!J33,Tablas!J5)))))))))))</f>
        <v>#REF!</v>
      </c>
      <c r="O6" s="53" t="e">
        <f>IF(D6&gt;79,Tablas!K313,IF(D6&gt;74,Tablas!K285,IF(D6&gt;69,Tablas!K257,IF(D6&gt;64,Tablas!K229,IF(D6&gt;59,Tablas!K201,IF(D6&gt;54,Tablas!K173,IF(D6&gt;49,Tablas!K145,IF(D6&gt;44,Tablas!K117,IF(D6&gt;39,Tablas!K89,IF(D6&gt;29,Tablas!K61,IF(D6&gt;19,Tablas!K33,Tablas!K5)))))))))))</f>
        <v>#REF!</v>
      </c>
      <c r="P6" s="62" t="e">
        <f>O1</f>
        <v>#REF!</v>
      </c>
      <c r="Q6" s="147" t="s">
        <v>18</v>
      </c>
      <c r="R6">
        <f>IF(M6=2,'Caso '!L6,'Caso '!G6)</f>
        <v>6.9</v>
      </c>
      <c r="S6" t="e">
        <f>IF(N6=2,'Caso '!M6,'Caso '!H6)</f>
        <v>#REF!</v>
      </c>
      <c r="T6" t="e">
        <f>IF(O6=2,'Caso '!N6,'Caso '!I6)</f>
        <v>#REF!</v>
      </c>
      <c r="U6" t="e">
        <f>IF(P6=2,'Caso '!O6,'Caso '!J6)</f>
        <v>#REF!</v>
      </c>
    </row>
    <row r="7" spans="1:21">
      <c r="A7">
        <f>F1</f>
        <v>0</v>
      </c>
      <c r="B7">
        <f>F1</f>
        <v>0</v>
      </c>
      <c r="C7">
        <f>F1</f>
        <v>0</v>
      </c>
      <c r="D7">
        <f>F1</f>
        <v>0</v>
      </c>
      <c r="E7" s="147"/>
      <c r="F7" s="7" t="s">
        <v>15</v>
      </c>
      <c r="G7" s="53">
        <f>IF(A7&gt;79,Tablas!C314,IF(A7&gt;74,Tablas!C286,IF(A7&gt;69,Tablas!C258,IF(A7&gt;64,Tablas!C230,IF(A7&gt;59,Tablas!C202,IF(A7&gt;54,Tablas!C174,IF(A7&gt;49,Tablas!C146,IF(A7&gt;44,Tablas!C118,IF(A7&gt;39,Tablas!C90,IF(A7&gt;29,Tablas!C62,IF(A7&gt;19,Tablas!C34,Tablas!C6)))))))))))</f>
        <v>53.4</v>
      </c>
      <c r="H7" s="53">
        <f>IF(B7&gt;79,Tablas!D314,IF(B7&gt;74,Tablas!D286,IF(B7&gt;69,Tablas!D258,IF(B7&gt;64,Tablas!D230,IF(B7&gt;59,Tablas!D202,IF(B7&gt;54,Tablas!D174,IF(B7&gt;49,Tablas!D146,IF(B7&gt;44,Tablas!D118,IF(B7&gt;39,Tablas!D90,IF(B7&gt;29,Tablas!D62,IF(B7&gt;19,Tablas!D34,Tablas!D6)))))))))))</f>
        <v>5.4</v>
      </c>
      <c r="I7" s="53" t="e">
        <f>IF(C7&gt;79,Tablas!E314,IF(C7&gt;74,Tablas!E286,IF(C7&gt;69,Tablas!E258,IF(C7&gt;64,Tablas!E230,IF(C7&gt;59,Tablas!E202,IF(C7&gt;54,Tablas!E174,IF(C7&gt;49,Tablas!E146,IF(C7&gt;44,Tablas!E118,IF(C7&gt;39,Tablas!E90,IF(C7&gt;29,Tablas!E62,IF(C7&gt;19,Tablas!E34,Tablas!E6)))))))))))</f>
        <v>#REF!</v>
      </c>
      <c r="J7" s="53" t="e">
        <f>IF(D7&gt;79,Tablas!F314,IF(D7&gt;74,Tablas!F286,IF(D7&gt;69,Tablas!F258,IF(D7&gt;64,Tablas!F230,IF(D7&gt;59,Tablas!F202,IF(D7&gt;54,Tablas!F174,IF(D7&gt;49,Tablas!F146,IF(D7&gt;44,Tablas!F118,IF(D7&gt;39,Tablas!F90,IF(D7&gt;29,Tablas!F62,IF(D7&gt;19,Tablas!F34,Tablas!F6)))))))))))</f>
        <v>#REF!</v>
      </c>
      <c r="K7" s="53"/>
      <c r="L7" s="53">
        <f>IF(A7&gt;79,Tablas!H314,IF(A7&gt;74,Tablas!H286,IF(A7&gt;69,Tablas!H258,IF(A7&gt;64,Tablas!H230,IF(A7&gt;59,Tablas!H202,IF(A7&gt;54,Tablas!H174,IF(A7&gt;49,Tablas!H146,IF(A7&gt;44,Tablas!H118,IF(A7&gt;39,Tablas!H90,IF(A7&gt;29,Tablas!H62,IF(A7&gt;19,Tablas!H34,Tablas!H6)))))))))))</f>
        <v>57.4</v>
      </c>
      <c r="M7" s="53">
        <f>IF(B7&gt;79,Tablas!I314,IF(B7&gt;74,Tablas!I286,IF(B7&gt;69,Tablas!I258,IF(B7&gt;64,Tablas!I230,IF(B7&gt;59,Tablas!I202,IF(B7&gt;54,Tablas!I174,IF(B7&gt;49,Tablas!I146,IF(B7&gt;44,Tablas!I118,IF(B7&gt;39,Tablas!I90,IF(B7&gt;29,Tablas!I62,IF(B7&gt;19,Tablas!I34,Tablas!I6)))))))))))</f>
        <v>5.9</v>
      </c>
      <c r="N7" s="53" t="e">
        <f>IF(C7&gt;79,Tablas!J314,IF(C7&gt;74,Tablas!J286,IF(C7&gt;69,Tablas!J258,IF(C7&gt;64,Tablas!J230,IF(C7&gt;59,Tablas!J202,IF(C7&gt;54,Tablas!J174,IF(C7&gt;49,Tablas!J146,IF(C7&gt;44,Tablas!J118,IF(C7&gt;39,Tablas!J90,IF(C7&gt;29,Tablas!J62,IF(C7&gt;19,Tablas!J34,Tablas!J6)))))))))))</f>
        <v>#REF!</v>
      </c>
      <c r="O7" s="53" t="e">
        <f>IF(D7&gt;79,Tablas!K314,IF(D7&gt;74,Tablas!K286,IF(D7&gt;69,Tablas!K258,IF(D7&gt;64,Tablas!K230,IF(D7&gt;59,Tablas!K202,IF(D7&gt;54,Tablas!K174,IF(D7&gt;49,Tablas!K146,IF(D7&gt;44,Tablas!K118,IF(D7&gt;39,Tablas!K90,IF(D7&gt;29,Tablas!K62,IF(D7&gt;19,Tablas!K34,Tablas!K6)))))))))))</f>
        <v>#REF!</v>
      </c>
      <c r="P7" s="62" t="e">
        <f>O1</f>
        <v>#REF!</v>
      </c>
      <c r="Q7" s="147"/>
      <c r="R7">
        <f>IF(M7=2,'Caso '!L7,'Caso '!G7)</f>
        <v>53.4</v>
      </c>
      <c r="S7" t="e">
        <f>IF(N7=2,'Caso '!M7,'Caso '!H7)</f>
        <v>#REF!</v>
      </c>
      <c r="T7" t="e">
        <f>IF(O7=2,'Caso '!N7,'Caso '!I7)</f>
        <v>#REF!</v>
      </c>
      <c r="U7" t="e">
        <f>IF(P7=2,'Caso '!O7,'Caso '!J7)</f>
        <v>#REF!</v>
      </c>
    </row>
    <row r="8" spans="1:21">
      <c r="A8">
        <f>F1</f>
        <v>0</v>
      </c>
      <c r="B8">
        <f>F1</f>
        <v>0</v>
      </c>
      <c r="C8">
        <f>F1</f>
        <v>0</v>
      </c>
      <c r="D8">
        <f>F1</f>
        <v>0</v>
      </c>
      <c r="E8" s="147"/>
      <c r="F8" s="7" t="s">
        <v>20</v>
      </c>
      <c r="G8" s="53">
        <f>IF(A8&gt;79,Tablas!C315,IF(A8&gt;74,Tablas!C287,IF(A8&gt;69,Tablas!C259,IF(A8&gt;64,Tablas!C231,IF(A8&gt;59,Tablas!C203,IF(A8&gt;54,Tablas!C175,IF(A8&gt;49,Tablas!C147,IF(A8&gt;44,Tablas!C119,IF(A8&gt;39,Tablas!C91,IF(A8&gt;29,Tablas!C63,IF(A8&gt;19,Tablas!C35,Tablas!C7)))))))))))</f>
        <v>6.9</v>
      </c>
      <c r="H8" s="53">
        <f>IF(B8&gt;79,Tablas!D315,IF(B8&gt;74,Tablas!D287,IF(B8&gt;69,Tablas!D259,IF(B8&gt;64,Tablas!D231,IF(B8&gt;59,Tablas!D203,IF(B8&gt;54,Tablas!D175,IF(B8&gt;49,Tablas!D147,IF(B8&gt;44,Tablas!D119,IF(B8&gt;39,Tablas!D91,IF(B8&gt;29,Tablas!D63,IF(B8&gt;19,Tablas!D35,Tablas!D7)))))))))))</f>
        <v>1.9</v>
      </c>
      <c r="I8" s="53" t="e">
        <f>IF(C8&gt;79,Tablas!E315,IF(C8&gt;74,Tablas!E287,IF(C8&gt;69,Tablas!E259,IF(C8&gt;64,Tablas!E231,IF(C8&gt;59,Tablas!E203,IF(C8&gt;54,Tablas!E175,IF(C8&gt;49,Tablas!E147,IF(C8&gt;44,Tablas!E119,IF(C8&gt;39,Tablas!E91,IF(C8&gt;29,Tablas!E63,IF(C8&gt;19,Tablas!E35,Tablas!E7)))))))))))</f>
        <v>#REF!</v>
      </c>
      <c r="J8" s="53" t="e">
        <f>IF(D8&gt;79,Tablas!F315,IF(D8&gt;74,Tablas!F287,IF(D8&gt;69,Tablas!F259,IF(D8&gt;64,Tablas!F231,IF(D8&gt;59,Tablas!F203,IF(D8&gt;54,Tablas!F175,IF(D8&gt;49,Tablas!F147,IF(D8&gt;44,Tablas!F119,IF(D8&gt;39,Tablas!F91,IF(D8&gt;29,Tablas!F63,IF(D8&gt;19,Tablas!F35,Tablas!F7)))))))))))</f>
        <v>#REF!</v>
      </c>
      <c r="K8" s="53"/>
      <c r="L8" s="53">
        <f>IF(A8&gt;79,Tablas!H315,IF(A8&gt;74,Tablas!H287,IF(A8&gt;69,Tablas!H259,IF(A8&gt;64,Tablas!H231,IF(A8&gt;59,Tablas!H203,IF(A8&gt;54,Tablas!H175,IF(A8&gt;49,Tablas!H147,IF(A8&gt;44,Tablas!H119,IF(A8&gt;39,Tablas!H91,IF(A8&gt;29,Tablas!H63,IF(A8&gt;19,Tablas!H35,Tablas!H7)))))))))))</f>
        <v>7.5</v>
      </c>
      <c r="M8" s="53">
        <f>IF(B8&gt;79,Tablas!I315,IF(B8&gt;74,Tablas!I287,IF(B8&gt;69,Tablas!I259,IF(B8&gt;64,Tablas!I231,IF(B8&gt;59,Tablas!I203,IF(B8&gt;54,Tablas!I175,IF(B8&gt;49,Tablas!I147,IF(B8&gt;44,Tablas!I119,IF(B8&gt;39,Tablas!I91,IF(B8&gt;29,Tablas!I63,IF(B8&gt;19,Tablas!I35,Tablas!I7)))))))))))</f>
        <v>1.6</v>
      </c>
      <c r="N8" s="53" t="e">
        <f>IF(C8&gt;79,Tablas!J315,IF(C8&gt;74,Tablas!J287,IF(C8&gt;69,Tablas!J259,IF(C8&gt;64,Tablas!J231,IF(C8&gt;59,Tablas!J203,IF(C8&gt;54,Tablas!J175,IF(C8&gt;49,Tablas!J147,IF(C8&gt;44,Tablas!J119,IF(C8&gt;39,Tablas!J91,IF(C8&gt;29,Tablas!J63,IF(C8&gt;19,Tablas!J35,Tablas!J7)))))))))))</f>
        <v>#REF!</v>
      </c>
      <c r="O8" s="53" t="e">
        <f>IF(D8&gt;79,Tablas!K315,IF(D8&gt;74,Tablas!K287,IF(D8&gt;69,Tablas!K259,IF(D8&gt;64,Tablas!K231,IF(D8&gt;59,Tablas!K203,IF(D8&gt;54,Tablas!K175,IF(D8&gt;49,Tablas!K147,IF(D8&gt;44,Tablas!K119,IF(D8&gt;39,Tablas!K91,IF(D8&gt;29,Tablas!K63,IF(D8&gt;19,Tablas!K35,Tablas!K7)))))))))))</f>
        <v>#REF!</v>
      </c>
      <c r="P8" s="62" t="e">
        <f>O1</f>
        <v>#REF!</v>
      </c>
      <c r="Q8" s="147"/>
      <c r="R8">
        <f>IF(M8=2,'Caso '!L8,'Caso '!G8)</f>
        <v>6.9</v>
      </c>
      <c r="S8" t="e">
        <f>IF(N8=2,'Caso '!M8,'Caso '!H8)</f>
        <v>#REF!</v>
      </c>
      <c r="T8" t="e">
        <f>IF(O8=2,'Caso '!N8,'Caso '!I8)</f>
        <v>#REF!</v>
      </c>
      <c r="U8" t="e">
        <f>IF(P8=2,'Caso '!O8,'Caso '!J8)</f>
        <v>#REF!</v>
      </c>
    </row>
    <row r="9" spans="1:21">
      <c r="A9">
        <f>F1</f>
        <v>0</v>
      </c>
      <c r="B9">
        <f>F1</f>
        <v>0</v>
      </c>
      <c r="C9">
        <f>F1</f>
        <v>0</v>
      </c>
      <c r="D9">
        <f>F1</f>
        <v>0</v>
      </c>
      <c r="E9" s="147"/>
      <c r="F9" s="7" t="s">
        <v>16</v>
      </c>
      <c r="G9" s="53">
        <f>IF(A9&gt;79,Tablas!C316,IF(A9&gt;74,Tablas!C288,IF(A9&gt;69,Tablas!C260,IF(A9&gt;64,Tablas!C232,IF(A9&gt;59,Tablas!C204,IF(A9&gt;54,Tablas!C176,IF(A9&gt;49,Tablas!C148,IF(A9&gt;44,Tablas!C120,IF(A9&gt;39,Tablas!C92,IF(A9&gt;29,Tablas!C64,IF(A9&gt;19,Tablas!C36,Tablas!C8)))))))))))</f>
        <v>11.3</v>
      </c>
      <c r="H9" s="53">
        <f>IF(B9&gt;79,Tablas!D316,IF(B9&gt;74,Tablas!D288,IF(B9&gt;69,Tablas!D260,IF(B9&gt;64,Tablas!D232,IF(B9&gt;59,Tablas!D204,IF(B9&gt;54,Tablas!D176,IF(B9&gt;49,Tablas!D148,IF(B9&gt;44,Tablas!D120,IF(B9&gt;39,Tablas!D92,IF(B9&gt;29,Tablas!D64,IF(B9&gt;19,Tablas!D36,Tablas!D8)))))))))))</f>
        <v>1.7</v>
      </c>
      <c r="I9" s="53" t="e">
        <f>IF(C9&gt;79,Tablas!E316,IF(C9&gt;74,Tablas!E288,IF(C9&gt;69,Tablas!E260,IF(C9&gt;64,Tablas!E232,IF(C9&gt;59,Tablas!E204,IF(C9&gt;54,Tablas!E176,IF(C9&gt;49,Tablas!E148,IF(C9&gt;44,Tablas!E120,IF(C9&gt;39,Tablas!E92,IF(C9&gt;29,Tablas!E64,IF(C9&gt;19,Tablas!E36,Tablas!E8)))))))))))</f>
        <v>#REF!</v>
      </c>
      <c r="J9" s="53" t="e">
        <f>IF(D9&gt;79,Tablas!F316,IF(D9&gt;74,Tablas!F288,IF(D9&gt;69,Tablas!F260,IF(D9&gt;64,Tablas!F232,IF(D9&gt;59,Tablas!F204,IF(D9&gt;54,Tablas!F176,IF(D9&gt;49,Tablas!F148,IF(D9&gt;44,Tablas!F120,IF(D9&gt;39,Tablas!F92,IF(D9&gt;29,Tablas!F64,IF(D9&gt;19,Tablas!F36,Tablas!F8)))))))))))</f>
        <v>#REF!</v>
      </c>
      <c r="K9" s="53"/>
      <c r="L9" s="53">
        <f>IF(A9&gt;79,Tablas!H316,IF(A9&gt;74,Tablas!H288,IF(A9&gt;69,Tablas!H260,IF(A9&gt;64,Tablas!H232,IF(A9&gt;59,Tablas!H204,IF(A9&gt;54,Tablas!H176,IF(A9&gt;49,Tablas!H148,IF(A9&gt;44,Tablas!H120,IF(A9&gt;39,Tablas!H92,IF(A9&gt;29,Tablas!H64,IF(A9&gt;19,Tablas!H36,Tablas!H8)))))))))))</f>
        <v>11.8</v>
      </c>
      <c r="M9" s="53">
        <f>IF(B9&gt;79,Tablas!I316,IF(B9&gt;74,Tablas!I288,IF(B9&gt;69,Tablas!I260,IF(B9&gt;64,Tablas!I232,IF(B9&gt;59,Tablas!I204,IF(B9&gt;54,Tablas!I176,IF(B9&gt;49,Tablas!I148,IF(B9&gt;44,Tablas!I120,IF(B9&gt;39,Tablas!I92,IF(B9&gt;29,Tablas!I64,IF(B9&gt;19,Tablas!I36,Tablas!I8)))))))))))</f>
        <v>2.5</v>
      </c>
      <c r="N9" s="53" t="e">
        <f>IF(C9&gt;79,Tablas!J316,IF(C9&gt;74,Tablas!J288,IF(C9&gt;69,Tablas!J260,IF(C9&gt;64,Tablas!J232,IF(C9&gt;59,Tablas!J204,IF(C9&gt;54,Tablas!J176,IF(C9&gt;49,Tablas!J148,IF(C9&gt;44,Tablas!J120,IF(C9&gt;39,Tablas!J92,IF(C9&gt;29,Tablas!J64,IF(C9&gt;19,Tablas!J36,Tablas!J8)))))))))))</f>
        <v>#REF!</v>
      </c>
      <c r="O9" s="53" t="e">
        <f>IF(D9&gt;79,Tablas!K316,IF(D9&gt;74,Tablas!K288,IF(D9&gt;69,Tablas!K260,IF(D9&gt;64,Tablas!K232,IF(D9&gt;59,Tablas!K204,IF(D9&gt;54,Tablas!K176,IF(D9&gt;49,Tablas!K148,IF(D9&gt;44,Tablas!K120,IF(D9&gt;39,Tablas!K92,IF(D9&gt;29,Tablas!K64,IF(D9&gt;19,Tablas!K36,Tablas!K8)))))))))))</f>
        <v>#REF!</v>
      </c>
      <c r="P9" s="62" t="e">
        <f>O1</f>
        <v>#REF!</v>
      </c>
      <c r="Q9" s="147"/>
      <c r="R9">
        <f>IF(M9=2,'Caso '!L9,'Caso '!G9)</f>
        <v>11.3</v>
      </c>
      <c r="S9" t="e">
        <f>IF(N9=2,'Caso '!M9,'Caso '!H9)</f>
        <v>#REF!</v>
      </c>
      <c r="T9" t="e">
        <f>IF(O9=2,'Caso '!N9,'Caso '!I9)</f>
        <v>#REF!</v>
      </c>
      <c r="U9" t="e">
        <f>IF(P9=2,'Caso '!O9,'Caso '!J9)</f>
        <v>#REF!</v>
      </c>
    </row>
    <row r="10" spans="1:21">
      <c r="A10">
        <f>F1</f>
        <v>0</v>
      </c>
      <c r="B10">
        <f>F1</f>
        <v>0</v>
      </c>
      <c r="C10">
        <f>F1</f>
        <v>0</v>
      </c>
      <c r="D10">
        <f>F1</f>
        <v>0</v>
      </c>
      <c r="E10" s="147"/>
      <c r="F10" s="7" t="s">
        <v>17</v>
      </c>
      <c r="G10" s="53">
        <f>IF(A10&gt;79,Tablas!C317,IF(A10&gt;74,Tablas!C289,IF(A10&gt;69,Tablas!C261,IF(A10&gt;64,Tablas!C233,IF(A10&gt;59,Tablas!C205,IF(A10&gt;54,Tablas!C177,IF(A10&gt;49,Tablas!C149,IF(A10&gt;44,Tablas!C121,IF(A10&gt;39,Tablas!C93,IF(A10&gt;29,Tablas!C65,IF(A10&gt;19,Tablas!C37,Tablas!C9)))))))))))</f>
        <v>14.4</v>
      </c>
      <c r="H10" s="53">
        <f>IF(B10&gt;79,Tablas!D317,IF(B10&gt;74,Tablas!D289,IF(B10&gt;69,Tablas!D261,IF(B10&gt;64,Tablas!D233,IF(B10&gt;59,Tablas!D205,IF(B10&gt;54,Tablas!D177,IF(B10&gt;49,Tablas!D149,IF(B10&gt;44,Tablas!D121,IF(B10&gt;39,Tablas!D93,IF(B10&gt;29,Tablas!D65,IF(B10&gt;19,Tablas!D37,Tablas!D9)))))))))))</f>
        <v>0.9</v>
      </c>
      <c r="I10" s="53" t="e">
        <f>IF(C10&gt;79,Tablas!E317,IF(C10&gt;74,Tablas!E289,IF(C10&gt;69,Tablas!E261,IF(C10&gt;64,Tablas!E233,IF(C10&gt;59,Tablas!E205,IF(C10&gt;54,Tablas!E177,IF(C10&gt;49,Tablas!E149,IF(C10&gt;44,Tablas!E121,IF(C10&gt;39,Tablas!E93,IF(C10&gt;29,Tablas!E65,IF(C10&gt;19,Tablas!E37,Tablas!E9)))))))))))</f>
        <v>#REF!</v>
      </c>
      <c r="J10" s="53" t="e">
        <f>IF(D10&gt;79,Tablas!F317,IF(D10&gt;74,Tablas!F289,IF(D10&gt;69,Tablas!F261,IF(D10&gt;64,Tablas!F233,IF(D10&gt;59,Tablas!F205,IF(D10&gt;54,Tablas!F177,IF(D10&gt;49,Tablas!F149,IF(D10&gt;44,Tablas!F121,IF(D10&gt;39,Tablas!F93,IF(D10&gt;29,Tablas!F65,IF(D10&gt;19,Tablas!F37,Tablas!F9)))))))))))</f>
        <v>#REF!</v>
      </c>
      <c r="K10" s="53"/>
      <c r="L10" s="53">
        <f>IF(A10&gt;79,Tablas!H317,IF(A10&gt;74,Tablas!H289,IF(A10&gt;69,Tablas!H261,IF(A10&gt;64,Tablas!H233,IF(A10&gt;59,Tablas!H205,IF(A10&gt;54,Tablas!H177,IF(A10&gt;49,Tablas!H149,IF(A10&gt;44,Tablas!H121,IF(A10&gt;39,Tablas!H93,IF(A10&gt;29,Tablas!H65,IF(A10&gt;19,Tablas!H37,Tablas!H9)))))))))))</f>
        <v>13.6</v>
      </c>
      <c r="M10" s="53">
        <f>IF(B10&gt;79,Tablas!I317,IF(B10&gt;74,Tablas!I289,IF(B10&gt;69,Tablas!I261,IF(B10&gt;64,Tablas!I233,IF(B10&gt;59,Tablas!I205,IF(B10&gt;54,Tablas!I177,IF(B10&gt;49,Tablas!I149,IF(B10&gt;44,Tablas!I121,IF(B10&gt;39,Tablas!I93,IF(B10&gt;29,Tablas!I65,IF(B10&gt;19,Tablas!I37,Tablas!I9)))))))))))</f>
        <v>2.1</v>
      </c>
      <c r="N10" s="53" t="e">
        <f>IF(C10&gt;79,Tablas!J317,IF(C10&gt;74,Tablas!J289,IF(C10&gt;69,Tablas!J261,IF(C10&gt;64,Tablas!J233,IF(C10&gt;59,Tablas!J205,IF(C10&gt;54,Tablas!J177,IF(C10&gt;49,Tablas!J149,IF(C10&gt;44,Tablas!J121,IF(C10&gt;39,Tablas!J93,IF(C10&gt;29,Tablas!J65,IF(C10&gt;19,Tablas!J37,Tablas!J9)))))))))))</f>
        <v>#REF!</v>
      </c>
      <c r="O10" s="53" t="e">
        <f>IF(D10&gt;79,Tablas!K317,IF(D10&gt;74,Tablas!K289,IF(D10&gt;69,Tablas!K261,IF(D10&gt;64,Tablas!K233,IF(D10&gt;59,Tablas!K205,IF(D10&gt;54,Tablas!K177,IF(D10&gt;49,Tablas!K149,IF(D10&gt;44,Tablas!K121,IF(D10&gt;39,Tablas!K93,IF(D10&gt;29,Tablas!K65,IF(D10&gt;19,Tablas!K37,Tablas!K9)))))))))))</f>
        <v>#REF!</v>
      </c>
      <c r="P10" s="62" t="e">
        <f>O1</f>
        <v>#REF!</v>
      </c>
      <c r="Q10" s="147"/>
      <c r="R10">
        <f>IF(M10=2,'Caso '!L10,'Caso '!G10)</f>
        <v>14.4</v>
      </c>
      <c r="S10" t="e">
        <f>IF(N10=2,'Caso '!M10,'Caso '!H10)</f>
        <v>#REF!</v>
      </c>
      <c r="T10" t="e">
        <f>IF(O10=2,'Caso '!N10,'Caso '!I10)</f>
        <v>#REF!</v>
      </c>
      <c r="U10" t="e">
        <f>IF(P10=2,'Caso '!O10,'Caso '!J10)</f>
        <v>#REF!</v>
      </c>
    </row>
    <row r="11" spans="1:21">
      <c r="A11">
        <f>F1</f>
        <v>0</v>
      </c>
      <c r="B11">
        <f>F1</f>
        <v>0</v>
      </c>
      <c r="C11">
        <f>F1</f>
        <v>0</v>
      </c>
      <c r="D11">
        <f>F1</f>
        <v>0</v>
      </c>
      <c r="E11" s="147" t="s">
        <v>21</v>
      </c>
      <c r="F11" s="7" t="s">
        <v>44</v>
      </c>
      <c r="G11" s="53">
        <f>IF(A11&gt;79,Tablas!C318,IF(A11&gt;74,Tablas!C290,IF(A11&gt;69,Tablas!C262,IF(A11&gt;64,Tablas!C234,IF(A11&gt;59,Tablas!C206,IF(A11&gt;54,Tablas!C178,IF(A11&gt;49,Tablas!C150,IF(A11&gt;44,Tablas!C122,IF(A11&gt;39,Tablas!C94,IF(A11&gt;29,Tablas!C66,IF(A11&gt;19,Tablas!C38,Tablas!C10)))))))))))</f>
        <v>12.8</v>
      </c>
      <c r="H11" s="53">
        <f>IF(B11&gt;79,Tablas!D318,IF(B11&gt;74,Tablas!D290,IF(B11&gt;69,Tablas!D262,IF(B11&gt;64,Tablas!D234,IF(B11&gt;59,Tablas!D206,IF(B11&gt;54,Tablas!D178,IF(B11&gt;49,Tablas!D150,IF(B11&gt;44,Tablas!D122,IF(B11&gt;39,Tablas!D94,IF(B11&gt;29,Tablas!D66,IF(B11&gt;19,Tablas!D38,Tablas!D10)))))))))))</f>
        <v>3.9</v>
      </c>
      <c r="I11" s="53" t="e">
        <f>IF(C11&gt;79,Tablas!E318,IF(C11&gt;74,Tablas!E290,IF(C11&gt;69,Tablas!E262,IF(C11&gt;64,Tablas!E234,IF(C11&gt;59,Tablas!E206,IF(C11&gt;54,Tablas!E178,IF(C11&gt;49,Tablas!E150,IF(C11&gt;44,Tablas!E122,IF(C11&gt;39,Tablas!E94,IF(C11&gt;29,Tablas!E66,IF(C11&gt;19,Tablas!E38,Tablas!E10)))))))))))</f>
        <v>#REF!</v>
      </c>
      <c r="J11" s="53" t="e">
        <f>IF(D11&gt;79,Tablas!F318,IF(D11&gt;74,Tablas!F290,IF(D11&gt;69,Tablas!F262,IF(D11&gt;64,Tablas!F234,IF(D11&gt;59,Tablas!F206,IF(D11&gt;54,Tablas!F178,IF(D11&gt;49,Tablas!F150,IF(D11&gt;44,Tablas!F122,IF(D11&gt;39,Tablas!F94,IF(D11&gt;29,Tablas!F66,IF(D11&gt;19,Tablas!F38,Tablas!F10)))))))))))</f>
        <v>#REF!</v>
      </c>
      <c r="K11" s="53"/>
      <c r="L11" s="53">
        <f>IF(A11&gt;79,Tablas!H318,IF(A11&gt;74,Tablas!H290,IF(A11&gt;69,Tablas!H262,IF(A11&gt;64,Tablas!H234,IF(A11&gt;59,Tablas!H206,IF(A11&gt;54,Tablas!H178,IF(A11&gt;49,Tablas!H150,IF(A11&gt;44,Tablas!H122,IF(A11&gt;39,Tablas!H94,IF(A11&gt;29,Tablas!H66,IF(A11&gt;19,Tablas!H38,Tablas!H10)))))))))))</f>
        <v>12.8</v>
      </c>
      <c r="M11" s="53">
        <f>IF(B11&gt;79,Tablas!I318,IF(B11&gt;74,Tablas!I290,IF(B11&gt;69,Tablas!I262,IF(B11&gt;64,Tablas!I234,IF(B11&gt;59,Tablas!I206,IF(B11&gt;54,Tablas!I178,IF(B11&gt;49,Tablas!I150,IF(B11&gt;44,Tablas!I122,IF(B11&gt;39,Tablas!I94,IF(B11&gt;29,Tablas!I66,IF(B11&gt;19,Tablas!I38,Tablas!I10)))))))))))</f>
        <v>3.9</v>
      </c>
      <c r="N11" s="53" t="e">
        <f>IF(C11&gt;79,Tablas!J318,IF(C11&gt;74,Tablas!J290,IF(C11&gt;69,Tablas!J262,IF(C11&gt;64,Tablas!J234,IF(C11&gt;59,Tablas!J206,IF(C11&gt;54,Tablas!J178,IF(C11&gt;49,Tablas!J150,IF(C11&gt;44,Tablas!J122,IF(C11&gt;39,Tablas!J94,IF(C11&gt;29,Tablas!J66,IF(C11&gt;19,Tablas!J38,Tablas!J10)))))))))))</f>
        <v>#REF!</v>
      </c>
      <c r="O11" s="53" t="e">
        <f>IF(D11&gt;79,Tablas!K318,IF(D11&gt;74,Tablas!K290,IF(D11&gt;69,Tablas!K262,IF(D11&gt;64,Tablas!K234,IF(D11&gt;59,Tablas!K206,IF(D11&gt;54,Tablas!K178,IF(D11&gt;49,Tablas!K150,IF(D11&gt;44,Tablas!K122,IF(D11&gt;39,Tablas!K94,IF(D11&gt;29,Tablas!K66,IF(D11&gt;19,Tablas!K38,Tablas!K10)))))))))))</f>
        <v>#REF!</v>
      </c>
      <c r="P11" s="62" t="e">
        <f>O1</f>
        <v>#REF!</v>
      </c>
      <c r="Q11" s="147" t="s">
        <v>21</v>
      </c>
      <c r="R11">
        <f>IF(M11=2,'Caso '!L11,'Caso '!G11)</f>
        <v>12.8</v>
      </c>
      <c r="S11" t="e">
        <f>IF(N11=2,'Caso '!M11,'Caso '!H11)</f>
        <v>#REF!</v>
      </c>
      <c r="T11" t="e">
        <f>IF(O11=2,'Caso '!N11,'Caso '!I11)</f>
        <v>#REF!</v>
      </c>
      <c r="U11" t="e">
        <f>IF(P11=2,'Caso '!O11,'Caso '!J11)</f>
        <v>#REF!</v>
      </c>
    </row>
    <row r="12" spans="1:21">
      <c r="A12">
        <f>F1</f>
        <v>0</v>
      </c>
      <c r="B12">
        <f>F1</f>
        <v>0</v>
      </c>
      <c r="C12">
        <f>F1</f>
        <v>0</v>
      </c>
      <c r="D12">
        <f>F1</f>
        <v>0</v>
      </c>
      <c r="E12" s="147" t="s">
        <v>21</v>
      </c>
      <c r="F12" s="7" t="s">
        <v>45</v>
      </c>
      <c r="G12" s="53">
        <f>IF(A12&gt;79,Tablas!C319,IF(A12&gt;74,Tablas!C291,IF(A12&gt;69,Tablas!C263,IF(A12&gt;64,Tablas!C235,IF(A12&gt;59,Tablas!C207,IF(A12&gt;54,Tablas!C179,IF(A12&gt;49,Tablas!C151,IF(A12&gt;44,Tablas!C123,IF(A12&gt;39,Tablas!C95,IF(A12&gt;29,Tablas!C67,IF(A12&gt;19,Tablas!C39,Tablas!C11)))))))))))</f>
        <v>16.3</v>
      </c>
      <c r="H12" s="53">
        <f>IF(B12&gt;79,Tablas!D319,IF(B12&gt;74,Tablas!D291,IF(B12&gt;69,Tablas!D263,IF(B12&gt;64,Tablas!D235,IF(B12&gt;59,Tablas!D207,IF(B12&gt;54,Tablas!D179,IF(B12&gt;49,Tablas!D151,IF(B12&gt;44,Tablas!D123,IF(B12&gt;39,Tablas!D95,IF(B12&gt;29,Tablas!D67,IF(B12&gt;19,Tablas!D39,Tablas!D11)))))))))))</f>
        <v>6.1</v>
      </c>
      <c r="I12" s="53" t="e">
        <f>IF(C12&gt;79,Tablas!E319,IF(C12&gt;74,Tablas!E291,IF(C12&gt;69,Tablas!E263,IF(C12&gt;64,Tablas!E235,IF(C12&gt;59,Tablas!E207,IF(C12&gt;54,Tablas!E179,IF(C12&gt;49,Tablas!E151,IF(C12&gt;44,Tablas!E123,IF(C12&gt;39,Tablas!E95,IF(C12&gt;29,Tablas!E67,IF(C12&gt;19,Tablas!E39,Tablas!E11)))))))))))</f>
        <v>#REF!</v>
      </c>
      <c r="J12" s="53" t="e">
        <f>IF(D12&gt;79,Tablas!F319,IF(D12&gt;74,Tablas!F291,IF(D12&gt;69,Tablas!F263,IF(D12&gt;64,Tablas!F235,IF(D12&gt;59,Tablas!F207,IF(D12&gt;54,Tablas!F179,IF(D12&gt;49,Tablas!F151,IF(D12&gt;44,Tablas!F123,IF(D12&gt;39,Tablas!F95,IF(D12&gt;29,Tablas!F67,IF(D12&gt;19,Tablas!F39,Tablas!F11)))))))))))</f>
        <v>#REF!</v>
      </c>
      <c r="K12" s="53"/>
      <c r="L12" s="53">
        <f>IF(A12&gt;79,Tablas!H319,IF(A12&gt;74,Tablas!H291,IF(A12&gt;69,Tablas!H263,IF(A12&gt;64,Tablas!H235,IF(A12&gt;59,Tablas!H207,IF(A12&gt;54,Tablas!H179,IF(A12&gt;49,Tablas!H151,IF(A12&gt;44,Tablas!H123,IF(A12&gt;39,Tablas!H95,IF(A12&gt;29,Tablas!H67,IF(A12&gt;19,Tablas!H39,Tablas!H11)))))))))))</f>
        <v>16.3</v>
      </c>
      <c r="M12" s="53">
        <f>IF(B12&gt;79,Tablas!I319,IF(B12&gt;74,Tablas!I291,IF(B12&gt;69,Tablas!I263,IF(B12&gt;64,Tablas!I235,IF(B12&gt;59,Tablas!I207,IF(B12&gt;54,Tablas!I179,IF(B12&gt;49,Tablas!I151,IF(B12&gt;44,Tablas!I123,IF(B12&gt;39,Tablas!I95,IF(B12&gt;29,Tablas!I67,IF(B12&gt;19,Tablas!I39,Tablas!I11)))))))))))</f>
        <v>6.1</v>
      </c>
      <c r="N12" s="53" t="e">
        <f>IF(C12&gt;79,Tablas!J319,IF(C12&gt;74,Tablas!J291,IF(C12&gt;69,Tablas!J263,IF(C12&gt;64,Tablas!J235,IF(C12&gt;59,Tablas!J207,IF(C12&gt;54,Tablas!J179,IF(C12&gt;49,Tablas!J151,IF(C12&gt;44,Tablas!J123,IF(C12&gt;39,Tablas!J95,IF(C12&gt;29,Tablas!J67,IF(C12&gt;19,Tablas!J39,Tablas!J11)))))))))))</f>
        <v>#REF!</v>
      </c>
      <c r="O12" s="53" t="e">
        <f>IF(D12&gt;79,Tablas!K319,IF(D12&gt;74,Tablas!K291,IF(D12&gt;69,Tablas!K263,IF(D12&gt;64,Tablas!K235,IF(D12&gt;59,Tablas!K207,IF(D12&gt;54,Tablas!K179,IF(D12&gt;49,Tablas!K151,IF(D12&gt;44,Tablas!K123,IF(D12&gt;39,Tablas!K95,IF(D12&gt;29,Tablas!K67,IF(D12&gt;19,Tablas!K39,Tablas!K11)))))))))))</f>
        <v>#REF!</v>
      </c>
      <c r="P12" s="62" t="e">
        <f>O1</f>
        <v>#REF!</v>
      </c>
      <c r="Q12" s="147" t="s">
        <v>21</v>
      </c>
      <c r="R12">
        <f>IF(M12=2,'Caso '!L12,'Caso '!G12)</f>
        <v>16.3</v>
      </c>
      <c r="S12" t="e">
        <f>IF(N12=2,'Caso '!M12,'Caso '!H12)</f>
        <v>#REF!</v>
      </c>
      <c r="T12" t="e">
        <f>IF(O12=2,'Caso '!N12,'Caso '!I12)</f>
        <v>#REF!</v>
      </c>
      <c r="U12" t="e">
        <f>IF(P12=2,'Caso '!O12,'Caso '!J12)</f>
        <v>#REF!</v>
      </c>
    </row>
    <row r="13" spans="1:21">
      <c r="A13">
        <f>F1</f>
        <v>0</v>
      </c>
      <c r="B13">
        <f>F1</f>
        <v>0</v>
      </c>
      <c r="C13">
        <f>F1</f>
        <v>0</v>
      </c>
      <c r="D13">
        <f>F1</f>
        <v>0</v>
      </c>
      <c r="E13" s="147" t="s">
        <v>21</v>
      </c>
      <c r="F13" s="7" t="s">
        <v>46</v>
      </c>
      <c r="G13" s="53">
        <f>IF(A13&gt;79,Tablas!C320,IF(A13&gt;74,Tablas!C292,IF(A13&gt;69,Tablas!C264,IF(A13&gt;64,Tablas!C236,IF(A13&gt;59,Tablas!C208,IF(A13&gt;54,Tablas!C180,IF(A13&gt;49,Tablas!C152,IF(A13&gt;44,Tablas!C124,IF(A13&gt;39,Tablas!C96,IF(A13&gt;29,Tablas!C68,IF(A13&gt;19,Tablas!C40,Tablas!C12)))))))))))</f>
        <v>18.100000000000001</v>
      </c>
      <c r="H13" s="53">
        <f>IF(B13&gt;79,Tablas!D320,IF(B13&gt;74,Tablas!D292,IF(B13&gt;69,Tablas!D264,IF(B13&gt;64,Tablas!D236,IF(B13&gt;59,Tablas!D208,IF(B13&gt;54,Tablas!D180,IF(B13&gt;49,Tablas!D152,IF(B13&gt;44,Tablas!D124,IF(B13&gt;39,Tablas!D96,IF(B13&gt;29,Tablas!D68,IF(B13&gt;19,Tablas!D40,Tablas!D12)))))))))))</f>
        <v>6.2</v>
      </c>
      <c r="I13" s="53" t="e">
        <f>IF(C13&gt;79,Tablas!E320,IF(C13&gt;74,Tablas!E292,IF(C13&gt;69,Tablas!E264,IF(C13&gt;64,Tablas!E236,IF(C13&gt;59,Tablas!E208,IF(C13&gt;54,Tablas!E180,IF(C13&gt;49,Tablas!E152,IF(C13&gt;44,Tablas!E124,IF(C13&gt;39,Tablas!E96,IF(C13&gt;29,Tablas!E68,IF(C13&gt;19,Tablas!E40,Tablas!E12)))))))))))</f>
        <v>#REF!</v>
      </c>
      <c r="J13" s="53" t="e">
        <f>IF(D13&gt;79,Tablas!F320,IF(D13&gt;74,Tablas!F292,IF(D13&gt;69,Tablas!F264,IF(D13&gt;64,Tablas!F236,IF(D13&gt;59,Tablas!F208,IF(D13&gt;54,Tablas!F180,IF(D13&gt;49,Tablas!F152,IF(D13&gt;44,Tablas!F124,IF(D13&gt;39,Tablas!F96,IF(D13&gt;29,Tablas!F68,IF(D13&gt;19,Tablas!F40,Tablas!F12)))))))))))</f>
        <v>#REF!</v>
      </c>
      <c r="K13" s="53"/>
      <c r="L13" s="53">
        <f>IF(A13&gt;79,Tablas!H320,IF(A13&gt;74,Tablas!H292,IF(A13&gt;69,Tablas!H264,IF(A13&gt;64,Tablas!H236,IF(A13&gt;59,Tablas!H208,IF(A13&gt;54,Tablas!H180,IF(A13&gt;49,Tablas!H152,IF(A13&gt;44,Tablas!H124,IF(A13&gt;39,Tablas!H96,IF(A13&gt;29,Tablas!H68,IF(A13&gt;19,Tablas!H40,Tablas!H12)))))))))))</f>
        <v>18.100000000000001</v>
      </c>
      <c r="M13" s="53">
        <f>IF(B13&gt;79,Tablas!I320,IF(B13&gt;74,Tablas!I292,IF(B13&gt;69,Tablas!I264,IF(B13&gt;64,Tablas!I236,IF(B13&gt;59,Tablas!I208,IF(B13&gt;54,Tablas!I180,IF(B13&gt;49,Tablas!I152,IF(B13&gt;44,Tablas!I124,IF(B13&gt;39,Tablas!I96,IF(B13&gt;29,Tablas!I68,IF(B13&gt;19,Tablas!I40,Tablas!I12)))))))))))</f>
        <v>6.2</v>
      </c>
      <c r="N13" s="53" t="e">
        <f>IF(C13&gt;79,Tablas!J320,IF(C13&gt;74,Tablas!J292,IF(C13&gt;69,Tablas!J264,IF(C13&gt;64,Tablas!J236,IF(C13&gt;59,Tablas!J208,IF(C13&gt;54,Tablas!J180,IF(C13&gt;49,Tablas!J152,IF(C13&gt;44,Tablas!J124,IF(C13&gt;39,Tablas!J96,IF(C13&gt;29,Tablas!J68,IF(C13&gt;19,Tablas!J40,Tablas!J12)))))))))))</f>
        <v>#REF!</v>
      </c>
      <c r="O13" s="53" t="e">
        <f>IF(D13&gt;79,Tablas!K320,IF(D13&gt;74,Tablas!K292,IF(D13&gt;69,Tablas!K264,IF(D13&gt;64,Tablas!K236,IF(D13&gt;59,Tablas!K208,IF(D13&gt;54,Tablas!K180,IF(D13&gt;49,Tablas!K152,IF(D13&gt;44,Tablas!K124,IF(D13&gt;39,Tablas!K96,IF(D13&gt;29,Tablas!K68,IF(D13&gt;19,Tablas!K40,Tablas!K12)))))))))))</f>
        <v>#REF!</v>
      </c>
      <c r="P13" s="62" t="e">
        <f>O1</f>
        <v>#REF!</v>
      </c>
      <c r="Q13" s="147" t="s">
        <v>21</v>
      </c>
      <c r="R13">
        <f>IF(M13=2,'Caso '!L13,'Caso '!G13)</f>
        <v>18.100000000000001</v>
      </c>
      <c r="S13" t="e">
        <f>IF(N13=2,'Caso '!M13,'Caso '!H13)</f>
        <v>#REF!</v>
      </c>
      <c r="T13" t="e">
        <f>IF(O13=2,'Caso '!N13,'Caso '!I13)</f>
        <v>#REF!</v>
      </c>
      <c r="U13" t="e">
        <f>IF(P13=2,'Caso '!O13,'Caso '!J13)</f>
        <v>#REF!</v>
      </c>
    </row>
    <row r="14" spans="1:21">
      <c r="A14">
        <f>F1</f>
        <v>0</v>
      </c>
      <c r="B14">
        <f>F1</f>
        <v>0</v>
      </c>
      <c r="C14">
        <f>F1</f>
        <v>0</v>
      </c>
      <c r="D14">
        <f>F1</f>
        <v>0</v>
      </c>
      <c r="E14" s="147" t="s">
        <v>22</v>
      </c>
      <c r="F14" s="7" t="s">
        <v>44</v>
      </c>
      <c r="G14" s="53">
        <f>IF(A14&gt;79,Tablas!C321,IF(A14&gt;74,Tablas!C293,IF(A14&gt;69,Tablas!C265,IF(A14&gt;64,Tablas!C237,IF(A14&gt;59,Tablas!C209,IF(A14&gt;54,Tablas!C181,IF(A14&gt;49,Tablas!C153,IF(A14&gt;44,Tablas!C125,IF(A14&gt;39,Tablas!C97,IF(A14&gt;29,Tablas!C69,IF(A14&gt;19,Tablas!C41,Tablas!C13)))))))))))</f>
        <v>16.5</v>
      </c>
      <c r="H14" s="53">
        <f>IF(B14&gt;79,Tablas!D321,IF(B14&gt;74,Tablas!D293,IF(B14&gt;69,Tablas!D265,IF(B14&gt;64,Tablas!D237,IF(B14&gt;59,Tablas!D209,IF(B14&gt;54,Tablas!D181,IF(B14&gt;49,Tablas!D153,IF(B14&gt;44,Tablas!D125,IF(B14&gt;39,Tablas!D97,IF(B14&gt;29,Tablas!D69,IF(B14&gt;19,Tablas!D41,Tablas!D13)))))))))))</f>
        <v>2.8</v>
      </c>
      <c r="I14" s="53" t="e">
        <f>IF(C14&gt;79,Tablas!E321,IF(C14&gt;74,Tablas!E293,IF(C14&gt;69,Tablas!E265,IF(C14&gt;64,Tablas!E237,IF(C14&gt;59,Tablas!E209,IF(C14&gt;54,Tablas!E181,IF(C14&gt;49,Tablas!E153,IF(C14&gt;44,Tablas!E125,IF(C14&gt;39,Tablas!E97,IF(C14&gt;29,Tablas!E69,IF(C14&gt;19,Tablas!E41,Tablas!E13)))))))))))</f>
        <v>#REF!</v>
      </c>
      <c r="J14" s="53" t="e">
        <f>IF(D14&gt;79,Tablas!F321,IF(D14&gt;74,Tablas!F293,IF(D14&gt;69,Tablas!F265,IF(D14&gt;64,Tablas!F237,IF(D14&gt;59,Tablas!F209,IF(D14&gt;54,Tablas!F181,IF(D14&gt;49,Tablas!F153,IF(D14&gt;44,Tablas!F125,IF(D14&gt;39,Tablas!F97,IF(D14&gt;29,Tablas!F69,IF(D14&gt;19,Tablas!F41,Tablas!F13)))))))))))</f>
        <v>#REF!</v>
      </c>
      <c r="K14" s="53"/>
      <c r="L14" s="53">
        <f>IF(A14&gt;79,Tablas!H321,IF(A14&gt;74,Tablas!H293,IF(A14&gt;69,Tablas!H265,IF(A14&gt;64,Tablas!H237,IF(A14&gt;59,Tablas!H209,IF(A14&gt;54,Tablas!H181,IF(A14&gt;49,Tablas!H153,IF(A14&gt;44,Tablas!H125,IF(A14&gt;39,Tablas!H97,IF(A14&gt;29,Tablas!H69,IF(A14&gt;19,Tablas!H41,Tablas!H13)))))))))))</f>
        <v>16.5</v>
      </c>
      <c r="M14" s="53">
        <f>IF(B14&gt;79,Tablas!I321,IF(B14&gt;74,Tablas!I293,IF(B14&gt;69,Tablas!I265,IF(B14&gt;64,Tablas!I237,IF(B14&gt;59,Tablas!I209,IF(B14&gt;54,Tablas!I181,IF(B14&gt;49,Tablas!I153,IF(B14&gt;44,Tablas!I125,IF(B14&gt;39,Tablas!I97,IF(B14&gt;29,Tablas!I69,IF(B14&gt;19,Tablas!I41,Tablas!I13)))))))))))</f>
        <v>2.8</v>
      </c>
      <c r="N14" s="53" t="e">
        <f>IF(C14&gt;79,Tablas!J321,IF(C14&gt;74,Tablas!J293,IF(C14&gt;69,Tablas!J265,IF(C14&gt;64,Tablas!J237,IF(C14&gt;59,Tablas!J209,IF(C14&gt;54,Tablas!J181,IF(C14&gt;49,Tablas!J153,IF(C14&gt;44,Tablas!J125,IF(C14&gt;39,Tablas!J97,IF(C14&gt;29,Tablas!J69,IF(C14&gt;19,Tablas!J41,Tablas!J13)))))))))))</f>
        <v>#REF!</v>
      </c>
      <c r="O14" s="53" t="e">
        <f>IF(D14&gt;79,Tablas!K321,IF(D14&gt;74,Tablas!K293,IF(D14&gt;69,Tablas!K265,IF(D14&gt;64,Tablas!K237,IF(D14&gt;59,Tablas!K209,IF(D14&gt;54,Tablas!K181,IF(D14&gt;49,Tablas!K153,IF(D14&gt;44,Tablas!K125,IF(D14&gt;39,Tablas!K97,IF(D14&gt;29,Tablas!K69,IF(D14&gt;19,Tablas!K41,Tablas!K13)))))))))))</f>
        <v>#REF!</v>
      </c>
      <c r="P14" s="62" t="e">
        <f>O1</f>
        <v>#REF!</v>
      </c>
      <c r="Q14" s="147" t="s">
        <v>22</v>
      </c>
      <c r="R14">
        <f>IF(M14=2,'Caso '!L14,'Caso '!G14)</f>
        <v>16.5</v>
      </c>
      <c r="S14" t="e">
        <f>IF(N14=2,'Caso '!M14,'Caso '!H14)</f>
        <v>#REF!</v>
      </c>
      <c r="T14" t="e">
        <f>IF(O14=2,'Caso '!N14,'Caso '!I14)</f>
        <v>#REF!</v>
      </c>
      <c r="U14" t="e">
        <f>IF(P14=2,'Caso '!O14,'Caso '!J14)</f>
        <v>#REF!</v>
      </c>
    </row>
    <row r="15" spans="1:21">
      <c r="A15">
        <f>F1</f>
        <v>0</v>
      </c>
      <c r="B15">
        <f>F1</f>
        <v>0</v>
      </c>
      <c r="C15">
        <f>F1</f>
        <v>0</v>
      </c>
      <c r="D15">
        <f>F1</f>
        <v>0</v>
      </c>
      <c r="E15" s="147" t="s">
        <v>22</v>
      </c>
      <c r="F15" s="7" t="s">
        <v>45</v>
      </c>
      <c r="G15" s="53">
        <f>IF(A15&gt;79,Tablas!C322,IF(A15&gt;74,Tablas!C294,IF(A15&gt;69,Tablas!C266,IF(A15&gt;64,Tablas!C238,IF(A15&gt;59,Tablas!C210,IF(A15&gt;54,Tablas!C182,IF(A15&gt;49,Tablas!C154,IF(A15&gt;44,Tablas!C126,IF(A15&gt;39,Tablas!C98,IF(A15&gt;29,Tablas!C70,IF(A15&gt;19,Tablas!C42,Tablas!C14)))))))))))</f>
        <v>20.9</v>
      </c>
      <c r="H15" s="53">
        <f>IF(B15&gt;79,Tablas!D322,IF(B15&gt;74,Tablas!D294,IF(B15&gt;69,Tablas!D266,IF(B15&gt;64,Tablas!D238,IF(B15&gt;59,Tablas!D210,IF(B15&gt;54,Tablas!D182,IF(B15&gt;49,Tablas!D154,IF(B15&gt;44,Tablas!D126,IF(B15&gt;39,Tablas!D98,IF(B15&gt;29,Tablas!D70,IF(B15&gt;19,Tablas!D42,Tablas!D14)))))))))))</f>
        <v>5.6</v>
      </c>
      <c r="I15" s="53" t="e">
        <f>IF(C15&gt;79,Tablas!E322,IF(C15&gt;74,Tablas!E294,IF(C15&gt;69,Tablas!E266,IF(C15&gt;64,Tablas!E238,IF(C15&gt;59,Tablas!E210,IF(C15&gt;54,Tablas!E182,IF(C15&gt;49,Tablas!E154,IF(C15&gt;44,Tablas!E126,IF(C15&gt;39,Tablas!E98,IF(C15&gt;29,Tablas!E70,IF(C15&gt;19,Tablas!E42,Tablas!E14)))))))))))</f>
        <v>#REF!</v>
      </c>
      <c r="J15" s="53" t="e">
        <f>IF(D15&gt;79,Tablas!F322,IF(D15&gt;74,Tablas!F294,IF(D15&gt;69,Tablas!F266,IF(D15&gt;64,Tablas!F238,IF(D15&gt;59,Tablas!F210,IF(D15&gt;54,Tablas!F182,IF(D15&gt;49,Tablas!F154,IF(D15&gt;44,Tablas!F126,IF(D15&gt;39,Tablas!F98,IF(D15&gt;29,Tablas!F70,IF(D15&gt;19,Tablas!F42,Tablas!F14)))))))))))</f>
        <v>#REF!</v>
      </c>
      <c r="K15" s="53"/>
      <c r="L15" s="53">
        <f>IF(A15&gt;79,Tablas!H322,IF(A15&gt;74,Tablas!H294,IF(A15&gt;69,Tablas!H266,IF(A15&gt;64,Tablas!H238,IF(A15&gt;59,Tablas!H210,IF(A15&gt;54,Tablas!H182,IF(A15&gt;49,Tablas!H154,IF(A15&gt;44,Tablas!H126,IF(A15&gt;39,Tablas!H98,IF(A15&gt;29,Tablas!H70,IF(A15&gt;19,Tablas!H42,Tablas!H14)))))))))))</f>
        <v>20.9</v>
      </c>
      <c r="M15" s="53">
        <f>IF(B15&gt;79,Tablas!I322,IF(B15&gt;74,Tablas!I294,IF(B15&gt;69,Tablas!I266,IF(B15&gt;64,Tablas!I238,IF(B15&gt;59,Tablas!I210,IF(B15&gt;54,Tablas!I182,IF(B15&gt;49,Tablas!I154,IF(B15&gt;44,Tablas!I126,IF(B15&gt;39,Tablas!I98,IF(B15&gt;29,Tablas!I70,IF(B15&gt;19,Tablas!I42,Tablas!I14)))))))))))</f>
        <v>5.6</v>
      </c>
      <c r="N15" s="53" t="e">
        <f>IF(C15&gt;79,Tablas!J322,IF(C15&gt;74,Tablas!J294,IF(C15&gt;69,Tablas!J266,IF(C15&gt;64,Tablas!J238,IF(C15&gt;59,Tablas!J210,IF(C15&gt;54,Tablas!J182,IF(C15&gt;49,Tablas!J154,IF(C15&gt;44,Tablas!J126,IF(C15&gt;39,Tablas!J98,IF(C15&gt;29,Tablas!J70,IF(C15&gt;19,Tablas!J42,Tablas!J14)))))))))))</f>
        <v>#REF!</v>
      </c>
      <c r="O15" s="53" t="e">
        <f>IF(D15&gt;79,Tablas!K322,IF(D15&gt;74,Tablas!K294,IF(D15&gt;69,Tablas!K266,IF(D15&gt;64,Tablas!K238,IF(D15&gt;59,Tablas!K210,IF(D15&gt;54,Tablas!K182,IF(D15&gt;49,Tablas!K154,IF(D15&gt;44,Tablas!K126,IF(D15&gt;39,Tablas!K98,IF(D15&gt;29,Tablas!K70,IF(D15&gt;19,Tablas!K42,Tablas!K14)))))))))))</f>
        <v>#REF!</v>
      </c>
      <c r="P15" s="62" t="e">
        <f>O1</f>
        <v>#REF!</v>
      </c>
      <c r="Q15" s="147" t="s">
        <v>22</v>
      </c>
      <c r="R15">
        <f>IF(M15=2,'Caso '!L15,'Caso '!G15)</f>
        <v>20.9</v>
      </c>
      <c r="S15" t="e">
        <f>IF(N15=2,'Caso '!M15,'Caso '!H15)</f>
        <v>#REF!</v>
      </c>
      <c r="T15" t="e">
        <f>IF(O15=2,'Caso '!N15,'Caso '!I15)</f>
        <v>#REF!</v>
      </c>
      <c r="U15" t="e">
        <f>IF(P15=2,'Caso '!O15,'Caso '!J15)</f>
        <v>#REF!</v>
      </c>
    </row>
    <row r="16" spans="1:21">
      <c r="A16">
        <f>F1</f>
        <v>0</v>
      </c>
      <c r="B16">
        <f>F1</f>
        <v>0</v>
      </c>
      <c r="C16">
        <f>F1</f>
        <v>0</v>
      </c>
      <c r="D16">
        <f>F1</f>
        <v>0</v>
      </c>
      <c r="E16" s="147" t="s">
        <v>22</v>
      </c>
      <c r="F16" s="7" t="s">
        <v>46</v>
      </c>
      <c r="G16" s="53">
        <f>IF(A16&gt;79,Tablas!C323,IF(A16&gt;74,Tablas!C295,IF(A16&gt;69,Tablas!C267,IF(A16&gt;64,Tablas!C239,IF(A16&gt;59,Tablas!C211,IF(A16&gt;54,Tablas!C183,IF(A16&gt;49,Tablas!C155,IF(A16&gt;44,Tablas!C127,IF(A16&gt;39,Tablas!C99,IF(A16&gt;29,Tablas!C71,IF(A16&gt;19,Tablas!C43,Tablas!C15)))))))))))</f>
        <v>23.8</v>
      </c>
      <c r="H16" s="53">
        <f>IF(B16&gt;79,Tablas!D323,IF(B16&gt;74,Tablas!D295,IF(B16&gt;69,Tablas!D267,IF(B16&gt;64,Tablas!D239,IF(B16&gt;59,Tablas!D211,IF(B16&gt;54,Tablas!D183,IF(B16&gt;49,Tablas!D155,IF(B16&gt;44,Tablas!D127,IF(B16&gt;39,Tablas!D99,IF(B16&gt;29,Tablas!D71,IF(B16&gt;19,Tablas!D43,Tablas!D15)))))))))))</f>
        <v>6.2</v>
      </c>
      <c r="I16" s="53" t="e">
        <f>IF(C16&gt;79,Tablas!E323,IF(C16&gt;74,Tablas!E295,IF(C16&gt;69,Tablas!E267,IF(C16&gt;64,Tablas!E239,IF(C16&gt;59,Tablas!E211,IF(C16&gt;54,Tablas!E183,IF(C16&gt;49,Tablas!E155,IF(C16&gt;44,Tablas!E127,IF(C16&gt;39,Tablas!E99,IF(C16&gt;29,Tablas!E71,IF(C16&gt;19,Tablas!E43,Tablas!E15)))))))))))</f>
        <v>#REF!</v>
      </c>
      <c r="J16" s="53" t="e">
        <f>IF(D16&gt;79,Tablas!F323,IF(D16&gt;74,Tablas!F295,IF(D16&gt;69,Tablas!F267,IF(D16&gt;64,Tablas!F239,IF(D16&gt;59,Tablas!F211,IF(D16&gt;54,Tablas!F183,IF(D16&gt;49,Tablas!F155,IF(D16&gt;44,Tablas!F127,IF(D16&gt;39,Tablas!F99,IF(D16&gt;29,Tablas!F71,IF(D16&gt;19,Tablas!F43,Tablas!F15)))))))))))</f>
        <v>#REF!</v>
      </c>
      <c r="K16" s="53"/>
      <c r="L16" s="53">
        <f>IF(A16&gt;79,Tablas!H323,IF(A16&gt;74,Tablas!H295,IF(A16&gt;69,Tablas!H267,IF(A16&gt;64,Tablas!H239,IF(A16&gt;59,Tablas!H211,IF(A16&gt;54,Tablas!H183,IF(A16&gt;49,Tablas!H155,IF(A16&gt;44,Tablas!H127,IF(A16&gt;39,Tablas!H99,IF(A16&gt;29,Tablas!H71,IF(A16&gt;19,Tablas!H43,Tablas!H15)))))))))))</f>
        <v>23.8</v>
      </c>
      <c r="M16" s="53">
        <f>IF(B16&gt;79,Tablas!I323,IF(B16&gt;74,Tablas!I295,IF(B16&gt;69,Tablas!I267,IF(B16&gt;64,Tablas!I239,IF(B16&gt;59,Tablas!I211,IF(B16&gt;54,Tablas!I183,IF(B16&gt;49,Tablas!I155,IF(B16&gt;44,Tablas!I127,IF(B16&gt;39,Tablas!I99,IF(B16&gt;29,Tablas!I71,IF(B16&gt;19,Tablas!I43,Tablas!I15)))))))))))</f>
        <v>6.2</v>
      </c>
      <c r="N16" s="53" t="e">
        <f>IF(C16&gt;79,Tablas!J323,IF(C16&gt;74,Tablas!J295,IF(C16&gt;69,Tablas!J267,IF(C16&gt;64,Tablas!J239,IF(C16&gt;59,Tablas!J211,IF(C16&gt;54,Tablas!J183,IF(C16&gt;49,Tablas!J155,IF(C16&gt;44,Tablas!J127,IF(C16&gt;39,Tablas!J99,IF(C16&gt;29,Tablas!J71,IF(C16&gt;19,Tablas!J43,Tablas!J15)))))))))))</f>
        <v>#REF!</v>
      </c>
      <c r="O16" s="53" t="e">
        <f>IF(D16&gt;79,Tablas!K323,IF(D16&gt;74,Tablas!K295,IF(D16&gt;69,Tablas!K267,IF(D16&gt;64,Tablas!K239,IF(D16&gt;59,Tablas!K211,IF(D16&gt;54,Tablas!K183,IF(D16&gt;49,Tablas!K155,IF(D16&gt;44,Tablas!K127,IF(D16&gt;39,Tablas!K99,IF(D16&gt;29,Tablas!K71,IF(D16&gt;19,Tablas!K43,Tablas!K15)))))))))))</f>
        <v>#REF!</v>
      </c>
      <c r="P16" s="62" t="e">
        <f>O1</f>
        <v>#REF!</v>
      </c>
      <c r="Q16" s="147" t="s">
        <v>22</v>
      </c>
      <c r="R16">
        <f>IF(M16=2,'Caso '!L16,'Caso '!G16)</f>
        <v>23.8</v>
      </c>
      <c r="S16" t="e">
        <f>IF(N16=2,'Caso '!M16,'Caso '!H16)</f>
        <v>#REF!</v>
      </c>
      <c r="T16" t="e">
        <f>IF(O16=2,'Caso '!N16,'Caso '!I16)</f>
        <v>#REF!</v>
      </c>
      <c r="U16" t="e">
        <f>IF(P16=2,'Caso '!O16,'Caso '!J16)</f>
        <v>#REF!</v>
      </c>
    </row>
    <row r="17" spans="1:22">
      <c r="A17">
        <f>F1</f>
        <v>0</v>
      </c>
      <c r="B17">
        <f>F1</f>
        <v>0</v>
      </c>
      <c r="C17">
        <f>F1</f>
        <v>0</v>
      </c>
      <c r="D17">
        <f>F1</f>
        <v>0</v>
      </c>
      <c r="E17" s="147" t="s">
        <v>23</v>
      </c>
      <c r="F17" s="7" t="s">
        <v>24</v>
      </c>
      <c r="G17" s="53">
        <f>IF(A17&gt;79,Tablas!C324,IF(A17&gt;74,Tablas!C296,IF(A17&gt;69,Tablas!C268,IF(A17&gt;64,Tablas!C240,IF(A17&gt;59,Tablas!C212,IF(A17&gt;54,Tablas!C184,IF(A17&gt;49,Tablas!C156,IF(A17&gt;44,Tablas!C128,IF(A17&gt;39,Tablas!C100,IF(A17&gt;29,Tablas!C72,IF(A17&gt;19,Tablas!C44,Tablas!C16)))))))))))</f>
        <v>25.7</v>
      </c>
      <c r="H17" s="53">
        <f>IF(B17&gt;79,Tablas!D324,IF(B17&gt;74,Tablas!D296,IF(B17&gt;69,Tablas!D268,IF(B17&gt;64,Tablas!D240,IF(B17&gt;59,Tablas!D212,IF(B17&gt;54,Tablas!D184,IF(B17&gt;49,Tablas!D156,IF(B17&gt;44,Tablas!D128,IF(B17&gt;39,Tablas!D100,IF(B17&gt;29,Tablas!D72,IF(B17&gt;19,Tablas!D44,Tablas!D16)))))))))))</f>
        <v>8.8000000000000007</v>
      </c>
      <c r="I17" s="53" t="e">
        <f>IF(C17&gt;79,Tablas!E324,IF(C17&gt;74,Tablas!E296,IF(C17&gt;69,Tablas!E268,IF(C17&gt;64,Tablas!E240,IF(C17&gt;59,Tablas!E212,IF(C17&gt;54,Tablas!E184,IF(C17&gt;49,Tablas!E156,IF(C17&gt;44,Tablas!E128,IF(C17&gt;39,Tablas!E100,IF(C17&gt;29,Tablas!E72,IF(C17&gt;19,Tablas!E44,Tablas!E16)))))))))))</f>
        <v>#REF!</v>
      </c>
      <c r="J17" s="53" t="e">
        <f>IF(D17&gt;79,Tablas!F324,IF(D17&gt;74,Tablas!F296,IF(D17&gt;69,Tablas!F268,IF(D17&gt;64,Tablas!F240,IF(D17&gt;59,Tablas!F212,IF(D17&gt;54,Tablas!F184,IF(D17&gt;49,Tablas!F156,IF(D17&gt;44,Tablas!F128,IF(D17&gt;39,Tablas!F100,IF(D17&gt;29,Tablas!F72,IF(D17&gt;19,Tablas!F44,Tablas!F16)))))))))))</f>
        <v>#REF!</v>
      </c>
      <c r="K17" s="53"/>
      <c r="L17" s="53">
        <f>IF(A17&gt;79,Tablas!H324,IF(A17&gt;74,Tablas!H296,IF(A17&gt;69,Tablas!H268,IF(A17&gt;64,Tablas!H240,IF(A17&gt;59,Tablas!H212,IF(A17&gt;54,Tablas!H184,IF(A17&gt;49,Tablas!H156,IF(A17&gt;44,Tablas!H128,IF(A17&gt;39,Tablas!H100,IF(A17&gt;29,Tablas!H72,IF(A17&gt;19,Tablas!H44,Tablas!H16)))))))))))</f>
        <v>25.7</v>
      </c>
      <c r="M17" s="53">
        <f>IF(B17&gt;79,Tablas!I324,IF(B17&gt;74,Tablas!I296,IF(B17&gt;69,Tablas!I268,IF(B17&gt;64,Tablas!I240,IF(B17&gt;59,Tablas!I212,IF(B17&gt;54,Tablas!I184,IF(B17&gt;49,Tablas!I156,IF(B17&gt;44,Tablas!I128,IF(B17&gt;39,Tablas!I100,IF(B17&gt;29,Tablas!I72,IF(B17&gt;19,Tablas!I44,Tablas!I16)))))))))))</f>
        <v>8.8000000000000007</v>
      </c>
      <c r="N17" s="53" t="e">
        <f>IF(C17&gt;79,Tablas!J324,IF(C17&gt;74,Tablas!J296,IF(C17&gt;69,Tablas!J268,IF(C17&gt;64,Tablas!J240,IF(C17&gt;59,Tablas!J212,IF(C17&gt;54,Tablas!J184,IF(C17&gt;49,Tablas!J156,IF(C17&gt;44,Tablas!J128,IF(C17&gt;39,Tablas!J100,IF(C17&gt;29,Tablas!J72,IF(C17&gt;19,Tablas!J44,Tablas!J16)))))))))))</f>
        <v>#REF!</v>
      </c>
      <c r="O17" s="53" t="e">
        <f>IF(D17&gt;79,Tablas!K324,IF(D17&gt;74,Tablas!K296,IF(D17&gt;69,Tablas!K268,IF(D17&gt;64,Tablas!K240,IF(D17&gt;59,Tablas!K212,IF(D17&gt;54,Tablas!K184,IF(D17&gt;49,Tablas!K156,IF(D17&gt;44,Tablas!K128,IF(D17&gt;39,Tablas!K100,IF(D17&gt;29,Tablas!K72,IF(D17&gt;19,Tablas!K44,Tablas!K16)))))))))))</f>
        <v>#REF!</v>
      </c>
      <c r="P17" s="62" t="e">
        <f>O1</f>
        <v>#REF!</v>
      </c>
      <c r="Q17" s="147" t="s">
        <v>23</v>
      </c>
      <c r="R17">
        <f>IF(M17=2,'Caso '!L17,'Caso '!G17)</f>
        <v>25.7</v>
      </c>
      <c r="S17" t="e">
        <f>IF(N17=2,'Caso '!M17,'Caso '!H17)</f>
        <v>#REF!</v>
      </c>
      <c r="T17" t="e">
        <f>IF(O17=2,'Caso '!N17,'Caso '!I17)</f>
        <v>#REF!</v>
      </c>
      <c r="U17" t="e">
        <f>IF(P17=2,'Caso '!O17,'Caso '!J17)</f>
        <v>#REF!</v>
      </c>
    </row>
    <row r="18" spans="1:22">
      <c r="A18">
        <f>F1</f>
        <v>0</v>
      </c>
      <c r="B18">
        <f>F1</f>
        <v>0</v>
      </c>
      <c r="C18">
        <f>F1</f>
        <v>0</v>
      </c>
      <c r="D18">
        <f>F1</f>
        <v>0</v>
      </c>
      <c r="E18" s="147"/>
      <c r="F18" s="7" t="s">
        <v>25</v>
      </c>
      <c r="G18" s="53">
        <f>IF(A18&gt;79,Tablas!C325,IF(A18&gt;74,Tablas!C297,IF(A18&gt;69,Tablas!C269,IF(A18&gt;64,Tablas!C241,IF(A18&gt;59,Tablas!C213,IF(A18&gt;54,Tablas!C185,IF(A18&gt;49,Tablas!C157,IF(A18&gt;44,Tablas!C129,IF(A18&gt;39,Tablas!C101,IF(A18&gt;29,Tablas!C73,IF(A18&gt;19,Tablas!C45,Tablas!C17)))))))))))</f>
        <v>49.8</v>
      </c>
      <c r="H18" s="53">
        <f>IF(B18&gt;79,Tablas!D325,IF(B18&gt;74,Tablas!D297,IF(B18&gt;69,Tablas!D269,IF(B18&gt;64,Tablas!D241,IF(B18&gt;59,Tablas!D213,IF(B18&gt;54,Tablas!D185,IF(B18&gt;49,Tablas!D157,IF(B18&gt;44,Tablas!D129,IF(B18&gt;39,Tablas!D101,IF(B18&gt;29,Tablas!D73,IF(B18&gt;19,Tablas!D45,Tablas!D17)))))))))))</f>
        <v>15.2</v>
      </c>
      <c r="I18" s="53" t="e">
        <f>IF(C18&gt;79,Tablas!E325,IF(C18&gt;74,Tablas!E297,IF(C18&gt;69,Tablas!E269,IF(C18&gt;64,Tablas!E241,IF(C18&gt;59,Tablas!E213,IF(C18&gt;54,Tablas!E185,IF(C18&gt;49,Tablas!E157,IF(C18&gt;44,Tablas!E129,IF(C18&gt;39,Tablas!E101,IF(C18&gt;29,Tablas!E73,IF(C18&gt;19,Tablas!E45,Tablas!E17)))))))))))</f>
        <v>#REF!</v>
      </c>
      <c r="J18" s="53" t="e">
        <f>IF(D18&gt;79,Tablas!F325,IF(D18&gt;74,Tablas!F297,IF(D18&gt;69,Tablas!F269,IF(D18&gt;64,Tablas!F241,IF(D18&gt;59,Tablas!F213,IF(D18&gt;54,Tablas!F185,IF(D18&gt;49,Tablas!F157,IF(D18&gt;44,Tablas!F129,IF(D18&gt;39,Tablas!F101,IF(D18&gt;29,Tablas!F73,IF(D18&gt;19,Tablas!F45,Tablas!F17)))))))))))</f>
        <v>#REF!</v>
      </c>
      <c r="K18" s="53"/>
      <c r="L18" s="53">
        <f>IF(A18&gt;79,Tablas!H325,IF(A18&gt;74,Tablas!H297,IF(A18&gt;69,Tablas!H269,IF(A18&gt;64,Tablas!H241,IF(A18&gt;59,Tablas!H213,IF(A18&gt;54,Tablas!H185,IF(A18&gt;49,Tablas!H157,IF(A18&gt;44,Tablas!H129,IF(A18&gt;39,Tablas!H101,IF(A18&gt;29,Tablas!H73,IF(A18&gt;19,Tablas!H45,Tablas!H17)))))))))))</f>
        <v>49.8</v>
      </c>
      <c r="M18" s="53">
        <f>IF(B18&gt;79,Tablas!I325,IF(B18&gt;74,Tablas!I297,IF(B18&gt;69,Tablas!I269,IF(B18&gt;64,Tablas!I241,IF(B18&gt;59,Tablas!I213,IF(B18&gt;54,Tablas!I185,IF(B18&gt;49,Tablas!I157,IF(B18&gt;44,Tablas!I129,IF(B18&gt;39,Tablas!I101,IF(B18&gt;29,Tablas!I73,IF(B18&gt;19,Tablas!I45,Tablas!I17)))))))))))</f>
        <v>15.2</v>
      </c>
      <c r="N18" s="53" t="e">
        <f>IF(C18&gt;79,Tablas!J325,IF(C18&gt;74,Tablas!J297,IF(C18&gt;69,Tablas!J269,IF(C18&gt;64,Tablas!J241,IF(C18&gt;59,Tablas!J213,IF(C18&gt;54,Tablas!J185,IF(C18&gt;49,Tablas!J157,IF(C18&gt;44,Tablas!J129,IF(C18&gt;39,Tablas!J101,IF(C18&gt;29,Tablas!J73,IF(C18&gt;19,Tablas!J45,Tablas!J17)))))))))))</f>
        <v>#REF!</v>
      </c>
      <c r="O18" s="53" t="e">
        <f>IF(D18&gt;79,Tablas!K325,IF(D18&gt;74,Tablas!K297,IF(D18&gt;69,Tablas!K269,IF(D18&gt;64,Tablas!K241,IF(D18&gt;59,Tablas!K213,IF(D18&gt;54,Tablas!K185,IF(D18&gt;49,Tablas!K157,IF(D18&gt;44,Tablas!K129,IF(D18&gt;39,Tablas!K101,IF(D18&gt;29,Tablas!K73,IF(D18&gt;19,Tablas!K45,Tablas!K17)))))))))))</f>
        <v>#REF!</v>
      </c>
      <c r="P18" s="62" t="e">
        <f>O1</f>
        <v>#REF!</v>
      </c>
      <c r="Q18" s="147"/>
      <c r="R18">
        <f>IF(M18=2,'Caso '!L18,'Caso '!G18)</f>
        <v>49.8</v>
      </c>
      <c r="S18" t="e">
        <f>IF(N18=2,'Caso '!M18,'Caso '!H18)</f>
        <v>#REF!</v>
      </c>
      <c r="T18" t="e">
        <f>IF(O18=2,'Caso '!N18,'Caso '!I18)</f>
        <v>#REF!</v>
      </c>
      <c r="U18" t="e">
        <f>IF(P18=2,'Caso '!O18,'Caso '!J18)</f>
        <v>#REF!</v>
      </c>
    </row>
    <row r="19" spans="1:22">
      <c r="A19">
        <f>F1</f>
        <v>0</v>
      </c>
      <c r="B19">
        <f>F1</f>
        <v>0</v>
      </c>
      <c r="C19">
        <f>F1</f>
        <v>0</v>
      </c>
      <c r="D19">
        <f>F1</f>
        <v>0</v>
      </c>
      <c r="E19" s="147" t="s">
        <v>26</v>
      </c>
      <c r="F19" s="7" t="s">
        <v>15</v>
      </c>
      <c r="G19" s="53">
        <f>IF(A19&gt;79,Tablas!C326,IF(A19&gt;74,Tablas!C298,IF(A19&gt;69,Tablas!C270,IF(A19&gt;64,Tablas!C242,IF(A19&gt;59,Tablas!C214,IF(A19&gt;54,Tablas!C186,IF(A19&gt;49,Tablas!C158,IF(A19&gt;44,Tablas!C130,IF(A19&gt;39,Tablas!C102,IF(A19&gt;29,Tablas!C74,IF(A19&gt;19,Tablas!C46,Tablas!C18)))))))))))</f>
        <v>33.700000000000003</v>
      </c>
      <c r="H19" s="53">
        <f>IF(B19&gt;79,Tablas!D326,IF(B19&gt;74,Tablas!D298,IF(B19&gt;69,Tablas!D270,IF(B19&gt;64,Tablas!D242,IF(B19&gt;59,Tablas!D214,IF(B19&gt;54,Tablas!D186,IF(B19&gt;49,Tablas!D158,IF(B19&gt;44,Tablas!D130,IF(B19&gt;39,Tablas!D102,IF(B19&gt;29,Tablas!D74,IF(B19&gt;19,Tablas!D46,Tablas!D18)))))))))))</f>
        <v>1.59</v>
      </c>
      <c r="I19" s="53" t="e">
        <f>IF(C19&gt;79,Tablas!E326,IF(C19&gt;74,Tablas!E298,IF(C19&gt;69,Tablas!E270,IF(C19&gt;64,Tablas!E242,IF(C19&gt;59,Tablas!E214,IF(C19&gt;54,Tablas!E186,IF(C19&gt;49,Tablas!E158,IF(C19&gt;44,Tablas!E130,IF(C19&gt;39,Tablas!E102,IF(C19&gt;29,Tablas!E74,IF(C19&gt;19,Tablas!E46,Tablas!E18)))))))))))</f>
        <v>#REF!</v>
      </c>
      <c r="J19" s="53" t="e">
        <f>IF(D19&gt;79,Tablas!F326,IF(D19&gt;74,Tablas!F298,IF(D19&gt;69,Tablas!F270,IF(D19&gt;64,Tablas!F242,IF(D19&gt;59,Tablas!F214,IF(D19&gt;54,Tablas!F186,IF(D19&gt;49,Tablas!F158,IF(D19&gt;44,Tablas!F130,IF(D19&gt;39,Tablas!F102,IF(D19&gt;29,Tablas!F74,IF(D19&gt;19,Tablas!F46,Tablas!F18)))))))))))</f>
        <v>#REF!</v>
      </c>
      <c r="K19" s="53"/>
      <c r="L19" s="53">
        <f>IF(A19&gt;79,Tablas!H326,IF(A19&gt;74,Tablas!H298,IF(A19&gt;69,Tablas!H270,IF(A19&gt;64,Tablas!H242,IF(A19&gt;59,Tablas!H214,IF(A19&gt;54,Tablas!H186,IF(A19&gt;49,Tablas!H158,IF(A19&gt;44,Tablas!H130,IF(A19&gt;39,Tablas!H102,IF(A19&gt;29,Tablas!H74,IF(A19&gt;19,Tablas!H46,Tablas!H18)))))))))))</f>
        <v>33.700000000000003</v>
      </c>
      <c r="M19" s="53">
        <f>IF(B19&gt;79,Tablas!I326,IF(B19&gt;74,Tablas!I298,IF(B19&gt;69,Tablas!I270,IF(B19&gt;64,Tablas!I242,IF(B19&gt;59,Tablas!I214,IF(B19&gt;54,Tablas!I186,IF(B19&gt;49,Tablas!I158,IF(B19&gt;44,Tablas!I130,IF(B19&gt;39,Tablas!I102,IF(B19&gt;29,Tablas!I74,IF(B19&gt;19,Tablas!I46,Tablas!I18)))))))))))</f>
        <v>1.59</v>
      </c>
      <c r="N19" s="53" t="e">
        <f>IF(C19&gt;79,Tablas!J326,IF(C19&gt;74,Tablas!J298,IF(C19&gt;69,Tablas!J270,IF(C19&gt;64,Tablas!J242,IF(C19&gt;59,Tablas!J214,IF(C19&gt;54,Tablas!J186,IF(C19&gt;49,Tablas!J158,IF(C19&gt;44,Tablas!J130,IF(C19&gt;39,Tablas!J102,IF(C19&gt;29,Tablas!J74,IF(C19&gt;19,Tablas!J46,Tablas!J18)))))))))))</f>
        <v>#REF!</v>
      </c>
      <c r="O19" s="53" t="e">
        <f>IF(D19&gt;79,Tablas!K326,IF(D19&gt;74,Tablas!K298,IF(D19&gt;69,Tablas!K270,IF(D19&gt;64,Tablas!K242,IF(D19&gt;59,Tablas!K214,IF(D19&gt;54,Tablas!K186,IF(D19&gt;49,Tablas!K158,IF(D19&gt;44,Tablas!K130,IF(D19&gt;39,Tablas!K102,IF(D19&gt;29,Tablas!K74,IF(D19&gt;19,Tablas!K46,Tablas!K18)))))))))))</f>
        <v>#REF!</v>
      </c>
      <c r="P19" s="62" t="e">
        <f>O1</f>
        <v>#REF!</v>
      </c>
      <c r="Q19" s="147" t="s">
        <v>26</v>
      </c>
      <c r="R19">
        <f>IF(M19=2,'Caso '!L19,'Caso '!G19)</f>
        <v>33.700000000000003</v>
      </c>
      <c r="S19" t="e">
        <f>IF(N19=2,'Caso '!M19,'Caso '!H19)</f>
        <v>#REF!</v>
      </c>
      <c r="T19" t="e">
        <f>IF(O19=2,'Caso '!N19,'Caso '!I19)</f>
        <v>#REF!</v>
      </c>
      <c r="U19" t="e">
        <f>IF(P19=2,'Caso '!O19,'Caso '!J19)</f>
        <v>#REF!</v>
      </c>
    </row>
    <row r="20" spans="1:22">
      <c r="A20">
        <f>F1</f>
        <v>0</v>
      </c>
      <c r="B20">
        <f>F1</f>
        <v>0</v>
      </c>
      <c r="C20">
        <f>F1</f>
        <v>0</v>
      </c>
      <c r="D20">
        <f>F1</f>
        <v>0</v>
      </c>
      <c r="E20" s="147"/>
      <c r="F20" s="7" t="s">
        <v>16</v>
      </c>
      <c r="G20" s="53">
        <f>IF(A20&gt;79,Tablas!C327,IF(A20&gt;74,Tablas!C299,IF(A20&gt;69,Tablas!C271,IF(A20&gt;64,Tablas!C243,IF(A20&gt;59,Tablas!C215,IF(A20&gt;54,Tablas!C187,IF(A20&gt;49,Tablas!C159,IF(A20&gt;44,Tablas!C131,IF(A20&gt;39,Tablas!C103,IF(A20&gt;29,Tablas!C75,IF(A20&gt;19,Tablas!C47,Tablas!C19)))))))))))</f>
        <v>21.8</v>
      </c>
      <c r="H20" s="53">
        <f>IF(B20&gt;79,Tablas!D327,IF(B20&gt;74,Tablas!D299,IF(B20&gt;69,Tablas!D271,IF(B20&gt;64,Tablas!D243,IF(B20&gt;59,Tablas!D215,IF(B20&gt;54,Tablas!D187,IF(B20&gt;49,Tablas!D159,IF(B20&gt;44,Tablas!D131,IF(B20&gt;39,Tablas!D103,IF(B20&gt;29,Tablas!D75,IF(B20&gt;19,Tablas!D47,Tablas!D19)))))))))))</f>
        <v>6.56</v>
      </c>
      <c r="I20" s="53" t="e">
        <f>IF(C20&gt;79,Tablas!E327,IF(C20&gt;74,Tablas!E299,IF(C20&gt;69,Tablas!E271,IF(C20&gt;64,Tablas!E243,IF(C20&gt;59,Tablas!E215,IF(C20&gt;54,Tablas!E187,IF(C20&gt;49,Tablas!E159,IF(C20&gt;44,Tablas!E131,IF(C20&gt;39,Tablas!E103,IF(C20&gt;29,Tablas!E75,IF(C20&gt;19,Tablas!E47,Tablas!E19)))))))))))</f>
        <v>#REF!</v>
      </c>
      <c r="J20" s="53" t="e">
        <f>IF(D20&gt;79,Tablas!F327,IF(D20&gt;74,Tablas!F299,IF(D20&gt;69,Tablas!F271,IF(D20&gt;64,Tablas!F243,IF(D20&gt;59,Tablas!F215,IF(D20&gt;54,Tablas!F187,IF(D20&gt;49,Tablas!F159,IF(D20&gt;44,Tablas!F131,IF(D20&gt;39,Tablas!F103,IF(D20&gt;29,Tablas!F75,IF(D20&gt;19,Tablas!F47,Tablas!F19)))))))))))</f>
        <v>#REF!</v>
      </c>
      <c r="K20" s="53"/>
      <c r="L20" s="53">
        <f>IF(A20&gt;79,Tablas!H327,IF(A20&gt;74,Tablas!H299,IF(A20&gt;69,Tablas!H271,IF(A20&gt;64,Tablas!H243,IF(A20&gt;59,Tablas!H215,IF(A20&gt;54,Tablas!H187,IF(A20&gt;49,Tablas!H159,IF(A20&gt;44,Tablas!H131,IF(A20&gt;39,Tablas!H103,IF(A20&gt;29,Tablas!H75,IF(A20&gt;19,Tablas!H47,Tablas!H19)))))))))))</f>
        <v>21.8</v>
      </c>
      <c r="M20" s="53">
        <f>IF(B20&gt;79,Tablas!I327,IF(B20&gt;74,Tablas!I299,IF(B20&gt;69,Tablas!I271,IF(B20&gt;64,Tablas!I243,IF(B20&gt;59,Tablas!I215,IF(B20&gt;54,Tablas!I187,IF(B20&gt;49,Tablas!I159,IF(B20&gt;44,Tablas!I131,IF(B20&gt;39,Tablas!I103,IF(B20&gt;29,Tablas!I75,IF(B20&gt;19,Tablas!I47,Tablas!I19)))))))))))</f>
        <v>6.56</v>
      </c>
      <c r="N20" s="53" t="e">
        <f>IF(C20&gt;79,Tablas!J327,IF(C20&gt;74,Tablas!J299,IF(C20&gt;69,Tablas!J271,IF(C20&gt;64,Tablas!J243,IF(C20&gt;59,Tablas!J215,IF(C20&gt;54,Tablas!J187,IF(C20&gt;49,Tablas!J159,IF(C20&gt;44,Tablas!J131,IF(C20&gt;39,Tablas!J103,IF(C20&gt;29,Tablas!J75,IF(C20&gt;19,Tablas!J47,Tablas!J19)))))))))))</f>
        <v>#REF!</v>
      </c>
      <c r="O20" s="53" t="e">
        <f>IF(D20&gt;79,Tablas!K327,IF(D20&gt;74,Tablas!K299,IF(D20&gt;69,Tablas!K271,IF(D20&gt;64,Tablas!K243,IF(D20&gt;59,Tablas!K215,IF(D20&gt;54,Tablas!K187,IF(D20&gt;49,Tablas!K159,IF(D20&gt;44,Tablas!K131,IF(D20&gt;39,Tablas!K103,IF(D20&gt;29,Tablas!K75,IF(D20&gt;19,Tablas!K47,Tablas!K19)))))))))))</f>
        <v>#REF!</v>
      </c>
      <c r="P20" s="62" t="e">
        <f>O1</f>
        <v>#REF!</v>
      </c>
      <c r="Q20" s="147"/>
      <c r="R20">
        <f>IF(M20=2,'Caso '!L20,'Caso '!G20)</f>
        <v>21.8</v>
      </c>
      <c r="S20" t="e">
        <f>IF(N20=2,'Caso '!M20,'Caso '!H20)</f>
        <v>#REF!</v>
      </c>
      <c r="T20" t="e">
        <f>IF(O20=2,'Caso '!N20,'Caso '!I20)</f>
        <v>#REF!</v>
      </c>
      <c r="U20" t="e">
        <f>IF(P20=2,'Caso '!O20,'Caso '!J20)</f>
        <v>#REF!</v>
      </c>
    </row>
    <row r="21" spans="1:22">
      <c r="A21">
        <f>F1</f>
        <v>0</v>
      </c>
      <c r="B21">
        <f>F1</f>
        <v>0</v>
      </c>
      <c r="C21">
        <f>F1</f>
        <v>0</v>
      </c>
      <c r="D21">
        <f>F1</f>
        <v>0</v>
      </c>
      <c r="E21" s="147"/>
      <c r="F21" s="7" t="s">
        <v>17</v>
      </c>
      <c r="G21" s="53">
        <f>IF(A21&gt;79,Tablas!C328,IF(A21&gt;74,Tablas!C300,IF(A21&gt;69,Tablas!C272,IF(A21&gt;64,Tablas!C244,IF(A21&gt;59,Tablas!C216,IF(A21&gt;54,Tablas!C188,IF(A21&gt;49,Tablas!C160,IF(A21&gt;44,Tablas!C132,IF(A21&gt;39,Tablas!C104,IF(A21&gt;29,Tablas!C76,IF(A21&gt;19,Tablas!C48,Tablas!C20)))))))))))</f>
        <v>21.5</v>
      </c>
      <c r="H21" s="53">
        <f>IF(B21&gt;79,Tablas!D328,IF(B21&gt;74,Tablas!D300,IF(B21&gt;69,Tablas!D272,IF(B21&gt;64,Tablas!D244,IF(B21&gt;59,Tablas!D216,IF(B21&gt;54,Tablas!D188,IF(B21&gt;49,Tablas!D160,IF(B21&gt;44,Tablas!D132,IF(B21&gt;39,Tablas!D104,IF(B21&gt;29,Tablas!D76,IF(B21&gt;19,Tablas!D48,Tablas!D20)))))))))))</f>
        <v>1.5</v>
      </c>
      <c r="I21" s="53" t="e">
        <f>IF(C21&gt;79,Tablas!E328,IF(C21&gt;74,Tablas!E300,IF(C21&gt;69,Tablas!E272,IF(C21&gt;64,Tablas!E244,IF(C21&gt;59,Tablas!E216,IF(C21&gt;54,Tablas!E188,IF(C21&gt;49,Tablas!E160,IF(C21&gt;44,Tablas!E132,IF(C21&gt;39,Tablas!E104,IF(C21&gt;29,Tablas!E76,IF(C21&gt;19,Tablas!E48,Tablas!E20)))))))))))</f>
        <v>#REF!</v>
      </c>
      <c r="J21" s="53" t="e">
        <f>IF(D21&gt;79,Tablas!F328,IF(D21&gt;74,Tablas!F300,IF(D21&gt;69,Tablas!F272,IF(D21&gt;64,Tablas!F244,IF(D21&gt;59,Tablas!F216,IF(D21&gt;54,Tablas!F188,IF(D21&gt;49,Tablas!F160,IF(D21&gt;44,Tablas!F132,IF(D21&gt;39,Tablas!F104,IF(D21&gt;29,Tablas!F76,IF(D21&gt;19,Tablas!F48,Tablas!F20)))))))))))</f>
        <v>#REF!</v>
      </c>
      <c r="K21" s="53"/>
      <c r="L21" s="53">
        <f>IF(A21&gt;79,Tablas!H328,IF(A21&gt;74,Tablas!H300,IF(A21&gt;69,Tablas!H272,IF(A21&gt;64,Tablas!H244,IF(A21&gt;59,Tablas!H216,IF(A21&gt;54,Tablas!H188,IF(A21&gt;49,Tablas!H160,IF(A21&gt;44,Tablas!H132,IF(A21&gt;39,Tablas!H104,IF(A21&gt;29,Tablas!H76,IF(A21&gt;19,Tablas!H48,Tablas!H20)))))))))))</f>
        <v>21.5</v>
      </c>
      <c r="M21" s="53">
        <f>IF(B21&gt;79,Tablas!I328,IF(B21&gt;74,Tablas!I300,IF(B21&gt;69,Tablas!I272,IF(B21&gt;64,Tablas!I244,IF(B21&gt;59,Tablas!I216,IF(B21&gt;54,Tablas!I188,IF(B21&gt;49,Tablas!I160,IF(B21&gt;44,Tablas!I132,IF(B21&gt;39,Tablas!I104,IF(B21&gt;29,Tablas!I76,IF(B21&gt;19,Tablas!I48,Tablas!I20)))))))))))</f>
        <v>1.5</v>
      </c>
      <c r="N21" s="53" t="e">
        <f>IF(C21&gt;79,Tablas!J328,IF(C21&gt;74,Tablas!J300,IF(C21&gt;69,Tablas!J272,IF(C21&gt;64,Tablas!J244,IF(C21&gt;59,Tablas!J216,IF(C21&gt;54,Tablas!J188,IF(C21&gt;49,Tablas!J160,IF(C21&gt;44,Tablas!J132,IF(C21&gt;39,Tablas!J104,IF(C21&gt;29,Tablas!J76,IF(C21&gt;19,Tablas!J48,Tablas!J20)))))))))))</f>
        <v>#REF!</v>
      </c>
      <c r="O21" s="53" t="e">
        <f>IF(D21&gt;79,Tablas!K328,IF(D21&gt;74,Tablas!K300,IF(D21&gt;69,Tablas!K272,IF(D21&gt;64,Tablas!K244,IF(D21&gt;59,Tablas!K216,IF(D21&gt;54,Tablas!K188,IF(D21&gt;49,Tablas!K160,IF(D21&gt;44,Tablas!K132,IF(D21&gt;39,Tablas!K104,IF(D21&gt;29,Tablas!K76,IF(D21&gt;19,Tablas!K48,Tablas!K20)))))))))))</f>
        <v>#REF!</v>
      </c>
      <c r="P21" s="62" t="e">
        <f>O1</f>
        <v>#REF!</v>
      </c>
      <c r="Q21" s="147"/>
      <c r="R21">
        <f>IF(M21=2,'Caso '!L21,'Caso '!G21)</f>
        <v>21.5</v>
      </c>
      <c r="S21" t="e">
        <f>IF(N21=2,'Caso '!M21,'Caso '!H21)</f>
        <v>#REF!</v>
      </c>
      <c r="T21" t="e">
        <f>IF(O21=2,'Caso '!N21,'Caso '!I21)</f>
        <v>#REF!</v>
      </c>
      <c r="U21" t="e">
        <f>IF(P21=2,'Caso '!O21,'Caso '!J21)</f>
        <v>#REF!</v>
      </c>
    </row>
    <row r="22" spans="1:22">
      <c r="A22">
        <f>F1</f>
        <v>0</v>
      </c>
      <c r="B22">
        <f>F1</f>
        <v>0</v>
      </c>
      <c r="C22">
        <f>F1</f>
        <v>0</v>
      </c>
      <c r="D22">
        <f>F1</f>
        <v>0</v>
      </c>
      <c r="E22" s="147" t="s">
        <v>27</v>
      </c>
      <c r="F22" s="7" t="s">
        <v>28</v>
      </c>
      <c r="G22" s="53">
        <f>IF(A22&gt;79,Tablas!C329,IF(A22&gt;74,Tablas!C301,IF(A22&gt;69,Tablas!C273,IF(A22&gt;64,Tablas!C245,IF(A22&gt;59,Tablas!C217,IF(A22&gt;54,Tablas!C189,IF(A22&gt;49,Tablas!C161,IF(A22&gt;44,Tablas!C133,IF(A22&gt;39,Tablas!C105,IF(A22&gt;29,Tablas!C77,IF(A22&gt;19,Tablas!C49,Tablas!C21)))))))))))</f>
        <v>6.72</v>
      </c>
      <c r="H22" s="53">
        <f>IF(B22&gt;79,Tablas!D329,IF(B22&gt;74,Tablas!D301,IF(B22&gt;69,Tablas!D273,IF(B22&gt;64,Tablas!D245,IF(B22&gt;59,Tablas!D217,IF(B22&gt;54,Tablas!D189,IF(B22&gt;49,Tablas!D161,IF(B22&gt;44,Tablas!D133,IF(B22&gt;39,Tablas!D105,IF(B22&gt;29,Tablas!D77,IF(B22&gt;19,Tablas!D49,Tablas!D21)))))))))))</f>
        <v>1.32</v>
      </c>
      <c r="I22" s="53" t="e">
        <f>IF(C22&gt;79,Tablas!E329,IF(C22&gt;74,Tablas!E301,IF(C22&gt;69,Tablas!E273,IF(C22&gt;64,Tablas!E245,IF(C22&gt;59,Tablas!E217,IF(C22&gt;54,Tablas!E189,IF(C22&gt;49,Tablas!E161,IF(C22&gt;44,Tablas!E133,IF(C22&gt;39,Tablas!E105,IF(C22&gt;29,Tablas!E77,IF(C22&gt;19,Tablas!E49,Tablas!E21)))))))))))</f>
        <v>#REF!</v>
      </c>
      <c r="J22" s="53" t="e">
        <f>IF(D22&gt;79,Tablas!F329,IF(D22&gt;74,Tablas!F301,IF(D22&gt;69,Tablas!F273,IF(D22&gt;64,Tablas!F245,IF(D22&gt;59,Tablas!F217,IF(D22&gt;54,Tablas!F189,IF(D22&gt;49,Tablas!F161,IF(D22&gt;44,Tablas!F133,IF(D22&gt;39,Tablas!F105,IF(D22&gt;29,Tablas!F77,IF(D22&gt;19,Tablas!F49,Tablas!F21)))))))))))</f>
        <v>#REF!</v>
      </c>
      <c r="K22" s="53"/>
      <c r="L22" s="53">
        <f>IF(A22&gt;79,Tablas!H329,IF(A22&gt;74,Tablas!H301,IF(A22&gt;69,Tablas!H273,IF(A22&gt;64,Tablas!H245,IF(A22&gt;59,Tablas!H217,IF(A22&gt;54,Tablas!H189,IF(A22&gt;49,Tablas!H161,IF(A22&gt;44,Tablas!H133,IF(A22&gt;39,Tablas!H105,IF(A22&gt;29,Tablas!H77,IF(A22&gt;19,Tablas!H49,Tablas!H21)))))))))))</f>
        <v>6.72</v>
      </c>
      <c r="M22" s="53">
        <f>IF(B22&gt;79,Tablas!I329,IF(B22&gt;74,Tablas!I301,IF(B22&gt;69,Tablas!I273,IF(B22&gt;64,Tablas!I245,IF(B22&gt;59,Tablas!I217,IF(B22&gt;54,Tablas!I189,IF(B22&gt;49,Tablas!I161,IF(B22&gt;44,Tablas!I133,IF(B22&gt;39,Tablas!I105,IF(B22&gt;29,Tablas!I77,IF(B22&gt;19,Tablas!I49,Tablas!I21)))))))))))</f>
        <v>1.32</v>
      </c>
      <c r="N22" s="53" t="e">
        <f>IF(C22&gt;79,Tablas!J329,IF(C22&gt;74,Tablas!J301,IF(C22&gt;69,Tablas!J273,IF(C22&gt;64,Tablas!J245,IF(C22&gt;59,Tablas!J217,IF(C22&gt;54,Tablas!J189,IF(C22&gt;49,Tablas!J161,IF(C22&gt;44,Tablas!J133,IF(C22&gt;39,Tablas!J105,IF(C22&gt;29,Tablas!J77,IF(C22&gt;19,Tablas!J49,Tablas!J21)))))))))))</f>
        <v>#REF!</v>
      </c>
      <c r="O22" s="53" t="e">
        <f>IF(D22&gt;79,Tablas!K329,IF(D22&gt;74,Tablas!K301,IF(D22&gt;69,Tablas!K273,IF(D22&gt;64,Tablas!K245,IF(D22&gt;59,Tablas!K217,IF(D22&gt;54,Tablas!K189,IF(D22&gt;49,Tablas!K161,IF(D22&gt;44,Tablas!K133,IF(D22&gt;39,Tablas!K105,IF(D22&gt;29,Tablas!K77,IF(D22&gt;19,Tablas!K49,Tablas!K21)))))))))))</f>
        <v>#REF!</v>
      </c>
      <c r="P22" s="62" t="e">
        <f>O1</f>
        <v>#REF!</v>
      </c>
      <c r="Q22" s="147" t="s">
        <v>27</v>
      </c>
      <c r="R22">
        <f>IF(M22=2,'Caso '!L22,'Caso '!G22)</f>
        <v>6.72</v>
      </c>
      <c r="S22" t="e">
        <f>IF(N22=2,'Caso '!M22,'Caso '!H22)</f>
        <v>#REF!</v>
      </c>
      <c r="T22" t="e">
        <f>IF(O22=2,'Caso '!N22,'Caso '!I22)</f>
        <v>#REF!</v>
      </c>
      <c r="U22" t="e">
        <f>IF(P22=2,'Caso '!O22,'Caso '!J22)</f>
        <v>#REF!</v>
      </c>
    </row>
    <row r="23" spans="1:22">
      <c r="A23">
        <f>F1</f>
        <v>0</v>
      </c>
      <c r="B23">
        <f>F1</f>
        <v>0</v>
      </c>
      <c r="C23">
        <f>F1</f>
        <v>0</v>
      </c>
      <c r="D23">
        <f>F1</f>
        <v>0</v>
      </c>
      <c r="E23" s="147"/>
      <c r="F23" s="7" t="s">
        <v>29</v>
      </c>
      <c r="G23" s="53">
        <f>IF(A23&gt;79,Tablas!C330,IF(A23&gt;74,Tablas!C302,IF(A23&gt;69,Tablas!C274,IF(A23&gt;64,Tablas!C246,IF(A23&gt;59,Tablas!C218,IF(A23&gt;54,Tablas!C190,IF(A23&gt;49,Tablas!C162,IF(A23&gt;44,Tablas!C134,IF(A23&gt;39,Tablas!C106,IF(A23&gt;29,Tablas!C78,IF(A23&gt;19,Tablas!C50,Tablas!C22)))))))))))</f>
        <v>4.88</v>
      </c>
      <c r="H23" s="53">
        <f>IF(B23&gt;79,Tablas!D330,IF(B23&gt;74,Tablas!D302,IF(B23&gt;69,Tablas!D274,IF(B23&gt;64,Tablas!D246,IF(B23&gt;59,Tablas!D218,IF(B23&gt;54,Tablas!D190,IF(B23&gt;49,Tablas!D162,IF(B23&gt;44,Tablas!D134,IF(B23&gt;39,Tablas!D106,IF(B23&gt;29,Tablas!D78,IF(B23&gt;19,Tablas!D50,Tablas!D22)))))))))))</f>
        <v>1.44</v>
      </c>
      <c r="I23" s="53" t="e">
        <f>IF(C23&gt;79,Tablas!E330,IF(C23&gt;74,Tablas!E302,IF(C23&gt;69,Tablas!E274,IF(C23&gt;64,Tablas!E246,IF(C23&gt;59,Tablas!E218,IF(C23&gt;54,Tablas!E190,IF(C23&gt;49,Tablas!E162,IF(C23&gt;44,Tablas!E134,IF(C23&gt;39,Tablas!E106,IF(C23&gt;29,Tablas!E78,IF(C23&gt;19,Tablas!E50,Tablas!E22)))))))))))</f>
        <v>#REF!</v>
      </c>
      <c r="J23" s="53" t="e">
        <f>IF(D23&gt;79,Tablas!F330,IF(D23&gt;74,Tablas!F302,IF(D23&gt;69,Tablas!F274,IF(D23&gt;64,Tablas!F246,IF(D23&gt;59,Tablas!F218,IF(D23&gt;54,Tablas!F190,IF(D23&gt;49,Tablas!F162,IF(D23&gt;44,Tablas!F134,IF(D23&gt;39,Tablas!F106,IF(D23&gt;29,Tablas!F78,IF(D23&gt;19,Tablas!F50,Tablas!F22)))))))))))</f>
        <v>#REF!</v>
      </c>
      <c r="K23" s="53"/>
      <c r="L23" s="53">
        <f>IF(A23&gt;79,Tablas!H330,IF(A23&gt;74,Tablas!H302,IF(A23&gt;69,Tablas!H274,IF(A23&gt;64,Tablas!H246,IF(A23&gt;59,Tablas!H218,IF(A23&gt;54,Tablas!H190,IF(A23&gt;49,Tablas!H162,IF(A23&gt;44,Tablas!H134,IF(A23&gt;39,Tablas!H106,IF(A23&gt;29,Tablas!H78,IF(A23&gt;19,Tablas!H50,Tablas!H22)))))))))))</f>
        <v>4.88</v>
      </c>
      <c r="M23" s="53">
        <f>IF(B23&gt;79,Tablas!I330,IF(B23&gt;74,Tablas!I302,IF(B23&gt;69,Tablas!I274,IF(B23&gt;64,Tablas!I246,IF(B23&gt;59,Tablas!I218,IF(B23&gt;54,Tablas!I190,IF(B23&gt;49,Tablas!I162,IF(B23&gt;44,Tablas!I134,IF(B23&gt;39,Tablas!I106,IF(B23&gt;29,Tablas!I78,IF(B23&gt;19,Tablas!I50,Tablas!I22)))))))))))</f>
        <v>1.44</v>
      </c>
      <c r="N23" s="53" t="e">
        <f>IF(C23&gt;79,Tablas!J330,IF(C23&gt;74,Tablas!J302,IF(C23&gt;69,Tablas!J274,IF(C23&gt;64,Tablas!J246,IF(C23&gt;59,Tablas!J218,IF(C23&gt;54,Tablas!J190,IF(C23&gt;49,Tablas!J162,IF(C23&gt;44,Tablas!J134,IF(C23&gt;39,Tablas!J106,IF(C23&gt;29,Tablas!J78,IF(C23&gt;19,Tablas!J50,Tablas!J22)))))))))))</f>
        <v>#REF!</v>
      </c>
      <c r="O23" s="53" t="e">
        <f>IF(D23&gt;79,Tablas!K330,IF(D23&gt;74,Tablas!K302,IF(D23&gt;69,Tablas!K274,IF(D23&gt;64,Tablas!K246,IF(D23&gt;59,Tablas!K218,IF(D23&gt;54,Tablas!K190,IF(D23&gt;49,Tablas!K162,IF(D23&gt;44,Tablas!K134,IF(D23&gt;39,Tablas!K106,IF(D23&gt;29,Tablas!K78,IF(D23&gt;19,Tablas!K50,Tablas!K22)))))))))))</f>
        <v>#REF!</v>
      </c>
      <c r="P23" s="62" t="e">
        <f>O1</f>
        <v>#REF!</v>
      </c>
      <c r="Q23" s="147"/>
      <c r="R23">
        <f>IF(M23=2,'Caso '!L23,'Caso '!G23)</f>
        <v>4.88</v>
      </c>
      <c r="S23" t="e">
        <f>IF(N23=2,'Caso '!M23,'Caso '!H23)</f>
        <v>#REF!</v>
      </c>
      <c r="T23" t="e">
        <f>IF(O23=2,'Caso '!N23,'Caso '!I23)</f>
        <v>#REF!</v>
      </c>
      <c r="U23" t="e">
        <f>IF(P23=2,'Caso '!O23,'Caso '!J23)</f>
        <v>#REF!</v>
      </c>
    </row>
    <row r="24" spans="1:22">
      <c r="A24">
        <f>F1</f>
        <v>0</v>
      </c>
      <c r="B24">
        <f>F1</f>
        <v>0</v>
      </c>
      <c r="C24">
        <f>F1</f>
        <v>0</v>
      </c>
      <c r="D24">
        <f>F1</f>
        <v>0</v>
      </c>
      <c r="E24" s="147" t="s">
        <v>34</v>
      </c>
      <c r="F24" s="7" t="s">
        <v>39</v>
      </c>
      <c r="G24" s="53">
        <f>IF(A24&gt;79,Tablas!C331,IF(A24&gt;74,Tablas!C303,IF(A24&gt;69,Tablas!C275,IF(A24&gt;64,Tablas!C247,IF(A24&gt;59,Tablas!C219,IF(A24&gt;54,Tablas!C191,IF(A24&gt;49,Tablas!C163,IF(A24&gt;44,Tablas!C135,IF(A24&gt;39,Tablas!C107,IF(A24&gt;29,Tablas!C79,IF(A24&gt;19,Tablas!C51,Tablas!C23)))))))))))</f>
        <v>0.76</v>
      </c>
      <c r="H24" s="53">
        <f>IF(B24&gt;79,Tablas!D331,IF(B24&gt;74,Tablas!D303,IF(B24&gt;69,Tablas!D275,IF(B24&gt;64,Tablas!D247,IF(B24&gt;59,Tablas!D219,IF(B24&gt;54,Tablas!D191,IF(B24&gt;49,Tablas!D163,IF(B24&gt;44,Tablas!D135,IF(B24&gt;39,Tablas!D107,IF(B24&gt;29,Tablas!D79,IF(B24&gt;19,Tablas!D51,Tablas!D23)))))))))))</f>
        <v>0.48</v>
      </c>
      <c r="I24" s="53" t="e">
        <f>IF(C24&gt;79,Tablas!E331,IF(C24&gt;74,Tablas!E303,IF(C24&gt;69,Tablas!E275,IF(C24&gt;64,Tablas!E247,IF(C24&gt;59,Tablas!E219,IF(C24&gt;54,Tablas!E191,IF(C24&gt;49,Tablas!E163,IF(C24&gt;44,Tablas!E135,IF(C24&gt;39,Tablas!E107,IF(C24&gt;29,Tablas!E79,IF(C24&gt;19,Tablas!E51,Tablas!E23)))))))))))</f>
        <v>#REF!</v>
      </c>
      <c r="J24" s="53" t="e">
        <f>IF(D24&gt;79,Tablas!F331,IF(D24&gt;74,Tablas!F303,IF(D24&gt;69,Tablas!F275,IF(D24&gt;64,Tablas!F247,IF(D24&gt;59,Tablas!F219,IF(D24&gt;54,Tablas!F191,IF(D24&gt;49,Tablas!F163,IF(D24&gt;44,Tablas!F135,IF(D24&gt;39,Tablas!F107,IF(D24&gt;29,Tablas!F79,IF(D24&gt;19,Tablas!F51,Tablas!F23)))))))))))</f>
        <v>#REF!</v>
      </c>
      <c r="K24" s="53"/>
      <c r="L24" s="53">
        <f>IF(A24&gt;79,Tablas!H331,IF(A24&gt;74,Tablas!H303,IF(A24&gt;69,Tablas!H275,IF(A24&gt;64,Tablas!H247,IF(A24&gt;59,Tablas!H219,IF(A24&gt;54,Tablas!H191,IF(A24&gt;49,Tablas!H163,IF(A24&gt;44,Tablas!H135,IF(A24&gt;39,Tablas!H107,IF(A24&gt;29,Tablas!H79,IF(A24&gt;19,Tablas!H51,Tablas!H23)))))))))))</f>
        <v>0.76</v>
      </c>
      <c r="M24" s="53">
        <f>IF(B24&gt;79,Tablas!I331,IF(B24&gt;74,Tablas!I303,IF(B24&gt;69,Tablas!I275,IF(B24&gt;64,Tablas!I247,IF(B24&gt;59,Tablas!I219,IF(B24&gt;54,Tablas!I191,IF(B24&gt;49,Tablas!I163,IF(B24&gt;44,Tablas!I135,IF(B24&gt;39,Tablas!I107,IF(B24&gt;29,Tablas!I79,IF(B24&gt;19,Tablas!I51,Tablas!I23)))))))))))</f>
        <v>0.48</v>
      </c>
      <c r="N24" s="53" t="e">
        <f>IF(C24&gt;79,Tablas!J331,IF(C24&gt;74,Tablas!J303,IF(C24&gt;69,Tablas!J275,IF(C24&gt;64,Tablas!J247,IF(C24&gt;59,Tablas!J219,IF(C24&gt;54,Tablas!J191,IF(C24&gt;49,Tablas!J163,IF(C24&gt;44,Tablas!J135,IF(C24&gt;39,Tablas!J107,IF(C24&gt;29,Tablas!J79,IF(C24&gt;19,Tablas!J51,Tablas!J23)))))))))))</f>
        <v>#REF!</v>
      </c>
      <c r="O24" s="53" t="e">
        <f>IF(D24&gt;79,Tablas!K331,IF(D24&gt;74,Tablas!K303,IF(D24&gt;69,Tablas!K275,IF(D24&gt;64,Tablas!K247,IF(D24&gt;59,Tablas!K219,IF(D24&gt;54,Tablas!K191,IF(D24&gt;49,Tablas!K163,IF(D24&gt;44,Tablas!K135,IF(D24&gt;39,Tablas!K107,IF(D24&gt;29,Tablas!K79,IF(D24&gt;19,Tablas!K51,Tablas!K23)))))))))))</f>
        <v>#REF!</v>
      </c>
      <c r="P24" s="62" t="e">
        <f>O1</f>
        <v>#REF!</v>
      </c>
      <c r="Q24" s="147" t="s">
        <v>34</v>
      </c>
      <c r="R24">
        <f>IF(M24=2,'Caso '!L24,'Caso '!G24)</f>
        <v>0.76</v>
      </c>
      <c r="S24" t="e">
        <f>IF(N24=2,'Caso '!M24,'Caso '!H24)</f>
        <v>#REF!</v>
      </c>
      <c r="T24" t="e">
        <f>IF(O24=2,'Caso '!N24,'Caso '!I24)</f>
        <v>#REF!</v>
      </c>
      <c r="U24" t="e">
        <f>IF(P24=2,'Caso '!O24,'Caso '!J24)</f>
        <v>#REF!</v>
      </c>
    </row>
    <row r="25" spans="1:22">
      <c r="A25">
        <f>F1</f>
        <v>0</v>
      </c>
      <c r="B25">
        <f>F1</f>
        <v>0</v>
      </c>
      <c r="C25">
        <f>F1</f>
        <v>0</v>
      </c>
      <c r="D25">
        <f>F1</f>
        <v>0</v>
      </c>
      <c r="E25" s="147" t="s">
        <v>34</v>
      </c>
      <c r="F25" s="7" t="s">
        <v>40</v>
      </c>
      <c r="G25" s="53">
        <f>IF(A25&gt;79,Tablas!C332,IF(A25&gt;74,Tablas!C304,IF(A25&gt;69,Tablas!C276,IF(A25&gt;64,Tablas!C248,IF(A25&gt;59,Tablas!C220,IF(A25&gt;54,Tablas!C192,IF(A25&gt;49,Tablas!C164,IF(A25&gt;44,Tablas!C136,IF(A25&gt;39,Tablas!C108,IF(A25&gt;29,Tablas!C80,IF(A25&gt;19,Tablas!C52,Tablas!C24)))))))))))</f>
        <v>0.55000000000000004</v>
      </c>
      <c r="H25" s="53">
        <f>IF(B25&gt;79,Tablas!D332,IF(B25&gt;74,Tablas!D304,IF(B25&gt;69,Tablas!D276,IF(B25&gt;64,Tablas!D248,IF(B25&gt;59,Tablas!D220,IF(B25&gt;54,Tablas!D192,IF(B25&gt;49,Tablas!D164,IF(B25&gt;44,Tablas!D136,IF(B25&gt;39,Tablas!D108,IF(B25&gt;29,Tablas!D80,IF(B25&gt;19,Tablas!D52,Tablas!D24)))))))))))</f>
        <v>0.33</v>
      </c>
      <c r="I25" s="53" t="e">
        <f>IF(C25&gt;79,Tablas!E332,IF(C25&gt;74,Tablas!E304,IF(C25&gt;69,Tablas!E276,IF(C25&gt;64,Tablas!E248,IF(C25&gt;59,Tablas!E220,IF(C25&gt;54,Tablas!E192,IF(C25&gt;49,Tablas!E164,IF(C25&gt;44,Tablas!E136,IF(C25&gt;39,Tablas!E108,IF(C25&gt;29,Tablas!E80,IF(C25&gt;19,Tablas!E52,Tablas!E24)))))))))))</f>
        <v>#REF!</v>
      </c>
      <c r="J25" s="53" t="e">
        <f>IF(D25&gt;79,Tablas!F332,IF(D25&gt;74,Tablas!F304,IF(D25&gt;69,Tablas!F276,IF(D25&gt;64,Tablas!F248,IF(D25&gt;59,Tablas!F220,IF(D25&gt;54,Tablas!F192,IF(D25&gt;49,Tablas!F164,IF(D25&gt;44,Tablas!F136,IF(D25&gt;39,Tablas!F108,IF(D25&gt;29,Tablas!F80,IF(D25&gt;19,Tablas!F52,Tablas!F24)))))))))))</f>
        <v>#REF!</v>
      </c>
      <c r="K25" s="53"/>
      <c r="L25" s="53">
        <f>IF(A25&gt;79,Tablas!H332,IF(A25&gt;74,Tablas!H304,IF(A25&gt;69,Tablas!H276,IF(A25&gt;64,Tablas!H248,IF(A25&gt;59,Tablas!H220,IF(A25&gt;54,Tablas!H192,IF(A25&gt;49,Tablas!H164,IF(A25&gt;44,Tablas!H136,IF(A25&gt;39,Tablas!H108,IF(A25&gt;29,Tablas!H80,IF(A25&gt;19,Tablas!H52,Tablas!H24)))))))))))</f>
        <v>0.55000000000000004</v>
      </c>
      <c r="M25" s="53">
        <f>IF(B25&gt;79,Tablas!I332,IF(B25&gt;74,Tablas!I304,IF(B25&gt;69,Tablas!I276,IF(B25&gt;64,Tablas!I248,IF(B25&gt;59,Tablas!I220,IF(B25&gt;54,Tablas!I192,IF(B25&gt;49,Tablas!I164,IF(B25&gt;44,Tablas!I136,IF(B25&gt;39,Tablas!I108,IF(B25&gt;29,Tablas!I80,IF(B25&gt;19,Tablas!I52,Tablas!I24)))))))))))</f>
        <v>0.33</v>
      </c>
      <c r="N25" s="53" t="e">
        <f>IF(C25&gt;79,Tablas!J332,IF(C25&gt;74,Tablas!J304,IF(C25&gt;69,Tablas!J276,IF(C25&gt;64,Tablas!J248,IF(C25&gt;59,Tablas!J220,IF(C25&gt;54,Tablas!J192,IF(C25&gt;49,Tablas!J164,IF(C25&gt;44,Tablas!J136,IF(C25&gt;39,Tablas!J108,IF(C25&gt;29,Tablas!J80,IF(C25&gt;19,Tablas!J52,Tablas!J24)))))))))))</f>
        <v>#REF!</v>
      </c>
      <c r="O25" s="53" t="e">
        <f>IF(D25&gt;79,Tablas!K332,IF(D25&gt;74,Tablas!K304,IF(D25&gt;69,Tablas!K276,IF(D25&gt;64,Tablas!K248,IF(D25&gt;59,Tablas!K220,IF(D25&gt;54,Tablas!K192,IF(D25&gt;49,Tablas!K164,IF(D25&gt;44,Tablas!K136,IF(D25&gt;39,Tablas!K108,IF(D25&gt;29,Tablas!K80,IF(D25&gt;19,Tablas!K52,Tablas!K24)))))))))))</f>
        <v>#REF!</v>
      </c>
      <c r="P25" s="62" t="e">
        <f>O1</f>
        <v>#REF!</v>
      </c>
      <c r="Q25" s="147" t="s">
        <v>34</v>
      </c>
      <c r="R25">
        <f>IF(M25=2,'Caso '!L25,'Caso '!G25)</f>
        <v>0.55000000000000004</v>
      </c>
      <c r="S25" t="e">
        <f>IF(N25=2,'Caso '!M25,'Caso '!H25)</f>
        <v>#REF!</v>
      </c>
      <c r="T25" t="e">
        <f>IF(O25=2,'Caso '!N25,'Caso '!I25)</f>
        <v>#REF!</v>
      </c>
      <c r="U25" t="e">
        <f>IF(P25=2,'Caso '!O25,'Caso '!J25)</f>
        <v>#REF!</v>
      </c>
    </row>
    <row r="26" spans="1:22" ht="16.5" thickBot="1">
      <c r="A26">
        <f>F1</f>
        <v>0</v>
      </c>
      <c r="B26">
        <f>F1</f>
        <v>0</v>
      </c>
      <c r="C26">
        <f>F1</f>
        <v>0</v>
      </c>
      <c r="D26">
        <f>F1</f>
        <v>0</v>
      </c>
      <c r="E26" s="147" t="s">
        <v>35</v>
      </c>
      <c r="F26" s="6" t="s">
        <v>36</v>
      </c>
      <c r="G26" s="53">
        <f>IF(A26&gt;79,Tablas!C333,IF(A26&gt;74,Tablas!C305,IF(A26&gt;69,Tablas!C277,IF(A26&gt;64,Tablas!C249,IF(A26&gt;59,Tablas!C221,IF(A26&gt;54,Tablas!C193,IF(A26&gt;49,Tablas!C165,IF(A26&gt;44,Tablas!C137,IF(A26&gt;39,Tablas!C109,IF(A26&gt;29,Tablas!C81,IF(A26&gt;19,Tablas!C53,Tablas!C25)))))))))))</f>
        <v>5.34</v>
      </c>
      <c r="H26" s="53">
        <f>IF(B26&gt;79,Tablas!D333,IF(B26&gt;74,Tablas!D305,IF(B26&gt;69,Tablas!D277,IF(B26&gt;64,Tablas!D249,IF(B26&gt;59,Tablas!D221,IF(B26&gt;54,Tablas!D193,IF(B26&gt;49,Tablas!D165,IF(B26&gt;44,Tablas!D137,IF(B26&gt;39,Tablas!D109,IF(B26&gt;29,Tablas!D81,IF(B26&gt;19,Tablas!D53,Tablas!D25)))))))))))</f>
        <v>1.32</v>
      </c>
      <c r="I26" s="53" t="e">
        <f>IF(C26&gt;79,Tablas!E333,IF(C26&gt;74,Tablas!E305,IF(C26&gt;69,Tablas!E277,IF(C26&gt;64,Tablas!E249,IF(C26&gt;59,Tablas!E221,IF(C26&gt;54,Tablas!E193,IF(C26&gt;49,Tablas!E165,IF(C26&gt;44,Tablas!E137,IF(C26&gt;39,Tablas!E109,IF(C26&gt;29,Tablas!E81,IF(C26&gt;19,Tablas!E53,Tablas!E25)))))))))))</f>
        <v>#REF!</v>
      </c>
      <c r="J26" s="53" t="e">
        <f>IF(D26&gt;79,Tablas!F333,IF(D26&gt;74,Tablas!F305,IF(D26&gt;69,Tablas!F277,IF(D26&gt;64,Tablas!F249,IF(D26&gt;59,Tablas!F221,IF(D26&gt;54,Tablas!F193,IF(D26&gt;49,Tablas!F165,IF(D26&gt;44,Tablas!F137,IF(D26&gt;39,Tablas!F109,IF(D26&gt;29,Tablas!F81,IF(D26&gt;19,Tablas!F53,Tablas!F25)))))))))))</f>
        <v>#REF!</v>
      </c>
      <c r="K26" s="53"/>
      <c r="L26" s="53">
        <f>IF(A26&gt;79,Tablas!H333,IF(A26&gt;74,Tablas!H305,IF(A26&gt;69,Tablas!H277,IF(A26&gt;64,Tablas!H249,IF(A26&gt;59,Tablas!H221,IF(A26&gt;54,Tablas!H193,IF(A26&gt;49,Tablas!H165,IF(A26&gt;44,Tablas!H137,IF(A26&gt;39,Tablas!H109,IF(A26&gt;29,Tablas!H81,IF(A26&gt;19,Tablas!H53,Tablas!H25)))))))))))</f>
        <v>5.34</v>
      </c>
      <c r="M26" s="53">
        <f>IF(B26&gt;79,Tablas!I333,IF(B26&gt;74,Tablas!I305,IF(B26&gt;69,Tablas!I277,IF(B26&gt;64,Tablas!I249,IF(B26&gt;59,Tablas!I221,IF(B26&gt;54,Tablas!I193,IF(B26&gt;49,Tablas!I165,IF(B26&gt;44,Tablas!I137,IF(B26&gt;39,Tablas!I109,IF(B26&gt;29,Tablas!I81,IF(B26&gt;19,Tablas!I53,Tablas!I25)))))))))))</f>
        <v>1.32</v>
      </c>
      <c r="N26" s="53" t="e">
        <f>IF(C26&gt;79,Tablas!J333,IF(C26&gt;74,Tablas!J305,IF(C26&gt;69,Tablas!J277,IF(C26&gt;64,Tablas!J249,IF(C26&gt;59,Tablas!J221,IF(C26&gt;54,Tablas!J193,IF(C26&gt;49,Tablas!J165,IF(C26&gt;44,Tablas!J137,IF(C26&gt;39,Tablas!J109,IF(C26&gt;29,Tablas!J81,IF(C26&gt;19,Tablas!J53,Tablas!J25)))))))))))</f>
        <v>#REF!</v>
      </c>
      <c r="O26" s="53" t="e">
        <f>IF(D26&gt;79,Tablas!K333,IF(D26&gt;74,Tablas!K305,IF(D26&gt;69,Tablas!K277,IF(D26&gt;64,Tablas!K249,IF(D26&gt;59,Tablas!K221,IF(D26&gt;54,Tablas!K193,IF(D26&gt;49,Tablas!K165,IF(D26&gt;44,Tablas!K137,IF(D26&gt;39,Tablas!K109,IF(D26&gt;29,Tablas!K81,IF(D26&gt;19,Tablas!K53,Tablas!K25)))))))))))</f>
        <v>#REF!</v>
      </c>
      <c r="P26" s="62" t="e">
        <f>O1</f>
        <v>#REF!</v>
      </c>
      <c r="Q26" s="147" t="s">
        <v>35</v>
      </c>
      <c r="R26">
        <f>IF(M26=2,'Caso '!L26,'Caso '!G26)</f>
        <v>5.34</v>
      </c>
      <c r="S26" t="e">
        <f>IF(N26=2,'Caso '!M26,'Caso '!H26)</f>
        <v>#REF!</v>
      </c>
      <c r="T26" t="e">
        <f>IF(O26=2,'Caso '!N26,'Caso '!I26)</f>
        <v>#REF!</v>
      </c>
      <c r="U26" t="e">
        <f>IF(P26=2,'Caso '!O26,'Caso '!J26)</f>
        <v>#REF!</v>
      </c>
      <c r="V26" t="e">
        <f>IF(Resumen!#REF!&gt;12,'Caso '!U28,IF(Resumen!#REF!&gt;6,'Caso '!U27,'Caso '!U26))</f>
        <v>#REF!</v>
      </c>
    </row>
    <row r="27" spans="1:22" ht="16.5" thickBot="1">
      <c r="A27">
        <f>F1</f>
        <v>0</v>
      </c>
      <c r="B27">
        <f>F1</f>
        <v>0</v>
      </c>
      <c r="C27">
        <f>F1</f>
        <v>0</v>
      </c>
      <c r="D27">
        <f>F1</f>
        <v>0</v>
      </c>
      <c r="E27" s="147" t="s">
        <v>35</v>
      </c>
      <c r="F27" s="6" t="s">
        <v>37</v>
      </c>
      <c r="G27" s="53">
        <f>IF(A27&gt;79,Tablas!C334,IF(A27&gt;74,Tablas!C306,IF(A27&gt;69,Tablas!C278,IF(A27&gt;64,Tablas!C250,IF(A27&gt;59,Tablas!C222,IF(A27&gt;54,Tablas!C194,IF(A27&gt;49,Tablas!C166,IF(A27&gt;44,Tablas!C138,IF(A27&gt;39,Tablas!C110,IF(A27&gt;29,Tablas!C82,IF(A27&gt;19,Tablas!C54,Tablas!C26)))))))))))</f>
        <v>5.34</v>
      </c>
      <c r="H27" s="53">
        <f>IF(B27&gt;79,Tablas!D334,IF(B27&gt;74,Tablas!D306,IF(B27&gt;69,Tablas!D278,IF(B27&gt;64,Tablas!D250,IF(B27&gt;59,Tablas!D222,IF(B27&gt;54,Tablas!D194,IF(B27&gt;49,Tablas!D166,IF(B27&gt;44,Tablas!D138,IF(B27&gt;39,Tablas!D110,IF(B27&gt;29,Tablas!D82,IF(B27&gt;19,Tablas!D54,Tablas!D26)))))))))))</f>
        <v>1.32</v>
      </c>
      <c r="I27" s="53" t="e">
        <f>IF(C27&gt;79,Tablas!E334,IF(C27&gt;74,Tablas!E306,IF(C27&gt;69,Tablas!E278,IF(C27&gt;64,Tablas!E250,IF(C27&gt;59,Tablas!E222,IF(C27&gt;54,Tablas!E194,IF(C27&gt;49,Tablas!E166,IF(C27&gt;44,Tablas!E138,IF(C27&gt;39,Tablas!E110,IF(C27&gt;29,Tablas!E82,IF(C27&gt;19,Tablas!E54,Tablas!E26)))))))))))</f>
        <v>#REF!</v>
      </c>
      <c r="J27" s="53" t="e">
        <f>IF(D27&gt;79,Tablas!F334,IF(D27&gt;74,Tablas!F306,IF(D27&gt;69,Tablas!F278,IF(D27&gt;64,Tablas!F250,IF(D27&gt;59,Tablas!F222,IF(D27&gt;54,Tablas!F194,IF(D27&gt;49,Tablas!F166,IF(D27&gt;44,Tablas!F138,IF(D27&gt;39,Tablas!F110,IF(D27&gt;29,Tablas!F82,IF(D27&gt;19,Tablas!F54,Tablas!F26)))))))))))</f>
        <v>#REF!</v>
      </c>
      <c r="K27" s="53"/>
      <c r="L27" s="53">
        <f>IF(A27&gt;79,Tablas!H334,IF(A27&gt;74,Tablas!H306,IF(A27&gt;69,Tablas!H278,IF(A27&gt;64,Tablas!H250,IF(A27&gt;59,Tablas!H222,IF(A27&gt;54,Tablas!H194,IF(A27&gt;49,Tablas!H166,IF(A27&gt;44,Tablas!H138,IF(A27&gt;39,Tablas!H110,IF(A27&gt;29,Tablas!H82,IF(A27&gt;19,Tablas!H54,Tablas!H26)))))))))))</f>
        <v>5.34</v>
      </c>
      <c r="M27" s="53">
        <f>IF(B27&gt;79,Tablas!I334,IF(B27&gt;74,Tablas!I306,IF(B27&gt;69,Tablas!I278,IF(B27&gt;64,Tablas!I250,IF(B27&gt;59,Tablas!I222,IF(B27&gt;54,Tablas!I194,IF(B27&gt;49,Tablas!I166,IF(B27&gt;44,Tablas!I138,IF(B27&gt;39,Tablas!I110,IF(B27&gt;29,Tablas!I82,IF(B27&gt;19,Tablas!I54,Tablas!I26)))))))))))</f>
        <v>1.32</v>
      </c>
      <c r="N27" s="53" t="e">
        <f>IF(C27&gt;79,Tablas!J334,IF(C27&gt;74,Tablas!J306,IF(C27&gt;69,Tablas!J278,IF(C27&gt;64,Tablas!J250,IF(C27&gt;59,Tablas!J222,IF(C27&gt;54,Tablas!J194,IF(C27&gt;49,Tablas!J166,IF(C27&gt;44,Tablas!J138,IF(C27&gt;39,Tablas!J110,IF(C27&gt;29,Tablas!J82,IF(C27&gt;19,Tablas!J54,Tablas!J26)))))))))))</f>
        <v>#REF!</v>
      </c>
      <c r="O27" s="53" t="e">
        <f>IF(D27&gt;79,Tablas!K334,IF(D27&gt;74,Tablas!K306,IF(D27&gt;69,Tablas!K278,IF(D27&gt;64,Tablas!K250,IF(D27&gt;59,Tablas!K222,IF(D27&gt;54,Tablas!K194,IF(D27&gt;49,Tablas!K166,IF(D27&gt;44,Tablas!K138,IF(D27&gt;39,Tablas!K110,IF(D27&gt;29,Tablas!K82,IF(D27&gt;19,Tablas!K54,Tablas!K26)))))))))))</f>
        <v>#REF!</v>
      </c>
      <c r="P27" s="62" t="e">
        <f>O1</f>
        <v>#REF!</v>
      </c>
      <c r="Q27" s="147" t="s">
        <v>35</v>
      </c>
      <c r="R27">
        <f>IF(M27=2,'Caso '!L27,'Caso '!G27)</f>
        <v>5.34</v>
      </c>
      <c r="S27" t="e">
        <f>IF(N27=2,'Caso '!M27,'Caso '!H27)</f>
        <v>#REF!</v>
      </c>
      <c r="T27" t="e">
        <f>IF(O27=2,'Caso '!N27,'Caso '!I27)</f>
        <v>#REF!</v>
      </c>
      <c r="U27" t="e">
        <f>IF(P27=2,'Caso '!O27,'Caso '!J27)</f>
        <v>#REF!</v>
      </c>
    </row>
    <row r="28" spans="1:22" ht="16.5" thickBot="1">
      <c r="A28">
        <f>F1</f>
        <v>0</v>
      </c>
      <c r="B28">
        <f>F1</f>
        <v>0</v>
      </c>
      <c r="C28">
        <f>F1</f>
        <v>0</v>
      </c>
      <c r="D28">
        <f>F1</f>
        <v>0</v>
      </c>
      <c r="E28" s="147" t="s">
        <v>35</v>
      </c>
      <c r="F28" s="6" t="s">
        <v>38</v>
      </c>
      <c r="G28" s="53">
        <f>IF(A28&gt;79,Tablas!C335,IF(A28&gt;74,Tablas!C307,IF(A28&gt;69,Tablas!C279,IF(A28&gt;64,Tablas!C251,IF(A28&gt;59,Tablas!C223,IF(A28&gt;54,Tablas!C195,IF(A28&gt;49,Tablas!C167,IF(A28&gt;44,Tablas!C139,IF(A28&gt;39,Tablas!C111,IF(A28&gt;29,Tablas!C83,IF(A28&gt;19,Tablas!C55,Tablas!C27)))))))))))</f>
        <v>5.34</v>
      </c>
      <c r="H28" s="53">
        <f>IF(B28&gt;79,Tablas!D335,IF(B28&gt;74,Tablas!D307,IF(B28&gt;69,Tablas!D279,IF(B28&gt;64,Tablas!D251,IF(B28&gt;59,Tablas!D223,IF(B28&gt;54,Tablas!D195,IF(B28&gt;49,Tablas!D167,IF(B28&gt;44,Tablas!D139,IF(B28&gt;39,Tablas!D111,IF(B28&gt;29,Tablas!D83,IF(B28&gt;19,Tablas!D55,Tablas!D27)))))))))))</f>
        <v>1.32</v>
      </c>
      <c r="I28" s="53" t="e">
        <f>IF(C28&gt;79,Tablas!E335,IF(C28&gt;74,Tablas!E307,IF(C28&gt;69,Tablas!E279,IF(C28&gt;64,Tablas!E251,IF(C28&gt;59,Tablas!E223,IF(C28&gt;54,Tablas!E195,IF(C28&gt;49,Tablas!E167,IF(C28&gt;44,Tablas!E139,IF(C28&gt;39,Tablas!E111,IF(C28&gt;29,Tablas!E83,IF(C28&gt;19,Tablas!E55,Tablas!E27)))))))))))</f>
        <v>#REF!</v>
      </c>
      <c r="J28" s="53" t="e">
        <f>IF(D28&gt;79,Tablas!F335,IF(D28&gt;74,Tablas!F307,IF(D28&gt;69,Tablas!F279,IF(D28&gt;64,Tablas!F251,IF(D28&gt;59,Tablas!F223,IF(D28&gt;54,Tablas!F195,IF(D28&gt;49,Tablas!F167,IF(D28&gt;44,Tablas!F139,IF(D28&gt;39,Tablas!F111,IF(D28&gt;29,Tablas!F83,IF(D28&gt;19,Tablas!F55,Tablas!F27)))))))))))</f>
        <v>#REF!</v>
      </c>
      <c r="K28" s="53"/>
      <c r="L28" s="53">
        <f>IF(A28&gt;79,Tablas!H335,IF(A28&gt;74,Tablas!H307,IF(A28&gt;69,Tablas!H279,IF(A28&gt;64,Tablas!H251,IF(A28&gt;59,Tablas!H223,IF(A28&gt;54,Tablas!H195,IF(A28&gt;49,Tablas!H167,IF(A28&gt;44,Tablas!H139,IF(A28&gt;39,Tablas!H111,IF(A28&gt;29,Tablas!H83,IF(A28&gt;19,Tablas!H55,Tablas!H27)))))))))))</f>
        <v>5.34</v>
      </c>
      <c r="M28" s="53">
        <f>IF(B28&gt;79,Tablas!I335,IF(B28&gt;74,Tablas!I307,IF(B28&gt;69,Tablas!I279,IF(B28&gt;64,Tablas!I251,IF(B28&gt;59,Tablas!I223,IF(B28&gt;54,Tablas!I195,IF(B28&gt;49,Tablas!I167,IF(B28&gt;44,Tablas!I139,IF(B28&gt;39,Tablas!I111,IF(B28&gt;29,Tablas!I83,IF(B28&gt;19,Tablas!I55,Tablas!I27)))))))))))</f>
        <v>1.32</v>
      </c>
      <c r="N28" s="53" t="e">
        <f>IF(C28&gt;79,Tablas!J335,IF(C28&gt;74,Tablas!J307,IF(C28&gt;69,Tablas!J279,IF(C28&gt;64,Tablas!J251,IF(C28&gt;59,Tablas!J223,IF(C28&gt;54,Tablas!J195,IF(C28&gt;49,Tablas!J167,IF(C28&gt;44,Tablas!J139,IF(C28&gt;39,Tablas!J111,IF(C28&gt;29,Tablas!J83,IF(C28&gt;19,Tablas!J55,Tablas!J27)))))))))))</f>
        <v>#REF!</v>
      </c>
      <c r="O28" s="53" t="e">
        <f>IF(D28&gt;79,Tablas!K335,IF(D28&gt;74,Tablas!K307,IF(D28&gt;69,Tablas!K279,IF(D28&gt;64,Tablas!K251,IF(D28&gt;59,Tablas!K223,IF(D28&gt;54,Tablas!K195,IF(D28&gt;49,Tablas!K167,IF(D28&gt;44,Tablas!K139,IF(D28&gt;39,Tablas!K111,IF(D28&gt;29,Tablas!K83,IF(D28&gt;19,Tablas!K55,Tablas!K27)))))))))))</f>
        <v>#REF!</v>
      </c>
      <c r="P28" s="62" t="e">
        <f>O1</f>
        <v>#REF!</v>
      </c>
      <c r="Q28" s="147" t="s">
        <v>35</v>
      </c>
      <c r="R28">
        <f>IF(M28=2,'Caso '!L28,'Caso '!G28)</f>
        <v>5.34</v>
      </c>
      <c r="S28" t="e">
        <f>IF(N28=2,'Caso '!M28,'Caso '!H28)</f>
        <v>#REF!</v>
      </c>
      <c r="T28" t="e">
        <f>IF(O28=2,'Caso '!N28,'Caso '!I28)</f>
        <v>#REF!</v>
      </c>
      <c r="U28" t="e">
        <f>IF(P28=2,'Caso '!O28,'Caso '!J28)</f>
        <v>#REF!</v>
      </c>
    </row>
    <row r="29" spans="1:22">
      <c r="P29" s="62"/>
      <c r="Q29" s="62"/>
      <c r="R29" s="62"/>
      <c r="S29" s="62"/>
      <c r="T29" s="62"/>
    </row>
    <row r="30" spans="1:22">
      <c r="E30" s="148" t="s">
        <v>35</v>
      </c>
      <c r="F30" s="211" t="s">
        <v>562</v>
      </c>
      <c r="G30" s="211"/>
      <c r="H30" s="211"/>
      <c r="I30" s="211"/>
      <c r="J30" s="62" t="e">
        <f>Tablas!F277</f>
        <v>#REF!</v>
      </c>
      <c r="K30" s="62"/>
      <c r="L30" s="62"/>
      <c r="M30" s="62"/>
      <c r="N30" s="62"/>
      <c r="O30" t="e">
        <f>IF(Resumen!#REF!&gt;7,'Caso '!J31,'Caso '!J30)</f>
        <v>#REF!</v>
      </c>
    </row>
    <row r="31" spans="1:22">
      <c r="E31" s="148" t="s">
        <v>583</v>
      </c>
      <c r="F31" s="212" t="s">
        <v>563</v>
      </c>
      <c r="G31" s="212"/>
      <c r="H31" s="212"/>
      <c r="I31" s="212"/>
      <c r="J31" s="62" t="e">
        <f>Tablas!F278</f>
        <v>#REF!</v>
      </c>
      <c r="K31" s="62"/>
      <c r="L31" s="62"/>
      <c r="M31" s="62"/>
      <c r="N31" s="62"/>
    </row>
    <row r="33" spans="5:15">
      <c r="E33" s="148" t="s">
        <v>35</v>
      </c>
      <c r="F33" t="s">
        <v>566</v>
      </c>
      <c r="J33" s="62" t="e">
        <f>Tablas!F305</f>
        <v>#REF!</v>
      </c>
      <c r="K33" s="62"/>
      <c r="L33" s="62"/>
      <c r="M33" s="62"/>
      <c r="N33" s="62"/>
      <c r="O33" t="e">
        <f>IF(Resumen!#REF!&gt;16,'Caso '!J34,'Caso '!J33)</f>
        <v>#REF!</v>
      </c>
    </row>
    <row r="34" spans="5:15">
      <c r="E34" s="148" t="s">
        <v>581</v>
      </c>
      <c r="F34" t="s">
        <v>567</v>
      </c>
      <c r="J34" s="62" t="e">
        <f>Tablas!F306</f>
        <v>#REF!</v>
      </c>
      <c r="K34" s="62"/>
      <c r="L34" s="62"/>
      <c r="M34" s="62"/>
      <c r="N34" s="62"/>
    </row>
    <row r="1048576" spans="4:4">
      <c r="D1048576">
        <f>F1</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4"/>
  <sheetViews>
    <sheetView workbookViewId="0">
      <selection activeCell="B23" sqref="B23"/>
    </sheetView>
  </sheetViews>
  <sheetFormatPr baseColWidth="10" defaultRowHeight="15.75"/>
  <sheetData>
    <row r="1" spans="1:14">
      <c r="A1" s="254" t="s">
        <v>597</v>
      </c>
      <c r="B1" s="254">
        <v>17</v>
      </c>
      <c r="C1" s="254">
        <v>19</v>
      </c>
      <c r="D1" s="254">
        <v>24</v>
      </c>
      <c r="E1" s="254">
        <v>29</v>
      </c>
      <c r="F1" s="254">
        <v>34</v>
      </c>
      <c r="G1" s="254">
        <v>44</v>
      </c>
      <c r="H1" s="254">
        <v>54</v>
      </c>
      <c r="I1" s="254">
        <v>64</v>
      </c>
      <c r="J1" s="254">
        <v>69</v>
      </c>
      <c r="K1" s="254">
        <v>74</v>
      </c>
      <c r="L1" s="254">
        <v>79</v>
      </c>
      <c r="M1" s="254">
        <v>84</v>
      </c>
      <c r="N1" s="254">
        <v>89</v>
      </c>
    </row>
    <row r="2" spans="1:14">
      <c r="A2" s="253">
        <v>1</v>
      </c>
      <c r="B2" s="251">
        <v>3</v>
      </c>
      <c r="C2" s="251">
        <v>3</v>
      </c>
      <c r="D2" s="251">
        <v>4</v>
      </c>
      <c r="E2" s="251">
        <v>5</v>
      </c>
      <c r="F2" s="251">
        <v>5</v>
      </c>
      <c r="G2" s="251">
        <v>5</v>
      </c>
      <c r="H2" s="251">
        <v>5</v>
      </c>
      <c r="I2" s="251">
        <v>2</v>
      </c>
      <c r="J2" s="251">
        <v>1</v>
      </c>
      <c r="K2" s="251">
        <v>1</v>
      </c>
      <c r="L2" s="251">
        <v>1</v>
      </c>
      <c r="M2" s="251">
        <v>1</v>
      </c>
      <c r="N2" s="251">
        <v>1</v>
      </c>
    </row>
    <row r="3" spans="1:14">
      <c r="A3" s="253">
        <v>2</v>
      </c>
      <c r="B3" s="251">
        <v>6</v>
      </c>
      <c r="C3" s="251">
        <v>6</v>
      </c>
      <c r="D3" s="251">
        <v>8</v>
      </c>
      <c r="E3" s="251">
        <v>8</v>
      </c>
      <c r="F3" s="251">
        <v>9</v>
      </c>
      <c r="G3" s="251">
        <v>10</v>
      </c>
      <c r="H3" s="251">
        <v>10</v>
      </c>
      <c r="I3" s="251">
        <v>6</v>
      </c>
      <c r="J3" s="251">
        <v>5</v>
      </c>
      <c r="K3" s="251">
        <v>5</v>
      </c>
      <c r="L3" s="251">
        <v>5</v>
      </c>
      <c r="M3" s="251">
        <v>5</v>
      </c>
      <c r="N3" s="251">
        <v>5</v>
      </c>
    </row>
    <row r="4" spans="1:14">
      <c r="A4" s="253">
        <v>3</v>
      </c>
      <c r="B4" s="251">
        <v>9</v>
      </c>
      <c r="C4" s="251">
        <v>9</v>
      </c>
      <c r="D4" s="251">
        <v>12</v>
      </c>
      <c r="E4" s="251">
        <v>12</v>
      </c>
      <c r="F4" s="251">
        <v>13</v>
      </c>
      <c r="G4" s="251">
        <v>14</v>
      </c>
      <c r="H4" s="251">
        <v>14</v>
      </c>
      <c r="I4" s="251">
        <v>10</v>
      </c>
      <c r="J4" s="251">
        <v>8</v>
      </c>
      <c r="K4" s="251">
        <v>8</v>
      </c>
      <c r="L4" s="251">
        <v>8</v>
      </c>
      <c r="M4" s="251">
        <v>8</v>
      </c>
      <c r="N4" s="251">
        <v>8</v>
      </c>
    </row>
    <row r="5" spans="1:14">
      <c r="A5" s="253">
        <v>4</v>
      </c>
      <c r="B5" s="251">
        <v>12</v>
      </c>
      <c r="C5" s="251">
        <v>13</v>
      </c>
      <c r="D5" s="251">
        <v>15</v>
      </c>
      <c r="E5" s="251">
        <v>16</v>
      </c>
      <c r="F5" s="251">
        <v>17</v>
      </c>
      <c r="G5" s="251">
        <v>18</v>
      </c>
      <c r="H5" s="251">
        <v>19</v>
      </c>
      <c r="I5" s="251">
        <v>15</v>
      </c>
      <c r="J5" s="251">
        <v>13</v>
      </c>
      <c r="K5" s="251">
        <v>13</v>
      </c>
      <c r="L5" s="251">
        <v>13</v>
      </c>
      <c r="M5" s="251">
        <v>12</v>
      </c>
      <c r="N5" s="251">
        <v>12</v>
      </c>
    </row>
    <row r="6" spans="1:14">
      <c r="A6" s="253">
        <v>5</v>
      </c>
      <c r="B6" s="251">
        <v>15</v>
      </c>
      <c r="C6" s="251">
        <v>17</v>
      </c>
      <c r="D6" s="251">
        <v>18</v>
      </c>
      <c r="E6" s="251">
        <v>20</v>
      </c>
      <c r="F6" s="251">
        <v>21</v>
      </c>
      <c r="G6" s="251">
        <v>22</v>
      </c>
      <c r="H6" s="251">
        <v>24</v>
      </c>
      <c r="I6" s="251">
        <v>19</v>
      </c>
      <c r="J6" s="251">
        <v>18</v>
      </c>
      <c r="K6" s="251">
        <v>18</v>
      </c>
      <c r="L6" s="251">
        <v>18</v>
      </c>
      <c r="M6" s="251">
        <v>16</v>
      </c>
      <c r="N6" s="251">
        <v>16</v>
      </c>
    </row>
    <row r="7" spans="1:14">
      <c r="A7" s="253">
        <v>6</v>
      </c>
      <c r="B7" s="251">
        <v>19</v>
      </c>
      <c r="C7" s="251">
        <v>21</v>
      </c>
      <c r="D7" s="251">
        <v>21</v>
      </c>
      <c r="E7" s="251">
        <v>24</v>
      </c>
      <c r="F7" s="251">
        <v>25</v>
      </c>
      <c r="G7" s="251">
        <v>27</v>
      </c>
      <c r="H7" s="251">
        <v>29</v>
      </c>
      <c r="I7" s="251">
        <v>23</v>
      </c>
      <c r="J7" s="251">
        <v>23</v>
      </c>
      <c r="K7" s="251">
        <v>23</v>
      </c>
      <c r="L7" s="251">
        <v>23</v>
      </c>
      <c r="M7" s="251">
        <v>20</v>
      </c>
      <c r="N7" s="251">
        <v>20</v>
      </c>
    </row>
    <row r="8" spans="1:14">
      <c r="A8" s="253">
        <v>7</v>
      </c>
      <c r="B8" s="251">
        <v>23</v>
      </c>
      <c r="C8" s="251">
        <v>25</v>
      </c>
      <c r="D8" s="251">
        <v>25</v>
      </c>
      <c r="E8" s="251">
        <v>28</v>
      </c>
      <c r="F8" s="251">
        <v>30</v>
      </c>
      <c r="G8" s="251">
        <v>32</v>
      </c>
      <c r="H8" s="251">
        <v>34</v>
      </c>
      <c r="I8" s="251">
        <v>28</v>
      </c>
      <c r="J8" s="251">
        <v>28</v>
      </c>
      <c r="K8" s="251">
        <v>28</v>
      </c>
      <c r="L8" s="251">
        <v>28</v>
      </c>
      <c r="M8" s="251">
        <v>24</v>
      </c>
      <c r="N8" s="251">
        <v>24</v>
      </c>
    </row>
    <row r="9" spans="1:14">
      <c r="A9" s="253">
        <v>8</v>
      </c>
      <c r="B9" s="251">
        <v>27</v>
      </c>
      <c r="C9" s="251">
        <v>29</v>
      </c>
      <c r="D9" s="251">
        <v>29</v>
      </c>
      <c r="E9" s="251">
        <v>32</v>
      </c>
      <c r="F9" s="251">
        <v>35</v>
      </c>
      <c r="G9" s="251">
        <v>37</v>
      </c>
      <c r="H9" s="251">
        <v>39</v>
      </c>
      <c r="I9" s="251">
        <v>33</v>
      </c>
      <c r="J9" s="251">
        <v>33</v>
      </c>
      <c r="K9" s="251">
        <v>33</v>
      </c>
      <c r="L9" s="251">
        <v>32</v>
      </c>
      <c r="M9" s="251">
        <v>28</v>
      </c>
      <c r="N9" s="251">
        <v>28</v>
      </c>
    </row>
    <row r="10" spans="1:14">
      <c r="A10" s="253">
        <v>9</v>
      </c>
      <c r="B10" s="251">
        <v>31</v>
      </c>
      <c r="C10" s="251">
        <v>33</v>
      </c>
      <c r="D10" s="251">
        <v>33</v>
      </c>
      <c r="E10" s="251">
        <v>37</v>
      </c>
      <c r="F10" s="251">
        <v>40</v>
      </c>
      <c r="G10" s="251">
        <v>42</v>
      </c>
      <c r="H10" s="251">
        <v>44</v>
      </c>
      <c r="I10" s="251">
        <v>38</v>
      </c>
      <c r="J10" s="251">
        <v>38</v>
      </c>
      <c r="K10" s="251">
        <v>38</v>
      </c>
      <c r="L10" s="251">
        <v>38</v>
      </c>
      <c r="M10" s="251">
        <v>33</v>
      </c>
      <c r="N10" s="251">
        <v>32</v>
      </c>
    </row>
    <row r="11" spans="1:14">
      <c r="A11" s="253">
        <v>10</v>
      </c>
      <c r="B11" s="251">
        <v>35</v>
      </c>
      <c r="C11" s="251">
        <v>38</v>
      </c>
      <c r="D11" s="251">
        <v>38</v>
      </c>
      <c r="E11" s="251">
        <v>42</v>
      </c>
      <c r="F11" s="251">
        <v>44</v>
      </c>
      <c r="G11" s="251">
        <v>46</v>
      </c>
      <c r="H11" s="251">
        <v>48</v>
      </c>
      <c r="I11" s="251">
        <v>43</v>
      </c>
      <c r="J11" s="251">
        <v>43</v>
      </c>
      <c r="K11" s="251">
        <v>43</v>
      </c>
      <c r="L11" s="251">
        <v>42</v>
      </c>
      <c r="M11" s="251">
        <v>37</v>
      </c>
      <c r="N11" s="251">
        <v>37</v>
      </c>
    </row>
    <row r="12" spans="1:14">
      <c r="A12" s="253">
        <v>11</v>
      </c>
      <c r="B12" s="251">
        <v>39</v>
      </c>
      <c r="C12" s="251">
        <v>43</v>
      </c>
      <c r="D12" s="251">
        <v>43</v>
      </c>
      <c r="E12" s="251">
        <v>46</v>
      </c>
      <c r="F12" s="251">
        <v>48</v>
      </c>
      <c r="G12" s="251">
        <v>50</v>
      </c>
      <c r="H12" s="251">
        <v>51</v>
      </c>
      <c r="I12" s="251">
        <v>48</v>
      </c>
      <c r="J12" s="251">
        <v>48</v>
      </c>
      <c r="K12" s="251">
        <v>48</v>
      </c>
      <c r="L12" s="251">
        <v>47</v>
      </c>
      <c r="M12" s="251">
        <v>42</v>
      </c>
      <c r="N12" s="251">
        <v>42</v>
      </c>
    </row>
    <row r="13" spans="1:14">
      <c r="A13" s="253">
        <v>12</v>
      </c>
      <c r="B13" s="251">
        <v>43</v>
      </c>
      <c r="C13" s="251">
        <v>47</v>
      </c>
      <c r="D13" s="251">
        <v>47</v>
      </c>
      <c r="E13" s="251">
        <v>49</v>
      </c>
      <c r="F13" s="251">
        <v>51</v>
      </c>
      <c r="G13" s="251">
        <v>53</v>
      </c>
      <c r="H13" s="251">
        <v>54</v>
      </c>
      <c r="I13" s="251">
        <v>51</v>
      </c>
      <c r="J13" s="251">
        <v>51</v>
      </c>
      <c r="K13" s="251">
        <v>51</v>
      </c>
      <c r="L13" s="251">
        <v>51</v>
      </c>
      <c r="M13" s="251">
        <v>47</v>
      </c>
      <c r="N13" s="251">
        <v>46</v>
      </c>
    </row>
    <row r="14" spans="1:14">
      <c r="A14" s="253">
        <v>13</v>
      </c>
      <c r="B14" s="251">
        <v>46</v>
      </c>
      <c r="C14" s="251">
        <v>50</v>
      </c>
      <c r="D14" s="251">
        <v>50</v>
      </c>
      <c r="E14" s="251">
        <v>52</v>
      </c>
      <c r="F14" s="251">
        <v>54</v>
      </c>
      <c r="G14" s="251">
        <v>56</v>
      </c>
      <c r="H14" s="251">
        <v>57</v>
      </c>
      <c r="I14" s="251">
        <v>55</v>
      </c>
      <c r="J14" s="251">
        <v>55</v>
      </c>
      <c r="K14" s="251">
        <v>54</v>
      </c>
      <c r="L14" s="251">
        <v>54</v>
      </c>
      <c r="M14" s="251">
        <v>51</v>
      </c>
      <c r="N14" s="251">
        <v>50</v>
      </c>
    </row>
    <row r="15" spans="1:14">
      <c r="A15" s="253">
        <v>14</v>
      </c>
      <c r="B15" s="251">
        <v>49</v>
      </c>
      <c r="C15" s="251">
        <v>53</v>
      </c>
      <c r="D15" s="251">
        <v>53</v>
      </c>
      <c r="E15" s="251">
        <v>55</v>
      </c>
      <c r="F15" s="251">
        <v>57</v>
      </c>
      <c r="G15" s="251">
        <v>59</v>
      </c>
      <c r="H15" s="251">
        <v>59</v>
      </c>
      <c r="I15" s="251">
        <v>59</v>
      </c>
      <c r="J15" s="251">
        <v>58</v>
      </c>
      <c r="K15" s="251">
        <v>56</v>
      </c>
      <c r="L15" s="251">
        <v>56</v>
      </c>
      <c r="M15" s="251">
        <v>55</v>
      </c>
      <c r="N15" s="251">
        <v>53</v>
      </c>
    </row>
    <row r="16" spans="1:14">
      <c r="A16" s="253">
        <v>15</v>
      </c>
      <c r="B16" s="251">
        <v>52</v>
      </c>
      <c r="C16" s="251">
        <v>55</v>
      </c>
      <c r="D16" s="251">
        <v>56</v>
      </c>
      <c r="E16" s="251">
        <v>58</v>
      </c>
      <c r="F16" s="251">
        <v>59</v>
      </c>
      <c r="G16" s="251">
        <v>61</v>
      </c>
      <c r="H16" s="251">
        <v>61</v>
      </c>
      <c r="I16" s="251">
        <v>61</v>
      </c>
      <c r="J16" s="251">
        <v>61</v>
      </c>
      <c r="K16" s="251">
        <v>58</v>
      </c>
      <c r="L16" s="251">
        <v>58</v>
      </c>
      <c r="M16" s="251">
        <v>58</v>
      </c>
      <c r="N16" s="251">
        <v>56</v>
      </c>
    </row>
    <row r="17" spans="1:14">
      <c r="A17" s="253">
        <v>16</v>
      </c>
      <c r="B17" s="251">
        <v>55</v>
      </c>
      <c r="C17" s="251">
        <v>57</v>
      </c>
      <c r="D17" s="251">
        <v>58</v>
      </c>
      <c r="E17" s="251">
        <v>61</v>
      </c>
      <c r="F17" s="251">
        <v>61</v>
      </c>
      <c r="G17" s="251">
        <v>63</v>
      </c>
      <c r="H17" s="251">
        <v>63</v>
      </c>
      <c r="I17" s="251">
        <v>63</v>
      </c>
      <c r="J17" s="251">
        <v>63</v>
      </c>
      <c r="K17" s="251">
        <v>60</v>
      </c>
      <c r="L17" s="251">
        <v>60</v>
      </c>
      <c r="M17" s="251">
        <v>60</v>
      </c>
      <c r="N17" s="251">
        <v>58</v>
      </c>
    </row>
    <row r="18" spans="1:14">
      <c r="A18" s="253">
        <v>17</v>
      </c>
      <c r="B18" s="251">
        <v>58</v>
      </c>
      <c r="C18" s="251">
        <v>59</v>
      </c>
      <c r="D18" s="251">
        <v>60</v>
      </c>
      <c r="E18" s="251">
        <v>63</v>
      </c>
      <c r="F18" s="251">
        <v>63</v>
      </c>
      <c r="G18" s="251">
        <v>65</v>
      </c>
      <c r="H18" s="251">
        <v>65</v>
      </c>
      <c r="I18" s="251">
        <v>65</v>
      </c>
      <c r="J18" s="251">
        <v>65</v>
      </c>
      <c r="K18" s="251">
        <v>62</v>
      </c>
      <c r="L18" s="251">
        <v>62</v>
      </c>
      <c r="M18" s="251">
        <v>62</v>
      </c>
      <c r="N18" s="251">
        <v>60</v>
      </c>
    </row>
    <row r="19" spans="1:14">
      <c r="A19" s="253">
        <v>18</v>
      </c>
      <c r="B19" s="251">
        <v>61</v>
      </c>
      <c r="C19" s="251">
        <v>61</v>
      </c>
      <c r="D19" s="251">
        <v>63</v>
      </c>
      <c r="E19" s="251">
        <v>65</v>
      </c>
      <c r="F19" s="251">
        <v>65</v>
      </c>
      <c r="G19" s="251">
        <v>66</v>
      </c>
      <c r="H19" s="251">
        <v>66</v>
      </c>
      <c r="I19" s="251">
        <v>66</v>
      </c>
      <c r="J19" s="251">
        <v>66</v>
      </c>
      <c r="K19" s="251">
        <v>64</v>
      </c>
      <c r="L19" s="251">
        <v>64</v>
      </c>
      <c r="M19" s="251">
        <v>64</v>
      </c>
      <c r="N19" s="251">
        <v>62</v>
      </c>
    </row>
    <row r="20" spans="1:14">
      <c r="A20" s="253">
        <v>19</v>
      </c>
      <c r="B20" s="251">
        <v>66</v>
      </c>
      <c r="C20" s="251">
        <v>66</v>
      </c>
      <c r="D20" s="251">
        <v>66</v>
      </c>
      <c r="E20" s="251">
        <v>66</v>
      </c>
      <c r="F20" s="251">
        <v>66</v>
      </c>
      <c r="G20" s="252" t="s">
        <v>150</v>
      </c>
      <c r="H20" s="251" t="s">
        <v>150</v>
      </c>
      <c r="I20" s="251" t="s">
        <v>150</v>
      </c>
      <c r="J20" s="251" t="s">
        <v>150</v>
      </c>
      <c r="K20" s="251">
        <v>66</v>
      </c>
      <c r="L20" s="251">
        <v>66</v>
      </c>
      <c r="M20" s="251">
        <v>66</v>
      </c>
      <c r="N20" s="251">
        <v>66</v>
      </c>
    </row>
    <row r="22" spans="1:14">
      <c r="A22" s="229" t="str">
        <f>WAIS!B4</f>
        <v/>
      </c>
      <c r="B22">
        <f>IF(A22&gt;B19,A20,IF(A22&gt;B18,A19,IF(A22&gt;B17,A18,IF(A22&gt;B16,A17,IF(A22&gt;B15,A16,IF(A22&gt;B14,A15,IF(A22&gt;B13,A14,IF(A22&gt;B12,A13,IF(A22&gt;B11,A12,IF(A22&gt;B10,A11,IF(A22&gt;B9,A10,IF(A22&gt;B8,A9,IF(A22&gt;B7,A8,IF(A22&gt;B6,A7,IF(A22&gt;B5,A6,IF(A22&gt;B4,A5,IF(A22&gt;B3,A4,IF(A22&gt;B2,A3,1))))))))))))))))))</f>
        <v>19</v>
      </c>
      <c r="C22">
        <f>IF(A22&gt;C19,A20,IF(A22&gt;C18,A19,IF(A22&gt;C17,A18,IF(A22&gt;C16,A17,IF(A22&gt;C15,A16,IF(A22&gt;C14,A15,IF(A22&gt;C13,A14,IF(A22&gt;C12,A13,IF(A22&gt;C11,A12,IF(A22&gt;C10,A11,IF(A22&gt;C9,A10,IF(A22&gt;C8,A9,IF(A22&gt;C7,A8,IF(A22&gt;C6,A7,IF(A22&gt;C5,A6,IF(A22&gt;C4,A5,IF(A22&gt;C3,A4,IF(A22&gt;C2,A3,1))))))))))))))))))</f>
        <v>19</v>
      </c>
      <c r="D22">
        <f>IF(A22&gt;D19,A20,IF(A22&gt;D18,A19,IF(A22&gt;D17,A18,IF(A22&gt;D16,A17,IF(A22&gt;D15,A16,IF(A22&gt;D14,A15,IF(A22&gt;D13,A14,IF(A22&gt;D12,A13,IF(A22&gt;D11,A12,IF(A22&gt;D10,A11,IF(A22&gt;D9,A10,IF(A22&gt;D8,A9,IF(A22&gt;D7,A8,IF(A22&gt;D6,A7,IF(A22&gt;D5,A6,IF(A22&gt;D4,A5,IF(A22&gt;D3,A4,IF(A22&gt;D2,A3,1))))))))))))))))))</f>
        <v>19</v>
      </c>
      <c r="E22">
        <f>IF(A22&gt;E19,A20,IF(A22&gt;E18,A19,IF(A22&gt;E17,A18,IF(A22&gt;E16,A17,IF(A22&gt;E15,A16,IF(A22&gt;E14,A15,IF(A22&gt;E13,A14,IF(A22&gt;E12,A13,IF(A22&gt;E11,A12,IF(A22&gt;E10,A11,IF(A22&gt;E9,A10,IF(A22&gt;E8,A9,IF(A22&gt;E7,A8,IF(A22&gt;E6,A7,IF(A22&gt;E5,A6,IF(A22&gt;E4,A5,IF(A22&gt;E3,A4,IF(A22&gt;E2,A3,1))))))))))))))))))</f>
        <v>19</v>
      </c>
      <c r="F22">
        <f>IF(A22&gt;F19,A20,IF(A22&gt;F18,A19,IF(A22&gt;F17,A18,IF(A22&gt;F16,A17,IF(A22&gt;F15,A16,IF(A22&gt;F14,A15,IF(A22&gt;F13,A14,IF(A22&gt;F12,A13,IF(A22&gt;F11,A12,IF(A22&gt;F10,A11,IF(A22&gt;F9,A10,IF(A22&gt;F8,A9,IF(A22&gt;F7,A8,IF(A22&gt;F6,A7,IF(A22&gt;F5,A6,IF(A22&gt;F4,A5,IF(A22&gt;F3,A4,IF(A22&gt;F2,A3,1))))))))))))))))))</f>
        <v>19</v>
      </c>
      <c r="G22">
        <f>IF(A22&gt;G19,A20,IF(A22&gt;G18,A19,IF(A22&gt;G17,A18,IF(A22&gt;G16,A17,IF(A22&gt;G15,A16,IF(A22&gt;G14,A15,IF(A22&gt;G13,A14,IF(A22&gt;G12,A13,IF(A22&gt;G11,A12,IF(A22&gt;G10,A11,IF(A22&gt;G9,A10,IF(A22&gt;G8,A9,IF(A22&gt;G7,A8,IF(A22&gt;G6,A7,IF(A22&gt;G5,A6,IF(A22&gt;G4,A5,IF(A22&gt;G3,A4,IF(A22&gt;G2,A3,1))))))))))))))))))</f>
        <v>19</v>
      </c>
      <c r="H22">
        <f>IF(A22&gt;H19,A20,IF(A22&gt;H18,A19,IF(A22&gt;H17,A18,IF(A22&gt;H16,A17,IF(A22&gt;H15,A16,IF(A22&gt;H14,A15,IF(A22&gt;H13,A14,IF(A22&gt;H12,A13,IF(A22&gt;H11,A12,IF(A22&gt;H10,A11,IF(A22&gt;H9,A10,IF(A22&gt;H8,A9,IF(A22&gt;H7,A8,IF(A22&gt;H6,A7,IF(A22&gt;H5,A6,IF(A22&gt;H4,A5,IF(A22&gt;H3,A4,IF(A22&gt;H2,A3,1))))))))))))))))))</f>
        <v>19</v>
      </c>
      <c r="I22">
        <f>IF(A22&gt;I19,A20,IF(A22&gt;I18,A19,IF(A22&gt;I17,A18,IF(A22&gt;I16,A17,IF(A22&gt;I15,A16,IF(A22&gt;I14,A15,IF(A22&gt;I13,A14,IF(A22&gt;I12,A13,IF(A22&gt;I11,A12,IF(A22&gt;I10,A11,IF(A22&gt;I9,A10,IF(A22&gt;I8,A9,IF(A22&gt;I7,A8,IF(A22&gt;I6,A7,IF(A22&gt;I5,A6,IF(A22&gt;I4,A5,IF(A22&gt;I3,A4,IF(A22&gt;I2,A3,1))))))))))))))))))</f>
        <v>19</v>
      </c>
      <c r="J22">
        <f>IF(A22&gt;J19,A20,IF(A22&gt;J18,A19,IF(A22&gt;J17,A18,IF(A22&gt;J16,A17,IF(A22&gt;J15,A16,IF(A22&gt;J14,A15,IF(A22&gt;J13,A14,IF(A22&gt;J12,A13,IF(A22&gt;J11,A12,IF(A22&gt;J10,A11,IF(A22&gt;J9,A10,IF(A22&gt;J8,A9,IF(A22&gt;J7,A8,IF(A22&gt;J6,A7,IF(A22&gt;J5,A6,IF(A22&gt;J4,A5,IF(A22&gt;J3,A4,IF(A22&gt;J2,A3,1))))))))))))))))))</f>
        <v>19</v>
      </c>
      <c r="K22" s="250">
        <f>IF(A22&gt;K19,A20,IF(A22&gt;K18,A19,IF(A22&gt;K17,A18,IF(A22&gt;K16,A17,IF(A22&gt;K15,A16,IF(A22&gt;K14,A15,IF(A22&gt;K13,A14,IF(A22&gt;K12,A13,IF(A22&gt;K11,A12,IF(A22&gt;K10,A11,IF(A22&gt;K9,A10,IF(A22&gt;K8,A9,IF(A22&gt;K7,A8,IF(A22&gt;K6,A7,IF(A22&gt;K5,A6,IF(A22&gt;K4,A5,IF(A22&gt;K3,A4,IF(A22&gt;K2,A3,1))))))))))))))))))</f>
        <v>19</v>
      </c>
      <c r="L22">
        <f>IF(A22&gt;L19,A20,IF(A22&gt;L18,A19,IF(A22&gt;L17,A18,IF(A22&gt;L16,A17,IF(A22&gt;L15,A16,IF(A22&gt;L14,A15,IF(A22&gt;L13,A14,IF(A22&gt;L12,A13,IF(A22&gt;L11,A12,IF(A22&gt;L10,A11,IF(A22&gt;L9,A10,IF(A22&gt;L8,A9,IF(A22&gt;L7,A8,IF(A22&gt;L6,A7,IF(A22&gt;L5,A6,IF(A22&gt;L4,A5,IF(A22&gt;L3,A4,IF(A22&gt;L2,A3,1))))))))))))))))))</f>
        <v>19</v>
      </c>
      <c r="M22">
        <f>IF(A22&gt;M19,A20,IF(A22&gt;M18,A19,IF(A22&gt;M17,A18,IF(A22&gt;M16,A17,IF(A22&gt;M15,A16,IF(A22&gt;M14,A15,IF(A22&gt;M13,A14,IF(A22&gt;M12,A13,IF(A22&gt;M11,A12,IF(A22&gt;M10,A11,IF(A22&gt;M9,A10,IF(A22&gt;M8,A9,IF(A22&gt;M7,A8,IF(A22&gt;M6,A7,IF(A22&gt;M5,A6,IF(A22&gt;M4,A5,IF(A22&gt;M3,A4,IF(A22&gt;M2,A3,1))))))))))))))))))</f>
        <v>19</v>
      </c>
      <c r="N22">
        <f>IF(A22&gt;N19,A20,IF(A22&gt;N18,A19,IF(A22&gt;N17,A18,IF(A22&gt;N16,A17,IF(A22&gt;N15,A16,IF(A22&gt;N14,A15,IF(A22&gt;N13,A14,IF(A22&gt;N12,A13,IF(A22&gt;N11,A12,IF(A22&gt;N10,A11,IF(A22&gt;N9,A10,IF(A22&gt;N8,A9,IF(A22&gt;N7,A8,IF(A22&gt;N6,A7,IF(A22&gt;N5,A6,IF(A22&gt;N4,A5,IF(A22&gt;N3,A4,IF(A22&gt;N2,A3,1))))))))))))))))))</f>
        <v>19</v>
      </c>
    </row>
    <row r="23" spans="1:14">
      <c r="A23" s="258">
        <f>Resumen!B1</f>
        <v>0</v>
      </c>
      <c r="K23" s="250"/>
    </row>
    <row r="24" spans="1:14">
      <c r="A24">
        <f>IF(A23&gt;M1,N22,IF(A23&gt;L1,M22,IF(A23&gt;K1,L22,IF(A23&gt;J1,K22,IF(A23&gt;I1,J22,IF(A23&gt;H1,I22,IF(A23&gt;G1,H22,IF(A23&gt;F1,G22,IF(A23&gt;E1,F22,IF(A23&gt;D1,E22,IF(A23&gt;C1,D22,IF(A23&gt;B1,C22,B22))))))))))))</f>
        <v>19</v>
      </c>
    </row>
    <row r="26" spans="1:14" ht="16.5" thickBot="1">
      <c r="A26" s="254" t="s">
        <v>6</v>
      </c>
      <c r="B26" s="254">
        <v>17</v>
      </c>
      <c r="C26" s="254">
        <v>19</v>
      </c>
      <c r="D26" s="254">
        <v>24</v>
      </c>
      <c r="E26" s="254">
        <v>29</v>
      </c>
      <c r="F26" s="254">
        <v>34</v>
      </c>
      <c r="G26" s="254">
        <v>44</v>
      </c>
      <c r="H26" s="254">
        <v>54</v>
      </c>
      <c r="I26" s="254">
        <v>64</v>
      </c>
      <c r="J26" s="254">
        <v>69</v>
      </c>
      <c r="K26" s="254">
        <v>74</v>
      </c>
      <c r="L26" s="254">
        <v>79</v>
      </c>
      <c r="M26" s="254">
        <v>84</v>
      </c>
      <c r="N26" s="254">
        <v>89</v>
      </c>
    </row>
    <row r="27" spans="1:14" ht="16.5" thickBot="1">
      <c r="A27" s="253">
        <v>1</v>
      </c>
      <c r="B27" s="255">
        <v>1</v>
      </c>
      <c r="C27" s="255">
        <v>1</v>
      </c>
      <c r="D27" s="255">
        <v>1</v>
      </c>
      <c r="E27" s="255">
        <v>1</v>
      </c>
      <c r="F27" s="255">
        <v>1</v>
      </c>
      <c r="G27" s="255">
        <v>0</v>
      </c>
      <c r="H27" s="255">
        <v>0</v>
      </c>
      <c r="I27" s="255">
        <v>0</v>
      </c>
      <c r="J27" s="255">
        <v>0</v>
      </c>
      <c r="K27" s="255">
        <v>0</v>
      </c>
      <c r="L27" s="255">
        <v>0</v>
      </c>
      <c r="M27" s="255">
        <v>0</v>
      </c>
      <c r="N27" s="255">
        <v>0</v>
      </c>
    </row>
    <row r="28" spans="1:14" ht="16.5" thickBot="1">
      <c r="A28" s="253">
        <v>2</v>
      </c>
      <c r="B28" s="255">
        <v>3</v>
      </c>
      <c r="C28" s="255">
        <v>3</v>
      </c>
      <c r="D28" s="255">
        <v>2</v>
      </c>
      <c r="E28" s="255">
        <v>2</v>
      </c>
      <c r="F28" s="255">
        <v>2</v>
      </c>
      <c r="G28" s="255">
        <v>1</v>
      </c>
      <c r="H28" s="255">
        <v>1</v>
      </c>
      <c r="I28" s="255">
        <v>1</v>
      </c>
      <c r="J28" s="255">
        <v>1</v>
      </c>
      <c r="K28" s="255">
        <v>1</v>
      </c>
      <c r="L28" s="255">
        <v>1</v>
      </c>
      <c r="M28" s="255">
        <v>1</v>
      </c>
      <c r="N28" s="255">
        <v>1</v>
      </c>
    </row>
    <row r="29" spans="1:14" ht="16.5" thickBot="1">
      <c r="A29" s="253">
        <v>3</v>
      </c>
      <c r="B29" s="255">
        <v>5</v>
      </c>
      <c r="C29" s="255">
        <v>5</v>
      </c>
      <c r="D29" s="255">
        <v>4</v>
      </c>
      <c r="E29" s="255">
        <v>4</v>
      </c>
      <c r="F29" s="255">
        <v>3</v>
      </c>
      <c r="G29" s="255">
        <v>3</v>
      </c>
      <c r="H29" s="255">
        <v>2</v>
      </c>
      <c r="I29" s="255">
        <v>2</v>
      </c>
      <c r="J29" s="269">
        <v>1</v>
      </c>
      <c r="K29" s="269">
        <v>1</v>
      </c>
      <c r="L29" s="269">
        <v>1</v>
      </c>
      <c r="M29" s="269">
        <v>1</v>
      </c>
      <c r="N29" s="269">
        <v>1</v>
      </c>
    </row>
    <row r="30" spans="1:14" ht="16.5" thickBot="1">
      <c r="A30" s="253">
        <v>4</v>
      </c>
      <c r="B30" s="255">
        <v>7</v>
      </c>
      <c r="C30" s="255">
        <v>6</v>
      </c>
      <c r="D30" s="255">
        <v>6</v>
      </c>
      <c r="E30" s="255">
        <v>5</v>
      </c>
      <c r="F30" s="255">
        <v>5</v>
      </c>
      <c r="G30" s="255">
        <v>4</v>
      </c>
      <c r="H30" s="255">
        <v>4</v>
      </c>
      <c r="I30" s="255">
        <v>3</v>
      </c>
      <c r="J30" s="255">
        <v>2</v>
      </c>
      <c r="K30" s="255">
        <v>2</v>
      </c>
      <c r="L30" s="255">
        <v>2</v>
      </c>
      <c r="M30" s="255">
        <v>2</v>
      </c>
      <c r="N30" s="255">
        <v>2</v>
      </c>
    </row>
    <row r="31" spans="1:14" ht="16.5" thickBot="1">
      <c r="A31" s="253">
        <v>5</v>
      </c>
      <c r="B31" s="255">
        <v>9</v>
      </c>
      <c r="C31" s="255">
        <v>8</v>
      </c>
      <c r="D31" s="255">
        <v>8</v>
      </c>
      <c r="E31" s="255">
        <v>7</v>
      </c>
      <c r="F31" s="255">
        <v>7</v>
      </c>
      <c r="G31" s="255">
        <v>6</v>
      </c>
      <c r="H31" s="255">
        <v>5</v>
      </c>
      <c r="I31" s="255">
        <v>4</v>
      </c>
      <c r="J31" s="255">
        <v>3</v>
      </c>
      <c r="K31" s="255">
        <v>3</v>
      </c>
      <c r="L31" s="255">
        <v>3</v>
      </c>
      <c r="M31" s="255">
        <v>3</v>
      </c>
      <c r="N31" s="255">
        <v>3</v>
      </c>
    </row>
    <row r="32" spans="1:14" ht="16.5" thickBot="1">
      <c r="A32" s="253">
        <v>6</v>
      </c>
      <c r="B32" s="255">
        <v>11</v>
      </c>
      <c r="C32" s="255">
        <v>10</v>
      </c>
      <c r="D32" s="255">
        <v>10</v>
      </c>
      <c r="E32" s="255">
        <v>9</v>
      </c>
      <c r="F32" s="255">
        <v>9</v>
      </c>
      <c r="G32" s="255">
        <v>8</v>
      </c>
      <c r="H32" s="255">
        <v>7</v>
      </c>
      <c r="I32" s="255">
        <v>5</v>
      </c>
      <c r="J32" s="255">
        <v>4</v>
      </c>
      <c r="K32" s="255">
        <v>4</v>
      </c>
      <c r="L32" s="255">
        <v>4</v>
      </c>
      <c r="M32" s="255">
        <v>4</v>
      </c>
      <c r="N32" s="255">
        <v>4</v>
      </c>
    </row>
    <row r="33" spans="1:14" ht="16.5" thickBot="1">
      <c r="A33" s="253">
        <v>7</v>
      </c>
      <c r="B33" s="255">
        <v>12</v>
      </c>
      <c r="C33" s="255">
        <v>12</v>
      </c>
      <c r="D33" s="255">
        <v>12</v>
      </c>
      <c r="E33" s="255">
        <v>11</v>
      </c>
      <c r="F33" s="255">
        <v>11</v>
      </c>
      <c r="G33" s="255">
        <v>10</v>
      </c>
      <c r="H33" s="255">
        <v>9</v>
      </c>
      <c r="I33" s="255">
        <v>7</v>
      </c>
      <c r="J33" s="255">
        <v>6</v>
      </c>
      <c r="K33" s="255">
        <v>6</v>
      </c>
      <c r="L33" s="255">
        <v>5</v>
      </c>
      <c r="M33" s="269">
        <v>4</v>
      </c>
      <c r="N33" s="269">
        <v>4</v>
      </c>
    </row>
    <row r="34" spans="1:14" ht="16.5" thickBot="1">
      <c r="A34" s="253">
        <v>8</v>
      </c>
      <c r="B34" s="255">
        <v>14</v>
      </c>
      <c r="C34" s="255">
        <v>14</v>
      </c>
      <c r="D34" s="255">
        <v>14</v>
      </c>
      <c r="E34" s="255">
        <v>13</v>
      </c>
      <c r="F34" s="255">
        <v>13</v>
      </c>
      <c r="G34" s="255">
        <v>12</v>
      </c>
      <c r="H34" s="255">
        <v>10</v>
      </c>
      <c r="I34" s="255">
        <v>9</v>
      </c>
      <c r="J34" s="255">
        <v>7</v>
      </c>
      <c r="K34" s="255">
        <v>7</v>
      </c>
      <c r="L34" s="255">
        <v>6</v>
      </c>
      <c r="M34" s="255">
        <v>5</v>
      </c>
      <c r="N34" s="255">
        <v>5</v>
      </c>
    </row>
    <row r="35" spans="1:14" ht="16.5" thickBot="1">
      <c r="A35" s="253">
        <v>9</v>
      </c>
      <c r="B35" s="255">
        <v>16</v>
      </c>
      <c r="C35" s="255">
        <v>15</v>
      </c>
      <c r="D35" s="255">
        <v>15</v>
      </c>
      <c r="E35" s="255">
        <v>15</v>
      </c>
      <c r="F35" s="255">
        <v>15</v>
      </c>
      <c r="G35" s="255">
        <v>14</v>
      </c>
      <c r="H35" s="255">
        <v>12</v>
      </c>
      <c r="I35" s="255">
        <v>11</v>
      </c>
      <c r="J35" s="255">
        <v>9</v>
      </c>
      <c r="K35" s="255">
        <v>8</v>
      </c>
      <c r="L35" s="255">
        <v>8</v>
      </c>
      <c r="M35" s="255">
        <v>6</v>
      </c>
      <c r="N35" s="255">
        <v>6</v>
      </c>
    </row>
    <row r="36" spans="1:14" ht="16.5" thickBot="1">
      <c r="A36" s="253">
        <v>10</v>
      </c>
      <c r="B36" s="255">
        <v>18</v>
      </c>
      <c r="C36" s="255">
        <v>17</v>
      </c>
      <c r="D36" s="255">
        <v>17</v>
      </c>
      <c r="E36" s="255">
        <v>17</v>
      </c>
      <c r="F36" s="255">
        <v>17</v>
      </c>
      <c r="G36" s="255">
        <v>16</v>
      </c>
      <c r="H36" s="255">
        <v>14</v>
      </c>
      <c r="I36" s="255">
        <v>13</v>
      </c>
      <c r="J36" s="255">
        <v>11</v>
      </c>
      <c r="K36" s="255">
        <v>9</v>
      </c>
      <c r="L36" s="255">
        <v>9</v>
      </c>
      <c r="M36" s="255">
        <v>8</v>
      </c>
      <c r="N36" s="255">
        <v>7</v>
      </c>
    </row>
    <row r="37" spans="1:14" ht="16.5" thickBot="1">
      <c r="A37" s="253">
        <v>11</v>
      </c>
      <c r="B37" s="255">
        <v>19</v>
      </c>
      <c r="C37" s="255">
        <v>19</v>
      </c>
      <c r="D37" s="255">
        <v>19</v>
      </c>
      <c r="E37" s="255">
        <v>19</v>
      </c>
      <c r="F37" s="255">
        <v>18</v>
      </c>
      <c r="G37" s="255">
        <v>18</v>
      </c>
      <c r="H37" s="255">
        <v>16</v>
      </c>
      <c r="I37" s="255">
        <v>15</v>
      </c>
      <c r="J37" s="255">
        <v>13</v>
      </c>
      <c r="K37" s="255">
        <v>11</v>
      </c>
      <c r="L37" s="255">
        <v>10</v>
      </c>
      <c r="M37" s="255">
        <v>9</v>
      </c>
      <c r="N37" s="255">
        <v>8</v>
      </c>
    </row>
    <row r="38" spans="1:14" ht="16.5" thickBot="1">
      <c r="A38" s="253">
        <v>12</v>
      </c>
      <c r="B38" s="255">
        <v>20</v>
      </c>
      <c r="C38" s="255">
        <v>20</v>
      </c>
      <c r="D38" s="255">
        <v>20</v>
      </c>
      <c r="E38" s="255">
        <v>20</v>
      </c>
      <c r="F38" s="255">
        <v>19</v>
      </c>
      <c r="G38" s="255">
        <v>19</v>
      </c>
      <c r="H38" s="255">
        <v>18</v>
      </c>
      <c r="I38" s="255">
        <v>17</v>
      </c>
      <c r="J38" s="255">
        <v>15</v>
      </c>
      <c r="K38" s="255">
        <v>13</v>
      </c>
      <c r="L38" s="255">
        <v>12</v>
      </c>
      <c r="M38" s="255">
        <v>11</v>
      </c>
      <c r="N38" s="255">
        <v>10</v>
      </c>
    </row>
    <row r="39" spans="1:14" ht="16.5" thickBot="1">
      <c r="A39" s="253">
        <v>13</v>
      </c>
      <c r="B39" s="255">
        <v>21</v>
      </c>
      <c r="C39" s="255">
        <v>21</v>
      </c>
      <c r="D39" s="255">
        <v>21</v>
      </c>
      <c r="E39" s="255">
        <v>21</v>
      </c>
      <c r="F39" s="255">
        <v>21</v>
      </c>
      <c r="G39" s="255">
        <v>20</v>
      </c>
      <c r="H39" s="255">
        <v>20</v>
      </c>
      <c r="I39" s="255">
        <v>19</v>
      </c>
      <c r="J39" s="255">
        <v>17</v>
      </c>
      <c r="K39" s="255">
        <v>15</v>
      </c>
      <c r="L39" s="255">
        <v>13</v>
      </c>
      <c r="M39" s="255">
        <v>12</v>
      </c>
      <c r="N39" s="255">
        <v>11</v>
      </c>
    </row>
    <row r="40" spans="1:14" ht="16.5" thickBot="1">
      <c r="A40" s="253">
        <v>14</v>
      </c>
      <c r="B40" s="255">
        <v>23</v>
      </c>
      <c r="C40" s="255">
        <v>23</v>
      </c>
      <c r="D40" s="255">
        <v>22</v>
      </c>
      <c r="E40" s="255">
        <v>22</v>
      </c>
      <c r="F40" s="255">
        <v>22</v>
      </c>
      <c r="G40" s="255">
        <v>22</v>
      </c>
      <c r="H40" s="255">
        <v>21</v>
      </c>
      <c r="I40" s="255">
        <v>20</v>
      </c>
      <c r="J40" s="255">
        <v>19</v>
      </c>
      <c r="K40" s="255">
        <v>17</v>
      </c>
      <c r="L40" s="255">
        <v>15</v>
      </c>
      <c r="M40" s="255">
        <v>14</v>
      </c>
      <c r="N40" s="255">
        <v>13</v>
      </c>
    </row>
    <row r="41" spans="1:14" ht="16.5" thickBot="1">
      <c r="A41" s="253">
        <v>15</v>
      </c>
      <c r="B41" s="255">
        <v>24</v>
      </c>
      <c r="C41" s="255">
        <v>24</v>
      </c>
      <c r="D41" s="255">
        <v>23</v>
      </c>
      <c r="E41" s="255">
        <v>23</v>
      </c>
      <c r="F41" s="255">
        <v>23</v>
      </c>
      <c r="G41" s="255">
        <v>23</v>
      </c>
      <c r="H41" s="255">
        <v>22</v>
      </c>
      <c r="I41" s="255">
        <v>22</v>
      </c>
      <c r="J41" s="255">
        <v>21</v>
      </c>
      <c r="K41" s="255">
        <v>19</v>
      </c>
      <c r="L41" s="255">
        <v>17</v>
      </c>
      <c r="M41" s="255">
        <v>16</v>
      </c>
      <c r="N41" s="255">
        <v>15</v>
      </c>
    </row>
    <row r="42" spans="1:14" ht="16.5" thickBot="1">
      <c r="A42" s="253">
        <v>16</v>
      </c>
      <c r="B42" s="255">
        <v>25</v>
      </c>
      <c r="C42" s="255">
        <v>25</v>
      </c>
      <c r="D42" s="255">
        <v>24</v>
      </c>
      <c r="E42" s="255">
        <v>24</v>
      </c>
      <c r="F42" s="255">
        <v>24</v>
      </c>
      <c r="G42" s="255">
        <v>24</v>
      </c>
      <c r="H42" s="255">
        <v>23</v>
      </c>
      <c r="I42" s="255">
        <v>23</v>
      </c>
      <c r="J42" s="255">
        <v>22</v>
      </c>
      <c r="K42" s="255">
        <v>21</v>
      </c>
      <c r="L42" s="255">
        <v>19</v>
      </c>
      <c r="M42" s="255">
        <v>18</v>
      </c>
      <c r="N42" s="255">
        <v>17</v>
      </c>
    </row>
    <row r="43" spans="1:14" ht="16.5" thickBot="1">
      <c r="A43" s="253">
        <v>17</v>
      </c>
      <c r="B43" s="255">
        <v>26</v>
      </c>
      <c r="C43" s="255">
        <v>26</v>
      </c>
      <c r="D43" s="255">
        <v>25</v>
      </c>
      <c r="E43" s="255">
        <v>25</v>
      </c>
      <c r="F43" s="255">
        <v>25</v>
      </c>
      <c r="G43" s="255">
        <v>25</v>
      </c>
      <c r="H43" s="255">
        <v>24</v>
      </c>
      <c r="I43" s="255">
        <v>24</v>
      </c>
      <c r="J43" s="255">
        <v>24</v>
      </c>
      <c r="K43" s="255">
        <v>23</v>
      </c>
      <c r="L43" s="255">
        <v>21</v>
      </c>
      <c r="M43" s="255">
        <v>20</v>
      </c>
      <c r="N43" s="255">
        <v>19</v>
      </c>
    </row>
    <row r="44" spans="1:14" ht="16.5" thickBot="1">
      <c r="A44" s="253">
        <v>18</v>
      </c>
      <c r="B44" s="256" t="s">
        <v>150</v>
      </c>
      <c r="C44" s="256" t="s">
        <v>150</v>
      </c>
      <c r="D44" s="255">
        <v>26</v>
      </c>
      <c r="E44" s="255">
        <v>26</v>
      </c>
      <c r="F44" s="255">
        <v>26</v>
      </c>
      <c r="G44" s="255">
        <v>26</v>
      </c>
      <c r="H44" s="255">
        <v>25</v>
      </c>
      <c r="I44" s="255">
        <v>25</v>
      </c>
      <c r="J44" s="255">
        <v>25</v>
      </c>
      <c r="K44" s="255">
        <v>25</v>
      </c>
      <c r="L44" s="255">
        <v>23</v>
      </c>
      <c r="M44" s="255">
        <v>22</v>
      </c>
      <c r="N44" s="255">
        <v>20</v>
      </c>
    </row>
    <row r="45" spans="1:14" ht="16.5" thickBot="1">
      <c r="A45" s="253">
        <v>19</v>
      </c>
      <c r="B45" s="256" t="s">
        <v>150</v>
      </c>
      <c r="C45" s="256" t="s">
        <v>150</v>
      </c>
      <c r="D45" s="256" t="s">
        <v>150</v>
      </c>
      <c r="E45" s="257" t="s">
        <v>150</v>
      </c>
      <c r="F45" s="257" t="s">
        <v>150</v>
      </c>
      <c r="G45" s="256" t="s">
        <v>150</v>
      </c>
      <c r="H45" s="255">
        <v>26</v>
      </c>
      <c r="I45" s="255">
        <v>26</v>
      </c>
      <c r="J45" s="255">
        <v>26</v>
      </c>
      <c r="K45" s="255">
        <v>26</v>
      </c>
      <c r="L45" s="255">
        <v>26</v>
      </c>
      <c r="M45" s="255">
        <v>26</v>
      </c>
      <c r="N45" s="255">
        <v>26</v>
      </c>
    </row>
    <row r="47" spans="1:14">
      <c r="A47" s="259" t="str">
        <f>WAIS!B9</f>
        <v/>
      </c>
      <c r="B47">
        <f>IF(A47&gt;B44,A45,IF(A47&gt;B43,A44,IF(A47&gt;B42,A43,IF(A47&gt;B41,A42,IF(A47&gt;B40,A41,IF(A47&gt;B39,A40,IF(A47&gt;B38,A39,IF(A47&gt;B37,A38,IF(A47&gt;B36,A37,IF(A47&gt;B35,A36,IF(A47&gt;B34,A35,IF(A47&gt;B33,A34,IF(A47&gt;B32,A33,IF(A47&gt;B31,A32,IF(A47&gt;B30,A31,IF(A47&gt;B29,A30,IF(A47&gt;B28,A29,IF(A47&gt;B27,A28,1))))))))))))))))))</f>
        <v>18</v>
      </c>
      <c r="C47">
        <f>IF(A47&gt;C44,A45,IF(A47&gt;C43,A44,IF(A47&gt;C42,A43,IF(A47&gt;C41,A42,IF(A47&gt;C40,A41,IF(A47&gt;C39,A40,IF(A47&gt;C38,A39,IF(A47&gt;C37,A38,IF(A47&gt;C36,A37,IF(A47&gt;C35,A36,IF(A47&gt;C34,A35,IF(A47&gt;C33,A34,IF(A47&gt;C32,A33,IF(A47&gt;C31,A32,IF(A47&gt;C30,A31,IF(A47&gt;C29,A30,IF(A47&gt;C28,A29,IF(A47&gt;C27,A28,1))))))))))))))))))</f>
        <v>18</v>
      </c>
      <c r="D47">
        <f>IF(A47&gt;D44,A45,IF(A47&gt;D43,A44,IF(A47&gt;D42,A43,IF(A47&gt;D41,A42,IF(A47&gt;D40,A41,IF(A47&gt;D39,A40,IF(A47&gt;D38,A39,IF(A47&gt;D37,A38,IF(A47&gt;D36,A37,IF(A47&gt;D35,A36,IF(A47&gt;D34,A35,IF(A47&gt;D33,A34,IF(A47&gt;D32,A33,IF(A47&gt;D31,A32,IF(A47&gt;D30,A31,IF(A47&gt;D29,A30,IF(A47&gt;D28,A29,IF(A47&gt;D27,A28,1))))))))))))))))))</f>
        <v>19</v>
      </c>
      <c r="E47">
        <f>IF(A47&gt;E44,A45,IF(A47&gt;E43,A44,IF(A47&gt;E42,A43,IF(A47&gt;E41,A42,IF(A47&gt;E40,A41,IF(A47&gt;E39,A40,IF(A47&gt;E38,A39,IF(A47&gt;E37,A38,IF(A47&gt;E36,A37,IF(A47&gt;E35,A36,IF(A47&gt;E34,A35,IF(A47&gt;E33,A34,IF(A47&gt;E32,A33,IF(A47&gt;E31,A32,IF(A47&gt;E30,A31,IF(A47&gt;E29,A30,IF(A47&gt;E28,A29,IF(A47&gt;E27,A28,1))))))))))))))))))</f>
        <v>19</v>
      </c>
      <c r="F47">
        <f>IF(A47&gt;F44,A45,IF(A47&gt;F43,A44,IF(A47&gt;F42,A43,IF(A47&gt;F41,A42,IF(A47&gt;F40,A41,IF(A47&gt;F39,A40,IF(A47&gt;F38,A39,IF(A47&gt;F37,A38,IF(A47&gt;F36,A37,IF(A47&gt;F35,A36,IF(A47&gt;F34,A35,IF(A47&gt;F33,A34,IF(A47&gt;F32,A33,IF(A47&gt;F31,A32,IF(A47&gt;F30,A31,IF(A47&gt;F29,A30,IF(A47&gt;F28,A29,IF(A47&gt;F27,A28,1))))))))))))))))))</f>
        <v>19</v>
      </c>
      <c r="G47">
        <f>IF(A47&gt;G44,A45,IF(A47&gt;G43,A44,IF(A47&gt;G42,A43,IF(A47&gt;G41,A42,IF(A47&gt;G40,A41,IF(A47&gt;G39,A40,IF(A47&gt;G38,A39,IF(A47&gt;G37,A38,IF(A47&gt;G36,A37,IF(A47&gt;G35,A36,IF(A47&gt;G34,A35,IF(A47&gt;G33,A34,IF(A47&gt;G32,A33,IF(A47&gt;G31,A32,IF(A47&gt;G30,A31,IF(A47&gt;G29,A30,IF(A47&gt;G28,A29,IF(A47&gt;G27,A28,1))))))))))))))))))</f>
        <v>19</v>
      </c>
      <c r="H47">
        <f>IF(A47&gt;H44,A45,IF(A47&gt;H43,A44,IF(A47&gt;H42,A43,IF(A47&gt;H41,A42,IF(A47&gt;H40,A41,IF(A47&gt;H39,A40,IF(A47&gt;H38,A39,IF(A47&gt;H37,A38,IF(A47&gt;H36,A37,IF(A47&gt;H35,A36,IF(A47&gt;H34,A35,IF(A47&gt;H33,A34,IF(A47&gt;H32,A33,IF(A47&gt;H31,A32,IF(A47&gt;H30,A31,IF(A47&gt;H29,A30,IF(A47&gt;H28,A29,IF(A47&gt;H27,A28,1))))))))))))))))))</f>
        <v>19</v>
      </c>
      <c r="I47">
        <f>IF(A47&gt;I44,A45,IF(A47&gt;I43,A44,IF(A47&gt;I42,A43,IF(A47&gt;I41,A42,IF(A47&gt;I40,A41,IF(A47&gt;I39,A40,IF(A47&gt;I38,A39,IF(A47&gt;I37,A38,IF(A47&gt;I36,A37,IF(A47&gt;I35,A36,IF(A47&gt;I34,A35,IF(A47&gt;I33,A34,IF(A47&gt;I32,A33,IF(A47&gt;I31,A32,IF(A47&gt;I30,A31,IF(A47&gt;I29,A30,IF(A47&gt;I28,A29,IF(A47&gt;I27,A28,1))))))))))))))))))</f>
        <v>19</v>
      </c>
      <c r="J47">
        <f>IF(A47&gt;J44,A45,IF(A47&gt;J43,A44,IF(A47&gt;J42,A43,IF(A47&gt;J41,A42,IF(A47&gt;J40,A41,IF(A47&gt;J39,A40,IF(A47&gt;J38,A39,IF(A47&gt;J37,A38,IF(A47&gt;J36,A37,IF(A47&gt;J35,A36,IF(A47&gt;J34,A35,IF(A47&gt;J33,A34,IF(A47&gt;J32,A33,IF(A47&gt;J31,A32,IF(A47&gt;J30,A31,IF(A47&gt;J29,A30,IF(A47&gt;J28,A29,IF(A47&gt;J27,A28,1))))))))))))))))))</f>
        <v>19</v>
      </c>
      <c r="K47" s="250">
        <f>IF(A47&gt;K44,A45,IF(A47&gt;K43,A44,IF(A47&gt;K42,A43,IF(A47&gt;K41,A42,IF(A47&gt;K40,A41,IF(A47&gt;K39,A40,IF(A47&gt;K38,A39,IF(A47&gt;K37,A38,IF(A47&gt;K36,A37,IF(A47&gt;K35,A36,IF(A47&gt;K34,A35,IF(A47&gt;K33,A34,IF(A47&gt;K32,A33,IF(A47&gt;K31,A32,IF(A47&gt;K30,A31,IF(A47&gt;K29,A30,IF(A47&gt;K28,A29,IF(A47&gt;K27,A28,1))))))))))))))))))</f>
        <v>19</v>
      </c>
      <c r="L47">
        <f>IF(A47&gt;L44,A45,IF(A47&gt;L43,A44,IF(A47&gt;L42,A43,IF(A47&gt;L41,A42,IF(A47&gt;L40,A41,IF(A47&gt;L39,A40,IF(A47&gt;L38,A39,IF(A47&gt;L37,A38,IF(A47&gt;L36,A37,IF(A47&gt;L35,A36,IF(A47&gt;L34,A35,IF(A47&gt;L33,A34,IF(A47&gt;L32,A33,IF(A47&gt;L31,A32,IF(A47&gt;L30,A31,IF(A47&gt;L29,A30,IF(A47&gt;L28,A29,IF(A47&gt;L27,A28,1))))))))))))))))))</f>
        <v>19</v>
      </c>
      <c r="M47">
        <f>IF(A47&gt;M44,A45,IF(A47&gt;M43,A44,IF(A47&gt;M42,A43,IF(A47&gt;M41,A42,IF(A47&gt;M40,A41,IF(A47&gt;M39,A40,IF(A47&gt;M38,A39,IF(A47&gt;M37,A38,IF(A47&gt;M36,A37,IF(A47&gt;M35,A36,IF(A47&gt;M34,A35,IF(A47&gt;M33,A34,IF(A47&gt;M32,A33,IF(A47&gt;M31,A32,IF(A47&gt;M30,A31,IF(A47&gt;M29,A30,IF(A47&gt;M28,A29,IF(A47&gt;M27,A28,1))))))))))))))))))</f>
        <v>19</v>
      </c>
      <c r="N47">
        <f>IF(A47&gt;N44,A45,IF(A47&gt;N43,A44,IF(A47&gt;N42,A43,IF(A47&gt;N41,A42,IF(A47&gt;N40,A41,IF(A47&gt;N39,A40,IF(A47&gt;N38,A39,IF(A47&gt;N37,A38,IF(A47&gt;N36,A37,IF(A47&gt;N35,A36,IF(A47&gt;N34,A35,IF(A47&gt;N33,A34,IF(A47&gt;N32,A33,IF(A47&gt;N31,A32,IF(A47&gt;N30,A31,IF(A47&gt;N29,A30,IF(A47&gt;N28,A29,IF(A47&gt;N27,A28,1))))))))))))))))))</f>
        <v>19</v>
      </c>
    </row>
    <row r="48" spans="1:14">
      <c r="A48" s="259">
        <f>A23</f>
        <v>0</v>
      </c>
    </row>
    <row r="49" spans="1:14">
      <c r="A49">
        <f>IF(A48&gt;M26,N47,IF(A48&gt;L26,M47,IF(A48&gt;K26,L47,IF(A48&gt;J26,K47,IF(A48&gt;I26,J47,IF(A48&gt;H26,I47,IF(A48&gt;G26,H47,IF(A48&gt;F26,G47,IF(A48&gt;E26,F47,IF(A48&gt;D26,E47,IF(A48&gt;C26,D47,IF(A48&gt;B26,C47,B47))))))))))))</f>
        <v>18</v>
      </c>
    </row>
    <row r="51" spans="1:14">
      <c r="A51" s="254" t="s">
        <v>153</v>
      </c>
      <c r="B51" s="254">
        <v>17</v>
      </c>
      <c r="C51" s="254">
        <v>19</v>
      </c>
      <c r="D51" s="254">
        <v>24</v>
      </c>
      <c r="E51" s="254">
        <v>29</v>
      </c>
      <c r="F51" s="254">
        <v>34</v>
      </c>
      <c r="G51" s="254">
        <v>44</v>
      </c>
      <c r="H51" s="254">
        <v>54</v>
      </c>
      <c r="I51" s="254">
        <v>64</v>
      </c>
      <c r="J51" s="254">
        <v>69</v>
      </c>
      <c r="K51" s="254">
        <v>74</v>
      </c>
      <c r="L51" s="254">
        <v>79</v>
      </c>
      <c r="M51" s="254">
        <v>84</v>
      </c>
      <c r="N51" s="254">
        <v>89</v>
      </c>
    </row>
    <row r="52" spans="1:14" ht="16.5">
      <c r="A52" s="253">
        <v>1</v>
      </c>
      <c r="B52" s="268">
        <v>2</v>
      </c>
      <c r="C52" s="268">
        <v>3</v>
      </c>
      <c r="D52" s="268">
        <v>3</v>
      </c>
      <c r="E52" s="268">
        <v>3</v>
      </c>
      <c r="F52" s="268">
        <v>2</v>
      </c>
      <c r="G52" s="268">
        <v>2</v>
      </c>
      <c r="H52" s="268">
        <v>2</v>
      </c>
      <c r="I52" s="268">
        <v>1</v>
      </c>
      <c r="J52" s="268">
        <v>1</v>
      </c>
      <c r="K52" s="268">
        <v>1</v>
      </c>
      <c r="L52" s="268">
        <v>1</v>
      </c>
      <c r="M52" s="268">
        <v>0</v>
      </c>
      <c r="N52" s="268">
        <v>0</v>
      </c>
    </row>
    <row r="53" spans="1:14" ht="16.5">
      <c r="A53" s="253">
        <v>2</v>
      </c>
      <c r="B53" s="268">
        <v>4</v>
      </c>
      <c r="C53" s="268">
        <v>5</v>
      </c>
      <c r="D53" s="268">
        <v>5</v>
      </c>
      <c r="E53" s="268">
        <v>5</v>
      </c>
      <c r="F53" s="268">
        <v>4</v>
      </c>
      <c r="G53" s="268">
        <v>4</v>
      </c>
      <c r="H53" s="268">
        <v>4</v>
      </c>
      <c r="I53" s="268">
        <v>3</v>
      </c>
      <c r="J53" s="268">
        <v>3</v>
      </c>
      <c r="K53" s="268">
        <v>3</v>
      </c>
      <c r="L53" s="268">
        <v>3</v>
      </c>
      <c r="M53" s="268">
        <v>2</v>
      </c>
      <c r="N53" s="268">
        <v>2</v>
      </c>
    </row>
    <row r="54" spans="1:14" ht="16.5">
      <c r="A54" s="253">
        <v>3</v>
      </c>
      <c r="B54" s="268">
        <v>6</v>
      </c>
      <c r="C54" s="268">
        <v>7</v>
      </c>
      <c r="D54" s="268">
        <v>7</v>
      </c>
      <c r="E54" s="268">
        <v>7</v>
      </c>
      <c r="F54" s="268">
        <v>6</v>
      </c>
      <c r="G54" s="268">
        <v>6</v>
      </c>
      <c r="H54" s="268">
        <v>6</v>
      </c>
      <c r="I54" s="268">
        <v>5</v>
      </c>
      <c r="J54" s="268">
        <v>5</v>
      </c>
      <c r="K54" s="268">
        <v>5</v>
      </c>
      <c r="L54" s="268">
        <v>5</v>
      </c>
      <c r="M54" s="268">
        <v>4</v>
      </c>
      <c r="N54" s="268">
        <v>4</v>
      </c>
    </row>
    <row r="55" spans="1:14" ht="16.5">
      <c r="A55" s="253">
        <v>4</v>
      </c>
      <c r="B55" s="268">
        <v>8</v>
      </c>
      <c r="C55" s="268">
        <v>9</v>
      </c>
      <c r="D55" s="268">
        <v>9</v>
      </c>
      <c r="E55" s="268">
        <v>9</v>
      </c>
      <c r="F55" s="268">
        <v>8</v>
      </c>
      <c r="G55" s="268">
        <v>8</v>
      </c>
      <c r="H55" s="268">
        <v>8</v>
      </c>
      <c r="I55" s="268">
        <v>7</v>
      </c>
      <c r="J55" s="268">
        <v>7</v>
      </c>
      <c r="K55" s="268">
        <v>7</v>
      </c>
      <c r="L55" s="268">
        <v>7</v>
      </c>
      <c r="M55" s="268">
        <v>6</v>
      </c>
      <c r="N55" s="268">
        <v>6</v>
      </c>
    </row>
    <row r="56" spans="1:14" ht="16.5">
      <c r="A56" s="253">
        <v>5</v>
      </c>
      <c r="B56" s="268">
        <v>10</v>
      </c>
      <c r="C56" s="268">
        <v>10</v>
      </c>
      <c r="D56" s="268">
        <v>10</v>
      </c>
      <c r="E56" s="268">
        <v>10</v>
      </c>
      <c r="F56" s="268">
        <v>10</v>
      </c>
      <c r="G56" s="268">
        <v>10</v>
      </c>
      <c r="H56" s="268">
        <v>10</v>
      </c>
      <c r="I56" s="268">
        <v>8</v>
      </c>
      <c r="J56" s="268">
        <v>8</v>
      </c>
      <c r="K56" s="268">
        <v>8</v>
      </c>
      <c r="L56" s="268">
        <v>8</v>
      </c>
      <c r="M56" s="268">
        <v>8</v>
      </c>
      <c r="N56" s="268">
        <v>8</v>
      </c>
    </row>
    <row r="57" spans="1:14" ht="16.5">
      <c r="A57" s="253">
        <v>6</v>
      </c>
      <c r="B57" s="268">
        <v>12</v>
      </c>
      <c r="C57" s="268">
        <v>12</v>
      </c>
      <c r="D57" s="268">
        <v>12</v>
      </c>
      <c r="E57" s="268">
        <v>12</v>
      </c>
      <c r="F57" s="268">
        <v>11</v>
      </c>
      <c r="G57" s="268">
        <v>11</v>
      </c>
      <c r="H57" s="268">
        <v>11</v>
      </c>
      <c r="I57" s="268">
        <v>10</v>
      </c>
      <c r="J57" s="268">
        <v>10</v>
      </c>
      <c r="K57" s="268">
        <v>10</v>
      </c>
      <c r="L57" s="268">
        <v>10</v>
      </c>
      <c r="M57" s="268">
        <v>9</v>
      </c>
      <c r="N57" s="268">
        <v>9</v>
      </c>
    </row>
    <row r="58" spans="1:14" ht="16.5">
      <c r="A58" s="253">
        <v>7</v>
      </c>
      <c r="B58" s="268">
        <v>13</v>
      </c>
      <c r="C58" s="268">
        <v>13</v>
      </c>
      <c r="D58" s="268">
        <v>13</v>
      </c>
      <c r="E58" s="268">
        <v>13</v>
      </c>
      <c r="F58" s="268">
        <v>13</v>
      </c>
      <c r="G58" s="268">
        <v>13</v>
      </c>
      <c r="H58" s="268">
        <v>13</v>
      </c>
      <c r="I58" s="268">
        <v>12</v>
      </c>
      <c r="J58" s="268">
        <v>12</v>
      </c>
      <c r="K58" s="268">
        <v>11</v>
      </c>
      <c r="L58" s="268">
        <v>11</v>
      </c>
      <c r="M58" s="268">
        <v>11</v>
      </c>
      <c r="N58" s="268">
        <v>11</v>
      </c>
    </row>
    <row r="59" spans="1:14" ht="16.5">
      <c r="A59" s="253">
        <v>8</v>
      </c>
      <c r="B59" s="268">
        <v>15</v>
      </c>
      <c r="C59" s="268">
        <v>15</v>
      </c>
      <c r="D59" s="268">
        <v>15</v>
      </c>
      <c r="E59" s="268">
        <v>15</v>
      </c>
      <c r="F59" s="268">
        <v>14</v>
      </c>
      <c r="G59" s="268">
        <v>14</v>
      </c>
      <c r="H59" s="268">
        <v>14</v>
      </c>
      <c r="I59" s="268">
        <v>13</v>
      </c>
      <c r="J59" s="268">
        <v>13</v>
      </c>
      <c r="K59" s="268">
        <v>13</v>
      </c>
      <c r="L59" s="268">
        <v>12</v>
      </c>
      <c r="M59" s="268">
        <v>12</v>
      </c>
      <c r="N59" s="268">
        <v>12</v>
      </c>
    </row>
    <row r="60" spans="1:14" ht="16.5">
      <c r="A60" s="253">
        <v>9</v>
      </c>
      <c r="B60" s="268">
        <v>16</v>
      </c>
      <c r="C60" s="268">
        <v>16</v>
      </c>
      <c r="D60" s="268">
        <v>16</v>
      </c>
      <c r="E60" s="268">
        <v>16</v>
      </c>
      <c r="F60" s="268">
        <v>16</v>
      </c>
      <c r="G60" s="268">
        <v>16</v>
      </c>
      <c r="H60" s="268">
        <v>16</v>
      </c>
      <c r="I60" s="268">
        <v>15</v>
      </c>
      <c r="J60" s="268">
        <v>15</v>
      </c>
      <c r="K60" s="268">
        <v>14</v>
      </c>
      <c r="L60" s="268">
        <v>14</v>
      </c>
      <c r="M60" s="268">
        <v>13</v>
      </c>
      <c r="N60" s="268">
        <v>13</v>
      </c>
    </row>
    <row r="61" spans="1:14" ht="16.5">
      <c r="A61" s="253">
        <v>10</v>
      </c>
      <c r="B61" s="268">
        <v>18</v>
      </c>
      <c r="C61" s="268">
        <v>18</v>
      </c>
      <c r="D61" s="268">
        <v>18</v>
      </c>
      <c r="E61" s="268">
        <v>18</v>
      </c>
      <c r="F61" s="268">
        <v>17</v>
      </c>
      <c r="G61" s="268">
        <v>17</v>
      </c>
      <c r="H61" s="268">
        <v>17</v>
      </c>
      <c r="I61" s="268">
        <v>16</v>
      </c>
      <c r="J61" s="268">
        <v>16</v>
      </c>
      <c r="K61" s="268">
        <v>15</v>
      </c>
      <c r="L61" s="268">
        <v>15</v>
      </c>
      <c r="M61" s="268">
        <v>15</v>
      </c>
      <c r="N61" s="268">
        <v>14</v>
      </c>
    </row>
    <row r="62" spans="1:14" ht="16.5">
      <c r="A62" s="253">
        <v>11</v>
      </c>
      <c r="B62" s="268">
        <v>19</v>
      </c>
      <c r="C62" s="268">
        <v>19</v>
      </c>
      <c r="D62" s="268">
        <v>19</v>
      </c>
      <c r="E62" s="268">
        <v>19</v>
      </c>
      <c r="F62" s="268">
        <v>19</v>
      </c>
      <c r="G62" s="268">
        <v>19</v>
      </c>
      <c r="H62" s="268">
        <v>19</v>
      </c>
      <c r="I62" s="268">
        <v>18</v>
      </c>
      <c r="J62" s="268">
        <v>17</v>
      </c>
      <c r="K62" s="268">
        <v>17</v>
      </c>
      <c r="L62" s="268">
        <v>16</v>
      </c>
      <c r="M62" s="268">
        <v>16</v>
      </c>
      <c r="N62" s="268">
        <v>15</v>
      </c>
    </row>
    <row r="63" spans="1:14" ht="16.5">
      <c r="A63" s="253">
        <v>12</v>
      </c>
      <c r="B63" s="268">
        <v>20</v>
      </c>
      <c r="C63" s="268">
        <v>20</v>
      </c>
      <c r="D63" s="268">
        <v>21</v>
      </c>
      <c r="E63" s="268">
        <v>21</v>
      </c>
      <c r="F63" s="268">
        <v>20</v>
      </c>
      <c r="G63" s="268">
        <v>20</v>
      </c>
      <c r="H63" s="268">
        <v>20</v>
      </c>
      <c r="I63" s="268">
        <v>19</v>
      </c>
      <c r="J63" s="268">
        <v>19</v>
      </c>
      <c r="K63" s="268">
        <v>18</v>
      </c>
      <c r="L63" s="268">
        <v>18</v>
      </c>
      <c r="M63" s="268">
        <v>17</v>
      </c>
      <c r="N63" s="268">
        <v>16</v>
      </c>
    </row>
    <row r="64" spans="1:14" ht="16.5">
      <c r="A64" s="253">
        <v>13</v>
      </c>
      <c r="B64" s="268">
        <v>22</v>
      </c>
      <c r="C64" s="268">
        <v>22</v>
      </c>
      <c r="D64" s="268">
        <v>22</v>
      </c>
      <c r="E64" s="268">
        <v>22</v>
      </c>
      <c r="F64" s="268">
        <v>21</v>
      </c>
      <c r="G64" s="268">
        <v>21</v>
      </c>
      <c r="H64" s="268">
        <v>21</v>
      </c>
      <c r="I64" s="268">
        <v>21</v>
      </c>
      <c r="J64" s="268">
        <v>20</v>
      </c>
      <c r="K64" s="268">
        <v>19</v>
      </c>
      <c r="L64" s="268">
        <v>19</v>
      </c>
      <c r="M64" s="268">
        <v>18</v>
      </c>
      <c r="N64" s="268">
        <v>17</v>
      </c>
    </row>
    <row r="65" spans="1:14" ht="16.5">
      <c r="A65" s="253">
        <v>14</v>
      </c>
      <c r="B65" s="268">
        <v>23</v>
      </c>
      <c r="C65" s="268">
        <v>23</v>
      </c>
      <c r="D65" s="268">
        <v>23</v>
      </c>
      <c r="E65" s="268">
        <v>23</v>
      </c>
      <c r="F65" s="268">
        <v>23</v>
      </c>
      <c r="G65" s="268">
        <v>23</v>
      </c>
      <c r="H65" s="268">
        <v>23</v>
      </c>
      <c r="I65" s="268">
        <v>22</v>
      </c>
      <c r="J65" s="268">
        <v>22</v>
      </c>
      <c r="K65" s="268">
        <v>21</v>
      </c>
      <c r="L65" s="268">
        <v>20</v>
      </c>
      <c r="M65" s="268">
        <v>19</v>
      </c>
      <c r="N65" s="268">
        <v>18</v>
      </c>
    </row>
    <row r="66" spans="1:14" ht="16.5">
      <c r="A66" s="253">
        <v>15</v>
      </c>
      <c r="B66" s="268">
        <v>24</v>
      </c>
      <c r="C66" s="268">
        <v>25</v>
      </c>
      <c r="D66" s="268">
        <v>25</v>
      </c>
      <c r="E66" s="268">
        <v>25</v>
      </c>
      <c r="F66" s="268">
        <v>24</v>
      </c>
      <c r="G66" s="268">
        <v>24</v>
      </c>
      <c r="H66" s="268">
        <v>24</v>
      </c>
      <c r="I66" s="268">
        <v>24</v>
      </c>
      <c r="J66" s="268">
        <v>23</v>
      </c>
      <c r="K66" s="268">
        <v>22</v>
      </c>
      <c r="L66" s="268">
        <v>21</v>
      </c>
      <c r="M66" s="268">
        <v>20</v>
      </c>
      <c r="N66" s="268">
        <v>19</v>
      </c>
    </row>
    <row r="67" spans="1:14" ht="16.5">
      <c r="A67" s="253">
        <v>16</v>
      </c>
      <c r="B67" s="268">
        <v>25</v>
      </c>
      <c r="C67" s="268">
        <v>26</v>
      </c>
      <c r="D67" s="268">
        <v>26</v>
      </c>
      <c r="E67" s="268">
        <v>26</v>
      </c>
      <c r="F67" s="268">
        <v>25</v>
      </c>
      <c r="G67" s="268">
        <v>25</v>
      </c>
      <c r="H67" s="268">
        <v>25</v>
      </c>
      <c r="I67" s="268">
        <v>25</v>
      </c>
      <c r="J67" s="268">
        <v>24</v>
      </c>
      <c r="K67" s="268">
        <v>23</v>
      </c>
      <c r="L67" s="268">
        <v>22</v>
      </c>
      <c r="M67" s="268">
        <v>21</v>
      </c>
      <c r="N67" s="268">
        <v>20</v>
      </c>
    </row>
    <row r="68" spans="1:14" ht="16.5">
      <c r="A68" s="253">
        <v>17</v>
      </c>
      <c r="B68" s="268">
        <v>26</v>
      </c>
      <c r="C68" s="268">
        <v>27</v>
      </c>
      <c r="D68" s="268">
        <v>27</v>
      </c>
      <c r="E68" s="268">
        <v>27</v>
      </c>
      <c r="F68" s="268">
        <v>27</v>
      </c>
      <c r="G68" s="268">
        <v>27</v>
      </c>
      <c r="H68" s="268">
        <v>27</v>
      </c>
      <c r="I68" s="268">
        <v>26</v>
      </c>
      <c r="J68" s="268">
        <v>25</v>
      </c>
      <c r="K68" s="268">
        <v>24</v>
      </c>
      <c r="L68" s="268">
        <v>23</v>
      </c>
      <c r="M68" s="268">
        <v>22</v>
      </c>
      <c r="N68" s="268">
        <v>21</v>
      </c>
    </row>
    <row r="69" spans="1:14" ht="16.5">
      <c r="A69" s="253">
        <v>18</v>
      </c>
      <c r="B69" s="268">
        <v>27</v>
      </c>
      <c r="C69" s="268">
        <v>28</v>
      </c>
      <c r="D69" s="268">
        <v>28</v>
      </c>
      <c r="E69" s="268">
        <v>28</v>
      </c>
      <c r="F69" s="268">
        <v>28</v>
      </c>
      <c r="G69" s="268">
        <v>28</v>
      </c>
      <c r="H69" s="268">
        <v>28</v>
      </c>
      <c r="I69" s="268">
        <v>27</v>
      </c>
      <c r="J69" s="268">
        <v>26</v>
      </c>
      <c r="K69" s="268">
        <v>25</v>
      </c>
      <c r="L69" s="268">
        <v>24</v>
      </c>
      <c r="M69" s="268">
        <v>23</v>
      </c>
      <c r="N69" s="268">
        <v>22</v>
      </c>
    </row>
    <row r="70" spans="1:14" ht="16.5">
      <c r="A70" s="253">
        <v>19</v>
      </c>
      <c r="B70" s="268">
        <v>30</v>
      </c>
      <c r="C70" s="268">
        <v>30</v>
      </c>
      <c r="D70" s="268">
        <v>30</v>
      </c>
      <c r="E70" s="268">
        <v>30</v>
      </c>
      <c r="F70" s="268">
        <v>30</v>
      </c>
      <c r="G70" s="268">
        <v>30</v>
      </c>
      <c r="H70" s="268">
        <v>30</v>
      </c>
      <c r="I70" s="268">
        <v>30</v>
      </c>
      <c r="J70" s="268">
        <v>30</v>
      </c>
      <c r="K70" s="268">
        <v>30</v>
      </c>
      <c r="L70" s="268">
        <v>30</v>
      </c>
      <c r="M70" s="268">
        <v>30</v>
      </c>
      <c r="N70" s="268">
        <v>30</v>
      </c>
    </row>
    <row r="72" spans="1:14">
      <c r="A72" t="e">
        <f>WAIS!B10</f>
        <v>#REF!</v>
      </c>
      <c r="B72" t="e">
        <f>IF(A72&gt;B69,A70,IF(A72&gt;B68,A69,IF(A72&gt;B67,A68,IF(A72&gt;B66,A67,IF(A72&gt;B65,A66,IF(A72&gt;B64,A65,IF(A72&gt;B63,A64,IF(A72&gt;B62,A63,IF(A72&gt;B61,A62,IF(A72&gt;B60,A61,IF(A72&gt;B59,A60,IF(A72&gt;B58,A59,IF(A72&gt;B57,A58,IF(A72&gt;B56,A57,IF(A72&gt;B55,A56,IF(A72&gt;B54,A55,IF(A72&gt;B53,A54,IF(A72&gt;B52,A53,1))))))))))))))))))</f>
        <v>#REF!</v>
      </c>
      <c r="C72" t="e">
        <f>IF(A72&gt;C69,A70,IF(A72&gt;C68,A69,IF(A72&gt;C67,A68,IF(A72&gt;C66,A67,IF(A72&gt;C65,A66,IF(A72&gt;C64,A65,IF(A72&gt;C63,A64,IF(A72&gt;C62,A63,IF(A72&gt;C61,A62,IF(A72&gt;C60,A61,IF(A72&gt;C59,A60,IF(A72&gt;C58,A59,IF(A72&gt;C57,A58,IF(A72&gt;C56,A57,IF(A72&gt;C55,A56,IF(A72&gt;C54,A55,IF(A72&gt;C53,A54,IF(A72&gt;C52,A53,1))))))))))))))))))</f>
        <v>#REF!</v>
      </c>
      <c r="D72" t="e">
        <f>IF(A72&gt;D69,A70,IF(A72&gt;D68,A69,IF(A72&gt;D67,A68,IF(A72&gt;D66,A67,IF(A72&gt;D65,A66,IF(A72&gt;D64,A65,IF(A72&gt;D63,A64,IF(A72&gt;D62,A63,IF(A72&gt;D61,A62,IF(A72&gt;D60,A61,IF(A72&gt;D59,A60,IF(A72&gt;D58,A59,IF(A72&gt;D57,A58,IF(A72&gt;D56,A57,IF(A72&gt;D55,A56,IF(A72&gt;D54,A55,IF(A72&gt;D53,A54,IF(A72&gt;D52,A53,1))))))))))))))))))</f>
        <v>#REF!</v>
      </c>
      <c r="E72" t="e">
        <f>IF(A72&gt;E69,A70,IF(A72&gt;E68,A69,IF(A72&gt;E67,A68,IF(A72&gt;E66,A67,IF(A72&gt;E65,A66,IF(A72&gt;E64,A65,IF(A72&gt;E63,A64,IF(A72&gt;E62,A63,IF(A72&gt;E61,A62,IF(A72&gt;E60,A61,IF(A72&gt;E59,A60,IF(A72&gt;E58,A59,IF(A72&gt;E57,A58,IF(A72&gt;E56,A57,IF(A72&gt;E55,A56,IF(A72&gt;E54,A55,IF(A72&gt;E53,A54,IF(A72&gt;E52,A53,1))))))))))))))))))</f>
        <v>#REF!</v>
      </c>
      <c r="F72" t="e">
        <f>IF(A72&gt;F69,A70,IF(A72&gt;F68,A69,IF(A72&gt;F67,A68,IF(A72&gt;F66,A67,IF(A72&gt;F65,A66,IF(A72&gt;F64,A65,IF(A72&gt;F63,A64,IF(A72&gt;F62,A63,IF(A72&gt;F61,A62,IF(A72&gt;F60,A61,IF(A72&gt;F59,A60,IF(A72&gt;F58,A59,IF(A72&gt;F57,A58,IF(A72&gt;F56,A57,IF(A72&gt;F55,A56,IF(A72&gt;F54,A55,IF(A72&gt;F53,A54,IF(A72&gt;F52,A53,1))))))))))))))))))</f>
        <v>#REF!</v>
      </c>
      <c r="G72" t="e">
        <f>IF(A72&gt;G69,A70,IF(A72&gt;G68,A69,IF(A72&gt;G67,A68,IF(A72&gt;G66,A67,IF(A72&gt;G65,A66,IF(A72&gt;G64,A65,IF(A72&gt;G63,A64,IF(A72&gt;G62,A63,IF(A72&gt;G61,A62,IF(A72&gt;G60,A61,IF(A72&gt;G59,A60,IF(A72&gt;G58,A59,IF(A72&gt;G57,A58,IF(A72&gt;G56,A57,IF(A72&gt;G55,A56,IF(A72&gt;G54,A55,IF(A72&gt;G53,A54,IF(A72&gt;G52,A53,1))))))))))))))))))</f>
        <v>#REF!</v>
      </c>
      <c r="H72" t="e">
        <f>IF(A72&gt;H69,A70,IF(A72&gt;H68,A69,IF(A72&gt;H67,A68,IF(A72&gt;H66,A67,IF(A72&gt;H65,A66,IF(A72&gt;H64,A65,IF(A72&gt;H63,A64,IF(A72&gt;H62,A63,IF(A72&gt;H61,A62,IF(A72&gt;H60,A61,IF(A72&gt;H59,A60,IF(A72&gt;H58,A59,IF(A72&gt;H57,A58,IF(A72&gt;H56,A57,IF(A72&gt;H55,A56,IF(A72&gt;H54,A55,IF(A72&gt;H53,A54,IF(A72&gt;H52,A53,1))))))))))))))))))</f>
        <v>#REF!</v>
      </c>
      <c r="I72" t="e">
        <f>IF(A72&gt;I69,A70,IF(A72&gt;I68,A69,IF(A72&gt;I67,A68,IF(A72&gt;I66,A67,IF(A72&gt;I65,A66,IF(A72&gt;I64,A65,IF(A72&gt;I63,A64,IF(A72&gt;I62,A63,IF(A72&gt;I61,A62,IF(A72&gt;I60,A61,IF(A72&gt;I59,A60,IF(A72&gt;I58,A59,IF(A72&gt;I57,A58,IF(A72&gt;I56,A57,IF(A72&gt;I55,A56,IF(A72&gt;I54,A55,IF(A72&gt;I53,A54,IF(A72&gt;I52,A53,1))))))))))))))))))</f>
        <v>#REF!</v>
      </c>
      <c r="J72" t="e">
        <f>IF(A72&gt;J69,A70,IF(A72&gt;J68,A69,IF(A72&gt;J67,A68,IF(A72&gt;J66,A67,IF(A72&gt;J65,A66,IF(A72&gt;J64,A65,IF(A72&gt;J63,A64,IF(A72&gt;J62,A63,IF(A72&gt;J61,A62,IF(A72&gt;J60,A61,IF(A72&gt;J59,A60,IF(A72&gt;J58,A59,IF(A72&gt;J57,A58,IF(A72&gt;J56,A57,IF(A72&gt;J55,A56,IF(A72&gt;J54,A55,IF(A72&gt;J53,A54,IF(A72&gt;J52,A53,1))))))))))))))))))</f>
        <v>#REF!</v>
      </c>
      <c r="K72" s="250" t="e">
        <f>IF(A72&gt;K69,A70,IF(A72&gt;K68,A69,IF(A72&gt;K67,A68,IF(A72&gt;K66,A67,IF(A72&gt;K65,A66,IF(A72&gt;K64,A65,IF(A72&gt;K63,A64,IF(A72&gt;K62,A63,IF(A72&gt;K61,A62,IF(A72&gt;K60,A61,IF(A72&gt;K59,A60,IF(A72&gt;K58,A59,IF(A72&gt;K57,A58,IF(A72&gt;K56,A57,IF(A72&gt;K55,A56,IF(A72&gt;K54,A55,IF(A72&gt;K53,A54,IF(A72&gt;K52,A53,1))))))))))))))))))</f>
        <v>#REF!</v>
      </c>
      <c r="L72" t="e">
        <f>IF(A72&gt;L69,A70,IF(A72&gt;L68,A69,IF(A72&gt;L67,A68,IF(A72&gt;L66,A67,IF(A72&gt;L65,A66,IF(A72&gt;L64,A65,IF(A72&gt;L63,A64,IF(A72&gt;L62,A63,IF(A72&gt;L61,A62,IF(A72&gt;L60,A61,IF(A72&gt;L59,A60,IF(A72&gt;L58,A59,IF(A72&gt;L57,A58,IF(A72&gt;L56,A57,IF(A72&gt;L55,A56,IF(A72&gt;L54,A55,IF(A72&gt;L53,A54,IF(A72&gt;L52,A53,1))))))))))))))))))</f>
        <v>#REF!</v>
      </c>
      <c r="M72" t="e">
        <f>IF(A72&gt;M69,A70,IF(A72&gt;M68,A69,IF(A72&gt;M67,A68,IF(A72&gt;M66,A67,IF(A72&gt;M65,A66,IF(A72&gt;M64,A65,IF(A72&gt;M63,A64,IF(A72&gt;M62,A63,IF(A72&gt;M61,A62,IF(A72&gt;M60,A61,IF(A72&gt;M59,A60,IF(A72&gt;M58,A59,IF(A72&gt;M57,A58,IF(A72&gt;M56,A57,IF(A72&gt;M55,A56,IF(A72&gt;M54,A55,IF(A72&gt;M53,A54,IF(A72&gt;M52,A53,1))))))))))))))))))</f>
        <v>#REF!</v>
      </c>
      <c r="N72" t="e">
        <f>IF(A72&gt;N69,A70,IF(A72&gt;N68,A69,IF(A72&gt;N67,A68,IF(A72&gt;N66,A67,IF(A72&gt;N65,A66,IF(A72&gt;N64,A65,IF(A72&gt;N63,A64,IF(A72&gt;N62,A63,IF(A72&gt;N61,A62,IF(A72&gt;N60,A61,IF(A72&gt;N59,A60,IF(A72&gt;N58,A59,IF(A72&gt;N57,A58,IF(A72&gt;N56,A57,IF(A72&gt;N55,A56,IF(A72&gt;N54,A55,IF(A72&gt;N53,A54,IF(A72&gt;N52,A53,1))))))))))))))))))</f>
        <v>#REF!</v>
      </c>
    </row>
    <row r="73" spans="1:14">
      <c r="A73" s="62">
        <f>A48</f>
        <v>0</v>
      </c>
    </row>
    <row r="74" spans="1:14">
      <c r="A74" s="259" t="e">
        <f>IF(A73&gt;M51,N72,IF(A73&gt;L51,M72,IF(A73&gt;K51,L72,IF(A73&gt;J51,K72,IF(A73&gt;I51,J72,IF(A73&gt;H51,I72,IF(A73&gt;G51,H72,IF(A73&gt;F51,G72,IF(A73&gt;E51,F72,IF(A73&gt;D51,E72,IF(A73&gt;C51,D72,IF(A73&gt;B51,C72,B72))))))))))))</f>
        <v>#REF!</v>
      </c>
    </row>
    <row r="76" spans="1:14">
      <c r="A76" t="s">
        <v>605</v>
      </c>
      <c r="B76" s="254">
        <v>17</v>
      </c>
      <c r="C76" s="254">
        <v>19</v>
      </c>
      <c r="D76" s="254">
        <v>24</v>
      </c>
      <c r="E76" s="254">
        <v>29</v>
      </c>
      <c r="F76" s="254">
        <v>34</v>
      </c>
      <c r="G76" s="254">
        <v>44</v>
      </c>
      <c r="H76" s="254">
        <v>54</v>
      </c>
      <c r="I76" s="254">
        <v>64</v>
      </c>
      <c r="J76" s="254">
        <v>69</v>
      </c>
      <c r="K76" s="254">
        <v>74</v>
      </c>
      <c r="L76" s="254">
        <v>79</v>
      </c>
      <c r="M76" s="254">
        <v>84</v>
      </c>
      <c r="N76" s="254">
        <v>89</v>
      </c>
    </row>
    <row r="77" spans="1:14" ht="17.25" thickBot="1">
      <c r="A77" s="253">
        <v>1</v>
      </c>
      <c r="B77" s="268">
        <v>3</v>
      </c>
      <c r="C77" s="268">
        <v>2</v>
      </c>
      <c r="D77" s="268">
        <v>2</v>
      </c>
      <c r="E77" s="268">
        <v>1</v>
      </c>
      <c r="F77" s="268">
        <v>1</v>
      </c>
      <c r="G77" s="268">
        <v>1</v>
      </c>
      <c r="H77" s="268">
        <v>1</v>
      </c>
      <c r="I77" s="268">
        <v>1</v>
      </c>
      <c r="J77" s="268">
        <v>1</v>
      </c>
      <c r="K77" s="268">
        <v>0</v>
      </c>
      <c r="L77" s="268">
        <v>0</v>
      </c>
      <c r="M77" s="268">
        <v>0</v>
      </c>
      <c r="N77" s="268">
        <v>0</v>
      </c>
    </row>
    <row r="78" spans="1:14" ht="17.25" thickBot="1">
      <c r="A78" s="253">
        <v>2</v>
      </c>
      <c r="B78" s="268">
        <v>4</v>
      </c>
      <c r="C78" s="268">
        <v>3</v>
      </c>
      <c r="D78" s="268">
        <v>3</v>
      </c>
      <c r="E78" s="268">
        <v>3</v>
      </c>
      <c r="F78" s="268">
        <v>3</v>
      </c>
      <c r="G78" s="268">
        <v>3</v>
      </c>
      <c r="H78" s="268">
        <v>2</v>
      </c>
      <c r="I78" s="268">
        <v>2</v>
      </c>
      <c r="J78" s="268">
        <v>2</v>
      </c>
      <c r="K78" s="268">
        <v>1</v>
      </c>
      <c r="L78" s="268">
        <v>1</v>
      </c>
      <c r="M78" s="269">
        <v>0</v>
      </c>
      <c r="N78" s="269">
        <v>0</v>
      </c>
    </row>
    <row r="79" spans="1:14" ht="17.25" thickBot="1">
      <c r="A79" s="253">
        <v>3</v>
      </c>
      <c r="B79" s="268">
        <v>5</v>
      </c>
      <c r="C79" s="268">
        <v>4</v>
      </c>
      <c r="D79" s="268">
        <v>4</v>
      </c>
      <c r="E79" s="268">
        <v>4</v>
      </c>
      <c r="F79" s="268">
        <v>4</v>
      </c>
      <c r="G79" s="268">
        <v>4</v>
      </c>
      <c r="H79" s="268">
        <v>3</v>
      </c>
      <c r="I79" s="268">
        <v>3</v>
      </c>
      <c r="J79" s="268">
        <v>3</v>
      </c>
      <c r="K79" s="268">
        <v>2</v>
      </c>
      <c r="L79" s="268">
        <v>2</v>
      </c>
      <c r="M79" s="268">
        <v>1</v>
      </c>
      <c r="N79" s="268">
        <v>1</v>
      </c>
    </row>
    <row r="80" spans="1:14" ht="17.25" thickBot="1">
      <c r="A80" s="253">
        <v>4</v>
      </c>
      <c r="B80" s="268">
        <v>6</v>
      </c>
      <c r="C80" s="268">
        <v>5</v>
      </c>
      <c r="D80" s="268">
        <v>5</v>
      </c>
      <c r="E80" s="268">
        <v>5</v>
      </c>
      <c r="F80" s="268">
        <v>5</v>
      </c>
      <c r="G80" s="268">
        <v>5</v>
      </c>
      <c r="H80" s="268">
        <v>4</v>
      </c>
      <c r="I80" s="268">
        <v>4</v>
      </c>
      <c r="J80" s="268">
        <v>4</v>
      </c>
      <c r="K80" s="268">
        <v>3</v>
      </c>
      <c r="L80" s="268">
        <v>3</v>
      </c>
      <c r="M80" s="269">
        <v>1</v>
      </c>
      <c r="N80" s="269">
        <v>1</v>
      </c>
    </row>
    <row r="81" spans="1:14" ht="17.25" thickBot="1">
      <c r="A81" s="253">
        <v>5</v>
      </c>
      <c r="B81" s="268">
        <v>7</v>
      </c>
      <c r="C81" s="268">
        <v>6</v>
      </c>
      <c r="D81" s="268">
        <v>6</v>
      </c>
      <c r="E81" s="268">
        <v>6</v>
      </c>
      <c r="F81" s="268">
        <v>6</v>
      </c>
      <c r="G81" s="268">
        <v>6</v>
      </c>
      <c r="H81" s="268">
        <v>5</v>
      </c>
      <c r="I81" s="268">
        <v>5</v>
      </c>
      <c r="J81" s="268">
        <v>5</v>
      </c>
      <c r="K81" s="268">
        <v>4</v>
      </c>
      <c r="L81" s="268">
        <v>4</v>
      </c>
      <c r="M81" s="268">
        <v>2</v>
      </c>
      <c r="N81" s="268">
        <v>2</v>
      </c>
    </row>
    <row r="82" spans="1:14" ht="17.25" thickBot="1">
      <c r="A82" s="253">
        <v>6</v>
      </c>
      <c r="B82" s="268">
        <v>8</v>
      </c>
      <c r="C82" s="268">
        <v>7</v>
      </c>
      <c r="D82" s="268">
        <v>7</v>
      </c>
      <c r="E82" s="268">
        <v>7</v>
      </c>
      <c r="F82" s="268">
        <v>7</v>
      </c>
      <c r="G82" s="268">
        <v>7</v>
      </c>
      <c r="H82" s="268">
        <v>6</v>
      </c>
      <c r="I82" s="268">
        <v>6</v>
      </c>
      <c r="J82" s="268">
        <v>6</v>
      </c>
      <c r="K82" s="268">
        <v>5</v>
      </c>
      <c r="L82" s="269">
        <v>4</v>
      </c>
      <c r="M82" s="268">
        <v>3</v>
      </c>
      <c r="N82" s="269">
        <v>2</v>
      </c>
    </row>
    <row r="83" spans="1:14" ht="17.25" thickBot="1">
      <c r="A83" s="253">
        <v>7</v>
      </c>
      <c r="B83" s="268">
        <v>9</v>
      </c>
      <c r="C83" s="268">
        <v>8</v>
      </c>
      <c r="D83" s="268">
        <v>8</v>
      </c>
      <c r="E83" s="268">
        <v>8</v>
      </c>
      <c r="F83" s="268">
        <v>8</v>
      </c>
      <c r="G83" s="268">
        <v>8</v>
      </c>
      <c r="H83" s="268">
        <v>7</v>
      </c>
      <c r="I83" s="268">
        <v>7</v>
      </c>
      <c r="J83" s="269">
        <v>6</v>
      </c>
      <c r="K83" s="268">
        <v>6</v>
      </c>
      <c r="L83" s="268">
        <v>5</v>
      </c>
      <c r="M83" s="268">
        <v>4</v>
      </c>
      <c r="N83" s="268">
        <v>3</v>
      </c>
    </row>
    <row r="84" spans="1:14" ht="17.25" thickBot="1">
      <c r="A84" s="253">
        <v>8</v>
      </c>
      <c r="B84" s="268">
        <v>10</v>
      </c>
      <c r="C84" s="268">
        <v>9</v>
      </c>
      <c r="D84" s="268">
        <v>9</v>
      </c>
      <c r="E84" s="268">
        <v>9</v>
      </c>
      <c r="F84" s="268">
        <v>9</v>
      </c>
      <c r="G84" s="268">
        <v>9</v>
      </c>
      <c r="H84" s="268">
        <v>8</v>
      </c>
      <c r="I84" s="268">
        <v>8</v>
      </c>
      <c r="J84" s="268">
        <v>7</v>
      </c>
      <c r="K84" s="269">
        <v>6</v>
      </c>
      <c r="L84" s="268">
        <v>6</v>
      </c>
      <c r="M84" s="268">
        <v>5</v>
      </c>
      <c r="N84" s="268">
        <v>4</v>
      </c>
    </row>
    <row r="85" spans="1:14" ht="17.25" thickBot="1">
      <c r="A85" s="253">
        <v>9</v>
      </c>
      <c r="B85" s="269">
        <v>10</v>
      </c>
      <c r="C85" s="268">
        <v>10</v>
      </c>
      <c r="D85" s="268">
        <v>10</v>
      </c>
      <c r="E85" s="268">
        <v>10</v>
      </c>
      <c r="F85" s="268">
        <v>10</v>
      </c>
      <c r="G85" s="268">
        <v>10</v>
      </c>
      <c r="H85" s="268">
        <v>9</v>
      </c>
      <c r="I85" s="269">
        <v>8</v>
      </c>
      <c r="J85" s="268">
        <v>8</v>
      </c>
      <c r="K85" s="268">
        <v>7</v>
      </c>
      <c r="L85" s="268">
        <v>7</v>
      </c>
      <c r="M85" s="268">
        <v>6</v>
      </c>
      <c r="N85" s="268">
        <v>5</v>
      </c>
    </row>
    <row r="86" spans="1:14" ht="17.25" thickBot="1">
      <c r="A86" s="253">
        <v>10</v>
      </c>
      <c r="B86" s="268">
        <v>11</v>
      </c>
      <c r="C86" s="268">
        <v>11</v>
      </c>
      <c r="D86" s="268">
        <v>11</v>
      </c>
      <c r="E86" s="268">
        <v>11</v>
      </c>
      <c r="F86" s="268">
        <v>11</v>
      </c>
      <c r="G86" s="268">
        <v>11</v>
      </c>
      <c r="H86" s="268">
        <v>10</v>
      </c>
      <c r="I86" s="268">
        <v>9</v>
      </c>
      <c r="J86" s="268">
        <v>9</v>
      </c>
      <c r="K86" s="268">
        <v>8</v>
      </c>
      <c r="L86" s="268">
        <v>8</v>
      </c>
      <c r="M86" s="268">
        <v>7</v>
      </c>
      <c r="N86" s="268">
        <v>6</v>
      </c>
    </row>
    <row r="87" spans="1:14" ht="17.25" thickBot="1">
      <c r="A87" s="253">
        <v>11</v>
      </c>
      <c r="B87" s="268">
        <v>12</v>
      </c>
      <c r="C87" s="268">
        <v>12</v>
      </c>
      <c r="D87" s="268">
        <v>12</v>
      </c>
      <c r="E87" s="268">
        <v>12</v>
      </c>
      <c r="F87" s="269">
        <v>11</v>
      </c>
      <c r="G87" s="269">
        <v>11</v>
      </c>
      <c r="H87" s="268">
        <v>11</v>
      </c>
      <c r="I87" s="268">
        <v>10</v>
      </c>
      <c r="J87" s="268">
        <v>10</v>
      </c>
      <c r="K87" s="268">
        <v>9</v>
      </c>
      <c r="L87" s="269">
        <v>8</v>
      </c>
      <c r="M87" s="268">
        <v>8</v>
      </c>
      <c r="N87" s="268">
        <v>7</v>
      </c>
    </row>
    <row r="88" spans="1:14" ht="17.25" thickBot="1">
      <c r="A88" s="253">
        <v>12</v>
      </c>
      <c r="B88" s="268">
        <v>13</v>
      </c>
      <c r="C88" s="268">
        <v>13</v>
      </c>
      <c r="D88" s="268">
        <v>13</v>
      </c>
      <c r="E88" s="268">
        <v>13</v>
      </c>
      <c r="F88" s="268">
        <v>12</v>
      </c>
      <c r="G88" s="268">
        <v>12</v>
      </c>
      <c r="H88" s="268">
        <v>12</v>
      </c>
      <c r="I88" s="268">
        <v>11</v>
      </c>
      <c r="J88" s="268">
        <v>11</v>
      </c>
      <c r="K88" s="268">
        <v>10</v>
      </c>
      <c r="L88" s="268">
        <v>9</v>
      </c>
      <c r="M88" s="268">
        <v>9</v>
      </c>
      <c r="N88" s="268">
        <v>8</v>
      </c>
    </row>
    <row r="89" spans="1:14" ht="17.25" thickBot="1">
      <c r="A89" s="253">
        <v>13</v>
      </c>
      <c r="B89" s="268">
        <v>14</v>
      </c>
      <c r="C89" s="268">
        <v>14</v>
      </c>
      <c r="D89" s="268">
        <v>14</v>
      </c>
      <c r="E89" s="269">
        <v>13</v>
      </c>
      <c r="F89" s="268">
        <v>13</v>
      </c>
      <c r="G89" s="268">
        <v>13</v>
      </c>
      <c r="H89" s="268">
        <v>13</v>
      </c>
      <c r="I89" s="268">
        <v>12</v>
      </c>
      <c r="J89" s="268">
        <v>12</v>
      </c>
      <c r="K89" s="268">
        <v>11</v>
      </c>
      <c r="L89" s="268">
        <v>10</v>
      </c>
      <c r="M89" s="268">
        <v>10</v>
      </c>
      <c r="N89" s="268">
        <v>9</v>
      </c>
    </row>
    <row r="90" spans="1:14" ht="16.5">
      <c r="A90" s="253">
        <v>14</v>
      </c>
      <c r="B90" s="268">
        <v>15</v>
      </c>
      <c r="C90" s="268">
        <v>15</v>
      </c>
      <c r="D90" s="268">
        <v>15</v>
      </c>
      <c r="E90" s="268">
        <v>14</v>
      </c>
      <c r="F90" s="268">
        <v>14</v>
      </c>
      <c r="G90" s="268">
        <v>14</v>
      </c>
      <c r="H90" s="268">
        <v>14</v>
      </c>
      <c r="I90" s="268">
        <v>13</v>
      </c>
      <c r="J90" s="268">
        <v>13</v>
      </c>
      <c r="K90" s="268">
        <v>12</v>
      </c>
      <c r="L90" s="268">
        <v>11</v>
      </c>
      <c r="M90" s="268">
        <v>11</v>
      </c>
      <c r="N90" s="268">
        <v>10</v>
      </c>
    </row>
    <row r="91" spans="1:14" ht="17.25" thickBot="1">
      <c r="A91" s="253">
        <v>15</v>
      </c>
      <c r="B91" s="268">
        <v>16</v>
      </c>
      <c r="C91" s="268">
        <v>16</v>
      </c>
      <c r="D91" s="268">
        <v>16</v>
      </c>
      <c r="E91" s="268">
        <v>15</v>
      </c>
      <c r="F91" s="268">
        <v>15</v>
      </c>
      <c r="G91" s="268">
        <v>15</v>
      </c>
      <c r="H91" s="268">
        <v>15</v>
      </c>
      <c r="I91" s="268">
        <v>14</v>
      </c>
      <c r="J91" s="268">
        <v>14</v>
      </c>
      <c r="K91" s="268">
        <v>13</v>
      </c>
      <c r="L91" s="268">
        <v>12</v>
      </c>
      <c r="M91" s="268">
        <v>12</v>
      </c>
      <c r="N91" s="268">
        <v>11</v>
      </c>
    </row>
    <row r="92" spans="1:14" ht="17.25" thickBot="1">
      <c r="A92" s="253">
        <v>16</v>
      </c>
      <c r="B92" s="268">
        <v>17</v>
      </c>
      <c r="C92" s="268">
        <v>17</v>
      </c>
      <c r="D92" s="268">
        <v>17</v>
      </c>
      <c r="E92" s="268">
        <v>16</v>
      </c>
      <c r="F92" s="268">
        <v>16</v>
      </c>
      <c r="G92" s="269">
        <v>15</v>
      </c>
      <c r="H92" s="269">
        <v>15</v>
      </c>
      <c r="I92" s="268">
        <v>15</v>
      </c>
      <c r="J92" s="268">
        <v>15</v>
      </c>
      <c r="K92" s="268">
        <v>14</v>
      </c>
      <c r="L92" s="268">
        <v>13</v>
      </c>
      <c r="M92" s="268">
        <v>13</v>
      </c>
      <c r="N92" s="268">
        <v>12</v>
      </c>
    </row>
    <row r="93" spans="1:14" ht="16.5">
      <c r="A93" s="253">
        <v>17</v>
      </c>
      <c r="B93" s="268">
        <v>18</v>
      </c>
      <c r="C93" s="268">
        <v>18</v>
      </c>
      <c r="D93" s="268">
        <v>18</v>
      </c>
      <c r="E93" s="268">
        <v>17</v>
      </c>
      <c r="F93" s="268">
        <v>17</v>
      </c>
      <c r="G93" s="268">
        <v>16</v>
      </c>
      <c r="H93" s="268">
        <v>16</v>
      </c>
      <c r="I93" s="268">
        <v>16</v>
      </c>
      <c r="J93" s="268">
        <v>16</v>
      </c>
      <c r="K93" s="268">
        <v>15</v>
      </c>
      <c r="L93" s="268">
        <v>14</v>
      </c>
      <c r="M93" s="268">
        <v>14</v>
      </c>
      <c r="N93" s="268">
        <v>13</v>
      </c>
    </row>
    <row r="94" spans="1:14" ht="16.5">
      <c r="A94" s="253">
        <v>18</v>
      </c>
      <c r="B94" s="268">
        <v>20</v>
      </c>
      <c r="C94" s="268">
        <v>20</v>
      </c>
      <c r="D94" s="268">
        <v>20</v>
      </c>
      <c r="E94" s="268">
        <v>18</v>
      </c>
      <c r="F94" s="268">
        <v>18</v>
      </c>
      <c r="G94" s="268">
        <v>17</v>
      </c>
      <c r="H94" s="268">
        <v>17</v>
      </c>
      <c r="I94" s="268">
        <v>17</v>
      </c>
      <c r="J94" s="268">
        <v>17</v>
      </c>
      <c r="K94" s="268">
        <v>16</v>
      </c>
      <c r="L94" s="268">
        <v>15</v>
      </c>
      <c r="M94" s="268">
        <v>15</v>
      </c>
      <c r="N94" s="268">
        <v>14</v>
      </c>
    </row>
    <row r="95" spans="1:14" ht="16.5">
      <c r="A95" s="253">
        <v>19</v>
      </c>
      <c r="B95" s="268">
        <v>21</v>
      </c>
      <c r="C95" s="268">
        <v>21</v>
      </c>
      <c r="D95" s="268">
        <v>21</v>
      </c>
      <c r="E95" s="268">
        <v>21</v>
      </c>
      <c r="F95" s="268">
        <v>21</v>
      </c>
      <c r="G95" s="268">
        <v>21</v>
      </c>
      <c r="H95" s="268">
        <v>21</v>
      </c>
      <c r="I95" s="268">
        <v>21</v>
      </c>
      <c r="J95" s="268">
        <v>21</v>
      </c>
      <c r="K95" s="268">
        <v>21</v>
      </c>
      <c r="L95" s="268">
        <v>21</v>
      </c>
      <c r="M95" s="268">
        <v>21</v>
      </c>
      <c r="N95" s="268">
        <v>21</v>
      </c>
    </row>
    <row r="97" spans="1:14">
      <c r="A97" t="e">
        <f>WAIS!B15</f>
        <v>#REF!</v>
      </c>
      <c r="B97" t="e">
        <f>IF(A97&gt;B94,A95,IF(A97&gt;B93,A94,IF(A97&gt;B92,A93,IF(A97&gt;B91,A92,IF(A97&gt;B90,A91,IF(A97&gt;B89,A90,IF(A97&gt;B88,A89,IF(A97&gt;B87,A88,IF(A97&gt;B86,A87,IF(A97&gt;B85,A86,IF(A97&gt;B84,A85,IF(A97&gt;B83,A84,IF(A97&gt;B82,A83,IF(A97&gt;B81,A82,IF(A97&gt;B80,A81,IF(A97&gt;B79,A80,IF(A97&gt;B78,A79,IF(A97&gt;B77,A78,1))))))))))))))))))</f>
        <v>#REF!</v>
      </c>
      <c r="C97" t="e">
        <f>IF(A97&gt;C94,A95,IF(A97&gt;C93,A94,IF(A97&gt;C92,A93,IF(A97&gt;C91,A92,IF(A97&gt;C90,A91,IF(A97&gt;C89,A90,IF(A97&gt;C88,A89,IF(A97&gt;C87,A88,IF(A97&gt;C86,A87,IF(A97&gt;C85,A86,IF(A97&gt;C84,A85,IF(A97&gt;C83,A84,IF(A97&gt;C82,A83,IF(A97&gt;C81,A82,IF(A97&gt;C80,A81,IF(A97&gt;C79,A80,IF(A97&gt;C78,A79,IF(A97&gt;C77,A78,1))))))))))))))))))</f>
        <v>#REF!</v>
      </c>
      <c r="D97" t="e">
        <f>IF(A97&gt;D94,A95,IF(A97&gt;D93,A94,IF(A97&gt;D92,A93,IF(A97&gt;D91,A92,IF(A97&gt;D90,A91,IF(A97&gt;D89,A90,IF(A97&gt;D88,A89,IF(A97&gt;D87,A88,IF(A97&gt;D86,A87,IF(A97&gt;D85,A86,IF(A97&gt;D84,A85,IF(A97&gt;D83,A84,IF(A97&gt;D82,A83,IF(A97&gt;D81,A82,IF(A97&gt;D80,A81,IF(A97&gt;D79,A80,IF(A97&gt;D78,A79,IF(A97&gt;D77,A78,1))))))))))))))))))</f>
        <v>#REF!</v>
      </c>
      <c r="E97" t="e">
        <f>IF(A97&gt;E94,A95,IF(A97&gt;E93,A94,IF(A97&gt;E92,A93,IF(A97&gt;E91,A92,IF(A97&gt;E90,A91,IF(A97&gt;E89,A90,IF(A97&gt;E88,A89,IF(A97&gt;E87,A88,IF(A97&gt;E86,A87,IF(A97&gt;E85,A86,IF(A97&gt;E84,A85,IF(A97&gt;E83,A84,IF(A97&gt;E82,A83,IF(A97&gt;E81,A82,IF(A97&gt;E80,A81,IF(A97&gt;E79,A80,IF(A97&gt;E78,A79,IF(A97&gt;E77,A78,1))))))))))))))))))</f>
        <v>#REF!</v>
      </c>
      <c r="F97" t="e">
        <f>IF(A97&gt;F94,A95,IF(A97&gt;F93,A94,IF(A97&gt;F92,A93,IF(A97&gt;F91,A92,IF(A97&gt;F90,A91,IF(A97&gt;F89,A90,IF(A97&gt;F88,A89,IF(A97&gt;F87,A88,IF(A97&gt;F86,A87,IF(A97&gt;F85,A86,IF(A97&gt;F84,A85,IF(A97&gt;F83,A84,IF(A97&gt;F82,A83,IF(A97&gt;F81,A82,IF(A97&gt;F80,A81,IF(A97&gt;F79,A80,IF(A97&gt;F78,A79,IF(A97&gt;F77,A78,1))))))))))))))))))</f>
        <v>#REF!</v>
      </c>
      <c r="G97" t="e">
        <f>IF(A97&gt;G94,A95,IF(A97&gt;G93,A94,IF(A97&gt;G92,A93,IF(A97&gt;G91,A92,IF(A97&gt;G90,A91,IF(A97&gt;G89,A90,IF(A97&gt;G88,A89,IF(A97&gt;G87,A88,IF(A97&gt;G86,A87,IF(A97&gt;G85,A86,IF(A97&gt;G84,A85,IF(A97&gt;G83,A84,IF(A97&gt;G82,A83,IF(A97&gt;G81,A82,IF(A97&gt;G80,A81,IF(A97&gt;G79,A80,IF(A97&gt;G78,A79,IF(A97&gt;G77,A78,1))))))))))))))))))</f>
        <v>#REF!</v>
      </c>
      <c r="H97" t="e">
        <f>IF(A97&gt;H94,A95,IF(A97&gt;H93,A94,IF(A97&gt;H92,A93,IF(A97&gt;H91,A92,IF(A97&gt;H90,A91,IF(A97&gt;H89,A90,IF(A97&gt;H88,A89,IF(A97&gt;H87,A88,IF(A97&gt;H86,A87,IF(A97&gt;H85,A86,IF(A97&gt;H84,A85,IF(A97&gt;H83,A84,IF(A97&gt;H82,A83,IF(A97&gt;H81,A82,IF(A97&gt;H80,A81,IF(A97&gt;H79,A80,IF(A97&gt;H78,A79,IF(A97&gt;H77,A78,1))))))))))))))))))</f>
        <v>#REF!</v>
      </c>
      <c r="I97" t="e">
        <f>IF(A97&gt;I94,A95,IF(A97&gt;I93,A94,IF(A97&gt;I92,A93,IF(A97&gt;I91,A92,IF(A97&gt;I90,A91,IF(A97&gt;I89,A90,IF(A97&gt;I88,A89,IF(A97&gt;I87,A88,IF(A97&gt;I86,A87,IF(A97&gt;I85,A86,IF(A97&gt;I84,A85,IF(A97&gt;I83,A84,IF(A97&gt;I82,A83,IF(A97&gt;I81,A82,IF(A97&gt;I80,A81,IF(A97&gt;I79,A80,IF(A97&gt;I78,A79,IF(A97&gt;I77,A78,1))))))))))))))))))</f>
        <v>#REF!</v>
      </c>
      <c r="J97" t="e">
        <f>IF(A97&gt;J94,A95,IF(A97&gt;J93,A94,IF(A97&gt;J92,A93,IF(A97&gt;J91,A92,IF(A97&gt;J90,A91,IF(A97&gt;J89,A90,IF(A97&gt;J88,A89,IF(A97&gt;J87,A88,IF(A97&gt;J86,A87,IF(A97&gt;J85,A86,IF(A97&gt;J84,A85,IF(A97&gt;J83,A84,IF(A97&gt;J82,A83,IF(A97&gt;J81,A82,IF(A97&gt;J80,A81,IF(A97&gt;J79,A80,IF(A97&gt;J78,A79,IF(A97&gt;J77,A78,1))))))))))))))))))</f>
        <v>#REF!</v>
      </c>
      <c r="K97" s="250" t="e">
        <f>IF(A97&gt;K94,A95,IF(A97&gt;K93,A94,IF(A97&gt;K92,A93,IF(A97&gt;K91,A92,IF(A97&gt;K90,A91,IF(A97&gt;K89,A90,IF(A97&gt;K88,A89,IF(A97&gt;K87,A88,IF(A97&gt;K86,A87,IF(A97&gt;K85,A86,IF(A97&gt;K84,A85,IF(A97&gt;K83,A84,IF(A97&gt;K82,A83,IF(A97&gt;K81,A82,IF(A97&gt;K80,A81,IF(A97&gt;K79,A80,IF(A97&gt;K78,A79,IF(A97&gt;K77,A78,1))))))))))))))))))</f>
        <v>#REF!</v>
      </c>
      <c r="L97" t="e">
        <f>IF(A97&gt;L94,A95,IF(A97&gt;L93,A94,IF(A97&gt;L92,A93,IF(A97&gt;L91,A92,IF(A97&gt;L90,A91,IF(A97&gt;L89,A90,IF(A97&gt;L88,A89,IF(A97&gt;L87,A88,IF(A97&gt;L86,A87,IF(A97&gt;L85,A86,IF(A97&gt;L84,A85,IF(A97&gt;L83,A84,IF(A97&gt;L82,A83,IF(A97&gt;L81,A82,IF(A97&gt;L80,A81,IF(A97&gt;L79,A80,IF(A97&gt;L78,A79,IF(A97&gt;L77,A78,1))))))))))))))))))</f>
        <v>#REF!</v>
      </c>
      <c r="M97" t="e">
        <f>IF(A97&gt;M94,A95,IF(A97&gt;M93,A94,IF(A97&gt;M92,A93,IF(A97&gt;M91,A92,IF(A97&gt;M90,A91,IF(A97&gt;M89,A90,IF(A97&gt;M88,A89,IF(A97&gt;M87,A88,IF(A97&gt;M86,A87,IF(A97&gt;M85,A86,IF(A97&gt;M84,A85,IF(A97&gt;M83,A84,IF(A97&gt;M82,A83,IF(A97&gt;M81,A82,IF(A97&gt;M80,A81,IF(A97&gt;M79,A80,IF(A97&gt;M78,A79,IF(A97&gt;M77,A78,1))))))))))))))))))</f>
        <v>#REF!</v>
      </c>
      <c r="N97" t="e">
        <f>IF(A97&gt;N94,A95,IF(A97&gt;N93,A94,IF(A97&gt;N92,A93,IF(A97&gt;N91,A92,IF(A97&gt;N90,A91,IF(A97&gt;N89,A90,IF(A97&gt;N88,A89,IF(A97&gt;N87,A88,IF(A97&gt;N86,A87,IF(A97&gt;N85,A86,IF(A97&gt;N84,A85,IF(A97&gt;N83,A84,IF(A97&gt;N82,A83,IF(A97&gt;N81,A82,IF(A97&gt;N80,A81,IF(A97&gt;N79,A80,IF(A97&gt;N78,A79,IF(A97&gt;N77,A78,1))))))))))))))))))</f>
        <v>#REF!</v>
      </c>
    </row>
    <row r="98" spans="1:14">
      <c r="A98" s="62">
        <f>A73</f>
        <v>0</v>
      </c>
    </row>
    <row r="99" spans="1:14">
      <c r="A99" s="259" t="e">
        <f>IF(A98&gt;M76,N97,IF(A98&gt;L76,M97,IF(A98&gt;K76,L97,IF(A98&gt;J76,K97,IF(A98&gt;I76,J97,IF(A98&gt;H76,I97,IF(A98&gt;G76,H97,IF(A98&gt;F76,G97,IF(A98&gt;E76,F97,IF(A98&gt;D76,E97,IF(A98&gt;C76,D97,IF(A98&gt;B76,C97,B97))))))))))))</f>
        <v>#REF!</v>
      </c>
    </row>
    <row r="101" spans="1:14">
      <c r="A101" t="s">
        <v>606</v>
      </c>
      <c r="B101" s="254">
        <v>17</v>
      </c>
      <c r="C101" s="254">
        <v>19</v>
      </c>
      <c r="D101" s="254">
        <v>24</v>
      </c>
      <c r="E101" s="254">
        <v>29</v>
      </c>
      <c r="F101" s="254">
        <v>34</v>
      </c>
      <c r="G101" s="254">
        <v>44</v>
      </c>
      <c r="H101" s="254">
        <v>54</v>
      </c>
      <c r="I101" s="254">
        <v>64</v>
      </c>
      <c r="J101" s="254">
        <v>69</v>
      </c>
      <c r="K101" s="254">
        <v>74</v>
      </c>
      <c r="L101" s="254">
        <v>79</v>
      </c>
      <c r="M101" s="254">
        <v>84</v>
      </c>
      <c r="N101" s="254">
        <v>89</v>
      </c>
    </row>
    <row r="102" spans="1:14" ht="16.5">
      <c r="A102" s="253">
        <v>1</v>
      </c>
      <c r="B102" s="268">
        <v>3</v>
      </c>
      <c r="C102" s="268">
        <v>3</v>
      </c>
      <c r="D102" s="268">
        <v>4</v>
      </c>
      <c r="E102" s="268">
        <v>4</v>
      </c>
      <c r="F102" s="268">
        <v>4</v>
      </c>
      <c r="G102" s="268">
        <v>4</v>
      </c>
      <c r="H102" s="268">
        <v>4</v>
      </c>
      <c r="I102" s="268">
        <v>2</v>
      </c>
      <c r="J102" s="268">
        <v>2</v>
      </c>
      <c r="K102" s="268">
        <v>1</v>
      </c>
      <c r="L102" s="268">
        <v>1</v>
      </c>
      <c r="M102" s="268">
        <v>1</v>
      </c>
      <c r="N102" s="268">
        <v>1</v>
      </c>
    </row>
    <row r="103" spans="1:14" ht="16.5">
      <c r="A103" s="253">
        <v>2</v>
      </c>
      <c r="B103" s="268">
        <v>4</v>
      </c>
      <c r="C103" s="268">
        <v>4</v>
      </c>
      <c r="D103" s="268">
        <v>5</v>
      </c>
      <c r="E103" s="268">
        <v>5</v>
      </c>
      <c r="F103" s="268">
        <v>5</v>
      </c>
      <c r="G103" s="268">
        <v>5</v>
      </c>
      <c r="H103" s="268">
        <v>5</v>
      </c>
      <c r="I103" s="268">
        <v>4</v>
      </c>
      <c r="J103" s="268">
        <v>4</v>
      </c>
      <c r="K103" s="268">
        <v>2</v>
      </c>
      <c r="L103" s="268">
        <v>2</v>
      </c>
      <c r="M103" s="268">
        <v>2</v>
      </c>
      <c r="N103" s="268">
        <v>2</v>
      </c>
    </row>
    <row r="104" spans="1:14" ht="17.25" thickBot="1">
      <c r="A104" s="253">
        <v>3</v>
      </c>
      <c r="B104" s="268">
        <v>5</v>
      </c>
      <c r="C104" s="268">
        <v>5</v>
      </c>
      <c r="D104" s="268">
        <v>6</v>
      </c>
      <c r="E104" s="268">
        <v>6</v>
      </c>
      <c r="F104" s="268">
        <v>6</v>
      </c>
      <c r="G104" s="268">
        <v>6</v>
      </c>
      <c r="H104" s="268">
        <v>6</v>
      </c>
      <c r="I104" s="268">
        <v>5</v>
      </c>
      <c r="J104" s="268">
        <v>5</v>
      </c>
      <c r="K104" s="268">
        <v>4</v>
      </c>
      <c r="L104" s="268">
        <v>4</v>
      </c>
      <c r="M104" s="268">
        <v>4</v>
      </c>
      <c r="N104" s="268">
        <v>4</v>
      </c>
    </row>
    <row r="105" spans="1:14" ht="17.25" thickBot="1">
      <c r="A105" s="253">
        <v>4</v>
      </c>
      <c r="B105" s="268">
        <v>6</v>
      </c>
      <c r="C105" s="268">
        <v>6</v>
      </c>
      <c r="D105" s="269">
        <v>6</v>
      </c>
      <c r="E105" s="269">
        <v>6</v>
      </c>
      <c r="F105" s="268">
        <v>7</v>
      </c>
      <c r="G105" s="268">
        <v>7</v>
      </c>
      <c r="H105" s="268">
        <v>7</v>
      </c>
      <c r="I105" s="268">
        <v>6</v>
      </c>
      <c r="J105" s="268">
        <v>6</v>
      </c>
      <c r="K105" s="268">
        <v>5</v>
      </c>
      <c r="L105" s="268">
        <v>5</v>
      </c>
      <c r="M105" s="268">
        <v>5</v>
      </c>
      <c r="N105" s="268">
        <v>5</v>
      </c>
    </row>
    <row r="106" spans="1:14" ht="16.5">
      <c r="A106" s="253">
        <v>5</v>
      </c>
      <c r="B106" s="268">
        <v>7</v>
      </c>
      <c r="C106" s="268">
        <v>7</v>
      </c>
      <c r="D106" s="268">
        <v>7</v>
      </c>
      <c r="E106" s="268">
        <v>7</v>
      </c>
      <c r="F106" s="268">
        <v>8</v>
      </c>
      <c r="G106" s="268">
        <v>8</v>
      </c>
      <c r="H106" s="268">
        <v>8</v>
      </c>
      <c r="I106" s="268">
        <v>7</v>
      </c>
      <c r="J106" s="268">
        <v>7</v>
      </c>
      <c r="K106" s="268">
        <v>6</v>
      </c>
      <c r="L106" s="268">
        <v>6</v>
      </c>
      <c r="M106" s="268">
        <v>6</v>
      </c>
      <c r="N106" s="268">
        <v>6</v>
      </c>
    </row>
    <row r="107" spans="1:14" ht="16.5">
      <c r="A107" s="253">
        <v>6</v>
      </c>
      <c r="B107" s="268">
        <v>8</v>
      </c>
      <c r="C107" s="268">
        <v>8</v>
      </c>
      <c r="D107" s="268">
        <v>8</v>
      </c>
      <c r="E107" s="268">
        <v>8</v>
      </c>
      <c r="F107" s="268">
        <v>9</v>
      </c>
      <c r="G107" s="268">
        <v>9</v>
      </c>
      <c r="H107" s="268">
        <v>9</v>
      </c>
      <c r="I107" s="268">
        <v>8</v>
      </c>
      <c r="J107" s="268">
        <v>8</v>
      </c>
      <c r="K107" s="268">
        <v>7</v>
      </c>
      <c r="L107" s="268">
        <v>7</v>
      </c>
      <c r="M107" s="268">
        <v>7</v>
      </c>
      <c r="N107" s="268">
        <v>7</v>
      </c>
    </row>
    <row r="108" spans="1:14" ht="17.25" thickBot="1">
      <c r="A108" s="253">
        <v>7</v>
      </c>
      <c r="B108" s="268">
        <v>9</v>
      </c>
      <c r="C108" s="268">
        <v>9</v>
      </c>
      <c r="D108" s="268">
        <v>9</v>
      </c>
      <c r="E108" s="268">
        <v>9</v>
      </c>
      <c r="F108" s="268">
        <v>10</v>
      </c>
      <c r="G108" s="268">
        <v>10</v>
      </c>
      <c r="H108" s="268">
        <v>10</v>
      </c>
      <c r="I108" s="268">
        <v>9</v>
      </c>
      <c r="J108" s="268">
        <v>9</v>
      </c>
      <c r="K108" s="268">
        <v>8</v>
      </c>
      <c r="L108" s="268">
        <v>8</v>
      </c>
      <c r="M108" s="268">
        <v>8</v>
      </c>
      <c r="N108" s="268">
        <v>8</v>
      </c>
    </row>
    <row r="109" spans="1:14" ht="17.25" thickBot="1">
      <c r="A109" s="253">
        <v>8</v>
      </c>
      <c r="B109" s="268">
        <v>10</v>
      </c>
      <c r="C109" s="268">
        <v>10</v>
      </c>
      <c r="D109" s="268">
        <v>10</v>
      </c>
      <c r="E109" s="268">
        <v>10</v>
      </c>
      <c r="F109" s="268">
        <v>11</v>
      </c>
      <c r="G109" s="268">
        <v>11</v>
      </c>
      <c r="H109" s="268">
        <v>11</v>
      </c>
      <c r="I109" s="268">
        <v>10</v>
      </c>
      <c r="J109" s="268">
        <v>10</v>
      </c>
      <c r="K109" s="268">
        <v>10</v>
      </c>
      <c r="L109" s="268">
        <v>10</v>
      </c>
      <c r="M109" s="268">
        <v>9</v>
      </c>
      <c r="N109" s="269">
        <v>8</v>
      </c>
    </row>
    <row r="110" spans="1:14" ht="16.5">
      <c r="A110" s="253">
        <v>9</v>
      </c>
      <c r="B110" s="268">
        <v>11</v>
      </c>
      <c r="C110" s="268">
        <v>11</v>
      </c>
      <c r="D110" s="268">
        <v>11</v>
      </c>
      <c r="E110" s="268">
        <v>11</v>
      </c>
      <c r="F110" s="268">
        <v>12</v>
      </c>
      <c r="G110" s="268">
        <v>12</v>
      </c>
      <c r="H110" s="268">
        <v>13</v>
      </c>
      <c r="I110" s="268">
        <v>12</v>
      </c>
      <c r="J110" s="268">
        <v>11</v>
      </c>
      <c r="K110" s="268">
        <v>11</v>
      </c>
      <c r="L110" s="268">
        <v>11</v>
      </c>
      <c r="M110" s="268">
        <v>10</v>
      </c>
      <c r="N110" s="268">
        <v>9</v>
      </c>
    </row>
    <row r="111" spans="1:14" ht="16.5">
      <c r="A111" s="253">
        <v>10</v>
      </c>
      <c r="B111" s="268">
        <v>12</v>
      </c>
      <c r="C111" s="268">
        <v>13</v>
      </c>
      <c r="D111" s="268">
        <v>13</v>
      </c>
      <c r="E111" s="268">
        <v>13</v>
      </c>
      <c r="F111" s="268">
        <v>13</v>
      </c>
      <c r="G111" s="268">
        <v>14</v>
      </c>
      <c r="H111" s="268">
        <v>15</v>
      </c>
      <c r="I111" s="268">
        <v>14</v>
      </c>
      <c r="J111" s="268">
        <v>13</v>
      </c>
      <c r="K111" s="268">
        <v>13</v>
      </c>
      <c r="L111" s="268">
        <v>12</v>
      </c>
      <c r="M111" s="268">
        <v>11</v>
      </c>
      <c r="N111" s="268">
        <v>10</v>
      </c>
    </row>
    <row r="112" spans="1:14" ht="16.5">
      <c r="A112" s="253">
        <v>11</v>
      </c>
      <c r="B112" s="268">
        <v>14</v>
      </c>
      <c r="C112" s="268">
        <v>15</v>
      </c>
      <c r="D112" s="268">
        <v>15</v>
      </c>
      <c r="E112" s="268">
        <v>15</v>
      </c>
      <c r="F112" s="268">
        <v>15</v>
      </c>
      <c r="G112" s="268">
        <v>16</v>
      </c>
      <c r="H112" s="268">
        <v>16</v>
      </c>
      <c r="I112" s="268">
        <v>15</v>
      </c>
      <c r="J112" s="268">
        <v>15</v>
      </c>
      <c r="K112" s="268">
        <v>14</v>
      </c>
      <c r="L112" s="268">
        <v>13</v>
      </c>
      <c r="M112" s="268">
        <v>12</v>
      </c>
      <c r="N112" s="268">
        <v>11</v>
      </c>
    </row>
    <row r="113" spans="1:14" ht="16.5">
      <c r="A113" s="253">
        <v>12</v>
      </c>
      <c r="B113" s="268">
        <v>15</v>
      </c>
      <c r="C113" s="268">
        <v>16</v>
      </c>
      <c r="D113" s="268">
        <v>16</v>
      </c>
      <c r="E113" s="268">
        <v>17</v>
      </c>
      <c r="F113" s="268">
        <v>17</v>
      </c>
      <c r="G113" s="268">
        <v>17</v>
      </c>
      <c r="H113" s="268">
        <v>17</v>
      </c>
      <c r="I113" s="268">
        <v>16</v>
      </c>
      <c r="J113" s="268">
        <v>16</v>
      </c>
      <c r="K113" s="268">
        <v>15</v>
      </c>
      <c r="L113" s="268">
        <v>14</v>
      </c>
      <c r="M113" s="268">
        <v>13</v>
      </c>
      <c r="N113" s="268">
        <v>13</v>
      </c>
    </row>
    <row r="114" spans="1:14" ht="16.5">
      <c r="A114" s="253">
        <v>13</v>
      </c>
      <c r="B114" s="268">
        <v>16</v>
      </c>
      <c r="C114" s="268">
        <v>17</v>
      </c>
      <c r="D114" s="268">
        <v>17</v>
      </c>
      <c r="E114" s="268">
        <v>18</v>
      </c>
      <c r="F114" s="268">
        <v>18</v>
      </c>
      <c r="G114" s="268">
        <v>18</v>
      </c>
      <c r="H114" s="268">
        <v>18</v>
      </c>
      <c r="I114" s="268">
        <v>17</v>
      </c>
      <c r="J114" s="268">
        <v>17</v>
      </c>
      <c r="K114" s="268">
        <v>16</v>
      </c>
      <c r="L114" s="268">
        <v>15</v>
      </c>
      <c r="M114" s="268">
        <v>14</v>
      </c>
      <c r="N114" s="268">
        <v>14</v>
      </c>
    </row>
    <row r="115" spans="1:14" ht="16.5">
      <c r="A115" s="253">
        <v>14</v>
      </c>
      <c r="B115" s="268">
        <v>17</v>
      </c>
      <c r="C115" s="268">
        <v>18</v>
      </c>
      <c r="D115" s="268">
        <v>18</v>
      </c>
      <c r="E115" s="268">
        <v>19</v>
      </c>
      <c r="F115" s="268">
        <v>19</v>
      </c>
      <c r="G115" s="268">
        <v>19</v>
      </c>
      <c r="H115" s="268">
        <v>19</v>
      </c>
      <c r="I115" s="268">
        <v>18</v>
      </c>
      <c r="J115" s="268">
        <v>18</v>
      </c>
      <c r="K115" s="268">
        <v>17</v>
      </c>
      <c r="L115" s="268">
        <v>17</v>
      </c>
      <c r="M115" s="268">
        <v>15</v>
      </c>
      <c r="N115" s="268">
        <v>15</v>
      </c>
    </row>
    <row r="116" spans="1:14" ht="16.5">
      <c r="A116" s="253">
        <v>15</v>
      </c>
      <c r="B116" s="268">
        <v>18</v>
      </c>
      <c r="C116" s="268">
        <v>19</v>
      </c>
      <c r="D116" s="268">
        <v>19</v>
      </c>
      <c r="E116" s="268">
        <v>20</v>
      </c>
      <c r="F116" s="268">
        <v>20</v>
      </c>
      <c r="G116" s="268">
        <v>20</v>
      </c>
      <c r="H116" s="268">
        <v>20</v>
      </c>
      <c r="I116" s="268">
        <v>19</v>
      </c>
      <c r="J116" s="268">
        <v>19</v>
      </c>
      <c r="K116" s="268">
        <v>18</v>
      </c>
      <c r="L116" s="268">
        <v>18</v>
      </c>
      <c r="M116" s="268">
        <v>17</v>
      </c>
      <c r="N116" s="268">
        <v>16</v>
      </c>
    </row>
    <row r="117" spans="1:14" ht="16.5">
      <c r="A117" s="253">
        <v>16</v>
      </c>
      <c r="B117" s="268">
        <v>19</v>
      </c>
      <c r="C117" s="268">
        <v>20</v>
      </c>
      <c r="D117" s="268">
        <v>20</v>
      </c>
      <c r="E117" s="268">
        <v>21</v>
      </c>
      <c r="F117" s="268">
        <v>21</v>
      </c>
      <c r="G117" s="268">
        <v>21</v>
      </c>
      <c r="H117" s="268">
        <v>21</v>
      </c>
      <c r="I117" s="268">
        <v>20</v>
      </c>
      <c r="J117" s="268">
        <v>20</v>
      </c>
      <c r="K117" s="268">
        <v>19</v>
      </c>
      <c r="L117" s="268">
        <v>19</v>
      </c>
      <c r="M117" s="268">
        <v>18</v>
      </c>
      <c r="N117" s="268">
        <v>17</v>
      </c>
    </row>
    <row r="118" spans="1:14" ht="16.5">
      <c r="A118" s="253">
        <v>17</v>
      </c>
      <c r="B118" s="268">
        <v>20</v>
      </c>
      <c r="C118" s="268">
        <v>21</v>
      </c>
      <c r="D118" s="268">
        <v>21</v>
      </c>
      <c r="E118" s="268">
        <v>22</v>
      </c>
      <c r="F118" s="268">
        <v>22</v>
      </c>
      <c r="G118" s="268">
        <v>22</v>
      </c>
      <c r="H118" s="268">
        <v>22</v>
      </c>
      <c r="I118" s="268">
        <v>21</v>
      </c>
      <c r="J118" s="268">
        <v>21</v>
      </c>
      <c r="K118" s="268">
        <v>20</v>
      </c>
      <c r="L118" s="268">
        <v>20</v>
      </c>
      <c r="M118" s="268">
        <v>19</v>
      </c>
      <c r="N118" s="268">
        <v>19</v>
      </c>
    </row>
    <row r="119" spans="1:14" ht="16.5">
      <c r="A119" s="253">
        <v>18</v>
      </c>
      <c r="B119" s="268">
        <v>21</v>
      </c>
      <c r="C119" s="268">
        <v>22</v>
      </c>
      <c r="D119" s="268">
        <v>22</v>
      </c>
      <c r="E119" s="268" t="s">
        <v>150</v>
      </c>
      <c r="F119" s="268" t="s">
        <v>150</v>
      </c>
      <c r="G119" s="268" t="s">
        <v>150</v>
      </c>
      <c r="H119" s="268" t="s">
        <v>150</v>
      </c>
      <c r="I119" s="268">
        <v>22</v>
      </c>
      <c r="J119" s="268">
        <v>22</v>
      </c>
      <c r="K119" s="268">
        <v>21</v>
      </c>
      <c r="L119" s="268">
        <v>21</v>
      </c>
      <c r="M119" s="268">
        <v>20</v>
      </c>
      <c r="N119" s="268">
        <v>20</v>
      </c>
    </row>
    <row r="120" spans="1:14" ht="16.5">
      <c r="A120" s="253">
        <v>19</v>
      </c>
      <c r="B120" s="268">
        <v>22</v>
      </c>
      <c r="C120" s="268" t="s">
        <v>150</v>
      </c>
      <c r="D120" s="268" t="s">
        <v>150</v>
      </c>
      <c r="E120" s="268" t="s">
        <v>150</v>
      </c>
      <c r="F120" s="268" t="s">
        <v>150</v>
      </c>
      <c r="G120" s="268" t="s">
        <v>150</v>
      </c>
      <c r="H120" s="268" t="s">
        <v>150</v>
      </c>
      <c r="I120" s="268" t="s">
        <v>150</v>
      </c>
      <c r="J120" s="268" t="s">
        <v>150</v>
      </c>
      <c r="K120" s="268">
        <v>22</v>
      </c>
      <c r="L120" s="268">
        <v>22</v>
      </c>
      <c r="M120" s="268">
        <v>22</v>
      </c>
      <c r="N120" s="268">
        <v>22</v>
      </c>
    </row>
    <row r="122" spans="1:14">
      <c r="A122" t="e">
        <f>WAIS!B8</f>
        <v>#REF!</v>
      </c>
      <c r="B122" t="e">
        <f>IF(A122&gt;B119,A120,IF(A122&gt;B118,A119,IF(A122&gt;B117,A118,IF(A122&gt;B116,A117,IF(A122&gt;B115,A116,IF(A122&gt;B114,A115,IF(A122&gt;B113,A114,IF(A122&gt;B112,A113,IF(A122&gt;B111,A112,IF(A122&gt;B110,A111,IF(A122&gt;B109,A110,IF(A122&gt;B108,A109,IF(A122&gt;B107,A108,IF(A122&gt;B106,A107,IF(A122&gt;B105,A106,IF(A122&gt;B104,A105,IF(A122&gt;B103,A104,IF(A122&gt;B102,A103,1))))))))))))))))))</f>
        <v>#REF!</v>
      </c>
      <c r="C122" t="e">
        <f>IF(A122&gt;C119,A120,IF(A122&gt;C118,A119,IF(A122&gt;C117,A118,IF(A122&gt;C116,A117,IF(A122&gt;C115,A116,IF(A122&gt;C114,A115,IF(A122&gt;C113,A114,IF(A122&gt;C112,A113,IF(A122&gt;C111,A112,IF(A122&gt;C110,A111,IF(A122&gt;C109,A110,IF(A122&gt;C108,A109,IF(A122&gt;C107,A108,IF(A122&gt;C106,A107,IF(A122&gt;C105,A106,IF(A122&gt;C104,A105,IF(A122&gt;C103,A104,IF(A122&gt;C102,A103,1))))))))))))))))))</f>
        <v>#REF!</v>
      </c>
      <c r="D122" t="e">
        <f>IF(A122&gt;D119,A120,IF(A122&gt;D118,A119,IF(A122&gt;D117,A118,IF(A122&gt;D116,A117,IF(A122&gt;D115,A116,IF(A122&gt;D114,A115,IF(A122&gt;D113,A114,IF(A122&gt;D112,A113,IF(A122&gt;D111,A112,IF(A122&gt;D110,A111,IF(A122&gt;D109,A110,IF(A122&gt;D108,A109,IF(A122&gt;D107,A108,IF(A122&gt;D106,A107,IF(A122&gt;D105,A106,IF(A122&gt;D104,A105,IF(A122&gt;D103,A104,IF(A122&gt;D102,A103,1))))))))))))))))))</f>
        <v>#REF!</v>
      </c>
      <c r="E122" t="e">
        <f>IF(A122&gt;E119,A120,IF(A122&gt;E118,A119,IF(A122&gt;E117,A118,IF(A122&gt;E116,A117,IF(A122&gt;E115,A116,IF(A122&gt;E114,A115,IF(A122&gt;E113,A114,IF(A122&gt;E112,A113,IF(A122&gt;E111,A112,IF(A122&gt;E110,A111,IF(A122&gt;E109,A110,IF(A122&gt;E108,A109,IF(A122&gt;E107,A108,IF(A122&gt;E106,A107,IF(A122&gt;E105,A106,IF(A122&gt;E104,A105,IF(A122&gt;E103,A104,IF(A122&gt;E102,A103,1))))))))))))))))))</f>
        <v>#REF!</v>
      </c>
      <c r="F122" t="e">
        <f>IF(A122&gt;F119,A120,IF(A122&gt;F118,A119,IF(A122&gt;F117,A118,IF(A122&gt;F116,A117,IF(A122&gt;F115,A116,IF(A122&gt;F114,A115,IF(A122&gt;F113,A114,IF(A122&gt;F112,A113,IF(A122&gt;F111,A112,IF(A122&gt;F110,A111,IF(A122&gt;F109,A110,IF(A122&gt;F108,A109,IF(A122&gt;F107,A108,IF(A122&gt;F106,A107,IF(A122&gt;F105,A106,IF(A122&gt;F104,A105,IF(A122&gt;F103,A104,IF(A122&gt;F102,A103,1))))))))))))))))))</f>
        <v>#REF!</v>
      </c>
      <c r="G122" t="e">
        <f>IF(A122&gt;G119,A120,IF(A122&gt;G118,A119,IF(A122&gt;G117,A118,IF(A122&gt;G116,A117,IF(A122&gt;G115,A116,IF(A122&gt;G114,A115,IF(A122&gt;G113,A114,IF(A122&gt;G112,A113,IF(A122&gt;G111,A112,IF(A122&gt;G110,A111,IF(A122&gt;G109,A110,IF(A122&gt;G108,A109,IF(A122&gt;G107,A108,IF(A122&gt;G106,A107,IF(A122&gt;G105,A106,IF(A122&gt;G104,A105,IF(A122&gt;G103,A104,IF(A122&gt;G102,A103,1))))))))))))))))))</f>
        <v>#REF!</v>
      </c>
      <c r="H122" t="e">
        <f>IF(A122&gt;H119,A120,IF(A122&gt;H118,A119,IF(A122&gt;H117,A118,IF(A122&gt;H116,A117,IF(A122&gt;H115,A116,IF(A122&gt;H114,A115,IF(A122&gt;H113,A114,IF(A122&gt;H112,A113,IF(A122&gt;H111,A112,IF(A122&gt;H110,A111,IF(A122&gt;H109,A110,IF(A122&gt;H108,A109,IF(A122&gt;H107,A108,IF(A122&gt;H106,A107,IF(A122&gt;H105,A106,IF(A122&gt;H104,A105,IF(A122&gt;H103,A104,IF(A122&gt;H102,A103,1))))))))))))))))))</f>
        <v>#REF!</v>
      </c>
      <c r="I122" t="e">
        <f>IF(A122&gt;I119,A120,IF(A122&gt;I118,A119,IF(A122&gt;I117,A118,IF(A122&gt;I116,A117,IF(A122&gt;I115,A116,IF(A122&gt;I114,A115,IF(A122&gt;I113,A114,IF(A122&gt;I112,A113,IF(A122&gt;I111,A112,IF(A122&gt;I110,A111,IF(A122&gt;I109,A110,IF(A122&gt;I108,A109,IF(A122&gt;I107,A108,IF(A122&gt;I106,A107,IF(A122&gt;I105,A106,IF(A122&gt;I104,A105,IF(A122&gt;I103,A104,IF(A122&gt;I102,A103,1))))))))))))))))))</f>
        <v>#REF!</v>
      </c>
      <c r="J122" t="e">
        <f>IF(A122&gt;J119,A120,IF(A122&gt;J118,A119,IF(A122&gt;J117,A118,IF(A122&gt;J116,A117,IF(A122&gt;J115,A116,IF(A122&gt;J114,A115,IF(A122&gt;J113,A114,IF(A122&gt;J112,A113,IF(A122&gt;J111,A112,IF(A122&gt;J110,A111,IF(A122&gt;J109,A110,IF(A122&gt;J108,A109,IF(A122&gt;J107,A108,IF(A122&gt;J106,A107,IF(A122&gt;J105,A106,IF(A122&gt;J104,A105,IF(A122&gt;J103,A104,IF(A122&gt;J102,A103,1))))))))))))))))))</f>
        <v>#REF!</v>
      </c>
      <c r="K122" s="250" t="e">
        <f>IF(A122&gt;K119,A120,IF(A122&gt;K118,A119,IF(A122&gt;K117,A118,IF(A122&gt;K116,A117,IF(A122&gt;K115,A116,IF(A122&gt;K114,A115,IF(A122&gt;K113,A114,IF(A122&gt;K112,A113,IF(A122&gt;K111,A112,IF(A122&gt;K110,A111,IF(A122&gt;K109,A110,IF(A122&gt;K108,A109,IF(A122&gt;K107,A108,IF(A122&gt;K106,A107,IF(A122&gt;K105,A106,IF(A122&gt;K104,A105,IF(A122&gt;K103,A104,IF(A122&gt;K102,A103,1))))))))))))))))))</f>
        <v>#REF!</v>
      </c>
      <c r="L122" t="e">
        <f>IF(A122&gt;L119,A120,IF(A122&gt;L118,A119,IF(A122&gt;L117,A118,IF(A122&gt;L116,A117,IF(A122&gt;L115,A116,IF(A122&gt;L114,A115,IF(A122&gt;L113,A114,IF(A122&gt;L112,A113,IF(A122&gt;L111,A112,IF(A122&gt;L110,A111,IF(A122&gt;L109,A110,IF(A122&gt;L108,A109,IF(A122&gt;L107,A108,IF(A122&gt;L106,A107,IF(A122&gt;L105,A106,IF(A122&gt;L104,A105,IF(A122&gt;L103,A104,IF(A122&gt;L102,A103,1))))))))))))))))))</f>
        <v>#REF!</v>
      </c>
      <c r="M122" t="e">
        <f>IF(A122&gt;M119,A120,IF(A122&gt;M118,A119,IF(A122&gt;M117,A118,IF(A122&gt;M116,A117,IF(A122&gt;M115,A116,IF(A122&gt;M114,A115,IF(A122&gt;M113,A114,IF(A122&gt;M112,A113,IF(A122&gt;M111,A112,IF(A122&gt;M110,A111,IF(A122&gt;M109,A110,IF(A122&gt;M108,A109,IF(A122&gt;M107,A108,IF(A122&gt;M106,A107,IF(A122&gt;M105,A106,IF(A122&gt;M104,A105,IF(A122&gt;M103,A104,IF(A122&gt;M102,A103,1))))))))))))))))))</f>
        <v>#REF!</v>
      </c>
      <c r="N122" t="e">
        <f>IF(A122&gt;N119,A120,IF(A122&gt;N118,A119,IF(A122&gt;N117,A118,IF(A122&gt;N116,A117,IF(A122&gt;N115,A116,IF(A122&gt;N114,A115,IF(A122&gt;N113,A114,IF(A122&gt;N112,A113,IF(A122&gt;N111,A112,IF(A122&gt;N110,A111,IF(A122&gt;N109,A110,IF(A122&gt;N108,A109,IF(A122&gt;N107,A108,IF(A122&gt;N106,A107,IF(A122&gt;N105,A106,IF(A122&gt;N104,A105,IF(A122&gt;N103,A104,IF(A122&gt;N102,A103,1))))))))))))))))))</f>
        <v>#REF!</v>
      </c>
    </row>
    <row r="123" spans="1:14">
      <c r="A123" s="62">
        <f>A98</f>
        <v>0</v>
      </c>
    </row>
    <row r="124" spans="1:14">
      <c r="A124" s="259" t="e">
        <f>IF(A123&gt;M101,N122,IF(A123&gt;L101,M122,IF(A123&gt;K101,L122,IF(A123&gt;J101,K122,IF(A123&gt;I101,J122,IF(A123&gt;H101,I122,IF(A123&gt;G101,H122,IF(A123&gt;F101,G122,IF(A123&gt;E101,F122,IF(A123&gt;D101,E122,IF(A123&gt;C101,D122,IF(A123&gt;B101,C122,B122))))))))))))</f>
        <v>#REF!</v>
      </c>
    </row>
    <row r="126" spans="1:14">
      <c r="A126" t="s">
        <v>607</v>
      </c>
      <c r="B126" s="254">
        <v>17</v>
      </c>
      <c r="C126" s="254">
        <v>19</v>
      </c>
      <c r="D126" s="254">
        <v>24</v>
      </c>
      <c r="E126" s="254">
        <v>29</v>
      </c>
      <c r="F126" s="254">
        <v>34</v>
      </c>
      <c r="G126" s="254">
        <v>44</v>
      </c>
      <c r="H126" s="254">
        <v>54</v>
      </c>
      <c r="I126" s="254">
        <v>64</v>
      </c>
      <c r="J126" s="254">
        <v>69</v>
      </c>
      <c r="K126" s="254">
        <v>74</v>
      </c>
      <c r="L126" s="254">
        <v>79</v>
      </c>
      <c r="M126" s="254">
        <v>84</v>
      </c>
      <c r="N126" s="254">
        <v>89</v>
      </c>
    </row>
    <row r="127" spans="1:14" ht="16.5">
      <c r="A127" s="253">
        <v>1</v>
      </c>
      <c r="B127" s="268">
        <v>8</v>
      </c>
      <c r="C127" s="268">
        <v>8</v>
      </c>
      <c r="D127" s="268">
        <v>8</v>
      </c>
      <c r="E127" s="268">
        <v>8</v>
      </c>
      <c r="F127" s="268">
        <v>8</v>
      </c>
      <c r="G127" s="268">
        <v>6</v>
      </c>
      <c r="H127" s="268">
        <v>5</v>
      </c>
      <c r="I127" s="268">
        <v>1</v>
      </c>
      <c r="J127" s="268">
        <v>0</v>
      </c>
      <c r="K127" s="268">
        <v>0</v>
      </c>
      <c r="L127" s="268">
        <v>0</v>
      </c>
      <c r="M127" s="268">
        <v>0</v>
      </c>
      <c r="N127" s="268">
        <v>0</v>
      </c>
    </row>
    <row r="128" spans="1:14" ht="16.5">
      <c r="A128" s="253">
        <v>2</v>
      </c>
      <c r="B128" s="268">
        <v>12</v>
      </c>
      <c r="C128" s="268">
        <v>12</v>
      </c>
      <c r="D128" s="268">
        <v>11</v>
      </c>
      <c r="E128" s="268">
        <v>11</v>
      </c>
      <c r="F128" s="268">
        <v>10</v>
      </c>
      <c r="G128" s="268">
        <v>9</v>
      </c>
      <c r="H128" s="268">
        <v>8</v>
      </c>
      <c r="I128" s="268">
        <v>5</v>
      </c>
      <c r="J128" s="268">
        <v>4</v>
      </c>
      <c r="K128" s="268">
        <v>2</v>
      </c>
      <c r="L128" s="268">
        <v>1</v>
      </c>
      <c r="M128" s="268">
        <v>1</v>
      </c>
      <c r="N128" s="268">
        <v>1</v>
      </c>
    </row>
    <row r="129" spans="1:14" ht="16.5">
      <c r="A129" s="253">
        <v>3</v>
      </c>
      <c r="B129" s="268">
        <v>15</v>
      </c>
      <c r="C129" s="268">
        <v>15</v>
      </c>
      <c r="D129" s="268">
        <v>14</v>
      </c>
      <c r="E129" s="268">
        <v>14</v>
      </c>
      <c r="F129" s="268">
        <v>14</v>
      </c>
      <c r="G129" s="268">
        <v>12</v>
      </c>
      <c r="H129" s="268">
        <v>11</v>
      </c>
      <c r="I129" s="268">
        <v>8</v>
      </c>
      <c r="J129" s="268">
        <v>7</v>
      </c>
      <c r="K129" s="268">
        <v>5</v>
      </c>
      <c r="L129" s="268">
        <v>4</v>
      </c>
      <c r="M129" s="268">
        <v>2</v>
      </c>
      <c r="N129" s="268">
        <v>2</v>
      </c>
    </row>
    <row r="130" spans="1:14" ht="16.5">
      <c r="A130" s="253">
        <v>4</v>
      </c>
      <c r="B130" s="268">
        <v>18</v>
      </c>
      <c r="C130" s="268">
        <v>18</v>
      </c>
      <c r="D130" s="268">
        <v>17</v>
      </c>
      <c r="E130" s="268">
        <v>17</v>
      </c>
      <c r="F130" s="268">
        <v>17</v>
      </c>
      <c r="G130" s="268">
        <v>15</v>
      </c>
      <c r="H130" s="268">
        <v>14</v>
      </c>
      <c r="I130" s="268">
        <v>11</v>
      </c>
      <c r="J130" s="268">
        <v>9</v>
      </c>
      <c r="K130" s="268">
        <v>8</v>
      </c>
      <c r="L130" s="268">
        <v>6</v>
      </c>
      <c r="M130" s="268">
        <v>4</v>
      </c>
      <c r="N130" s="268">
        <v>4</v>
      </c>
    </row>
    <row r="131" spans="1:14" ht="16.5">
      <c r="A131" s="253">
        <v>5</v>
      </c>
      <c r="B131" s="268">
        <v>21</v>
      </c>
      <c r="C131" s="268">
        <v>21</v>
      </c>
      <c r="D131" s="268">
        <v>20</v>
      </c>
      <c r="E131" s="268">
        <v>20</v>
      </c>
      <c r="F131" s="268">
        <v>20</v>
      </c>
      <c r="G131" s="268">
        <v>18</v>
      </c>
      <c r="H131" s="268">
        <v>17</v>
      </c>
      <c r="I131" s="268">
        <v>14</v>
      </c>
      <c r="J131" s="268">
        <v>11</v>
      </c>
      <c r="K131" s="268">
        <v>11</v>
      </c>
      <c r="L131" s="268">
        <v>9</v>
      </c>
      <c r="M131" s="268">
        <v>6</v>
      </c>
      <c r="N131" s="268">
        <v>5</v>
      </c>
    </row>
    <row r="132" spans="1:14" ht="16.5">
      <c r="A132" s="253">
        <v>6</v>
      </c>
      <c r="B132" s="268">
        <v>24</v>
      </c>
      <c r="C132" s="268">
        <v>24</v>
      </c>
      <c r="D132" s="268">
        <v>23</v>
      </c>
      <c r="E132" s="268">
        <v>23</v>
      </c>
      <c r="F132" s="268">
        <v>23</v>
      </c>
      <c r="G132" s="268">
        <v>21</v>
      </c>
      <c r="H132" s="268">
        <v>20</v>
      </c>
      <c r="I132" s="268">
        <v>17</v>
      </c>
      <c r="J132" s="268">
        <v>13</v>
      </c>
      <c r="K132" s="268">
        <v>13</v>
      </c>
      <c r="L132" s="268">
        <v>12</v>
      </c>
      <c r="M132" s="268">
        <v>8</v>
      </c>
      <c r="N132" s="268">
        <v>6</v>
      </c>
    </row>
    <row r="133" spans="1:14" ht="16.5">
      <c r="A133" s="253">
        <v>7</v>
      </c>
      <c r="B133" s="268">
        <v>26</v>
      </c>
      <c r="C133" s="268">
        <v>27</v>
      </c>
      <c r="D133" s="268">
        <v>26</v>
      </c>
      <c r="E133" s="268">
        <v>26</v>
      </c>
      <c r="F133" s="268">
        <v>26</v>
      </c>
      <c r="G133" s="268">
        <v>24</v>
      </c>
      <c r="H133" s="268">
        <v>22</v>
      </c>
      <c r="I133" s="268">
        <v>20</v>
      </c>
      <c r="J133" s="268">
        <v>15</v>
      </c>
      <c r="K133" s="268">
        <v>15</v>
      </c>
      <c r="L133" s="268">
        <v>14</v>
      </c>
      <c r="M133" s="268">
        <v>10</v>
      </c>
      <c r="N133" s="268">
        <v>8</v>
      </c>
    </row>
    <row r="134" spans="1:14" ht="16.5">
      <c r="A134" s="253">
        <v>8</v>
      </c>
      <c r="B134" s="268">
        <v>29</v>
      </c>
      <c r="C134" s="268">
        <v>30</v>
      </c>
      <c r="D134" s="268">
        <v>29</v>
      </c>
      <c r="E134" s="268">
        <v>29</v>
      </c>
      <c r="F134" s="268">
        <v>29</v>
      </c>
      <c r="G134" s="268">
        <v>27</v>
      </c>
      <c r="H134" s="268">
        <v>24</v>
      </c>
      <c r="I134" s="268">
        <v>22</v>
      </c>
      <c r="J134" s="268">
        <v>17</v>
      </c>
      <c r="K134" s="268">
        <v>17</v>
      </c>
      <c r="L134" s="268">
        <v>16</v>
      </c>
      <c r="M134" s="268">
        <v>12</v>
      </c>
      <c r="N134" s="268">
        <v>10</v>
      </c>
    </row>
    <row r="135" spans="1:14" ht="16.5">
      <c r="A135" s="253">
        <v>9</v>
      </c>
      <c r="B135" s="268">
        <v>32</v>
      </c>
      <c r="C135" s="268">
        <v>33</v>
      </c>
      <c r="D135" s="268">
        <v>32</v>
      </c>
      <c r="E135" s="268">
        <v>32</v>
      </c>
      <c r="F135" s="268">
        <v>31</v>
      </c>
      <c r="G135" s="268">
        <v>31</v>
      </c>
      <c r="H135" s="268">
        <v>27</v>
      </c>
      <c r="I135" s="268">
        <v>24</v>
      </c>
      <c r="J135" s="268">
        <v>20</v>
      </c>
      <c r="K135" s="268">
        <v>20</v>
      </c>
      <c r="L135" s="268">
        <v>18</v>
      </c>
      <c r="M135" s="268">
        <v>14</v>
      </c>
      <c r="N135" s="268">
        <v>13</v>
      </c>
    </row>
    <row r="136" spans="1:14" ht="16.5">
      <c r="A136" s="253">
        <v>10</v>
      </c>
      <c r="B136" s="268">
        <v>35</v>
      </c>
      <c r="C136" s="268">
        <v>37</v>
      </c>
      <c r="D136" s="268">
        <v>36</v>
      </c>
      <c r="E136" s="268">
        <v>36</v>
      </c>
      <c r="F136" s="268">
        <v>34</v>
      </c>
      <c r="G136" s="268">
        <v>33</v>
      </c>
      <c r="H136" s="268">
        <v>30</v>
      </c>
      <c r="I136" s="268">
        <v>27</v>
      </c>
      <c r="J136" s="268">
        <v>24</v>
      </c>
      <c r="K136" s="268">
        <v>23</v>
      </c>
      <c r="L136" s="268">
        <v>20</v>
      </c>
      <c r="M136" s="268">
        <v>17</v>
      </c>
      <c r="N136" s="268">
        <v>16</v>
      </c>
    </row>
    <row r="137" spans="1:14" ht="16.5">
      <c r="A137" s="253">
        <v>11</v>
      </c>
      <c r="B137" s="268">
        <v>39</v>
      </c>
      <c r="C137" s="268">
        <v>40</v>
      </c>
      <c r="D137" s="268">
        <v>39</v>
      </c>
      <c r="E137" s="268">
        <v>39</v>
      </c>
      <c r="F137" s="268">
        <v>37</v>
      </c>
      <c r="G137" s="268">
        <v>36</v>
      </c>
      <c r="H137" s="268">
        <v>33</v>
      </c>
      <c r="I137" s="268">
        <v>30</v>
      </c>
      <c r="J137" s="268">
        <v>27</v>
      </c>
      <c r="K137" s="268">
        <v>26</v>
      </c>
      <c r="L137" s="268">
        <v>22</v>
      </c>
      <c r="M137" s="268">
        <v>20</v>
      </c>
      <c r="N137" s="268">
        <v>18</v>
      </c>
    </row>
    <row r="138" spans="1:14" ht="16.5">
      <c r="A138" s="253">
        <v>12</v>
      </c>
      <c r="B138" s="268">
        <v>42</v>
      </c>
      <c r="C138" s="268">
        <v>43</v>
      </c>
      <c r="D138" s="268">
        <v>42</v>
      </c>
      <c r="E138" s="268">
        <v>42</v>
      </c>
      <c r="F138" s="268">
        <v>41</v>
      </c>
      <c r="G138" s="268">
        <v>38</v>
      </c>
      <c r="H138" s="268">
        <v>35</v>
      </c>
      <c r="I138" s="268">
        <v>33</v>
      </c>
      <c r="J138" s="268">
        <v>30</v>
      </c>
      <c r="K138" s="268">
        <v>28</v>
      </c>
      <c r="L138" s="268">
        <v>24</v>
      </c>
      <c r="M138" s="268">
        <v>22</v>
      </c>
      <c r="N138" s="268">
        <v>20</v>
      </c>
    </row>
    <row r="139" spans="1:14" ht="16.5">
      <c r="A139" s="253">
        <v>13</v>
      </c>
      <c r="B139" s="268">
        <v>45</v>
      </c>
      <c r="C139" s="268">
        <v>46</v>
      </c>
      <c r="D139" s="268">
        <v>44</v>
      </c>
      <c r="E139" s="268">
        <v>44</v>
      </c>
      <c r="F139" s="268">
        <v>44</v>
      </c>
      <c r="G139" s="268">
        <v>41</v>
      </c>
      <c r="H139" s="268">
        <v>37</v>
      </c>
      <c r="I139" s="268">
        <v>36</v>
      </c>
      <c r="J139" s="268">
        <v>33</v>
      </c>
      <c r="K139" s="268">
        <v>30</v>
      </c>
      <c r="L139" s="268">
        <v>26</v>
      </c>
      <c r="M139" s="268">
        <v>24</v>
      </c>
      <c r="N139" s="268">
        <v>22</v>
      </c>
    </row>
    <row r="140" spans="1:14" ht="16.5">
      <c r="A140" s="253">
        <v>14</v>
      </c>
      <c r="B140" s="268">
        <v>47</v>
      </c>
      <c r="C140" s="268">
        <v>48</v>
      </c>
      <c r="D140" s="268">
        <v>47</v>
      </c>
      <c r="E140" s="268">
        <v>47</v>
      </c>
      <c r="F140" s="268">
        <v>46</v>
      </c>
      <c r="G140" s="268">
        <v>44</v>
      </c>
      <c r="H140" s="268">
        <v>40</v>
      </c>
      <c r="I140" s="268">
        <v>38</v>
      </c>
      <c r="J140" s="268">
        <v>35</v>
      </c>
      <c r="K140" s="268">
        <v>32</v>
      </c>
      <c r="L140" s="268">
        <v>28</v>
      </c>
      <c r="M140" s="268">
        <v>26</v>
      </c>
      <c r="N140" s="268">
        <v>24</v>
      </c>
    </row>
    <row r="141" spans="1:14" ht="16.5">
      <c r="A141" s="253">
        <v>15</v>
      </c>
      <c r="B141" s="268">
        <v>49</v>
      </c>
      <c r="C141" s="268">
        <v>50</v>
      </c>
      <c r="D141" s="268">
        <v>49</v>
      </c>
      <c r="E141" s="268">
        <v>49</v>
      </c>
      <c r="F141" s="268">
        <v>48</v>
      </c>
      <c r="G141" s="268">
        <v>47</v>
      </c>
      <c r="H141" s="268">
        <v>43</v>
      </c>
      <c r="I141" s="268">
        <v>40</v>
      </c>
      <c r="J141" s="268">
        <v>37</v>
      </c>
      <c r="K141" s="268">
        <v>35</v>
      </c>
      <c r="L141" s="268">
        <v>30</v>
      </c>
      <c r="M141" s="268">
        <v>28</v>
      </c>
      <c r="N141" s="268">
        <v>26</v>
      </c>
    </row>
    <row r="142" spans="1:14" ht="16.5">
      <c r="A142" s="253">
        <v>16</v>
      </c>
      <c r="B142" s="268">
        <v>51</v>
      </c>
      <c r="C142" s="268">
        <v>52</v>
      </c>
      <c r="D142" s="268">
        <v>51</v>
      </c>
      <c r="E142" s="268">
        <v>51</v>
      </c>
      <c r="F142" s="268">
        <v>50</v>
      </c>
      <c r="G142" s="268">
        <v>50</v>
      </c>
      <c r="H142" s="268">
        <v>46</v>
      </c>
      <c r="I142" s="268">
        <v>42</v>
      </c>
      <c r="J142" s="268">
        <v>39</v>
      </c>
      <c r="K142" s="268">
        <v>38</v>
      </c>
      <c r="L142" s="268">
        <v>33</v>
      </c>
      <c r="M142" s="268">
        <v>30</v>
      </c>
      <c r="N142" s="268">
        <v>28</v>
      </c>
    </row>
    <row r="143" spans="1:14" ht="16.5">
      <c r="A143" s="253">
        <v>17</v>
      </c>
      <c r="B143" s="268">
        <v>53</v>
      </c>
      <c r="C143" s="268">
        <v>54</v>
      </c>
      <c r="D143" s="268">
        <v>53</v>
      </c>
      <c r="E143" s="268">
        <v>53</v>
      </c>
      <c r="F143" s="268">
        <v>53</v>
      </c>
      <c r="G143" s="268">
        <v>52</v>
      </c>
      <c r="H143" s="268">
        <v>49</v>
      </c>
      <c r="I143" s="268">
        <v>44</v>
      </c>
      <c r="J143" s="268">
        <v>41</v>
      </c>
      <c r="K143" s="268">
        <v>41</v>
      </c>
      <c r="L143" s="268">
        <v>36</v>
      </c>
      <c r="M143" s="268">
        <v>32</v>
      </c>
      <c r="N143" s="268">
        <v>30</v>
      </c>
    </row>
    <row r="144" spans="1:14" ht="16.5">
      <c r="A144" s="253">
        <v>18</v>
      </c>
      <c r="B144" s="268">
        <v>55</v>
      </c>
      <c r="C144" s="268">
        <v>57</v>
      </c>
      <c r="D144" s="268">
        <v>55</v>
      </c>
      <c r="E144" s="268">
        <v>55</v>
      </c>
      <c r="F144" s="268">
        <v>55</v>
      </c>
      <c r="G144" s="268">
        <v>54</v>
      </c>
      <c r="H144" s="268">
        <v>52</v>
      </c>
      <c r="I144" s="268">
        <v>46</v>
      </c>
      <c r="J144" s="268">
        <v>43</v>
      </c>
      <c r="K144" s="268">
        <v>43</v>
      </c>
      <c r="L144" s="268">
        <v>39</v>
      </c>
      <c r="M144" s="268">
        <v>34</v>
      </c>
      <c r="N144" s="268">
        <v>32</v>
      </c>
    </row>
    <row r="145" spans="1:14" ht="16.5">
      <c r="A145" s="253">
        <v>19</v>
      </c>
      <c r="B145" s="268">
        <v>60</v>
      </c>
      <c r="C145" s="268">
        <v>60</v>
      </c>
      <c r="D145" s="268">
        <v>60</v>
      </c>
      <c r="E145" s="268">
        <v>60</v>
      </c>
      <c r="F145" s="268">
        <v>60</v>
      </c>
      <c r="G145" s="268">
        <v>60</v>
      </c>
      <c r="H145" s="268">
        <v>60</v>
      </c>
      <c r="I145" s="268">
        <v>60</v>
      </c>
      <c r="J145" s="268">
        <v>60</v>
      </c>
      <c r="K145" s="268">
        <v>60</v>
      </c>
      <c r="L145" s="268">
        <v>60</v>
      </c>
      <c r="M145" s="268">
        <v>60</v>
      </c>
      <c r="N145" s="268">
        <v>60</v>
      </c>
    </row>
    <row r="147" spans="1:14">
      <c r="A147" t="e">
        <f>WAIS!B14</f>
        <v>#REF!</v>
      </c>
      <c r="B147" t="e">
        <f>IF(A147&gt;B144,A145,IF(A147&gt;B143,A144,IF(A147&gt;B142,A143,IF(A147&gt;B141,A142,IF(A147&gt;B140,A141,IF(A147&gt;B139,A140,IF(A147&gt;B138,A139,IF(A147&gt;B137,A138,IF(A147&gt;B136,A137,IF(A147&gt;B135,A136,IF(A147&gt;B134,A135,IF(A147&gt;B133,A134,IF(A147&gt;B132,A133,IF(A147&gt;B131,A132,IF(A147&gt;B130,A131,IF(A147&gt;B129,A130,IF(A147&gt;B128,A129,IF(A147&gt;B127,A128,1))))))))))))))))))</f>
        <v>#REF!</v>
      </c>
      <c r="C147" t="e">
        <f>IF(A147&gt;C144,A145,IF(A147&gt;C143,A144,IF(A147&gt;C142,A143,IF(A147&gt;C141,A142,IF(A147&gt;C140,A141,IF(A147&gt;C139,A140,IF(A147&gt;C138,A139,IF(A147&gt;C137,A138,IF(A147&gt;C136,A137,IF(A147&gt;C135,A136,IF(A147&gt;C134,A135,IF(A147&gt;C133,A134,IF(A147&gt;C132,A133,IF(A147&gt;C131,A132,IF(A147&gt;C130,A131,IF(A147&gt;C129,A130,IF(A147&gt;C128,A129,IF(A147&gt;C127,A128,1))))))))))))))))))</f>
        <v>#REF!</v>
      </c>
      <c r="D147" t="e">
        <f>IF(A147&gt;D144,A145,IF(A147&gt;D143,A144,IF(A147&gt;D142,A143,IF(A147&gt;D141,A142,IF(A147&gt;D140,A141,IF(A147&gt;D139,A140,IF(A147&gt;D138,A139,IF(A147&gt;D137,A138,IF(A147&gt;D136,A137,IF(A147&gt;D135,A136,IF(A147&gt;D134,A135,IF(A147&gt;D133,A134,IF(A147&gt;D132,A133,IF(A147&gt;D131,A132,IF(A147&gt;D130,A131,IF(A147&gt;D129,A130,IF(A147&gt;D128,A129,IF(A147&gt;D127,A128,1))))))))))))))))))</f>
        <v>#REF!</v>
      </c>
      <c r="E147" t="e">
        <f>IF(A147&gt;E144,A145,IF(A147&gt;E143,A144,IF(A147&gt;E142,A143,IF(A147&gt;E141,A142,IF(A147&gt;E140,A141,IF(A147&gt;E139,A140,IF(A147&gt;E138,A139,IF(A147&gt;E137,A138,IF(A147&gt;E136,A137,IF(A147&gt;E135,A136,IF(A147&gt;E134,A135,IF(A147&gt;E133,A134,IF(A147&gt;E132,A133,IF(A147&gt;E131,A132,IF(A147&gt;E130,A131,IF(A147&gt;E129,A130,IF(A147&gt;E128,A129,IF(A147&gt;E127,A128,1))))))))))))))))))</f>
        <v>#REF!</v>
      </c>
      <c r="F147" t="e">
        <f>IF(A147&gt;F144,A145,IF(A147&gt;F143,A144,IF(A147&gt;F142,A143,IF(A147&gt;F141,A142,IF(A147&gt;F140,A141,IF(A147&gt;F139,A140,IF(A147&gt;F138,A139,IF(A147&gt;F137,A138,IF(A147&gt;F136,A137,IF(A147&gt;F135,A136,IF(A147&gt;F134,A135,IF(A147&gt;F133,A134,IF(A147&gt;F132,A133,IF(A147&gt;F131,A132,IF(A147&gt;F130,A131,IF(A147&gt;F129,A130,IF(A147&gt;F128,A129,IF(A147&gt;F127,A128,1))))))))))))))))))</f>
        <v>#REF!</v>
      </c>
      <c r="G147" t="e">
        <f>IF(A147&gt;G144,A145,IF(A147&gt;G143,A144,IF(A147&gt;G142,A143,IF(A147&gt;G141,A142,IF(A147&gt;G140,A141,IF(A147&gt;G139,A140,IF(A147&gt;G138,A139,IF(A147&gt;G137,A138,IF(A147&gt;G136,A137,IF(A147&gt;G135,A136,IF(A147&gt;G134,A135,IF(A147&gt;G133,A134,IF(A147&gt;G132,A133,IF(A147&gt;G131,A132,IF(A147&gt;G130,A131,IF(A147&gt;G129,A130,IF(A147&gt;G128,A129,IF(A147&gt;G127,A128,1))))))))))))))))))</f>
        <v>#REF!</v>
      </c>
      <c r="H147" t="e">
        <f>IF(A147&gt;H144,A145,IF(A147&gt;H143,A144,IF(A147&gt;H142,A143,IF(A147&gt;H141,A142,IF(A147&gt;H140,A141,IF(A147&gt;H139,A140,IF(A147&gt;H138,A139,IF(A147&gt;H137,A138,IF(A147&gt;H136,A137,IF(A147&gt;H135,A136,IF(A147&gt;H134,A135,IF(A147&gt;H133,A134,IF(A147&gt;H132,A133,IF(A147&gt;H131,A132,IF(A147&gt;H130,A131,IF(A147&gt;H129,A130,IF(A147&gt;H128,A129,IF(A147&gt;H127,A128,1))))))))))))))))))</f>
        <v>#REF!</v>
      </c>
      <c r="I147" t="e">
        <f>IF(A147&gt;I144,A145,IF(A147&gt;I143,A144,IF(A147&gt;I142,A143,IF(A147&gt;I141,A142,IF(A147&gt;I140,A141,IF(A147&gt;I139,A140,IF(A147&gt;I138,A139,IF(A147&gt;I137,A138,IF(A147&gt;I136,A137,IF(A147&gt;I135,A136,IF(A147&gt;I134,A135,IF(A147&gt;I133,A134,IF(A147&gt;I132,A133,IF(A147&gt;I131,A132,IF(A147&gt;I130,A131,IF(A147&gt;I129,A130,IF(A147&gt;I128,A129,IF(A147&gt;I127,A128,1))))))))))))))))))</f>
        <v>#REF!</v>
      </c>
      <c r="J147" t="e">
        <f>IF(A147&gt;J144,A145,IF(A147&gt;J143,A144,IF(A147&gt;J142,A143,IF(A147&gt;J141,A142,IF(A147&gt;J140,A141,IF(A147&gt;J139,A140,IF(A147&gt;J138,A139,IF(A147&gt;J137,A138,IF(A147&gt;J136,A137,IF(A147&gt;J135,A136,IF(A147&gt;J134,A135,IF(A147&gt;J133,A134,IF(A147&gt;J132,A133,IF(A147&gt;J131,A132,IF(A147&gt;J130,A131,IF(A147&gt;J129,A130,IF(A147&gt;J128,A129,IF(A147&gt;J127,A128,1))))))))))))))))))</f>
        <v>#REF!</v>
      </c>
      <c r="K147" s="250" t="e">
        <f>IF(A147&gt;K144,A145,IF(A147&gt;K143,A144,IF(A147&gt;K142,A143,IF(A147&gt;K141,A142,IF(A147&gt;K140,A141,IF(A147&gt;K139,A140,IF(A147&gt;K138,A139,IF(A147&gt;K137,A138,IF(A147&gt;K136,A137,IF(A147&gt;K135,A136,IF(A147&gt;K134,A135,IF(A147&gt;K133,A134,IF(A147&gt;K132,A133,IF(A147&gt;K131,A132,IF(A147&gt;K130,A131,IF(A147&gt;K129,A130,IF(A147&gt;K128,A129,IF(A147&gt;K127,A128,1))))))))))))))))))</f>
        <v>#REF!</v>
      </c>
      <c r="L147" t="e">
        <f>IF(A147&gt;L144,A145,IF(A147&gt;L143,A144,IF(A147&gt;L142,A143,IF(A147&gt;L141,A142,IF(A147&gt;L140,A141,IF(A147&gt;L139,A140,IF(A147&gt;L138,A139,IF(A147&gt;L137,A138,IF(A147&gt;L136,A137,IF(A147&gt;L135,A136,IF(A147&gt;L134,A135,IF(A147&gt;L133,A134,IF(A147&gt;L132,A133,IF(A147&gt;L131,A132,IF(A147&gt;L130,A131,IF(A147&gt;L129,A130,IF(A147&gt;L128,A129,IF(A147&gt;L127,A128,1))))))))))))))))))</f>
        <v>#REF!</v>
      </c>
      <c r="M147" t="e">
        <f>IF(A147&gt;M144,A145,IF(A147&gt;M143,A144,IF(A147&gt;M142,A143,IF(A147&gt;M141,A142,IF(A147&gt;M140,A141,IF(A147&gt;M139,A140,IF(A147&gt;M138,A139,IF(A147&gt;M137,A138,IF(A147&gt;M136,A137,IF(A147&gt;M135,A136,IF(A147&gt;M134,A135,IF(A147&gt;M133,A134,IF(A147&gt;M132,A133,IF(A147&gt;M131,A132,IF(A147&gt;M130,A131,IF(A147&gt;M129,A130,IF(A147&gt;M128,A129,IF(A147&gt;M127,A128,1))))))))))))))))))</f>
        <v>#REF!</v>
      </c>
      <c r="N147" t="e">
        <f>IF(A147&gt;N144,A145,IF(A147&gt;N143,A144,IF(A147&gt;N142,A143,IF(A147&gt;N141,A142,IF(A147&gt;N140,A141,IF(A147&gt;N139,A140,IF(A147&gt;N138,A139,IF(A147&gt;N137,A138,IF(A147&gt;N136,A137,IF(A147&gt;N135,A136,IF(A147&gt;N134,A135,IF(A147&gt;N133,A134,IF(A147&gt;N132,A133,IF(A147&gt;N131,A132,IF(A147&gt;N130,A131,IF(A147&gt;N129,A130,IF(A147&gt;N128,A129,IF(A147&gt;N127,A128,1))))))))))))))))))</f>
        <v>#REF!</v>
      </c>
    </row>
    <row r="148" spans="1:14">
      <c r="A148" s="62">
        <f>A123</f>
        <v>0</v>
      </c>
    </row>
    <row r="149" spans="1:14">
      <c r="A149" s="259" t="e">
        <f>IF(A148&gt;M126,N147,IF(A148&gt;L126,M147,IF(A148&gt;K126,L147,IF(A148&gt;J126,K147,IF(A148&gt;I126,J147,IF(A148&gt;H126,I147,IF(A148&gt;G126,H147,IF(A148&gt;F126,G147,IF(A148&gt;E126,F147,IF(A148&gt;D126,E147,IF(A148&gt;C126,D147,IF(A148&gt;B126,C147,B147))))))))))))</f>
        <v>#REF!</v>
      </c>
    </row>
    <row r="151" spans="1:14">
      <c r="A151" t="s">
        <v>608</v>
      </c>
      <c r="B151" s="254">
        <v>17</v>
      </c>
      <c r="C151" s="254">
        <v>19</v>
      </c>
      <c r="D151" s="254">
        <v>24</v>
      </c>
      <c r="E151" s="254">
        <v>29</v>
      </c>
      <c r="F151" s="254">
        <v>34</v>
      </c>
      <c r="G151" s="254">
        <v>44</v>
      </c>
      <c r="H151" s="254">
        <v>54</v>
      </c>
      <c r="I151" s="254">
        <v>64</v>
      </c>
      <c r="J151" s="254">
        <v>69</v>
      </c>
      <c r="K151" s="254">
        <v>74</v>
      </c>
      <c r="L151" s="254">
        <v>79</v>
      </c>
      <c r="M151" s="254">
        <v>84</v>
      </c>
      <c r="N151" s="254">
        <v>89</v>
      </c>
    </row>
    <row r="152" spans="1:14" ht="16.5">
      <c r="A152" s="253">
        <v>1</v>
      </c>
      <c r="B152" s="268">
        <v>13</v>
      </c>
      <c r="C152" s="268">
        <v>13</v>
      </c>
      <c r="D152" s="268">
        <v>13</v>
      </c>
      <c r="E152" s="268">
        <v>6</v>
      </c>
      <c r="F152" s="268">
        <v>6</v>
      </c>
      <c r="G152" s="268">
        <v>5</v>
      </c>
      <c r="H152" s="268">
        <v>4</v>
      </c>
      <c r="I152" s="268">
        <v>3</v>
      </c>
      <c r="J152" s="268">
        <v>2</v>
      </c>
      <c r="K152" s="268">
        <v>2</v>
      </c>
      <c r="L152" s="268">
        <v>2</v>
      </c>
      <c r="M152" s="268">
        <v>2</v>
      </c>
      <c r="N152" s="268">
        <v>2</v>
      </c>
    </row>
    <row r="153" spans="1:14" ht="16.5">
      <c r="A153" s="253">
        <v>2</v>
      </c>
      <c r="B153" s="268">
        <v>26</v>
      </c>
      <c r="C153" s="268">
        <v>26</v>
      </c>
      <c r="D153" s="268">
        <v>25</v>
      </c>
      <c r="E153" s="268">
        <v>19</v>
      </c>
      <c r="F153" s="268">
        <v>19</v>
      </c>
      <c r="G153" s="268">
        <v>19</v>
      </c>
      <c r="H153" s="268">
        <v>16</v>
      </c>
      <c r="I153" s="268">
        <v>12</v>
      </c>
      <c r="J153" s="268">
        <v>10</v>
      </c>
      <c r="K153" s="268">
        <v>8</v>
      </c>
      <c r="L153" s="268">
        <v>8</v>
      </c>
      <c r="M153" s="268">
        <v>6</v>
      </c>
      <c r="N153" s="268">
        <v>6</v>
      </c>
    </row>
    <row r="154" spans="1:14" ht="16.5">
      <c r="A154" s="253">
        <v>3</v>
      </c>
      <c r="B154" s="268">
        <v>36</v>
      </c>
      <c r="C154" s="268">
        <v>36</v>
      </c>
      <c r="D154" s="268">
        <v>35</v>
      </c>
      <c r="E154" s="268">
        <v>31</v>
      </c>
      <c r="F154" s="268">
        <v>31</v>
      </c>
      <c r="G154" s="268">
        <v>31</v>
      </c>
      <c r="H154" s="268">
        <v>27</v>
      </c>
      <c r="I154" s="268">
        <v>22</v>
      </c>
      <c r="J154" s="268">
        <v>18</v>
      </c>
      <c r="K154" s="268">
        <v>14</v>
      </c>
      <c r="L154" s="268">
        <v>14</v>
      </c>
      <c r="M154" s="268">
        <v>10</v>
      </c>
      <c r="N154" s="268">
        <v>9</v>
      </c>
    </row>
    <row r="155" spans="1:14" ht="16.5">
      <c r="A155" s="253">
        <v>4</v>
      </c>
      <c r="B155" s="268">
        <v>44</v>
      </c>
      <c r="C155" s="268">
        <v>45</v>
      </c>
      <c r="D155" s="268">
        <v>44</v>
      </c>
      <c r="E155" s="268">
        <v>41</v>
      </c>
      <c r="F155" s="268">
        <v>39</v>
      </c>
      <c r="G155" s="268">
        <v>39</v>
      </c>
      <c r="H155" s="268">
        <v>37</v>
      </c>
      <c r="I155" s="268">
        <v>30</v>
      </c>
      <c r="J155" s="268">
        <v>25</v>
      </c>
      <c r="K155" s="268">
        <v>21</v>
      </c>
      <c r="L155" s="268">
        <v>19</v>
      </c>
      <c r="M155" s="268">
        <v>14</v>
      </c>
      <c r="N155" s="268">
        <v>12</v>
      </c>
    </row>
    <row r="156" spans="1:14" ht="16.5">
      <c r="A156" s="253">
        <v>5</v>
      </c>
      <c r="B156" s="268">
        <v>51</v>
      </c>
      <c r="C156" s="268">
        <v>53</v>
      </c>
      <c r="D156" s="268">
        <v>52</v>
      </c>
      <c r="E156" s="268">
        <v>50</v>
      </c>
      <c r="F156" s="268">
        <v>48</v>
      </c>
      <c r="G156" s="268">
        <v>46</v>
      </c>
      <c r="H156" s="268">
        <v>45</v>
      </c>
      <c r="I156" s="268">
        <v>37</v>
      </c>
      <c r="J156" s="268">
        <v>31</v>
      </c>
      <c r="K156" s="268">
        <v>28</v>
      </c>
      <c r="L156" s="268">
        <v>24</v>
      </c>
      <c r="M156" s="268">
        <v>19</v>
      </c>
      <c r="N156" s="268">
        <v>15</v>
      </c>
    </row>
    <row r="157" spans="1:14" ht="16.5">
      <c r="A157" s="253">
        <v>6</v>
      </c>
      <c r="B157" s="268">
        <v>57</v>
      </c>
      <c r="C157" s="268">
        <v>60</v>
      </c>
      <c r="D157" s="268">
        <v>59</v>
      </c>
      <c r="E157" s="268">
        <v>58</v>
      </c>
      <c r="F157" s="268">
        <v>56</v>
      </c>
      <c r="G157" s="268">
        <v>53</v>
      </c>
      <c r="H157" s="268">
        <v>51</v>
      </c>
      <c r="I157" s="268">
        <v>43</v>
      </c>
      <c r="J157" s="268">
        <v>36</v>
      </c>
      <c r="K157" s="268">
        <v>33</v>
      </c>
      <c r="L157" s="268">
        <v>29</v>
      </c>
      <c r="M157" s="268">
        <v>24</v>
      </c>
      <c r="N157" s="268">
        <v>19</v>
      </c>
    </row>
    <row r="158" spans="1:14" ht="16.5">
      <c r="A158" s="253">
        <v>7</v>
      </c>
      <c r="B158" s="268">
        <v>63</v>
      </c>
      <c r="C158" s="268">
        <v>67</v>
      </c>
      <c r="D158" s="268">
        <v>65</v>
      </c>
      <c r="E158" s="268">
        <v>65</v>
      </c>
      <c r="F158" s="268">
        <v>63</v>
      </c>
      <c r="G158" s="268">
        <v>60</v>
      </c>
      <c r="H158" s="268">
        <v>57</v>
      </c>
      <c r="I158" s="268">
        <v>48</v>
      </c>
      <c r="J158" s="268">
        <v>41</v>
      </c>
      <c r="K158" s="268">
        <v>38</v>
      </c>
      <c r="L158" s="268">
        <v>34</v>
      </c>
      <c r="M158" s="268">
        <v>29</v>
      </c>
      <c r="N158" s="268">
        <v>23</v>
      </c>
    </row>
    <row r="159" spans="1:14" ht="16.5">
      <c r="A159" s="253">
        <v>8</v>
      </c>
      <c r="B159" s="268">
        <v>69</v>
      </c>
      <c r="C159" s="268">
        <v>73</v>
      </c>
      <c r="D159" s="268">
        <v>71</v>
      </c>
      <c r="E159" s="268">
        <v>70</v>
      </c>
      <c r="F159" s="268">
        <v>69</v>
      </c>
      <c r="G159" s="268">
        <v>66</v>
      </c>
      <c r="H159" s="268">
        <v>62</v>
      </c>
      <c r="I159" s="268">
        <v>53</v>
      </c>
      <c r="J159" s="268">
        <v>46</v>
      </c>
      <c r="K159" s="268">
        <v>43</v>
      </c>
      <c r="L159" s="268">
        <v>39</v>
      </c>
      <c r="M159" s="268">
        <v>34</v>
      </c>
      <c r="N159" s="268">
        <v>28</v>
      </c>
    </row>
    <row r="160" spans="1:14" ht="16.5">
      <c r="A160" s="253">
        <v>9</v>
      </c>
      <c r="B160" s="268">
        <v>74</v>
      </c>
      <c r="C160" s="268">
        <v>78</v>
      </c>
      <c r="D160" s="268">
        <v>77</v>
      </c>
      <c r="E160" s="268">
        <v>75</v>
      </c>
      <c r="F160" s="268">
        <v>74</v>
      </c>
      <c r="G160" s="268">
        <v>72</v>
      </c>
      <c r="H160" s="268">
        <v>67</v>
      </c>
      <c r="I160" s="268">
        <v>58</v>
      </c>
      <c r="J160" s="268">
        <v>51</v>
      </c>
      <c r="K160" s="268">
        <v>48</v>
      </c>
      <c r="L160" s="268">
        <v>44</v>
      </c>
      <c r="M160" s="268">
        <v>39</v>
      </c>
      <c r="N160" s="268">
        <v>32</v>
      </c>
    </row>
    <row r="161" spans="1:14" ht="16.5">
      <c r="A161" s="253">
        <v>10</v>
      </c>
      <c r="B161" s="268">
        <v>79</v>
      </c>
      <c r="C161" s="268">
        <v>83</v>
      </c>
      <c r="D161" s="268">
        <v>82</v>
      </c>
      <c r="E161" s="268">
        <v>80</v>
      </c>
      <c r="F161" s="268">
        <v>79</v>
      </c>
      <c r="G161" s="268">
        <v>77</v>
      </c>
      <c r="H161" s="268">
        <v>72</v>
      </c>
      <c r="I161" s="268">
        <v>63</v>
      </c>
      <c r="J161" s="268">
        <v>56</v>
      </c>
      <c r="K161" s="268">
        <v>53</v>
      </c>
      <c r="L161" s="268">
        <v>49</v>
      </c>
      <c r="M161" s="268">
        <v>44</v>
      </c>
      <c r="N161" s="268">
        <v>37</v>
      </c>
    </row>
    <row r="162" spans="1:14" ht="16.5">
      <c r="A162" s="253">
        <v>11</v>
      </c>
      <c r="B162" s="268">
        <v>84</v>
      </c>
      <c r="C162" s="268">
        <v>88</v>
      </c>
      <c r="D162" s="268">
        <v>87</v>
      </c>
      <c r="E162" s="268">
        <v>85</v>
      </c>
      <c r="F162" s="268">
        <v>84</v>
      </c>
      <c r="G162" s="268">
        <v>82</v>
      </c>
      <c r="H162" s="268">
        <v>77</v>
      </c>
      <c r="I162" s="268">
        <v>68</v>
      </c>
      <c r="J162" s="268">
        <v>61</v>
      </c>
      <c r="K162" s="268">
        <v>58</v>
      </c>
      <c r="L162" s="268">
        <v>54</v>
      </c>
      <c r="M162" s="268">
        <v>49</v>
      </c>
      <c r="N162" s="268">
        <v>42</v>
      </c>
    </row>
    <row r="163" spans="1:14" ht="16.5">
      <c r="A163" s="253">
        <v>12</v>
      </c>
      <c r="B163" s="268">
        <v>89</v>
      </c>
      <c r="C163" s="268">
        <v>93</v>
      </c>
      <c r="D163" s="268">
        <v>92</v>
      </c>
      <c r="E163" s="268">
        <v>90</v>
      </c>
      <c r="F163" s="268">
        <v>89</v>
      </c>
      <c r="G163" s="268">
        <v>87</v>
      </c>
      <c r="H163" s="268">
        <v>82</v>
      </c>
      <c r="I163" s="268">
        <v>73</v>
      </c>
      <c r="J163" s="268">
        <v>66</v>
      </c>
      <c r="K163" s="268">
        <v>63</v>
      </c>
      <c r="L163" s="268">
        <v>58</v>
      </c>
      <c r="M163" s="268">
        <v>54</v>
      </c>
      <c r="N163" s="268">
        <v>47</v>
      </c>
    </row>
    <row r="164" spans="1:14" ht="16.5">
      <c r="A164" s="253">
        <v>13</v>
      </c>
      <c r="B164" s="268">
        <v>94</v>
      </c>
      <c r="C164" s="268">
        <v>98</v>
      </c>
      <c r="D164" s="268">
        <v>97</v>
      </c>
      <c r="E164" s="268">
        <v>95</v>
      </c>
      <c r="F164" s="268">
        <v>94</v>
      </c>
      <c r="G164" s="268">
        <v>92</v>
      </c>
      <c r="H164" s="268">
        <v>87</v>
      </c>
      <c r="I164" s="268">
        <v>78</v>
      </c>
      <c r="J164" s="268">
        <v>71</v>
      </c>
      <c r="K164" s="268">
        <v>67</v>
      </c>
      <c r="L164" s="268">
        <v>63</v>
      </c>
      <c r="M164" s="268">
        <v>59</v>
      </c>
      <c r="N164" s="268">
        <v>52</v>
      </c>
    </row>
    <row r="165" spans="1:14" ht="16.5">
      <c r="A165" s="253">
        <v>14</v>
      </c>
      <c r="B165" s="268">
        <v>99</v>
      </c>
      <c r="C165" s="268">
        <v>103</v>
      </c>
      <c r="D165" s="268">
        <v>102</v>
      </c>
      <c r="E165" s="268">
        <v>101</v>
      </c>
      <c r="F165" s="268">
        <v>99</v>
      </c>
      <c r="G165" s="268">
        <v>97</v>
      </c>
      <c r="H165" s="268">
        <v>92</v>
      </c>
      <c r="I165" s="268">
        <v>83</v>
      </c>
      <c r="J165" s="268">
        <v>76</v>
      </c>
      <c r="K165" s="268">
        <v>72</v>
      </c>
      <c r="L165" s="268">
        <v>37</v>
      </c>
      <c r="M165" s="268">
        <v>64</v>
      </c>
      <c r="N165" s="268">
        <v>57</v>
      </c>
    </row>
    <row r="166" spans="1:14" ht="16.5">
      <c r="A166" s="253">
        <v>15</v>
      </c>
      <c r="B166" s="268">
        <v>105</v>
      </c>
      <c r="C166" s="268">
        <v>108</v>
      </c>
      <c r="D166" s="268">
        <v>108</v>
      </c>
      <c r="E166" s="268">
        <v>107</v>
      </c>
      <c r="F166" s="268">
        <v>104</v>
      </c>
      <c r="G166" s="268">
        <v>102</v>
      </c>
      <c r="H166" s="268">
        <v>97</v>
      </c>
      <c r="I166" s="268">
        <v>88</v>
      </c>
      <c r="J166" s="268">
        <v>82</v>
      </c>
      <c r="K166" s="268">
        <v>76</v>
      </c>
      <c r="L166" s="268">
        <v>72</v>
      </c>
      <c r="M166" s="268">
        <v>69</v>
      </c>
      <c r="N166" s="268">
        <v>63</v>
      </c>
    </row>
    <row r="167" spans="1:14" ht="16.5">
      <c r="A167" s="253">
        <v>16</v>
      </c>
      <c r="B167" s="268">
        <v>111</v>
      </c>
      <c r="C167" s="268">
        <v>114</v>
      </c>
      <c r="D167" s="268">
        <v>114</v>
      </c>
      <c r="E167" s="268">
        <v>113</v>
      </c>
      <c r="F167" s="268">
        <v>109</v>
      </c>
      <c r="G167" s="268">
        <v>107</v>
      </c>
      <c r="H167" s="268">
        <v>102</v>
      </c>
      <c r="I167" s="268">
        <v>93</v>
      </c>
      <c r="J167" s="268">
        <v>87</v>
      </c>
      <c r="K167" s="268">
        <v>80</v>
      </c>
      <c r="L167" s="268">
        <v>76</v>
      </c>
      <c r="M167" s="268">
        <v>74</v>
      </c>
      <c r="N167" s="268">
        <v>69</v>
      </c>
    </row>
    <row r="168" spans="1:14" ht="16.5">
      <c r="A168" s="253">
        <v>17</v>
      </c>
      <c r="B168" s="268">
        <v>117</v>
      </c>
      <c r="C168" s="268">
        <v>120</v>
      </c>
      <c r="D168" s="268">
        <v>120</v>
      </c>
      <c r="E168" s="268">
        <v>119</v>
      </c>
      <c r="F168" s="268">
        <v>114</v>
      </c>
      <c r="G168" s="268">
        <v>112</v>
      </c>
      <c r="H168" s="268">
        <v>107</v>
      </c>
      <c r="I168" s="268">
        <v>98</v>
      </c>
      <c r="J168" s="268">
        <v>92</v>
      </c>
      <c r="K168" s="268">
        <v>84</v>
      </c>
      <c r="L168" s="268">
        <v>80</v>
      </c>
      <c r="M168" s="268">
        <v>79</v>
      </c>
      <c r="N168" s="268">
        <v>75</v>
      </c>
    </row>
    <row r="169" spans="1:14" ht="16.5">
      <c r="A169" s="253">
        <v>18</v>
      </c>
      <c r="B169" s="268">
        <v>124</v>
      </c>
      <c r="C169" s="268">
        <v>126</v>
      </c>
      <c r="D169" s="268">
        <v>125</v>
      </c>
      <c r="E169" s="268">
        <v>125</v>
      </c>
      <c r="F169" s="268">
        <v>119</v>
      </c>
      <c r="G169" s="268">
        <v>117</v>
      </c>
      <c r="H169" s="268">
        <v>112</v>
      </c>
      <c r="I169" s="268">
        <v>104</v>
      </c>
      <c r="J169" s="268">
        <v>97</v>
      </c>
      <c r="K169" s="268">
        <v>88</v>
      </c>
      <c r="L169" s="268">
        <v>84</v>
      </c>
      <c r="M169" s="268">
        <v>84</v>
      </c>
      <c r="N169" s="268">
        <v>81</v>
      </c>
    </row>
    <row r="170" spans="1:14" ht="16.5">
      <c r="A170" s="253">
        <v>19</v>
      </c>
      <c r="B170" s="268">
        <v>133</v>
      </c>
      <c r="C170" s="268">
        <v>133</v>
      </c>
      <c r="D170" s="268">
        <v>133</v>
      </c>
      <c r="E170" s="268">
        <v>133</v>
      </c>
      <c r="F170" s="268">
        <v>133</v>
      </c>
      <c r="G170" s="268">
        <v>133</v>
      </c>
      <c r="H170" s="268">
        <v>133</v>
      </c>
      <c r="I170" s="268">
        <v>133</v>
      </c>
      <c r="J170" s="268">
        <v>133</v>
      </c>
      <c r="K170" s="268">
        <v>133</v>
      </c>
      <c r="L170" s="268">
        <v>133</v>
      </c>
      <c r="M170" s="268">
        <v>133</v>
      </c>
      <c r="N170" s="268">
        <v>133</v>
      </c>
    </row>
    <row r="172" spans="1:14">
      <c r="A172" s="106" t="e">
        <f>WAIS!B5</f>
        <v>#REF!</v>
      </c>
      <c r="B172" t="e">
        <f>IF(A172&gt;B169,A170,IF(A172&gt;B168,A169,IF(A172&gt;B167,A168,IF(A172&gt;B166,A167,IF(A172&gt;B165,A166,IF(A172&gt;B164,A165,IF(A172&gt;B163,A164,IF(A172&gt;B162,A163,IF(A172&gt;B161,A162,IF(A172&gt;B160,A161,IF(A172&gt;B159,A160,IF(A172&gt;B158,A159,IF(A172&gt;B157,A158,IF(A172&gt;B156,A157,IF(A172&gt;B155,A156,IF(A172&gt;B154,A155,IF(A172&gt;B153,A154,IF(A172&gt;B152,A153,1))))))))))))))))))</f>
        <v>#REF!</v>
      </c>
      <c r="C172" t="e">
        <f>IF(A172&gt;C169,A170,IF(A172&gt;C168,A169,IF(A172&gt;C167,A168,IF(A172&gt;C166,A167,IF(A172&gt;C165,A166,IF(A172&gt;C164,A165,IF(A172&gt;C163,A164,IF(A172&gt;C162,A163,IF(A172&gt;C161,A162,IF(A172&gt;C160,A161,IF(A172&gt;C159,A160,IF(A172&gt;C158,A159,IF(A172&gt;C157,A158,IF(A172&gt;C156,A157,IF(A172&gt;C155,A156,IF(A172&gt;C154,A155,IF(A172&gt;C153,A154,IF(A172&gt;C152,A153,1))))))))))))))))))</f>
        <v>#REF!</v>
      </c>
      <c r="D172" t="e">
        <f>IF(A172&gt;D169,A170,IF(A172&gt;D168,A169,IF(A172&gt;D167,A168,IF(A172&gt;D166,A167,IF(A172&gt;D165,A166,IF(A172&gt;D164,A165,IF(A172&gt;D163,A164,IF(A172&gt;D162,A163,IF(A172&gt;D161,A162,IF(A172&gt;D160,A161,IF(A172&gt;D159,A160,IF(A172&gt;D158,A159,IF(A172&gt;D157,A158,IF(A172&gt;D156,A157,IF(A172&gt;D155,A156,IF(A172&gt;D154,A155,IF(A172&gt;D153,A154,IF(A172&gt;D152,A153,1))))))))))))))))))</f>
        <v>#REF!</v>
      </c>
      <c r="E172" t="e">
        <f>IF(A172&gt;E169,A170,IF(A172&gt;E168,A169,IF(A172&gt;E167,A168,IF(A172&gt;E166,A167,IF(A172&gt;E165,A166,IF(A172&gt;E164,A165,IF(A172&gt;E163,A164,IF(A172&gt;E162,A163,IF(A172&gt;E161,A162,IF(A172&gt;E160,A161,IF(A172&gt;E159,A160,IF(A172&gt;E158,A159,IF(A172&gt;E157,A158,IF(A172&gt;E156,A157,IF(A172&gt;E155,A156,IF(A172&gt;E154,A155,IF(A172&gt;E153,A154,IF(A172&gt;E152,A153,1))))))))))))))))))</f>
        <v>#REF!</v>
      </c>
      <c r="F172" t="e">
        <f>IF(A172&gt;F169,A170,IF(A172&gt;F168,A169,IF(A172&gt;F167,A168,IF(A172&gt;F166,A167,IF(A172&gt;F165,A166,IF(A172&gt;F164,A165,IF(A172&gt;F163,A164,IF(A172&gt;F162,A163,IF(A172&gt;F161,A162,IF(A172&gt;F160,A161,IF(A172&gt;F159,A160,IF(A172&gt;F158,A159,IF(A172&gt;F157,A158,IF(A172&gt;F156,A157,IF(A172&gt;F155,A156,IF(A172&gt;F154,A155,IF(A172&gt;F153,A154,IF(A172&gt;F152,A153,1))))))))))))))))))</f>
        <v>#REF!</v>
      </c>
      <c r="G172" t="e">
        <f>IF(A172&gt;G169,A170,IF(A172&gt;G168,A169,IF(A172&gt;G167,A168,IF(A172&gt;G166,A167,IF(A172&gt;G165,A166,IF(A172&gt;G164,A165,IF(A172&gt;G163,A164,IF(A172&gt;G162,A163,IF(A172&gt;G161,A162,IF(A172&gt;G160,A161,IF(A172&gt;G159,A160,IF(A172&gt;G158,A159,IF(A172&gt;G157,A158,IF(A172&gt;G156,A157,IF(A172&gt;G155,A156,IF(A172&gt;G154,A155,IF(A172&gt;G153,A154,IF(A172&gt;G152,A153,1))))))))))))))))))</f>
        <v>#REF!</v>
      </c>
      <c r="H172" t="e">
        <f>IF(A172&gt;H169,A170,IF(A172&gt;H168,A169,IF(A172&gt;H167,A168,IF(A172&gt;H166,A167,IF(A172&gt;H165,A166,IF(A172&gt;H164,A165,IF(A172&gt;H163,A164,IF(A172&gt;H162,A163,IF(A172&gt;H161,A162,IF(A172&gt;H160,A161,IF(A172&gt;H159,A160,IF(A172&gt;H158,A159,IF(A172&gt;H157,A158,IF(A172&gt;H156,A157,IF(A172&gt;H155,A156,IF(A172&gt;H154,A155,IF(A172&gt;H153,A154,IF(A172&gt;H152,A153,1))))))))))))))))))</f>
        <v>#REF!</v>
      </c>
      <c r="I172" t="e">
        <f>IF(A172&gt;I169,A170,IF(A172&gt;I168,A169,IF(A172&gt;I167,A168,IF(A172&gt;I166,A167,IF(A172&gt;I165,A166,IF(A172&gt;I164,A165,IF(A172&gt;I163,A164,IF(A172&gt;I162,A163,IF(A172&gt;I161,A162,IF(A172&gt;I160,A161,IF(A172&gt;I159,A160,IF(A172&gt;I158,A159,IF(A172&gt;I157,A158,IF(A172&gt;I156,A157,IF(A172&gt;I155,A156,IF(A172&gt;I154,A155,IF(A172&gt;I153,A154,IF(A172&gt;I152,A153,1))))))))))))))))))</f>
        <v>#REF!</v>
      </c>
      <c r="J172" t="e">
        <f>IF(A172&gt;J169,A170,IF(A172&gt;J168,A169,IF(A172&gt;J167,A168,IF(A172&gt;J166,A167,IF(A172&gt;J165,A166,IF(A172&gt;J164,A165,IF(A172&gt;J163,A164,IF(A172&gt;J162,A163,IF(A172&gt;J161,A162,IF(A172&gt;J160,A161,IF(A172&gt;J159,A160,IF(A172&gt;J158,A159,IF(A172&gt;J157,A158,IF(A172&gt;J156,A157,IF(A172&gt;J155,A156,IF(A172&gt;J154,A155,IF(A172&gt;J153,A154,IF(A172&gt;J152,A153,1))))))))))))))))))</f>
        <v>#REF!</v>
      </c>
      <c r="K172" s="250" t="e">
        <f>IF(A172&gt;K169,A170,IF(A172&gt;K168,A169,IF(A172&gt;K167,A168,IF(A172&gt;K166,A167,IF(A172&gt;K165,A166,IF(A172&gt;K164,A165,IF(A172&gt;K163,A164,IF(A172&gt;K162,A163,IF(A172&gt;K161,A162,IF(A172&gt;K160,A161,IF(A172&gt;K159,A160,IF(A172&gt;K158,A159,IF(A172&gt;K157,A158,IF(A172&gt;K156,A157,IF(A172&gt;K155,A156,IF(A172&gt;K154,A155,IF(A172&gt;K153,A154,IF(A172&gt;K152,A153,1))))))))))))))))))</f>
        <v>#REF!</v>
      </c>
      <c r="L172" t="e">
        <f>IF(A172&gt;L169,A170,IF(A172&gt;L168,A169,IF(A172&gt;L167,A168,IF(A172&gt;L166,A167,IF(A172&gt;L165,A166,IF(A172&gt;L164,A165,IF(A172&gt;L163,A164,IF(A172&gt;L162,A163,IF(A172&gt;L161,A162,IF(A172&gt;L160,A161,IF(A172&gt;L159,A160,IF(A172&gt;L158,A159,IF(A172&gt;L157,A158,IF(A172&gt;L156,A157,IF(A172&gt;L155,A156,IF(A172&gt;L154,A155,IF(A172&gt;L153,A154,IF(A172&gt;L152,A153,1))))))))))))))))))</f>
        <v>#REF!</v>
      </c>
      <c r="M172" t="e">
        <f>IF(A172&gt;M169,A170,IF(A172&gt;M168,A169,IF(A172&gt;M167,A168,IF(A172&gt;M166,A167,IF(A172&gt;M165,A166,IF(A172&gt;M164,A165,IF(A172&gt;M163,A164,IF(A172&gt;M162,A163,IF(A172&gt;M161,A162,IF(A172&gt;M160,A161,IF(A172&gt;M159,A160,IF(A172&gt;M158,A159,IF(A172&gt;M157,A158,IF(A172&gt;M156,A157,IF(A172&gt;M155,A156,IF(A172&gt;M154,A155,IF(A172&gt;M153,A154,IF(A172&gt;M152,A153,1))))))))))))))))))</f>
        <v>#REF!</v>
      </c>
      <c r="N172" t="e">
        <f>IF(A172&gt;N169,A170,IF(A172&gt;N168,A169,IF(A172&gt;N167,A168,IF(A172&gt;N166,A167,IF(A172&gt;N165,A166,IF(A172&gt;N164,A165,IF(A172&gt;N163,A164,IF(A172&gt;N162,A163,IF(A172&gt;N161,A162,IF(A172&gt;N160,A161,IF(A172&gt;N159,A160,IF(A172&gt;N158,A159,IF(A172&gt;N157,A158,IF(A172&gt;N156,A157,IF(A172&gt;N155,A156,IF(A172&gt;N154,A155,IF(A172&gt;N153,A154,IF(A172&gt;N152,A153,1))))))))))))))))))</f>
        <v>#REF!</v>
      </c>
    </row>
    <row r="173" spans="1:14">
      <c r="A173" s="62">
        <f>A148</f>
        <v>0</v>
      </c>
    </row>
    <row r="174" spans="1:14">
      <c r="A174" s="259" t="e">
        <f>IF(A173&gt;M151,N172,IF(A173&gt;L151,M172,IF(A173&gt;K151,L172,IF(A173&gt;J151,K172,IF(A173&gt;I151,J172,IF(A173&gt;H151,I172,IF(A173&gt;G151,H172,IF(A173&gt;F151,G172,IF(A173&gt;E151,F172,IF(A173&gt;D151,E172,IF(A173&gt;C151,D172,IF(A173&gt;B151,C172,B172))))))))))))</f>
        <v>#REF!</v>
      </c>
    </row>
    <row r="176" spans="1:14" ht="16.5" thickBot="1">
      <c r="A176" t="s">
        <v>225</v>
      </c>
      <c r="B176" s="254">
        <v>17</v>
      </c>
      <c r="C176" s="254">
        <v>19</v>
      </c>
      <c r="D176" s="254">
        <v>24</v>
      </c>
      <c r="E176" s="254">
        <v>29</v>
      </c>
      <c r="F176" s="254">
        <v>34</v>
      </c>
      <c r="G176" s="254">
        <v>44</v>
      </c>
      <c r="H176" s="254">
        <v>54</v>
      </c>
      <c r="I176" s="254">
        <v>64</v>
      </c>
      <c r="J176" s="254">
        <v>69</v>
      </c>
      <c r="K176" s="254">
        <v>74</v>
      </c>
      <c r="L176" s="254">
        <v>79</v>
      </c>
      <c r="M176" s="254">
        <v>84</v>
      </c>
      <c r="N176" s="254">
        <v>89</v>
      </c>
    </row>
    <row r="177" spans="1:14" ht="16.5" thickBot="1">
      <c r="A177" s="253">
        <v>1</v>
      </c>
      <c r="B177" s="255">
        <v>3</v>
      </c>
      <c r="C177" s="255">
        <v>3</v>
      </c>
      <c r="D177" s="255">
        <v>3</v>
      </c>
      <c r="E177" s="255">
        <v>4</v>
      </c>
      <c r="F177" s="255">
        <v>4</v>
      </c>
      <c r="G177" s="255">
        <v>5</v>
      </c>
      <c r="H177" s="255">
        <v>3</v>
      </c>
      <c r="I177" s="255">
        <v>2</v>
      </c>
      <c r="J177" s="255">
        <v>1</v>
      </c>
      <c r="K177" s="255">
        <v>0</v>
      </c>
      <c r="L177" s="255">
        <v>0</v>
      </c>
      <c r="M177" s="255">
        <v>0</v>
      </c>
      <c r="N177" s="255">
        <v>0</v>
      </c>
    </row>
    <row r="178" spans="1:14" ht="16.5" thickBot="1">
      <c r="A178" s="253">
        <v>2</v>
      </c>
      <c r="B178" s="255">
        <v>4</v>
      </c>
      <c r="C178" s="255">
        <v>4</v>
      </c>
      <c r="D178" s="255">
        <v>5</v>
      </c>
      <c r="E178" s="255">
        <v>5</v>
      </c>
      <c r="F178" s="255">
        <v>6</v>
      </c>
      <c r="G178" s="255">
        <v>7</v>
      </c>
      <c r="H178" s="255">
        <v>5</v>
      </c>
      <c r="I178" s="255">
        <v>4</v>
      </c>
      <c r="J178" s="255">
        <v>3</v>
      </c>
      <c r="K178" s="255">
        <v>2</v>
      </c>
      <c r="L178" s="255">
        <v>2</v>
      </c>
      <c r="M178" s="255">
        <v>1</v>
      </c>
      <c r="N178" s="255">
        <v>1</v>
      </c>
    </row>
    <row r="179" spans="1:14" ht="16.5" thickBot="1">
      <c r="A179" s="253">
        <v>3</v>
      </c>
      <c r="B179" s="255">
        <v>6</v>
      </c>
      <c r="C179" s="255">
        <v>6</v>
      </c>
      <c r="D179" s="255">
        <v>6</v>
      </c>
      <c r="E179" s="255">
        <v>7</v>
      </c>
      <c r="F179" s="255">
        <v>8</v>
      </c>
      <c r="G179" s="255">
        <v>10</v>
      </c>
      <c r="H179" s="255">
        <v>7</v>
      </c>
      <c r="I179" s="255">
        <v>6</v>
      </c>
      <c r="J179" s="255">
        <v>5</v>
      </c>
      <c r="K179" s="255">
        <v>4</v>
      </c>
      <c r="L179" s="255">
        <v>4</v>
      </c>
      <c r="M179" s="255">
        <v>3</v>
      </c>
      <c r="N179" s="255">
        <v>3</v>
      </c>
    </row>
    <row r="180" spans="1:14" ht="16.5" thickBot="1">
      <c r="A180" s="253">
        <v>4</v>
      </c>
      <c r="B180" s="255">
        <v>8</v>
      </c>
      <c r="C180" s="255">
        <v>8</v>
      </c>
      <c r="D180" s="255">
        <v>9</v>
      </c>
      <c r="E180" s="255">
        <v>10</v>
      </c>
      <c r="F180" s="255">
        <v>10</v>
      </c>
      <c r="G180" s="255">
        <v>13</v>
      </c>
      <c r="H180" s="255">
        <v>9</v>
      </c>
      <c r="I180" s="255">
        <v>8</v>
      </c>
      <c r="J180" s="255">
        <v>8</v>
      </c>
      <c r="K180" s="255">
        <v>7</v>
      </c>
      <c r="L180" s="255">
        <v>7</v>
      </c>
      <c r="M180" s="255">
        <v>5</v>
      </c>
      <c r="N180" s="255">
        <v>5</v>
      </c>
    </row>
    <row r="181" spans="1:14" ht="16.5" thickBot="1">
      <c r="A181" s="253">
        <v>5</v>
      </c>
      <c r="B181" s="255">
        <v>10</v>
      </c>
      <c r="C181" s="255">
        <v>10</v>
      </c>
      <c r="D181" s="255">
        <v>11</v>
      </c>
      <c r="E181" s="255">
        <v>13</v>
      </c>
      <c r="F181" s="255">
        <v>13</v>
      </c>
      <c r="G181" s="255">
        <v>15</v>
      </c>
      <c r="H181" s="255">
        <v>11</v>
      </c>
      <c r="I181" s="255">
        <v>10</v>
      </c>
      <c r="J181" s="255">
        <v>10</v>
      </c>
      <c r="K181" s="255">
        <v>10</v>
      </c>
      <c r="L181" s="255">
        <v>10</v>
      </c>
      <c r="M181" s="255">
        <v>7</v>
      </c>
      <c r="N181" s="255">
        <v>7</v>
      </c>
    </row>
    <row r="182" spans="1:14" ht="16.5" thickBot="1">
      <c r="A182" s="253">
        <v>6</v>
      </c>
      <c r="B182" s="255">
        <v>13</v>
      </c>
      <c r="C182" s="255">
        <v>13</v>
      </c>
      <c r="D182" s="255">
        <v>13</v>
      </c>
      <c r="E182" s="255">
        <v>15</v>
      </c>
      <c r="F182" s="255">
        <v>15</v>
      </c>
      <c r="G182" s="255">
        <v>16</v>
      </c>
      <c r="H182" s="255">
        <v>14</v>
      </c>
      <c r="I182" s="255">
        <v>12</v>
      </c>
      <c r="J182" s="255">
        <v>12</v>
      </c>
      <c r="K182" s="255">
        <v>12</v>
      </c>
      <c r="L182" s="255">
        <v>12</v>
      </c>
      <c r="M182" s="255">
        <v>9</v>
      </c>
      <c r="N182" s="255">
        <v>9</v>
      </c>
    </row>
    <row r="183" spans="1:14" ht="16.5" thickBot="1">
      <c r="A183" s="253">
        <v>7</v>
      </c>
      <c r="B183" s="255">
        <v>15</v>
      </c>
      <c r="C183" s="255">
        <v>16</v>
      </c>
      <c r="D183" s="255">
        <v>16</v>
      </c>
      <c r="E183" s="255">
        <v>17</v>
      </c>
      <c r="F183" s="255">
        <v>17</v>
      </c>
      <c r="G183" s="255">
        <v>18</v>
      </c>
      <c r="H183" s="255">
        <v>17</v>
      </c>
      <c r="I183" s="255">
        <v>14</v>
      </c>
      <c r="J183" s="255">
        <v>14</v>
      </c>
      <c r="K183" s="255">
        <v>14</v>
      </c>
      <c r="L183" s="255">
        <v>14</v>
      </c>
      <c r="M183" s="255">
        <v>12</v>
      </c>
      <c r="N183" s="255">
        <v>11</v>
      </c>
    </row>
    <row r="184" spans="1:14" ht="16.5" thickBot="1">
      <c r="A184" s="253">
        <v>8</v>
      </c>
      <c r="B184" s="255">
        <v>17</v>
      </c>
      <c r="C184" s="255">
        <v>19</v>
      </c>
      <c r="D184" s="255">
        <v>19</v>
      </c>
      <c r="E184" s="255">
        <v>19</v>
      </c>
      <c r="F184" s="255">
        <v>20</v>
      </c>
      <c r="G184" s="255">
        <v>20</v>
      </c>
      <c r="H184" s="255">
        <v>20</v>
      </c>
      <c r="I184" s="255">
        <v>16</v>
      </c>
      <c r="J184" s="255">
        <v>16</v>
      </c>
      <c r="K184" s="255">
        <v>16</v>
      </c>
      <c r="L184" s="255">
        <v>16</v>
      </c>
      <c r="M184" s="255">
        <v>14</v>
      </c>
      <c r="N184" s="255">
        <v>13</v>
      </c>
    </row>
    <row r="185" spans="1:14" ht="16.5" thickBot="1">
      <c r="A185" s="253">
        <v>9</v>
      </c>
      <c r="B185" s="255">
        <v>20</v>
      </c>
      <c r="C185" s="255">
        <v>21</v>
      </c>
      <c r="D185" s="255">
        <v>21</v>
      </c>
      <c r="E185" s="255">
        <v>21</v>
      </c>
      <c r="F185" s="255">
        <v>22</v>
      </c>
      <c r="G185" s="255">
        <v>22</v>
      </c>
      <c r="H185" s="255">
        <v>22</v>
      </c>
      <c r="I185" s="255">
        <v>19</v>
      </c>
      <c r="J185" s="255">
        <v>18</v>
      </c>
      <c r="K185" s="255">
        <v>18</v>
      </c>
      <c r="L185" s="255">
        <v>18</v>
      </c>
      <c r="M185" s="255">
        <v>16</v>
      </c>
      <c r="N185" s="255">
        <v>15</v>
      </c>
    </row>
    <row r="186" spans="1:14" ht="16.5" thickBot="1">
      <c r="A186" s="253">
        <v>10</v>
      </c>
      <c r="B186" s="255">
        <v>23</v>
      </c>
      <c r="C186" s="255">
        <v>23</v>
      </c>
      <c r="D186" s="255">
        <v>23</v>
      </c>
      <c r="E186" s="255">
        <v>23</v>
      </c>
      <c r="F186" s="255">
        <v>24</v>
      </c>
      <c r="G186" s="255">
        <v>24</v>
      </c>
      <c r="H186" s="255">
        <v>24</v>
      </c>
      <c r="I186" s="255">
        <v>22</v>
      </c>
      <c r="J186" s="255">
        <v>21</v>
      </c>
      <c r="K186" s="255">
        <v>21</v>
      </c>
      <c r="L186" s="255">
        <v>20</v>
      </c>
      <c r="M186" s="255">
        <v>18</v>
      </c>
      <c r="N186" s="255">
        <v>17</v>
      </c>
    </row>
    <row r="187" spans="1:14" ht="16.5" thickBot="1">
      <c r="A187" s="253">
        <v>11</v>
      </c>
      <c r="B187" s="255">
        <v>24</v>
      </c>
      <c r="C187" s="255">
        <v>25</v>
      </c>
      <c r="D187" s="255">
        <v>25</v>
      </c>
      <c r="E187" s="255">
        <v>25</v>
      </c>
      <c r="F187" s="255">
        <v>26</v>
      </c>
      <c r="G187" s="255">
        <v>26</v>
      </c>
      <c r="H187" s="255">
        <v>26</v>
      </c>
      <c r="I187" s="255">
        <v>24</v>
      </c>
      <c r="J187" s="255">
        <v>23</v>
      </c>
      <c r="K187" s="255">
        <v>23</v>
      </c>
      <c r="L187" s="255">
        <v>22</v>
      </c>
      <c r="M187" s="255">
        <v>20</v>
      </c>
      <c r="N187" s="255">
        <v>19</v>
      </c>
    </row>
    <row r="188" spans="1:14" ht="16.5" thickBot="1">
      <c r="A188" s="253">
        <v>12</v>
      </c>
      <c r="B188" s="255">
        <v>25</v>
      </c>
      <c r="C188" s="255">
        <v>26</v>
      </c>
      <c r="D188" s="255">
        <v>26</v>
      </c>
      <c r="E188" s="255">
        <v>27</v>
      </c>
      <c r="F188" s="255">
        <v>27</v>
      </c>
      <c r="G188" s="255">
        <v>28</v>
      </c>
      <c r="H188" s="255">
        <v>28</v>
      </c>
      <c r="I188" s="255">
        <v>26</v>
      </c>
      <c r="J188" s="255">
        <v>25</v>
      </c>
      <c r="K188" s="255">
        <v>24</v>
      </c>
      <c r="L188" s="255">
        <v>24</v>
      </c>
      <c r="M188" s="255">
        <v>22</v>
      </c>
      <c r="N188" s="255">
        <v>21</v>
      </c>
    </row>
    <row r="189" spans="1:14" ht="16.5" thickBot="1">
      <c r="A189" s="253">
        <v>13</v>
      </c>
      <c r="B189" s="312">
        <v>25</v>
      </c>
      <c r="C189" s="255">
        <v>27</v>
      </c>
      <c r="D189" s="255">
        <v>27</v>
      </c>
      <c r="E189" s="255">
        <v>28</v>
      </c>
      <c r="F189" s="255">
        <v>28</v>
      </c>
      <c r="G189" s="255">
        <v>29</v>
      </c>
      <c r="H189" s="255">
        <v>29</v>
      </c>
      <c r="I189" s="255">
        <v>27</v>
      </c>
      <c r="J189" s="255">
        <v>27</v>
      </c>
      <c r="K189" s="255">
        <v>26</v>
      </c>
      <c r="L189" s="255">
        <v>26</v>
      </c>
      <c r="M189" s="255">
        <v>24</v>
      </c>
      <c r="N189" s="255">
        <v>23</v>
      </c>
    </row>
    <row r="190" spans="1:14" ht="16.5" thickBot="1">
      <c r="A190" s="253">
        <v>14</v>
      </c>
      <c r="B190" s="255">
        <v>26</v>
      </c>
      <c r="C190" s="255">
        <v>28</v>
      </c>
      <c r="D190" s="255">
        <v>28</v>
      </c>
      <c r="E190" s="255">
        <v>29</v>
      </c>
      <c r="F190" s="255">
        <v>29</v>
      </c>
      <c r="G190" s="255">
        <v>30</v>
      </c>
      <c r="H190" s="312">
        <v>29</v>
      </c>
      <c r="I190" s="255">
        <v>28</v>
      </c>
      <c r="J190" s="255">
        <v>28</v>
      </c>
      <c r="K190" s="255">
        <v>27</v>
      </c>
      <c r="L190" s="255">
        <v>27</v>
      </c>
      <c r="M190" s="255">
        <v>26</v>
      </c>
      <c r="N190" s="255">
        <v>25</v>
      </c>
    </row>
    <row r="191" spans="1:14" ht="16.5" thickBot="1">
      <c r="A191" s="253">
        <v>15</v>
      </c>
      <c r="B191" s="255">
        <v>27</v>
      </c>
      <c r="C191" s="255">
        <v>29</v>
      </c>
      <c r="D191" s="255">
        <v>29</v>
      </c>
      <c r="E191" s="255">
        <v>30</v>
      </c>
      <c r="F191" s="255">
        <v>30</v>
      </c>
      <c r="G191" s="255">
        <v>31</v>
      </c>
      <c r="H191" s="255">
        <v>30</v>
      </c>
      <c r="I191" s="255">
        <v>29</v>
      </c>
      <c r="J191" s="255">
        <v>29</v>
      </c>
      <c r="K191" s="255">
        <v>27</v>
      </c>
      <c r="L191" s="255">
        <v>28</v>
      </c>
      <c r="M191" s="255">
        <v>28</v>
      </c>
      <c r="N191" s="255">
        <v>27</v>
      </c>
    </row>
    <row r="192" spans="1:14" ht="16.5" thickBot="1">
      <c r="A192" s="253">
        <v>16</v>
      </c>
      <c r="B192" s="255">
        <v>28</v>
      </c>
      <c r="C192" s="255">
        <v>30</v>
      </c>
      <c r="D192" s="255">
        <v>30</v>
      </c>
      <c r="E192" s="255">
        <v>31</v>
      </c>
      <c r="F192" s="255">
        <v>31</v>
      </c>
      <c r="G192" s="255">
        <v>32</v>
      </c>
      <c r="H192" s="312">
        <v>30</v>
      </c>
      <c r="I192" s="255">
        <v>30</v>
      </c>
      <c r="J192" s="255">
        <v>30</v>
      </c>
      <c r="K192" s="255">
        <v>29</v>
      </c>
      <c r="L192" s="255">
        <v>29</v>
      </c>
      <c r="M192" s="255">
        <v>29</v>
      </c>
      <c r="N192" s="255">
        <v>28</v>
      </c>
    </row>
    <row r="193" spans="1:14" ht="16.5" thickBot="1">
      <c r="A193" s="253">
        <v>17</v>
      </c>
      <c r="B193" s="255">
        <v>29</v>
      </c>
      <c r="C193" s="255">
        <v>31</v>
      </c>
      <c r="D193" s="255">
        <v>31</v>
      </c>
      <c r="E193" s="255">
        <v>32</v>
      </c>
      <c r="F193" s="255">
        <v>32</v>
      </c>
      <c r="G193" s="255">
        <v>33</v>
      </c>
      <c r="H193" s="255">
        <v>33</v>
      </c>
      <c r="I193" s="255">
        <v>31</v>
      </c>
      <c r="J193" s="255">
        <v>31</v>
      </c>
      <c r="K193" s="255">
        <v>30</v>
      </c>
      <c r="L193" s="255">
        <v>30</v>
      </c>
      <c r="M193" s="255">
        <v>30</v>
      </c>
      <c r="N193" s="255">
        <v>29</v>
      </c>
    </row>
    <row r="194" spans="1:14" ht="16.5" thickBot="1">
      <c r="A194" s="253">
        <v>18</v>
      </c>
      <c r="B194" s="255">
        <v>31</v>
      </c>
      <c r="C194" s="255">
        <v>32</v>
      </c>
      <c r="D194" s="255">
        <v>32</v>
      </c>
      <c r="E194" s="255">
        <v>33</v>
      </c>
      <c r="F194" s="255">
        <v>33</v>
      </c>
      <c r="G194" s="257" t="s">
        <v>150</v>
      </c>
      <c r="H194" s="256" t="s">
        <v>150</v>
      </c>
      <c r="I194" s="255">
        <v>33</v>
      </c>
      <c r="J194" s="255">
        <v>32</v>
      </c>
      <c r="K194" s="255">
        <v>31</v>
      </c>
      <c r="L194" s="255">
        <v>31</v>
      </c>
      <c r="M194" s="255">
        <v>31</v>
      </c>
      <c r="N194" s="255">
        <v>30</v>
      </c>
    </row>
    <row r="195" spans="1:14" ht="16.5" thickBot="1">
      <c r="A195" s="253">
        <v>19</v>
      </c>
      <c r="B195" s="255">
        <v>33</v>
      </c>
      <c r="C195" s="255">
        <v>33</v>
      </c>
      <c r="D195" s="255">
        <v>33</v>
      </c>
      <c r="E195" s="257" t="s">
        <v>150</v>
      </c>
      <c r="F195" s="257" t="s">
        <v>150</v>
      </c>
      <c r="G195" s="257" t="s">
        <v>150</v>
      </c>
      <c r="H195" s="256" t="s">
        <v>150</v>
      </c>
      <c r="I195" s="256" t="s">
        <v>150</v>
      </c>
      <c r="J195" s="255">
        <v>33</v>
      </c>
      <c r="K195" s="255">
        <v>33</v>
      </c>
      <c r="L195" s="255">
        <v>33</v>
      </c>
      <c r="M195" s="255">
        <v>33</v>
      </c>
      <c r="N195" s="255">
        <v>33</v>
      </c>
    </row>
    <row r="197" spans="1:14">
      <c r="A197">
        <f>WAIS!B6</f>
        <v>0</v>
      </c>
      <c r="B197">
        <f>IF(A197&gt;B194,A195,IF(A197&gt;B193,A194,IF(A197&gt;B192,A193,IF(A197&gt;B191,A192,IF(A197&gt;B190,A191,IF(A197&gt;B189,A190,IF(A197&gt;B188,A189,IF(A197&gt;B187,A188,IF(A197&gt;B186,A187,IF(A197&gt;B185,A186,IF(A197&gt;B184,A185,IF(A197&gt;B183,A184,IF(A197&gt;B182,A183,IF(A197&gt;B181,A182,IF(A197&gt;B180,A181,IF(A197&gt;B179,A180,IF(A197&gt;B178,A179,IF(A197&gt;B177,A178,1))))))))))))))))))</f>
        <v>1</v>
      </c>
      <c r="C197">
        <f>IF(A197&gt;C194,A195,IF(A197&gt;C193,A194,IF(A197&gt;C192,A193,IF(A197&gt;C191,A192,IF(A197&gt;C190,A191,IF(A197&gt;C189,A190,IF(A197&gt;C188,A189,IF(A197&gt;C187,A188,IF(A197&gt;C186,A187,IF(A197&gt;C185,A186,IF(A197&gt;C184,A185,IF(A197&gt;C183,A184,IF(A197&gt;C182,A183,IF(A197&gt;C181,A182,IF(A197&gt;C180,A181,IF(A197&gt;C179,A180,IF(A197&gt;C178,A179,IF(A197&gt;C177,A178,1))))))))))))))))))</f>
        <v>1</v>
      </c>
      <c r="D197">
        <f>IF(A197&gt;D194,A195,IF(A197&gt;D193,A194,IF(A197&gt;D192,A193,IF(A197&gt;D191,A192,IF(A197&gt;D190,A191,IF(A197&gt;D189,A190,IF(A197&gt;D188,A189,IF(A197&gt;D187,A188,IF(A197&gt;D186,A187,IF(A197&gt;D185,A186,IF(A197&gt;D184,A185,IF(A197&gt;D183,A184,IF(A197&gt;D182,A183,IF(A197&gt;D181,A182,IF(A197&gt;D180,A181,IF(A197&gt;D179,A180,IF(A197&gt;D178,A179,IF(A197&gt;D177,A178,1))))))))))))))))))</f>
        <v>1</v>
      </c>
      <c r="E197">
        <f>IF(A197&gt;E194,A195,IF(A197&gt;E193,A194,IF(A197&gt;E192,A193,IF(A197&gt;E191,A192,IF(A197&gt;E190,A191,IF(A197&gt;E189,A190,IF(A197&gt;E188,A189,IF(A197&gt;E187,A188,IF(A197&gt;E186,A187,IF(A197&gt;E185,A186,IF(A197&gt;E184,A185,IF(A197&gt;E183,A184,IF(A197&gt;E182,A183,IF(A197&gt;E181,A182,IF(A197&gt;E180,A181,IF(A197&gt;E179,A180,IF(A197&gt;E178,A179,IF(A197&gt;E177,A178,1))))))))))))))))))</f>
        <v>1</v>
      </c>
      <c r="F197">
        <f>IF(A197&gt;F194,A195,IF(A197&gt;F193,A194,IF(A197&gt;F192,A193,IF(A197&gt;F191,A192,IF(A197&gt;F190,A191,IF(A197&gt;F189,A190,IF(A197&gt;F188,A189,IF(A197&gt;F187,A188,IF(A197&gt;F186,A187,IF(A197&gt;F185,A186,IF(A197&gt;F184,A185,IF(A197&gt;F183,A184,IF(A197&gt;F182,A183,IF(A197&gt;F181,A182,IF(A197&gt;F180,A181,IF(A197&gt;F179,A180,IF(A197&gt;F178,A179,IF(A197&gt;F177,A178,1))))))))))))))))))</f>
        <v>1</v>
      </c>
      <c r="G197">
        <f>IF(A197&gt;G194,A195,IF(A197&gt;G193,A194,IF(A197&gt;G192,A193,IF(A197&gt;G191,A192,IF(A197&gt;G190,A191,IF(A197&gt;G189,A190,IF(A197&gt;G188,A189,IF(A197&gt;G187,A188,IF(A197&gt;G186,A187,IF(A197&gt;G185,A186,IF(A197&gt;G184,A185,IF(A197&gt;G183,A184,IF(A197&gt;G182,A183,IF(A197&gt;G181,A182,IF(A197&gt;G180,A181,IF(A197&gt;G179,A180,IF(A197&gt;G178,A179,IF(A197&gt;G177,A178,1))))))))))))))))))</f>
        <v>1</v>
      </c>
      <c r="H197">
        <f>IF(A197&gt;H194,A195,IF(A197&gt;H193,A194,IF(A197&gt;H192,A193,IF(A197&gt;H191,A192,IF(A197&gt;H190,A191,IF(A197&gt;H189,A190,IF(A197&gt;H188,A189,IF(A197&gt;H187,A188,IF(A197&gt;H186,A187,IF(A197&gt;H185,A186,IF(A197&gt;H184,A185,IF(A197&gt;H183,A184,IF(A197&gt;H182,A183,IF(A197&gt;H181,A182,IF(A197&gt;H180,A181,IF(A197&gt;H179,A180,IF(A197&gt;H178,A179,IF(A197&gt;H177,A178,1))))))))))))))))))</f>
        <v>1</v>
      </c>
      <c r="I197">
        <f>IF(A197&gt;I194,A195,IF(A197&gt;I193,A194,IF(A197&gt;I192,A193,IF(A197&gt;I191,A192,IF(A197&gt;I190,A191,IF(A197&gt;I189,A190,IF(A197&gt;I188,A189,IF(A197&gt;I187,A188,IF(A197&gt;I186,A187,IF(A197&gt;I185,A186,IF(A197&gt;I184,A185,IF(A197&gt;I183,A184,IF(A197&gt;I182,A183,IF(A197&gt;I181,A182,IF(A197&gt;I180,A181,IF(A197&gt;I179,A180,IF(A197&gt;I178,A179,IF(A197&gt;I177,A178,1))))))))))))))))))</f>
        <v>1</v>
      </c>
      <c r="J197">
        <f>IF(A197&gt;J194,A195,IF(A197&gt;J193,A194,IF(A197&gt;J192,A193,IF(A197&gt;J191,A192,IF(A197&gt;J190,A191,IF(A197&gt;J189,A190,IF(A197&gt;J188,A189,IF(A197&gt;J187,A188,IF(A197&gt;J186,A187,IF(A197&gt;J185,A186,IF(A197&gt;J184,A185,IF(A197&gt;J183,A184,IF(A197&gt;J182,A183,IF(A197&gt;J181,A182,IF(A197&gt;J180,A181,IF(A197&gt;J179,A180,IF(A197&gt;J178,A179,IF(A197&gt;J177,A178,1))))))))))))))))))</f>
        <v>1</v>
      </c>
      <c r="K197" s="250">
        <f>IF(A197&gt;K194,A195,IF(A197&gt;K193,A194,IF(A197&gt;K192,A193,IF(A197&gt;K191,A192,IF(A197&gt;K190,A191,IF(A197&gt;K189,A190,IF(A197&gt;K188,A189,IF(A197&gt;K187,A188,IF(A197&gt;K186,A187,IF(A197&gt;K185,A186,IF(A197&gt;K184,A185,IF(A197&gt;K183,A184,IF(A197&gt;K182,A183,IF(A197&gt;K181,A182,IF(A197&gt;K180,A181,IF(A197&gt;K179,A180,IF(A197&gt;K178,A179,IF(A197&gt;K177,A178,1))))))))))))))))))</f>
        <v>1</v>
      </c>
      <c r="L197">
        <f>IF(A197&gt;L194,A195,IF(A197&gt;L193,A194,IF(A197&gt;L192,A193,IF(A197&gt;L191,A192,IF(A197&gt;L190,A191,IF(A197&gt;L189,A190,IF(A197&gt;L188,A189,IF(A197&gt;L187,A188,IF(A197&gt;L186,A187,IF(A197&gt;L185,A186,IF(A197&gt;L184,A185,IF(A197&gt;L183,A184,IF(A197&gt;L182,A183,IF(A197&gt;L181,A182,IF(A197&gt;L180,A181,IF(A197&gt;L179,A180,IF(A197&gt;L178,A179,IF(A197&gt;L177,A178,1))))))))))))))))))</f>
        <v>1</v>
      </c>
      <c r="M197">
        <f>IF(A197&gt;M194,A195,IF(A197&gt;M193,A194,IF(A197&gt;M192,A193,IF(A197&gt;M191,A192,IF(A197&gt;M190,A191,IF(A197&gt;M189,A190,IF(A197&gt;M188,A189,IF(A197&gt;M187,A188,IF(A197&gt;M186,A187,IF(A197&gt;M185,A186,IF(A197&gt;M184,A185,IF(A197&gt;M183,A184,IF(A197&gt;M182,A183,IF(A197&gt;M181,A182,IF(A197&gt;M180,A181,IF(A197&gt;M179,A180,IF(A197&gt;M178,A179,IF(A197&gt;M177,A178,1))))))))))))))))))</f>
        <v>1</v>
      </c>
      <c r="N197">
        <f>IF(A197&gt;N194,A195,IF(A197&gt;N193,A194,IF(A197&gt;N192,A193,IF(A197&gt;N191,A192,IF(A197&gt;N190,A191,IF(A197&gt;N189,A190,IF(A197&gt;N188,A189,IF(A197&gt;N187,A188,IF(A197&gt;N186,A187,IF(A197&gt;N185,A186,IF(A197&gt;N184,A185,IF(A197&gt;N183,A184,IF(A197&gt;N182,A183,IF(A197&gt;N181,A182,IF(A197&gt;N180,A181,IF(A197&gt;N179,A180,IF(A197&gt;N178,A179,IF(A197&gt;N177,A178,1))))))))))))))))))</f>
        <v>1</v>
      </c>
    </row>
    <row r="198" spans="1:14">
      <c r="A198" s="62">
        <f>A173</f>
        <v>0</v>
      </c>
    </row>
    <row r="199" spans="1:14">
      <c r="A199" s="259">
        <f>IF(A198&gt;M176,N197,IF(A198&gt;L176,M197,IF(A198&gt;K176,L197,IF(A198&gt;J176,K197,IF(A198&gt;I176,J197,IF(A198&gt;H176,I197,IF(A198&gt;G176,H197,IF(A198&gt;F176,G197,IF(A198&gt;E176,F197,IF(A198&gt;D176,E197,IF(A198&gt;C176,D197,IF(A198&gt;B176,C197,B197))))))))))))</f>
        <v>1</v>
      </c>
    </row>
    <row r="201" spans="1:14" ht="16.5" thickBot="1">
      <c r="A201" t="s">
        <v>229</v>
      </c>
      <c r="B201" s="254">
        <v>17</v>
      </c>
      <c r="C201" s="254">
        <v>19</v>
      </c>
      <c r="D201" s="254">
        <v>24</v>
      </c>
      <c r="E201" s="254">
        <v>29</v>
      </c>
      <c r="F201" s="254">
        <v>34</v>
      </c>
      <c r="G201" s="254">
        <v>44</v>
      </c>
      <c r="H201" s="254">
        <v>54</v>
      </c>
      <c r="I201" s="254">
        <v>64</v>
      </c>
      <c r="J201" s="254">
        <v>69</v>
      </c>
      <c r="K201" s="254">
        <v>74</v>
      </c>
      <c r="L201" s="254">
        <v>79</v>
      </c>
      <c r="M201" s="254">
        <v>84</v>
      </c>
      <c r="N201" s="254">
        <v>89</v>
      </c>
    </row>
    <row r="202" spans="1:14" ht="16.5" thickBot="1">
      <c r="A202" s="253">
        <v>1</v>
      </c>
      <c r="B202" s="255">
        <v>0</v>
      </c>
      <c r="C202" s="255">
        <v>0</v>
      </c>
      <c r="D202" s="255">
        <v>0</v>
      </c>
      <c r="E202" s="255">
        <v>0</v>
      </c>
      <c r="F202" s="255">
        <v>0</v>
      </c>
      <c r="G202" s="255">
        <v>1</v>
      </c>
      <c r="H202" s="255">
        <v>1</v>
      </c>
      <c r="I202" s="255">
        <v>1</v>
      </c>
      <c r="J202" s="255">
        <v>1</v>
      </c>
      <c r="K202" s="255">
        <v>1</v>
      </c>
      <c r="L202" s="255">
        <v>0</v>
      </c>
      <c r="M202" s="255">
        <v>0</v>
      </c>
      <c r="N202" s="255">
        <v>0</v>
      </c>
    </row>
    <row r="203" spans="1:14" ht="16.5" thickBot="1">
      <c r="A203" s="253">
        <v>2</v>
      </c>
      <c r="B203" s="255">
        <v>1</v>
      </c>
      <c r="C203" s="255">
        <v>1</v>
      </c>
      <c r="D203" s="255">
        <v>1</v>
      </c>
      <c r="E203" s="255">
        <v>1</v>
      </c>
      <c r="F203" s="255">
        <v>1</v>
      </c>
      <c r="G203" s="255">
        <v>3</v>
      </c>
      <c r="H203" s="255">
        <v>3</v>
      </c>
      <c r="I203" s="255">
        <v>3</v>
      </c>
      <c r="J203" s="255">
        <v>2</v>
      </c>
      <c r="K203" s="255">
        <v>2</v>
      </c>
      <c r="L203" s="255">
        <v>1</v>
      </c>
      <c r="M203" s="255">
        <v>1</v>
      </c>
      <c r="N203" s="255">
        <v>1</v>
      </c>
    </row>
    <row r="204" spans="1:14" ht="16.5" thickBot="1">
      <c r="A204" s="253">
        <v>3</v>
      </c>
      <c r="B204" s="255">
        <v>3</v>
      </c>
      <c r="C204" s="255">
        <v>3</v>
      </c>
      <c r="D204" s="255">
        <v>3</v>
      </c>
      <c r="E204" s="255">
        <v>3</v>
      </c>
      <c r="F204" s="255">
        <v>3</v>
      </c>
      <c r="G204" s="255">
        <v>4</v>
      </c>
      <c r="H204" s="255">
        <v>5</v>
      </c>
      <c r="I204" s="255">
        <v>4</v>
      </c>
      <c r="J204" s="255">
        <v>4</v>
      </c>
      <c r="K204" s="255">
        <v>4</v>
      </c>
      <c r="L204" s="255">
        <v>3</v>
      </c>
      <c r="M204" s="255">
        <v>2</v>
      </c>
      <c r="N204" s="255">
        <v>2</v>
      </c>
    </row>
    <row r="205" spans="1:14" ht="16.5" thickBot="1">
      <c r="A205" s="253">
        <v>4</v>
      </c>
      <c r="B205" s="255">
        <v>4</v>
      </c>
      <c r="C205" s="255">
        <v>4</v>
      </c>
      <c r="D205" s="255">
        <v>4</v>
      </c>
      <c r="E205" s="255">
        <v>4</v>
      </c>
      <c r="F205" s="255">
        <v>4</v>
      </c>
      <c r="G205" s="255">
        <v>6</v>
      </c>
      <c r="H205" s="255">
        <v>7</v>
      </c>
      <c r="I205" s="255">
        <v>6</v>
      </c>
      <c r="J205" s="255">
        <v>5</v>
      </c>
      <c r="K205" s="255">
        <v>5</v>
      </c>
      <c r="L205" s="255">
        <v>4</v>
      </c>
      <c r="M205" s="255">
        <v>4</v>
      </c>
      <c r="N205" s="255">
        <v>3</v>
      </c>
    </row>
    <row r="206" spans="1:14" ht="16.5" thickBot="1">
      <c r="A206" s="253">
        <v>5</v>
      </c>
      <c r="B206" s="255">
        <v>6</v>
      </c>
      <c r="C206" s="255">
        <v>6</v>
      </c>
      <c r="D206" s="255">
        <v>6</v>
      </c>
      <c r="E206" s="255">
        <v>6</v>
      </c>
      <c r="F206" s="255">
        <v>6</v>
      </c>
      <c r="G206" s="255">
        <v>8</v>
      </c>
      <c r="H206" s="255">
        <v>9</v>
      </c>
      <c r="I206" s="255">
        <v>8</v>
      </c>
      <c r="J206" s="255">
        <v>7</v>
      </c>
      <c r="K206" s="255">
        <v>7</v>
      </c>
      <c r="L206" s="255">
        <v>6</v>
      </c>
      <c r="M206" s="255">
        <v>5</v>
      </c>
      <c r="N206" s="255">
        <v>5</v>
      </c>
    </row>
    <row r="207" spans="1:14" ht="16.5" thickBot="1">
      <c r="A207" s="253">
        <v>6</v>
      </c>
      <c r="B207" s="255">
        <v>8</v>
      </c>
      <c r="C207" s="255">
        <v>8</v>
      </c>
      <c r="D207" s="255">
        <v>8</v>
      </c>
      <c r="E207" s="255">
        <v>8</v>
      </c>
      <c r="F207" s="255">
        <v>8</v>
      </c>
      <c r="G207" s="255">
        <v>9</v>
      </c>
      <c r="H207" s="255">
        <v>10</v>
      </c>
      <c r="I207" s="255">
        <v>9</v>
      </c>
      <c r="J207" s="255">
        <v>9</v>
      </c>
      <c r="K207" s="255">
        <v>9</v>
      </c>
      <c r="L207" s="255">
        <v>8</v>
      </c>
      <c r="M207" s="255">
        <v>7</v>
      </c>
      <c r="N207" s="255">
        <v>6</v>
      </c>
    </row>
    <row r="208" spans="1:14" ht="16.5" thickBot="1">
      <c r="A208" s="253">
        <v>7</v>
      </c>
      <c r="B208" s="255">
        <v>9</v>
      </c>
      <c r="C208" s="255">
        <v>9</v>
      </c>
      <c r="D208" s="255">
        <v>9</v>
      </c>
      <c r="E208" s="255">
        <v>9</v>
      </c>
      <c r="F208" s="255">
        <v>10</v>
      </c>
      <c r="G208" s="255">
        <v>11</v>
      </c>
      <c r="H208" s="255">
        <v>12</v>
      </c>
      <c r="I208" s="255">
        <v>11</v>
      </c>
      <c r="J208" s="255">
        <v>11</v>
      </c>
      <c r="K208" s="255">
        <v>11</v>
      </c>
      <c r="L208" s="255">
        <v>10</v>
      </c>
      <c r="M208" s="255">
        <v>9</v>
      </c>
      <c r="N208" s="255">
        <v>8</v>
      </c>
    </row>
    <row r="209" spans="1:14" ht="16.5" thickBot="1">
      <c r="A209" s="253">
        <v>8</v>
      </c>
      <c r="B209" s="255">
        <v>11</v>
      </c>
      <c r="C209" s="255">
        <v>11</v>
      </c>
      <c r="D209" s="255">
        <v>11</v>
      </c>
      <c r="E209" s="255">
        <v>11</v>
      </c>
      <c r="F209" s="255">
        <v>12</v>
      </c>
      <c r="G209" s="255">
        <v>13</v>
      </c>
      <c r="H209" s="255">
        <v>14</v>
      </c>
      <c r="I209" s="255">
        <v>13</v>
      </c>
      <c r="J209" s="255">
        <v>13</v>
      </c>
      <c r="K209" s="255">
        <v>13</v>
      </c>
      <c r="L209" s="255">
        <v>12</v>
      </c>
      <c r="M209" s="255">
        <v>10</v>
      </c>
      <c r="N209" s="255">
        <v>10</v>
      </c>
    </row>
    <row r="210" spans="1:14" ht="16.5" thickBot="1">
      <c r="A210" s="253">
        <v>9</v>
      </c>
      <c r="B210" s="255">
        <v>13</v>
      </c>
      <c r="C210" s="255">
        <v>13</v>
      </c>
      <c r="D210" s="255">
        <v>13</v>
      </c>
      <c r="E210" s="255">
        <v>13</v>
      </c>
      <c r="F210" s="255">
        <v>14</v>
      </c>
      <c r="G210" s="255">
        <v>15</v>
      </c>
      <c r="H210" s="255">
        <v>16</v>
      </c>
      <c r="I210" s="255">
        <v>15</v>
      </c>
      <c r="J210" s="255">
        <v>15</v>
      </c>
      <c r="K210" s="255">
        <v>15</v>
      </c>
      <c r="L210" s="255">
        <v>14</v>
      </c>
      <c r="M210" s="255">
        <v>12</v>
      </c>
      <c r="N210" s="255">
        <v>12</v>
      </c>
    </row>
    <row r="211" spans="1:14" ht="16.5" thickBot="1">
      <c r="A211" s="253">
        <v>10</v>
      </c>
      <c r="B211" s="255">
        <v>15</v>
      </c>
      <c r="C211" s="255">
        <v>15</v>
      </c>
      <c r="D211" s="255">
        <v>15</v>
      </c>
      <c r="E211" s="255">
        <v>15</v>
      </c>
      <c r="F211" s="255">
        <v>16</v>
      </c>
      <c r="G211" s="255">
        <v>17</v>
      </c>
      <c r="H211" s="255">
        <v>18</v>
      </c>
      <c r="I211" s="255">
        <v>17</v>
      </c>
      <c r="J211" s="255">
        <v>17</v>
      </c>
      <c r="K211" s="255">
        <v>17</v>
      </c>
      <c r="L211" s="255">
        <v>16</v>
      </c>
      <c r="M211" s="255">
        <v>14</v>
      </c>
      <c r="N211" s="255">
        <v>14</v>
      </c>
    </row>
    <row r="212" spans="1:14" ht="16.5" thickBot="1">
      <c r="A212" s="253">
        <v>11</v>
      </c>
      <c r="B212" s="255">
        <v>17</v>
      </c>
      <c r="C212" s="255">
        <v>17</v>
      </c>
      <c r="D212" s="255">
        <v>17</v>
      </c>
      <c r="E212" s="255">
        <v>17</v>
      </c>
      <c r="F212" s="255">
        <v>18</v>
      </c>
      <c r="G212" s="255">
        <v>19</v>
      </c>
      <c r="H212" s="255">
        <v>20</v>
      </c>
      <c r="I212" s="255">
        <v>19</v>
      </c>
      <c r="J212" s="255">
        <v>19</v>
      </c>
      <c r="K212" s="255">
        <v>19</v>
      </c>
      <c r="L212" s="255">
        <v>18</v>
      </c>
      <c r="M212" s="255">
        <v>16</v>
      </c>
      <c r="N212" s="255">
        <v>16</v>
      </c>
    </row>
    <row r="213" spans="1:14" ht="16.5" thickBot="1">
      <c r="A213" s="253">
        <v>12</v>
      </c>
      <c r="B213" s="255">
        <v>19</v>
      </c>
      <c r="C213" s="255">
        <v>19</v>
      </c>
      <c r="D213" s="255">
        <v>19</v>
      </c>
      <c r="E213" s="255">
        <v>19</v>
      </c>
      <c r="F213" s="255">
        <v>20</v>
      </c>
      <c r="G213" s="255">
        <v>21</v>
      </c>
      <c r="H213" s="255">
        <v>22</v>
      </c>
      <c r="I213" s="255">
        <v>21</v>
      </c>
      <c r="J213" s="255">
        <v>21</v>
      </c>
      <c r="K213" s="255">
        <v>21</v>
      </c>
      <c r="L213" s="255">
        <v>20</v>
      </c>
      <c r="M213" s="255">
        <v>18</v>
      </c>
      <c r="N213" s="255">
        <v>17</v>
      </c>
    </row>
    <row r="214" spans="1:14" ht="16.5" thickBot="1">
      <c r="A214" s="253">
        <v>13</v>
      </c>
      <c r="B214" s="255">
        <v>20</v>
      </c>
      <c r="C214" s="255">
        <v>21</v>
      </c>
      <c r="D214" s="255">
        <v>21</v>
      </c>
      <c r="E214" s="255">
        <v>21</v>
      </c>
      <c r="F214" s="255">
        <v>22</v>
      </c>
      <c r="G214" s="255">
        <v>22</v>
      </c>
      <c r="H214" s="255">
        <v>23</v>
      </c>
      <c r="I214" s="255">
        <v>23</v>
      </c>
      <c r="J214" s="255">
        <v>23</v>
      </c>
      <c r="K214" s="255">
        <v>22</v>
      </c>
      <c r="L214" s="255">
        <v>22</v>
      </c>
      <c r="M214" s="255">
        <v>20</v>
      </c>
      <c r="N214" s="255">
        <v>19</v>
      </c>
    </row>
    <row r="215" spans="1:14" ht="16.5" thickBot="1">
      <c r="A215" s="253">
        <v>14</v>
      </c>
      <c r="B215" s="255">
        <v>22</v>
      </c>
      <c r="C215" s="255">
        <v>22</v>
      </c>
      <c r="D215" s="255">
        <v>22</v>
      </c>
      <c r="E215" s="255">
        <v>23</v>
      </c>
      <c r="F215" s="255">
        <v>23</v>
      </c>
      <c r="G215" s="255">
        <v>24</v>
      </c>
      <c r="H215" s="255">
        <v>25</v>
      </c>
      <c r="I215" s="255">
        <v>24</v>
      </c>
      <c r="J215" s="255">
        <v>24</v>
      </c>
      <c r="K215" s="255">
        <v>23</v>
      </c>
      <c r="L215" s="255">
        <v>23</v>
      </c>
      <c r="M215" s="255">
        <v>22</v>
      </c>
      <c r="N215" s="255">
        <v>20</v>
      </c>
    </row>
    <row r="216" spans="1:14" ht="16.5" thickBot="1">
      <c r="A216" s="253">
        <v>15</v>
      </c>
      <c r="B216" s="255">
        <v>23</v>
      </c>
      <c r="C216" s="255">
        <v>24</v>
      </c>
      <c r="D216" s="255">
        <v>24</v>
      </c>
      <c r="E216" s="255">
        <v>24</v>
      </c>
      <c r="F216" s="255">
        <v>25</v>
      </c>
      <c r="G216" s="255">
        <v>25</v>
      </c>
      <c r="H216" s="255">
        <v>26</v>
      </c>
      <c r="I216" s="255">
        <v>25</v>
      </c>
      <c r="J216" s="255">
        <v>25</v>
      </c>
      <c r="K216" s="255">
        <v>24</v>
      </c>
      <c r="L216" s="255">
        <v>24</v>
      </c>
      <c r="M216" s="255">
        <v>23</v>
      </c>
      <c r="N216" s="255">
        <v>22</v>
      </c>
    </row>
    <row r="217" spans="1:14" ht="16.5" thickBot="1">
      <c r="A217" s="253">
        <v>16</v>
      </c>
      <c r="B217" s="255">
        <v>24</v>
      </c>
      <c r="C217" s="255">
        <v>25</v>
      </c>
      <c r="D217" s="255">
        <v>25</v>
      </c>
      <c r="E217" s="255">
        <v>26</v>
      </c>
      <c r="F217" s="255">
        <v>26</v>
      </c>
      <c r="G217" s="255">
        <v>26</v>
      </c>
      <c r="H217" s="255">
        <v>27</v>
      </c>
      <c r="I217" s="255">
        <v>26</v>
      </c>
      <c r="J217" s="255">
        <v>26</v>
      </c>
      <c r="K217" s="255">
        <v>25</v>
      </c>
      <c r="L217" s="255">
        <v>25</v>
      </c>
      <c r="M217" s="255">
        <v>24</v>
      </c>
      <c r="N217" s="255">
        <v>23</v>
      </c>
    </row>
    <row r="218" spans="1:14" ht="16.5" thickBot="1">
      <c r="A218" s="253">
        <v>17</v>
      </c>
      <c r="B218" s="255">
        <v>25</v>
      </c>
      <c r="C218" s="255">
        <v>26</v>
      </c>
      <c r="D218" s="255">
        <v>26</v>
      </c>
      <c r="E218" s="255">
        <v>27</v>
      </c>
      <c r="F218" s="255">
        <v>27</v>
      </c>
      <c r="G218" s="255">
        <v>27</v>
      </c>
      <c r="H218" s="256" t="s">
        <v>150</v>
      </c>
      <c r="I218" s="255">
        <v>27</v>
      </c>
      <c r="J218" s="255">
        <v>27</v>
      </c>
      <c r="K218" s="255">
        <v>26</v>
      </c>
      <c r="L218" s="255">
        <v>26</v>
      </c>
      <c r="M218" s="255">
        <v>25</v>
      </c>
      <c r="N218" s="255">
        <v>24</v>
      </c>
    </row>
    <row r="219" spans="1:14" ht="16.5" thickBot="1">
      <c r="A219" s="253">
        <v>18</v>
      </c>
      <c r="B219" s="255">
        <v>26</v>
      </c>
      <c r="C219" s="255">
        <v>27</v>
      </c>
      <c r="D219" s="255">
        <v>27</v>
      </c>
      <c r="E219" s="255">
        <v>28</v>
      </c>
      <c r="F219" s="255">
        <v>28</v>
      </c>
      <c r="G219" s="255">
        <v>28</v>
      </c>
      <c r="H219" s="255">
        <v>28</v>
      </c>
      <c r="I219" s="255">
        <v>28</v>
      </c>
      <c r="J219" s="255">
        <v>28</v>
      </c>
      <c r="K219" s="255">
        <v>27</v>
      </c>
      <c r="L219" s="255">
        <v>27</v>
      </c>
      <c r="M219" s="255">
        <v>26</v>
      </c>
      <c r="N219" s="255">
        <v>25</v>
      </c>
    </row>
    <row r="220" spans="1:14" ht="16.5" thickBot="1">
      <c r="A220" s="253">
        <v>19</v>
      </c>
      <c r="B220" s="255">
        <v>28</v>
      </c>
      <c r="C220" s="255">
        <v>28</v>
      </c>
      <c r="D220" s="255">
        <v>28</v>
      </c>
      <c r="E220" s="257" t="s">
        <v>150</v>
      </c>
      <c r="F220" s="257" t="s">
        <v>150</v>
      </c>
      <c r="G220" s="257" t="s">
        <v>150</v>
      </c>
      <c r="H220" s="256" t="s">
        <v>150</v>
      </c>
      <c r="I220" s="256" t="s">
        <v>150</v>
      </c>
      <c r="J220" s="256" t="s">
        <v>150</v>
      </c>
      <c r="K220" s="255">
        <v>28</v>
      </c>
      <c r="L220" s="255">
        <v>28</v>
      </c>
      <c r="M220" s="255">
        <v>28</v>
      </c>
      <c r="N220" s="255">
        <v>28</v>
      </c>
    </row>
    <row r="222" spans="1:14">
      <c r="A222" s="106">
        <f>WAIS!B11</f>
        <v>0</v>
      </c>
      <c r="B222">
        <f>IF(A222&gt;B219,A220,IF(A222&gt;B218,A219,IF(A222&gt;B217,A218,IF(A222&gt;B216,A217,IF(A222&gt;B215,A216,IF(A222&gt;B214,A215,IF(A222&gt;B213,A214,IF(A222&gt;B212,A213,IF(A222&gt;B211,A212,IF(A222&gt;B210,A211,IF(A222&gt;B209,A210,IF(A222&gt;B208,A209,IF(A222&gt;B207,A208,IF(A222&gt;B206,A207,IF(A222&gt;B205,A206,IF(A222&gt;B204,A205,IF(A222&gt;B203,A204,IF(A222&gt;B202,A203,1))))))))))))))))))</f>
        <v>1</v>
      </c>
      <c r="C222">
        <f>IF(A222&gt;C219,A220,IF(A222&gt;C218,A219,IF(A222&gt;C217,A218,IF(A222&gt;C216,A217,IF(A222&gt;C215,A216,IF(A222&gt;C214,A215,IF(A222&gt;C213,A214,IF(A222&gt;C212,A213,IF(A222&gt;C211,A212,IF(A222&gt;C210,A211,IF(A222&gt;C209,A210,IF(A222&gt;C208,A209,IF(A222&gt;C207,A208,IF(A222&gt;C206,A207,IF(A222&gt;C205,A206,IF(A222&gt;C204,A205,IF(A222&gt;C203,A204,IF(A222&gt;C202,A203,1))))))))))))))))))</f>
        <v>1</v>
      </c>
      <c r="D222">
        <f>IF(A222&gt;D219,A220,IF(A222&gt;D218,A219,IF(A222&gt;D217,A218,IF(A222&gt;D216,A217,IF(A222&gt;D215,A216,IF(A222&gt;D214,A215,IF(A222&gt;D213,A214,IF(A222&gt;D212,A213,IF(A222&gt;D211,A212,IF(A222&gt;D210,A211,IF(A222&gt;D209,A210,IF(A222&gt;D208,A209,IF(A222&gt;D207,A208,IF(A222&gt;D206,A207,IF(A222&gt;D205,A206,IF(A222&gt;D204,A205,IF(A222&gt;D203,A204,IF(A222&gt;D202,A203,1))))))))))))))))))</f>
        <v>1</v>
      </c>
      <c r="E222">
        <f>IF(A222&gt;E219,A220,IF(A222&gt;E218,A219,IF(A222&gt;E217,A218,IF(A222&gt;E216,A217,IF(A222&gt;E215,A216,IF(A222&gt;E214,A215,IF(A222&gt;E213,A214,IF(A222&gt;E212,A213,IF(A222&gt;E211,A212,IF(A222&gt;E210,A211,IF(A222&gt;E209,A210,IF(A222&gt;E208,A209,IF(A222&gt;E207,A208,IF(A222&gt;E206,A207,IF(A222&gt;E205,A206,IF(A222&gt;E204,A205,IF(A222&gt;E203,A204,IF(A222&gt;E202,A203,1))))))))))))))))))</f>
        <v>1</v>
      </c>
      <c r="F222">
        <f>IF(A222&gt;F219,A220,IF(A222&gt;F218,A219,IF(A222&gt;F217,A218,IF(A222&gt;F216,A217,IF(A222&gt;F215,A216,IF(A222&gt;F214,A215,IF(A222&gt;F213,A214,IF(A222&gt;F212,A213,IF(A222&gt;F211,A212,IF(A222&gt;F210,A211,IF(A222&gt;F209,A210,IF(A222&gt;F208,A209,IF(A222&gt;F207,A208,IF(A222&gt;F206,A207,IF(A222&gt;F205,A206,IF(A222&gt;F204,A205,IF(A222&gt;F203,A204,IF(A222&gt;F202,A203,1))))))))))))))))))</f>
        <v>1</v>
      </c>
      <c r="G222">
        <f>IF(A222&gt;G219,A220,IF(A222&gt;G218,A219,IF(A222&gt;G217,A218,IF(A222&gt;G216,A217,IF(A222&gt;G215,A216,IF(A222&gt;G214,A215,IF(A222&gt;G213,A214,IF(A222&gt;G212,A213,IF(A222&gt;G211,A212,IF(A222&gt;G210,A211,IF(A222&gt;G209,A210,IF(A222&gt;G208,A209,IF(A222&gt;G207,A208,IF(A222&gt;G206,A207,IF(A222&gt;G205,A206,IF(A222&gt;G204,A205,IF(A222&gt;G203,A204,IF(A222&gt;G202,A203,1))))))))))))))))))</f>
        <v>1</v>
      </c>
      <c r="H222">
        <f>IF(A222&gt;H219,A220,IF(A222&gt;H218,A219,IF(A222&gt;H217,A218,IF(A222&gt;H216,A217,IF(A222&gt;H215,A216,IF(A222&gt;H214,A215,IF(A222&gt;H213,A214,IF(A222&gt;H212,A213,IF(A222&gt;H211,A212,IF(A222&gt;H210,A211,IF(A222&gt;H209,A210,IF(A222&gt;H208,A209,IF(A222&gt;H207,A208,IF(A222&gt;H206,A207,IF(A222&gt;H205,A206,IF(A222&gt;H204,A205,IF(A222&gt;H203,A204,IF(A222&gt;H202,A203,1))))))))))))))))))</f>
        <v>1</v>
      </c>
      <c r="I222">
        <f>IF(A222&gt;I219,A220,IF(A222&gt;I218,A219,IF(A222&gt;I217,A218,IF(A222&gt;I216,A217,IF(A222&gt;I215,A216,IF(A222&gt;I214,A215,IF(A222&gt;I213,A214,IF(A222&gt;I212,A213,IF(A222&gt;I211,A212,IF(A222&gt;I210,A211,IF(A222&gt;I209,A210,IF(A222&gt;I208,A209,IF(A222&gt;I207,A208,IF(A222&gt;I206,A207,IF(A222&gt;I205,A206,IF(A222&gt;I204,A205,IF(A222&gt;I203,A204,IF(A222&gt;I202,A203,1))))))))))))))))))</f>
        <v>1</v>
      </c>
      <c r="J222">
        <f>IF(A222&gt;J219,A220,IF(A222&gt;J218,A219,IF(A222&gt;J217,A218,IF(A222&gt;J216,A217,IF(A222&gt;J215,A216,IF(A222&gt;J214,A215,IF(A222&gt;J213,A214,IF(A222&gt;J212,A213,IF(A222&gt;J211,A212,IF(A222&gt;J210,A211,IF(A222&gt;J209,A210,IF(A222&gt;J208,A209,IF(A222&gt;J207,A208,IF(A222&gt;J206,A207,IF(A222&gt;J205,A206,IF(A222&gt;J204,A205,IF(A222&gt;J203,A204,IF(A222&gt;J202,A203,1))))))))))))))))))</f>
        <v>1</v>
      </c>
      <c r="K222" s="250">
        <f>IF(A222&gt;K219,A220,IF(A222&gt;K218,A219,IF(A222&gt;K217,A218,IF(A222&gt;K216,A217,IF(A222&gt;K215,A216,IF(A222&gt;K214,A215,IF(A222&gt;K213,A214,IF(A222&gt;K212,A213,IF(A222&gt;K211,A212,IF(A222&gt;K210,A211,IF(A222&gt;K209,A210,IF(A222&gt;K208,A209,IF(A222&gt;K207,A208,IF(A222&gt;K206,A207,IF(A222&gt;K205,A206,IF(A222&gt;K204,A205,IF(A222&gt;K203,A204,IF(A222&gt;K202,A203,1))))))))))))))))))</f>
        <v>1</v>
      </c>
      <c r="L222">
        <f>IF(A222&gt;L219,A220,IF(A222&gt;L218,A219,IF(A222&gt;L217,A218,IF(A222&gt;L216,A217,IF(A222&gt;L215,A216,IF(A222&gt;L214,A215,IF(A222&gt;L213,A214,IF(A222&gt;L212,A213,IF(A222&gt;L211,A212,IF(A222&gt;L210,A211,IF(A222&gt;L209,A210,IF(A222&gt;L208,A209,IF(A222&gt;L207,A208,IF(A222&gt;L206,A207,IF(A222&gt;L205,A206,IF(A222&gt;L204,A205,IF(A222&gt;L203,A204,IF(A222&gt;L202,A203,1))))))))))))))))))</f>
        <v>1</v>
      </c>
      <c r="M222">
        <f>IF(A222&gt;M219,A220,IF(A222&gt;M218,A219,IF(A222&gt;M217,A218,IF(A222&gt;M216,A217,IF(A222&gt;M215,A216,IF(A222&gt;M214,A215,IF(A222&gt;M213,A214,IF(A222&gt;M212,A213,IF(A222&gt;M211,A212,IF(A222&gt;M210,A211,IF(A222&gt;M209,A210,IF(A222&gt;M208,A209,IF(A222&gt;M207,A208,IF(A222&gt;M206,A207,IF(A222&gt;M205,A206,IF(A222&gt;M204,A205,IF(A222&gt;M203,A204,IF(A222&gt;M202,A203,1))))))))))))))))))</f>
        <v>1</v>
      </c>
      <c r="N222">
        <f>IF(A222&gt;N219,A220,IF(A222&gt;N218,A219,IF(A222&gt;N217,A218,IF(A222&gt;N216,A217,IF(A222&gt;N215,A216,IF(A222&gt;N214,A215,IF(A222&gt;N213,A214,IF(A222&gt;N212,A213,IF(A222&gt;N211,A212,IF(A222&gt;N210,A211,IF(A222&gt;N209,A210,IF(A222&gt;N208,A209,IF(A222&gt;N207,A208,IF(A222&gt;N206,A207,IF(A222&gt;N205,A206,IF(A222&gt;N204,A205,IF(A222&gt;N203,A204,IF(A222&gt;N202,A203,1))))))))))))))))))</f>
        <v>1</v>
      </c>
    </row>
    <row r="223" spans="1:14">
      <c r="A223" s="62">
        <f>A198</f>
        <v>0</v>
      </c>
    </row>
    <row r="224" spans="1:14">
      <c r="A224" s="259">
        <f>IF(A223&gt;M201,N222,IF(A223&gt;L201,M222,IF(A223&gt;K201,L222,IF(A223&gt;J201,K222,IF(A223&gt;I201,J222,IF(A223&gt;H201,I222,IF(A223&gt;G201,H222,IF(A223&gt;F201,G222,IF(A223&gt;E201,F222,IF(A223&gt;D201,E222,IF(A223&gt;C201,D222,IF(A223&gt;B201,C222,B222))))))))))))</f>
        <v>1</v>
      </c>
    </row>
    <row r="226" spans="1:14" ht="16.5" thickBot="1">
      <c r="A226" t="s">
        <v>793</v>
      </c>
      <c r="B226" s="254">
        <v>17</v>
      </c>
      <c r="C226" s="254">
        <v>19</v>
      </c>
      <c r="D226" s="254">
        <v>24</v>
      </c>
      <c r="E226" s="254">
        <v>29</v>
      </c>
      <c r="F226" s="254">
        <v>34</v>
      </c>
      <c r="G226" s="254">
        <v>44</v>
      </c>
      <c r="H226" s="254">
        <v>54</v>
      </c>
      <c r="I226" s="254">
        <v>64</v>
      </c>
      <c r="J226" s="254">
        <v>69</v>
      </c>
      <c r="K226" s="254">
        <v>74</v>
      </c>
      <c r="L226" s="254">
        <v>79</v>
      </c>
      <c r="M226" s="254">
        <v>84</v>
      </c>
      <c r="N226" s="254">
        <v>89</v>
      </c>
    </row>
    <row r="227" spans="1:14" ht="16.5" thickBot="1">
      <c r="A227" s="253">
        <v>1</v>
      </c>
      <c r="B227" s="255">
        <v>0</v>
      </c>
      <c r="C227" s="255">
        <v>1</v>
      </c>
      <c r="D227" s="255">
        <v>1</v>
      </c>
      <c r="E227" s="255">
        <v>2</v>
      </c>
      <c r="F227" s="255">
        <v>2</v>
      </c>
      <c r="G227" s="255">
        <v>2</v>
      </c>
      <c r="H227" s="255">
        <v>2</v>
      </c>
      <c r="I227" s="255">
        <v>2</v>
      </c>
      <c r="J227" s="255">
        <v>2</v>
      </c>
      <c r="K227" s="255">
        <v>2</v>
      </c>
      <c r="L227" s="255">
        <v>1</v>
      </c>
      <c r="M227" s="255">
        <v>0</v>
      </c>
      <c r="N227" s="255">
        <v>0</v>
      </c>
    </row>
    <row r="228" spans="1:14" ht="16.5" thickBot="1">
      <c r="A228" s="253">
        <v>2</v>
      </c>
      <c r="B228" s="255">
        <v>2</v>
      </c>
      <c r="C228" s="255">
        <v>3</v>
      </c>
      <c r="D228" s="255">
        <v>3</v>
      </c>
      <c r="E228" s="255">
        <v>4</v>
      </c>
      <c r="F228" s="255">
        <v>5</v>
      </c>
      <c r="G228" s="255">
        <v>5</v>
      </c>
      <c r="H228" s="255">
        <v>5</v>
      </c>
      <c r="I228" s="255">
        <v>5</v>
      </c>
      <c r="J228" s="255">
        <v>5</v>
      </c>
      <c r="K228" s="255">
        <v>5</v>
      </c>
      <c r="L228" s="255">
        <v>4</v>
      </c>
      <c r="M228" s="255">
        <v>2</v>
      </c>
      <c r="N228" s="255">
        <v>1</v>
      </c>
    </row>
    <row r="229" spans="1:14" ht="16.5" thickBot="1">
      <c r="A229" s="253">
        <v>3</v>
      </c>
      <c r="B229" s="255">
        <v>4</v>
      </c>
      <c r="C229" s="255">
        <v>5</v>
      </c>
      <c r="D229" s="255">
        <v>5</v>
      </c>
      <c r="E229" s="255">
        <v>6</v>
      </c>
      <c r="F229" s="255">
        <v>7</v>
      </c>
      <c r="G229" s="255">
        <v>8</v>
      </c>
      <c r="H229" s="255">
        <v>8</v>
      </c>
      <c r="I229" s="255">
        <v>7</v>
      </c>
      <c r="J229" s="255">
        <v>7</v>
      </c>
      <c r="K229" s="255">
        <v>7</v>
      </c>
      <c r="L229" s="255">
        <v>6</v>
      </c>
      <c r="M229" s="255">
        <v>4</v>
      </c>
      <c r="N229" s="255">
        <v>3</v>
      </c>
    </row>
    <row r="230" spans="1:14" ht="16.5" thickBot="1">
      <c r="A230" s="253">
        <v>4</v>
      </c>
      <c r="B230" s="255">
        <v>6</v>
      </c>
      <c r="C230" s="255">
        <v>7</v>
      </c>
      <c r="D230" s="255">
        <v>7</v>
      </c>
      <c r="E230" s="255">
        <v>8</v>
      </c>
      <c r="F230" s="255">
        <v>9</v>
      </c>
      <c r="G230" s="255">
        <v>10</v>
      </c>
      <c r="H230" s="255">
        <v>11</v>
      </c>
      <c r="I230" s="255">
        <v>9</v>
      </c>
      <c r="J230" s="255">
        <v>9</v>
      </c>
      <c r="K230" s="255">
        <v>9</v>
      </c>
      <c r="L230" s="255">
        <v>8</v>
      </c>
      <c r="M230" s="255">
        <v>6</v>
      </c>
      <c r="N230" s="255">
        <v>5</v>
      </c>
    </row>
    <row r="231" spans="1:14" ht="16.5" thickBot="1">
      <c r="A231" s="253">
        <v>5</v>
      </c>
      <c r="B231" s="255">
        <v>8</v>
      </c>
      <c r="C231" s="255">
        <v>9</v>
      </c>
      <c r="D231" s="255">
        <v>9</v>
      </c>
      <c r="E231" s="255">
        <v>10</v>
      </c>
      <c r="F231" s="255">
        <v>11</v>
      </c>
      <c r="G231" s="255">
        <v>12</v>
      </c>
      <c r="H231" s="255">
        <v>13</v>
      </c>
      <c r="I231" s="255">
        <v>11</v>
      </c>
      <c r="J231" s="255">
        <v>11</v>
      </c>
      <c r="K231" s="255">
        <v>11</v>
      </c>
      <c r="L231" s="255">
        <v>10</v>
      </c>
      <c r="M231" s="255">
        <v>8</v>
      </c>
      <c r="N231" s="255">
        <v>7</v>
      </c>
    </row>
    <row r="232" spans="1:14" ht="16.5" thickBot="1">
      <c r="A232" s="253">
        <v>6</v>
      </c>
      <c r="B232" s="255">
        <v>10</v>
      </c>
      <c r="C232" s="255">
        <v>11</v>
      </c>
      <c r="D232" s="255">
        <v>11</v>
      </c>
      <c r="E232" s="255">
        <v>12</v>
      </c>
      <c r="F232" s="255">
        <v>13</v>
      </c>
      <c r="G232" s="255">
        <v>14</v>
      </c>
      <c r="H232" s="255">
        <v>15</v>
      </c>
      <c r="I232" s="255">
        <v>13</v>
      </c>
      <c r="J232" s="255">
        <v>13</v>
      </c>
      <c r="K232" s="255">
        <v>13</v>
      </c>
      <c r="L232" s="255">
        <v>12</v>
      </c>
      <c r="M232" s="255">
        <v>10</v>
      </c>
      <c r="N232" s="255">
        <v>9</v>
      </c>
    </row>
    <row r="233" spans="1:14" ht="16.5" thickBot="1">
      <c r="A233" s="253">
        <v>7</v>
      </c>
      <c r="B233" s="255">
        <v>12</v>
      </c>
      <c r="C233" s="255">
        <v>13</v>
      </c>
      <c r="D233" s="255">
        <v>13</v>
      </c>
      <c r="E233" s="255">
        <v>14</v>
      </c>
      <c r="F233" s="255">
        <v>15</v>
      </c>
      <c r="G233" s="255">
        <v>16</v>
      </c>
      <c r="H233" s="255">
        <v>17</v>
      </c>
      <c r="I233" s="255">
        <v>15</v>
      </c>
      <c r="J233" s="255">
        <v>15</v>
      </c>
      <c r="K233" s="255">
        <v>15</v>
      </c>
      <c r="L233" s="255">
        <v>14</v>
      </c>
      <c r="M233" s="255">
        <v>12</v>
      </c>
      <c r="N233" s="255">
        <v>11</v>
      </c>
    </row>
    <row r="234" spans="1:14" ht="16.5" thickBot="1">
      <c r="A234" s="253">
        <v>8</v>
      </c>
      <c r="B234" s="255">
        <v>14</v>
      </c>
      <c r="C234" s="255">
        <v>15</v>
      </c>
      <c r="D234" s="255">
        <v>15</v>
      </c>
      <c r="E234" s="255">
        <v>16</v>
      </c>
      <c r="F234" s="255">
        <v>17</v>
      </c>
      <c r="G234" s="255">
        <v>18</v>
      </c>
      <c r="H234" s="255">
        <v>19</v>
      </c>
      <c r="I234" s="255">
        <v>17</v>
      </c>
      <c r="J234" s="255">
        <v>17</v>
      </c>
      <c r="K234" s="255">
        <v>17</v>
      </c>
      <c r="L234" s="255">
        <v>16</v>
      </c>
      <c r="M234" s="255">
        <v>14</v>
      </c>
      <c r="N234" s="255">
        <v>13</v>
      </c>
    </row>
    <row r="235" spans="1:14" ht="16.5" thickBot="1">
      <c r="A235" s="253">
        <v>9</v>
      </c>
      <c r="B235" s="255">
        <v>16</v>
      </c>
      <c r="C235" s="255">
        <v>17</v>
      </c>
      <c r="D235" s="255">
        <v>17</v>
      </c>
      <c r="E235" s="255">
        <v>18</v>
      </c>
      <c r="F235" s="255">
        <v>19</v>
      </c>
      <c r="G235" s="255">
        <v>20</v>
      </c>
      <c r="H235" s="255">
        <v>21</v>
      </c>
      <c r="I235" s="255">
        <v>19</v>
      </c>
      <c r="J235" s="255">
        <v>19</v>
      </c>
      <c r="K235" s="255">
        <v>19</v>
      </c>
      <c r="L235" s="255">
        <v>18</v>
      </c>
      <c r="M235" s="255">
        <v>16</v>
      </c>
      <c r="N235" s="255">
        <v>15</v>
      </c>
    </row>
    <row r="236" spans="1:14" ht="16.5" thickBot="1">
      <c r="A236" s="253">
        <v>10</v>
      </c>
      <c r="B236" s="255">
        <v>18</v>
      </c>
      <c r="C236" s="255">
        <v>19</v>
      </c>
      <c r="D236" s="255">
        <v>19</v>
      </c>
      <c r="E236" s="255">
        <v>20</v>
      </c>
      <c r="F236" s="255">
        <v>21</v>
      </c>
      <c r="G236" s="255">
        <v>22</v>
      </c>
      <c r="H236" s="255">
        <v>23</v>
      </c>
      <c r="I236" s="255">
        <v>21</v>
      </c>
      <c r="J236" s="255">
        <v>21</v>
      </c>
      <c r="K236" s="255">
        <v>21</v>
      </c>
      <c r="L236" s="255">
        <v>20</v>
      </c>
      <c r="M236" s="255">
        <v>18</v>
      </c>
      <c r="N236" s="255">
        <v>17</v>
      </c>
    </row>
    <row r="237" spans="1:14" ht="16.5" thickBot="1">
      <c r="A237" s="253">
        <v>11</v>
      </c>
      <c r="B237" s="255">
        <v>20</v>
      </c>
      <c r="C237" s="255">
        <v>21</v>
      </c>
      <c r="D237" s="255">
        <v>21</v>
      </c>
      <c r="E237" s="255">
        <v>22</v>
      </c>
      <c r="F237" s="255">
        <v>23</v>
      </c>
      <c r="G237" s="255">
        <v>24</v>
      </c>
      <c r="H237" s="255">
        <v>25</v>
      </c>
      <c r="I237" s="255">
        <v>23</v>
      </c>
      <c r="J237" s="255">
        <v>23</v>
      </c>
      <c r="K237" s="255">
        <v>23</v>
      </c>
      <c r="L237" s="255">
        <v>22</v>
      </c>
      <c r="M237" s="255">
        <v>20</v>
      </c>
      <c r="N237" s="255">
        <v>19</v>
      </c>
    </row>
    <row r="238" spans="1:14" ht="16.5" thickBot="1">
      <c r="A238" s="253">
        <v>12</v>
      </c>
      <c r="B238" s="255">
        <v>22</v>
      </c>
      <c r="C238" s="255">
        <v>23</v>
      </c>
      <c r="D238" s="255">
        <v>23</v>
      </c>
      <c r="E238" s="255">
        <v>24</v>
      </c>
      <c r="F238" s="255">
        <v>25</v>
      </c>
      <c r="G238" s="255">
        <v>25</v>
      </c>
      <c r="H238" s="255">
        <v>26</v>
      </c>
      <c r="I238" s="255">
        <v>25</v>
      </c>
      <c r="J238" s="255">
        <v>25</v>
      </c>
      <c r="K238" s="255">
        <v>25</v>
      </c>
      <c r="L238" s="255">
        <v>24</v>
      </c>
      <c r="M238" s="255">
        <v>22</v>
      </c>
      <c r="N238" s="255">
        <v>21</v>
      </c>
    </row>
    <row r="239" spans="1:14" ht="16.5" thickBot="1">
      <c r="A239" s="253">
        <v>13</v>
      </c>
      <c r="B239" s="255">
        <v>23</v>
      </c>
      <c r="C239" s="255">
        <v>24</v>
      </c>
      <c r="D239" s="255">
        <v>25</v>
      </c>
      <c r="E239" s="255">
        <v>25</v>
      </c>
      <c r="F239" s="255">
        <v>27</v>
      </c>
      <c r="G239" s="255">
        <v>27</v>
      </c>
      <c r="H239" s="255">
        <v>27</v>
      </c>
      <c r="I239" s="255">
        <v>27</v>
      </c>
      <c r="J239" s="255">
        <v>27</v>
      </c>
      <c r="K239" s="255">
        <v>26</v>
      </c>
      <c r="L239" s="255">
        <v>25</v>
      </c>
      <c r="M239" s="255">
        <v>24</v>
      </c>
      <c r="N239" s="255">
        <v>22</v>
      </c>
    </row>
    <row r="240" spans="1:14" ht="16.5" thickBot="1">
      <c r="A240" s="253">
        <v>14</v>
      </c>
      <c r="B240" s="255">
        <v>25</v>
      </c>
      <c r="C240" s="255">
        <v>26</v>
      </c>
      <c r="D240" s="255">
        <v>26</v>
      </c>
      <c r="E240" s="255">
        <v>27</v>
      </c>
      <c r="F240" s="255">
        <v>28</v>
      </c>
      <c r="G240" s="255">
        <v>28</v>
      </c>
      <c r="H240" s="255">
        <v>28</v>
      </c>
      <c r="I240" s="255">
        <v>28</v>
      </c>
      <c r="J240" s="255">
        <v>28</v>
      </c>
      <c r="K240" s="255">
        <v>28</v>
      </c>
      <c r="L240" s="255">
        <v>27</v>
      </c>
      <c r="M240" s="255">
        <v>25</v>
      </c>
      <c r="N240" s="255">
        <v>24</v>
      </c>
    </row>
    <row r="241" spans="1:14" ht="16.5" thickBot="1">
      <c r="A241" s="253">
        <v>15</v>
      </c>
      <c r="B241" s="255">
        <v>26</v>
      </c>
      <c r="C241" s="255">
        <v>27</v>
      </c>
      <c r="D241" s="255">
        <v>28</v>
      </c>
      <c r="E241" s="255">
        <v>28</v>
      </c>
      <c r="F241" s="255">
        <v>29</v>
      </c>
      <c r="G241" s="255">
        <v>29</v>
      </c>
      <c r="H241" s="255">
        <v>29</v>
      </c>
      <c r="I241" s="255">
        <v>29</v>
      </c>
      <c r="J241" s="255">
        <v>29</v>
      </c>
      <c r="K241" s="255">
        <v>29</v>
      </c>
      <c r="L241" s="255">
        <v>28</v>
      </c>
      <c r="M241" s="255">
        <v>27</v>
      </c>
      <c r="N241" s="255">
        <v>25</v>
      </c>
    </row>
    <row r="242" spans="1:14" ht="16.5" thickBot="1">
      <c r="A242" s="253">
        <v>16</v>
      </c>
      <c r="B242" s="255">
        <v>27</v>
      </c>
      <c r="C242" s="255">
        <v>28</v>
      </c>
      <c r="D242" s="255">
        <v>29</v>
      </c>
      <c r="E242" s="255">
        <v>29</v>
      </c>
      <c r="F242" s="255">
        <v>30</v>
      </c>
      <c r="G242" s="255">
        <v>30</v>
      </c>
      <c r="H242" s="255">
        <v>30</v>
      </c>
      <c r="I242" s="255">
        <v>30</v>
      </c>
      <c r="J242" s="255">
        <v>30</v>
      </c>
      <c r="K242" s="255">
        <v>30</v>
      </c>
      <c r="L242" s="255">
        <v>29</v>
      </c>
      <c r="M242" s="255">
        <v>28</v>
      </c>
      <c r="N242" s="255">
        <v>27</v>
      </c>
    </row>
    <row r="243" spans="1:14" ht="16.5" thickBot="1">
      <c r="A243" s="253">
        <v>17</v>
      </c>
      <c r="B243" s="255">
        <v>28</v>
      </c>
      <c r="C243" s="255">
        <v>29</v>
      </c>
      <c r="D243" s="255">
        <v>30</v>
      </c>
      <c r="E243" s="255">
        <v>30</v>
      </c>
      <c r="F243" s="255">
        <v>31</v>
      </c>
      <c r="G243" s="255">
        <v>31</v>
      </c>
      <c r="H243" s="255">
        <v>31</v>
      </c>
      <c r="I243" s="255">
        <v>31</v>
      </c>
      <c r="J243" s="255">
        <v>31</v>
      </c>
      <c r="K243" s="255">
        <v>31</v>
      </c>
      <c r="L243" s="255">
        <v>30</v>
      </c>
      <c r="M243" s="255">
        <v>29</v>
      </c>
      <c r="N243" s="255">
        <v>28</v>
      </c>
    </row>
    <row r="244" spans="1:14" ht="16.5" thickBot="1">
      <c r="A244" s="253">
        <v>18</v>
      </c>
      <c r="B244" s="255">
        <v>29</v>
      </c>
      <c r="C244" s="255">
        <v>30</v>
      </c>
      <c r="D244" s="255">
        <v>31</v>
      </c>
      <c r="E244" s="255">
        <v>31</v>
      </c>
      <c r="F244" s="255">
        <v>32</v>
      </c>
      <c r="G244" s="255">
        <v>32</v>
      </c>
      <c r="H244" s="255">
        <v>32</v>
      </c>
      <c r="I244" s="255">
        <v>32</v>
      </c>
      <c r="J244" s="255">
        <v>32</v>
      </c>
      <c r="K244" s="255">
        <v>32</v>
      </c>
      <c r="L244" s="255">
        <v>31</v>
      </c>
      <c r="M244" s="255">
        <v>30</v>
      </c>
      <c r="N244" s="255">
        <v>29</v>
      </c>
    </row>
    <row r="245" spans="1:14" ht="16.5" thickBot="1">
      <c r="A245" s="253">
        <v>19</v>
      </c>
      <c r="B245" s="255">
        <v>33</v>
      </c>
      <c r="C245" s="255">
        <v>33</v>
      </c>
      <c r="D245" s="255">
        <v>33</v>
      </c>
      <c r="E245" s="255">
        <v>33</v>
      </c>
      <c r="F245" s="255">
        <v>33</v>
      </c>
      <c r="G245" s="255">
        <v>33</v>
      </c>
      <c r="H245" s="255">
        <v>33</v>
      </c>
      <c r="I245" s="255">
        <v>33</v>
      </c>
      <c r="J245" s="255">
        <v>33</v>
      </c>
      <c r="K245" s="255">
        <v>33</v>
      </c>
      <c r="L245" s="255">
        <v>33</v>
      </c>
      <c r="M245" s="255">
        <v>33</v>
      </c>
      <c r="N245" s="255">
        <v>33</v>
      </c>
    </row>
    <row r="247" spans="1:14">
      <c r="A247" s="106">
        <f>WAIS!B13</f>
        <v>0</v>
      </c>
      <c r="B247">
        <f>IF(A247&gt;B244,A245,IF(A247&gt;B243,A244,IF(A247&gt;B242,A243,IF(A247&gt;B241,A242,IF(A247&gt;B240,A241,IF(A247&gt;B239,A240,IF(A247&gt;B238,A239,IF(A247&gt;B237,A238,IF(A247&gt;B236,A237,IF(A247&gt;B235,A236,IF(A247&gt;B234,A235,IF(A247&gt;B233,A234,IF(A247&gt;B232,A233,IF(A247&gt;B231,A232,IF(A247&gt;B230,A231,IF(A247&gt;B229,A230,IF(A247&gt;B228,A229,IF(A247&gt;B227,A228,1))))))))))))))))))</f>
        <v>1</v>
      </c>
      <c r="C247">
        <f>IF(A247&gt;C244,A245,IF(A247&gt;C243,A244,IF(A247&gt;C242,A243,IF(A247&gt;C241,A242,IF(A247&gt;C240,A241,IF(A247&gt;C239,A240,IF(A247&gt;C238,A239,IF(A247&gt;C237,A238,IF(A247&gt;C236,A237,IF(A247&gt;C235,A236,IF(A247&gt;C234,A235,IF(A247&gt;C233,A234,IF(A247&gt;C232,A233,IF(A247&gt;C231,A232,IF(A247&gt;C230,A231,IF(A247&gt;C229,A230,IF(A247&gt;C228,A229,IF(A247&gt;C227,A228,1))))))))))))))))))</f>
        <v>1</v>
      </c>
      <c r="D247">
        <f>IF(A247&gt;D244,A245,IF(A247&gt;D243,A244,IF(A247&gt;D242,A243,IF(A247&gt;D241,A242,IF(A247&gt;D240,A241,IF(A247&gt;D239,A240,IF(A247&gt;D238,A239,IF(A247&gt;D237,A238,IF(A247&gt;D236,A237,IF(A247&gt;D235,A236,IF(A247&gt;D234,A235,IF(A247&gt;D233,A234,IF(A247&gt;D232,A233,IF(A247&gt;D231,A232,IF(A247&gt;D230,A231,IF(A247&gt;D229,A230,IF(A247&gt;D228,A229,IF(A247&gt;D227,A228,1))))))))))))))))))</f>
        <v>1</v>
      </c>
      <c r="E247">
        <f>IF(A247&gt;E244,A245,IF(A247&gt;E243,A244,IF(A247&gt;E242,A243,IF(A247&gt;E241,A242,IF(A247&gt;E240,A241,IF(A247&gt;E239,A240,IF(A247&gt;E238,A239,IF(A247&gt;E237,A238,IF(A247&gt;E236,A237,IF(A247&gt;E235,A236,IF(A247&gt;E234,A235,IF(A247&gt;E233,A234,IF(A247&gt;E232,A233,IF(A247&gt;E231,A232,IF(A247&gt;E230,A231,IF(A247&gt;E229,A230,IF(A247&gt;E228,A229,IF(A247&gt;E227,A228,1))))))))))))))))))</f>
        <v>1</v>
      </c>
      <c r="F247">
        <f>IF(A247&gt;F244,A245,IF(A247&gt;F243,A244,IF(A247&gt;F242,A243,IF(A247&gt;F241,A242,IF(A247&gt;F240,A241,IF(A247&gt;F239,A240,IF(A247&gt;F238,A239,IF(A247&gt;F237,A238,IF(A247&gt;F236,A237,IF(A247&gt;F235,A236,IF(A247&gt;F234,A235,IF(A247&gt;F233,A234,IF(A247&gt;F232,A233,IF(A247&gt;F231,A232,IF(A247&gt;F230,A231,IF(A247&gt;F229,A230,IF(A247&gt;F228,A229,IF(A247&gt;F227,A228,1))))))))))))))))))</f>
        <v>1</v>
      </c>
      <c r="G247">
        <f>IF(A247&gt;G244,A245,IF(A247&gt;G243,A244,IF(A247&gt;G242,A243,IF(A247&gt;G241,A242,IF(A247&gt;G240,A241,IF(A247&gt;G239,A240,IF(A247&gt;G238,A239,IF(A247&gt;G237,A238,IF(A247&gt;G236,A237,IF(A247&gt;G235,A236,IF(A247&gt;G234,A235,IF(A247&gt;G233,A234,IF(A247&gt;G232,A233,IF(A247&gt;G231,A232,IF(A247&gt;G230,A231,IF(A247&gt;G229,A230,IF(A247&gt;G228,A229,IF(A247&gt;G227,A228,1))))))))))))))))))</f>
        <v>1</v>
      </c>
      <c r="H247">
        <f>IF(A247&gt;H244,A245,IF(A247&gt;H243,A244,IF(A247&gt;H242,A243,IF(A247&gt;H241,A242,IF(A247&gt;H240,A241,IF(A247&gt;H239,A240,IF(A247&gt;H238,A239,IF(A247&gt;H237,A238,IF(A247&gt;H236,A237,IF(A247&gt;H235,A236,IF(A247&gt;H234,A235,IF(A247&gt;H233,A234,IF(A247&gt;H232,A233,IF(A247&gt;H231,A232,IF(A247&gt;H230,A231,IF(A247&gt;H229,A230,IF(A247&gt;H228,A229,IF(A247&gt;H227,A228,1))))))))))))))))))</f>
        <v>1</v>
      </c>
      <c r="I247">
        <f>IF(A247&gt;I244,A245,IF(A247&gt;I243,A244,IF(A247&gt;I242,A243,IF(A247&gt;I241,A242,IF(A247&gt;I240,A241,IF(A247&gt;I239,A240,IF(A247&gt;I238,A239,IF(A247&gt;I237,A238,IF(A247&gt;I236,A237,IF(A247&gt;I235,A236,IF(A247&gt;I234,A235,IF(A247&gt;I233,A234,IF(A247&gt;I232,A233,IF(A247&gt;I231,A232,IF(A247&gt;I230,A231,IF(A247&gt;I229,A230,IF(A247&gt;I228,A229,IF(A247&gt;I227,A228,1))))))))))))))))))</f>
        <v>1</v>
      </c>
      <c r="J247">
        <f>IF(A247&gt;J244,A245,IF(A247&gt;J243,A244,IF(A247&gt;J242,A243,IF(A247&gt;J241,A242,IF(A247&gt;J240,A241,IF(A247&gt;J239,A240,IF(A247&gt;J238,A239,IF(A247&gt;J237,A238,IF(A247&gt;J236,A237,IF(A247&gt;J235,A236,IF(A247&gt;J234,A235,IF(A247&gt;J233,A234,IF(A247&gt;J232,A233,IF(A247&gt;J231,A232,IF(A247&gt;J230,A231,IF(A247&gt;J229,A230,IF(A247&gt;J228,A229,IF(A247&gt;J227,A228,1))))))))))))))))))</f>
        <v>1</v>
      </c>
      <c r="K247" s="250">
        <f>IF(A247&gt;K244,A245,IF(A247&gt;K243,A244,IF(A247&gt;K242,A243,IF(A247&gt;K241,A242,IF(A247&gt;K240,A241,IF(A247&gt;K239,A240,IF(A247&gt;K238,A239,IF(A247&gt;K237,A238,IF(A247&gt;K236,A237,IF(A247&gt;K235,A236,IF(A247&gt;K234,A235,IF(A247&gt;K233,A234,IF(A247&gt;K232,A233,IF(A247&gt;K231,A232,IF(A247&gt;K230,A231,IF(A247&gt;K229,A230,IF(A247&gt;K228,A229,IF(A247&gt;K227,A228,1))))))))))))))))))</f>
        <v>1</v>
      </c>
      <c r="L247">
        <f>IF(A247&gt;L244,A245,IF(A247&gt;L243,A244,IF(A247&gt;L242,A243,IF(A247&gt;L241,A242,IF(A247&gt;L240,A241,IF(A247&gt;L239,A240,IF(A247&gt;L238,A239,IF(A247&gt;L237,A238,IF(A247&gt;L236,A237,IF(A247&gt;L235,A236,IF(A247&gt;L234,A235,IF(A247&gt;L233,A234,IF(A247&gt;L232,A233,IF(A247&gt;L231,A232,IF(A247&gt;L230,A231,IF(A247&gt;L229,A230,IF(A247&gt;L228,A229,IF(A247&gt;L227,A228,1))))))))))))))))))</f>
        <v>1</v>
      </c>
      <c r="M247">
        <f>IF(A247&gt;M244,A245,IF(A247&gt;M243,A244,IF(A247&gt;M242,A243,IF(A247&gt;M241,A242,IF(A247&gt;M240,A241,IF(A247&gt;M239,A240,IF(A247&gt;M238,A239,IF(A247&gt;M237,A238,IF(A247&gt;M236,A237,IF(A247&gt;M235,A236,IF(A247&gt;M234,A235,IF(A247&gt;M233,A234,IF(A247&gt;M232,A233,IF(A247&gt;M231,A232,IF(A247&gt;M230,A231,IF(A247&gt;M229,A230,IF(A247&gt;M228,A229,IF(A247&gt;M227,A228,1))))))))))))))))))</f>
        <v>1</v>
      </c>
      <c r="N247">
        <f>IF(A247&gt;N244,A245,IF(A247&gt;N243,A244,IF(A247&gt;N242,A243,IF(A247&gt;N241,A242,IF(A247&gt;N240,A241,IF(A247&gt;N239,A240,IF(A247&gt;N238,A239,IF(A247&gt;N237,A238,IF(A247&gt;N236,A237,IF(A247&gt;N235,A236,IF(A247&gt;N234,A235,IF(A247&gt;N233,A234,IF(A247&gt;N232,A233,IF(A247&gt;N231,A232,IF(A247&gt;N230,A231,IF(A247&gt;N229,A230,IF(A247&gt;N228,A229,IF(A247&gt;N227,A228,1))))))))))))))))))</f>
        <v>1</v>
      </c>
    </row>
    <row r="248" spans="1:14">
      <c r="A248" s="62">
        <f>A223</f>
        <v>0</v>
      </c>
    </row>
    <row r="249" spans="1:14">
      <c r="A249" s="259">
        <f>IF(A248&gt;M226,N247,IF(A248&gt;L226,M247,IF(A248&gt;K226,L247,IF(A248&gt;J226,K247,IF(A248&gt;I226,J247,IF(A248&gt;H226,I247,IF(A248&gt;G226,H247,IF(A248&gt;F226,G247,IF(A248&gt;E226,F247,IF(A248&gt;D226,E247,IF(A248&gt;C226,D247,IF(A248&gt;B226,C247,B247))))))))))))</f>
        <v>1</v>
      </c>
    </row>
    <row r="251" spans="1:14" ht="16.5" thickBot="1">
      <c r="A251" t="s">
        <v>794</v>
      </c>
      <c r="B251" s="254">
        <v>17</v>
      </c>
      <c r="C251" s="254">
        <v>19</v>
      </c>
      <c r="D251" s="254">
        <v>24</v>
      </c>
      <c r="E251" s="254">
        <v>29</v>
      </c>
      <c r="F251" s="254">
        <v>34</v>
      </c>
      <c r="G251" s="254">
        <v>44</v>
      </c>
      <c r="H251" s="254">
        <v>54</v>
      </c>
      <c r="I251" s="254">
        <v>64</v>
      </c>
      <c r="J251" s="254">
        <v>69</v>
      </c>
      <c r="K251" s="254">
        <v>74</v>
      </c>
      <c r="L251" s="254">
        <v>79</v>
      </c>
      <c r="M251" s="254">
        <v>84</v>
      </c>
      <c r="N251" s="254">
        <v>89</v>
      </c>
    </row>
    <row r="252" spans="1:14" ht="16.5" thickBot="1">
      <c r="A252" s="253">
        <v>1</v>
      </c>
      <c r="B252" s="255">
        <v>3</v>
      </c>
      <c r="C252" s="255">
        <v>3</v>
      </c>
      <c r="D252" s="255">
        <v>3</v>
      </c>
      <c r="E252" s="255">
        <v>3</v>
      </c>
      <c r="F252" s="255">
        <v>3</v>
      </c>
      <c r="G252" s="255">
        <v>3</v>
      </c>
      <c r="H252" s="255">
        <v>2</v>
      </c>
      <c r="I252" s="255">
        <v>1</v>
      </c>
      <c r="J252" s="255">
        <v>1</v>
      </c>
      <c r="K252" s="255">
        <v>1</v>
      </c>
      <c r="L252" s="255">
        <v>1</v>
      </c>
      <c r="M252" s="255">
        <v>0</v>
      </c>
      <c r="N252" s="255">
        <v>0</v>
      </c>
    </row>
    <row r="253" spans="1:14" ht="16.5" thickBot="1">
      <c r="A253" s="253">
        <v>2</v>
      </c>
      <c r="B253" s="255">
        <v>5</v>
      </c>
      <c r="C253" s="255">
        <v>5</v>
      </c>
      <c r="D253" s="255">
        <v>5</v>
      </c>
      <c r="E253" s="255">
        <v>5</v>
      </c>
      <c r="F253" s="255">
        <v>5</v>
      </c>
      <c r="G253" s="255">
        <v>5</v>
      </c>
      <c r="H253" s="255">
        <v>4</v>
      </c>
      <c r="I253" s="255">
        <v>3</v>
      </c>
      <c r="J253" s="255">
        <v>2</v>
      </c>
      <c r="K253" s="255">
        <v>2</v>
      </c>
      <c r="L253" s="255">
        <v>2</v>
      </c>
      <c r="M253" s="255">
        <v>1</v>
      </c>
      <c r="N253" s="255">
        <v>1</v>
      </c>
    </row>
    <row r="254" spans="1:14" ht="16.5" thickBot="1">
      <c r="A254" s="253">
        <v>3</v>
      </c>
      <c r="B254" s="255">
        <v>6</v>
      </c>
      <c r="C254" s="255">
        <v>6</v>
      </c>
      <c r="D254" s="255">
        <v>6</v>
      </c>
      <c r="E254" s="255">
        <v>6</v>
      </c>
      <c r="F254" s="255">
        <v>6</v>
      </c>
      <c r="G254" s="255">
        <v>6</v>
      </c>
      <c r="H254" s="255">
        <v>6</v>
      </c>
      <c r="I254" s="255">
        <v>6</v>
      </c>
      <c r="J254" s="255">
        <v>4</v>
      </c>
      <c r="K254" s="255">
        <v>4</v>
      </c>
      <c r="L254" s="255">
        <v>4</v>
      </c>
      <c r="M254" s="255">
        <v>2</v>
      </c>
      <c r="N254" s="312">
        <v>1</v>
      </c>
    </row>
    <row r="255" spans="1:14" ht="16.5" thickBot="1">
      <c r="A255" s="253">
        <v>4</v>
      </c>
      <c r="B255" s="255">
        <v>11</v>
      </c>
      <c r="C255" s="255">
        <v>11</v>
      </c>
      <c r="D255" s="255">
        <v>11</v>
      </c>
      <c r="E255" s="255">
        <v>11</v>
      </c>
      <c r="F255" s="255">
        <v>11</v>
      </c>
      <c r="G255" s="255">
        <v>11</v>
      </c>
      <c r="H255" s="255">
        <v>9</v>
      </c>
      <c r="I255" s="255">
        <v>9</v>
      </c>
      <c r="J255" s="255">
        <v>6</v>
      </c>
      <c r="K255" s="255">
        <v>6</v>
      </c>
      <c r="L255" s="255">
        <v>6</v>
      </c>
      <c r="M255" s="255">
        <v>4</v>
      </c>
      <c r="N255" s="255">
        <v>3</v>
      </c>
    </row>
    <row r="256" spans="1:14" ht="16.5" thickBot="1">
      <c r="A256" s="253">
        <v>5</v>
      </c>
      <c r="B256" s="255">
        <v>14</v>
      </c>
      <c r="C256" s="255">
        <v>14</v>
      </c>
      <c r="D256" s="255">
        <v>14</v>
      </c>
      <c r="E256" s="255">
        <v>14</v>
      </c>
      <c r="F256" s="255">
        <v>14</v>
      </c>
      <c r="G256" s="255">
        <v>14</v>
      </c>
      <c r="H256" s="255">
        <v>12</v>
      </c>
      <c r="I256" s="255">
        <v>11</v>
      </c>
      <c r="J256" s="255">
        <v>8</v>
      </c>
      <c r="K256" s="255">
        <v>8</v>
      </c>
      <c r="L256" s="255">
        <v>8</v>
      </c>
      <c r="M256" s="255">
        <v>6</v>
      </c>
      <c r="N256" s="255">
        <v>5</v>
      </c>
    </row>
    <row r="257" spans="1:14" ht="16.5" thickBot="1">
      <c r="A257" s="253">
        <v>6</v>
      </c>
      <c r="B257" s="255">
        <v>16</v>
      </c>
      <c r="C257" s="255">
        <v>16</v>
      </c>
      <c r="D257" s="255">
        <v>16</v>
      </c>
      <c r="E257" s="255">
        <v>16</v>
      </c>
      <c r="F257" s="255">
        <v>16</v>
      </c>
      <c r="G257" s="255">
        <v>16</v>
      </c>
      <c r="H257" s="255">
        <v>15</v>
      </c>
      <c r="I257" s="255">
        <v>13</v>
      </c>
      <c r="J257" s="255">
        <v>10</v>
      </c>
      <c r="K257" s="255">
        <v>10</v>
      </c>
      <c r="L257" s="255">
        <v>10</v>
      </c>
      <c r="M257" s="255">
        <v>8</v>
      </c>
      <c r="N257" s="255">
        <v>7</v>
      </c>
    </row>
    <row r="258" spans="1:14" ht="16.5" thickBot="1">
      <c r="A258" s="253">
        <v>7</v>
      </c>
      <c r="B258" s="255">
        <v>17</v>
      </c>
      <c r="C258" s="255">
        <v>17</v>
      </c>
      <c r="D258" s="255">
        <v>17</v>
      </c>
      <c r="E258" s="255">
        <v>17</v>
      </c>
      <c r="F258" s="255">
        <v>17</v>
      </c>
      <c r="G258" s="255">
        <v>17</v>
      </c>
      <c r="H258" s="255">
        <v>17</v>
      </c>
      <c r="I258" s="255">
        <v>15</v>
      </c>
      <c r="J258" s="255">
        <v>12</v>
      </c>
      <c r="K258" s="255">
        <v>12</v>
      </c>
      <c r="L258" s="255">
        <v>12</v>
      </c>
      <c r="M258" s="255">
        <v>10</v>
      </c>
      <c r="N258" s="255">
        <v>9</v>
      </c>
    </row>
    <row r="259" spans="1:14" ht="16.5" thickBot="1">
      <c r="A259" s="253">
        <v>8</v>
      </c>
      <c r="B259" s="255">
        <v>19</v>
      </c>
      <c r="C259" s="255">
        <v>19</v>
      </c>
      <c r="D259" s="255">
        <v>19</v>
      </c>
      <c r="E259" s="255">
        <v>19</v>
      </c>
      <c r="F259" s="255">
        <v>19</v>
      </c>
      <c r="G259" s="255">
        <v>19</v>
      </c>
      <c r="H259" s="255">
        <v>18</v>
      </c>
      <c r="I259" s="255">
        <v>17</v>
      </c>
      <c r="J259" s="255">
        <v>14</v>
      </c>
      <c r="K259" s="255">
        <v>14</v>
      </c>
      <c r="L259" s="255">
        <v>14</v>
      </c>
      <c r="M259" s="255">
        <v>12</v>
      </c>
      <c r="N259" s="255">
        <v>11</v>
      </c>
    </row>
    <row r="260" spans="1:14" ht="16.5" thickBot="1">
      <c r="A260" s="253">
        <v>9</v>
      </c>
      <c r="B260" s="255">
        <v>20</v>
      </c>
      <c r="C260" s="255">
        <v>20</v>
      </c>
      <c r="D260" s="255">
        <v>20</v>
      </c>
      <c r="E260" s="255">
        <v>20</v>
      </c>
      <c r="F260" s="255">
        <v>20</v>
      </c>
      <c r="G260" s="255">
        <v>20</v>
      </c>
      <c r="H260" s="255">
        <v>19</v>
      </c>
      <c r="I260" s="255">
        <v>18</v>
      </c>
      <c r="J260" s="255">
        <v>16</v>
      </c>
      <c r="K260" s="255">
        <v>15</v>
      </c>
      <c r="L260" s="255">
        <v>15</v>
      </c>
      <c r="M260" s="255">
        <v>14</v>
      </c>
      <c r="N260" s="255">
        <v>13</v>
      </c>
    </row>
    <row r="261" spans="1:14" ht="16.5" thickBot="1">
      <c r="A261" s="253">
        <v>10</v>
      </c>
      <c r="B261" s="312">
        <v>20</v>
      </c>
      <c r="C261" s="312">
        <v>20</v>
      </c>
      <c r="D261" s="312">
        <v>20</v>
      </c>
      <c r="E261" s="313">
        <v>20</v>
      </c>
      <c r="F261" s="313">
        <v>20</v>
      </c>
      <c r="G261" s="313">
        <v>20</v>
      </c>
      <c r="H261" s="255">
        <v>20</v>
      </c>
      <c r="I261" s="255">
        <v>19</v>
      </c>
      <c r="J261" s="255">
        <v>18</v>
      </c>
      <c r="K261" s="255">
        <v>17</v>
      </c>
      <c r="L261" s="255">
        <v>17</v>
      </c>
      <c r="M261" s="255">
        <v>16</v>
      </c>
      <c r="N261" s="255">
        <v>15</v>
      </c>
    </row>
    <row r="262" spans="1:14" ht="16.5" thickBot="1">
      <c r="A262" s="253">
        <v>11</v>
      </c>
      <c r="B262" s="255">
        <v>21</v>
      </c>
      <c r="C262" s="255">
        <v>21</v>
      </c>
      <c r="D262" s="255">
        <v>21</v>
      </c>
      <c r="E262" s="255">
        <v>21</v>
      </c>
      <c r="F262" s="255">
        <v>21</v>
      </c>
      <c r="G262" s="255">
        <v>21</v>
      </c>
      <c r="H262" s="255">
        <v>21</v>
      </c>
      <c r="I262" s="255">
        <v>20</v>
      </c>
      <c r="J262" s="255">
        <v>20</v>
      </c>
      <c r="K262" s="255">
        <v>19</v>
      </c>
      <c r="L262" s="255">
        <v>18</v>
      </c>
      <c r="M262" s="255">
        <v>17</v>
      </c>
      <c r="N262" s="255">
        <v>16</v>
      </c>
    </row>
    <row r="263" spans="1:14" ht="16.5" thickBot="1">
      <c r="A263" s="253">
        <v>12</v>
      </c>
      <c r="B263" s="255">
        <v>22</v>
      </c>
      <c r="C263" s="255">
        <v>22</v>
      </c>
      <c r="D263" s="255">
        <v>22</v>
      </c>
      <c r="E263" s="255">
        <v>22</v>
      </c>
      <c r="F263" s="255">
        <v>22</v>
      </c>
      <c r="G263" s="255">
        <v>22</v>
      </c>
      <c r="H263" s="255">
        <v>22</v>
      </c>
      <c r="I263" s="255">
        <v>21</v>
      </c>
      <c r="J263" s="255">
        <v>21</v>
      </c>
      <c r="K263" s="255">
        <v>20</v>
      </c>
      <c r="L263" s="255">
        <v>19</v>
      </c>
      <c r="M263" s="255">
        <v>18</v>
      </c>
      <c r="N263" s="255">
        <v>17</v>
      </c>
    </row>
    <row r="264" spans="1:14" ht="16.5" thickBot="1">
      <c r="A264" s="253">
        <v>13</v>
      </c>
      <c r="B264" s="255">
        <v>23</v>
      </c>
      <c r="C264" s="255">
        <v>23</v>
      </c>
      <c r="D264" s="255">
        <v>23</v>
      </c>
      <c r="E264" s="255">
        <v>23</v>
      </c>
      <c r="F264" s="313">
        <v>22</v>
      </c>
      <c r="G264" s="313">
        <v>22</v>
      </c>
      <c r="H264" s="312">
        <v>22</v>
      </c>
      <c r="I264" s="255">
        <v>22</v>
      </c>
      <c r="J264" s="255">
        <v>22</v>
      </c>
      <c r="K264" s="255">
        <v>21</v>
      </c>
      <c r="L264" s="255">
        <v>20</v>
      </c>
      <c r="M264" s="255">
        <v>19</v>
      </c>
      <c r="N264" s="255">
        <v>18</v>
      </c>
    </row>
    <row r="265" spans="1:14" ht="16.5" thickBot="1">
      <c r="A265" s="253">
        <v>14</v>
      </c>
      <c r="B265" s="312">
        <v>23</v>
      </c>
      <c r="C265" s="312">
        <v>23</v>
      </c>
      <c r="D265" s="312">
        <v>23</v>
      </c>
      <c r="E265" s="313">
        <v>23</v>
      </c>
      <c r="F265" s="255">
        <v>23</v>
      </c>
      <c r="G265" s="255">
        <v>23</v>
      </c>
      <c r="H265" s="255">
        <v>23</v>
      </c>
      <c r="I265" s="255">
        <v>23</v>
      </c>
      <c r="J265" s="312">
        <v>22</v>
      </c>
      <c r="K265" s="255">
        <v>22</v>
      </c>
      <c r="L265" s="255">
        <v>21</v>
      </c>
      <c r="M265" s="255">
        <v>20</v>
      </c>
      <c r="N265" s="255">
        <v>19</v>
      </c>
    </row>
    <row r="266" spans="1:14" ht="16.5" thickBot="1">
      <c r="A266" s="253">
        <v>15</v>
      </c>
      <c r="B266" s="255">
        <v>24</v>
      </c>
      <c r="C266" s="255">
        <v>24</v>
      </c>
      <c r="D266" s="255">
        <v>24</v>
      </c>
      <c r="E266" s="255">
        <v>24</v>
      </c>
      <c r="F266" s="255">
        <v>24</v>
      </c>
      <c r="G266" s="255">
        <v>24</v>
      </c>
      <c r="H266" s="255">
        <v>24</v>
      </c>
      <c r="I266" s="312">
        <v>23</v>
      </c>
      <c r="J266" s="255">
        <v>23</v>
      </c>
      <c r="K266" s="312">
        <v>22</v>
      </c>
      <c r="L266" s="255">
        <v>22</v>
      </c>
      <c r="M266" s="255">
        <v>21</v>
      </c>
      <c r="N266" s="312">
        <v>19</v>
      </c>
    </row>
    <row r="267" spans="1:14" ht="16.5" thickBot="1">
      <c r="A267" s="253">
        <v>16</v>
      </c>
      <c r="B267" s="312">
        <v>24</v>
      </c>
      <c r="C267" s="312">
        <v>24</v>
      </c>
      <c r="D267" s="312">
        <v>24</v>
      </c>
      <c r="E267" s="313">
        <v>24</v>
      </c>
      <c r="F267" s="313">
        <v>24</v>
      </c>
      <c r="G267" s="313">
        <v>24</v>
      </c>
      <c r="H267" s="312">
        <v>24</v>
      </c>
      <c r="I267" s="255">
        <v>24</v>
      </c>
      <c r="J267" s="312">
        <v>23</v>
      </c>
      <c r="K267" s="255">
        <v>23</v>
      </c>
      <c r="L267" s="255">
        <v>23</v>
      </c>
      <c r="M267" s="255">
        <v>22</v>
      </c>
      <c r="N267" s="255">
        <v>20</v>
      </c>
    </row>
    <row r="268" spans="1:14" ht="16.5" thickBot="1">
      <c r="A268" s="253">
        <v>17</v>
      </c>
      <c r="B268" s="312">
        <v>24</v>
      </c>
      <c r="C268" s="312">
        <v>24</v>
      </c>
      <c r="D268" s="312">
        <v>24</v>
      </c>
      <c r="E268" s="313">
        <v>24</v>
      </c>
      <c r="F268" s="313">
        <v>24</v>
      </c>
      <c r="G268" s="313">
        <v>24</v>
      </c>
      <c r="H268" s="312">
        <v>24</v>
      </c>
      <c r="I268" s="312">
        <v>24</v>
      </c>
      <c r="J268" s="255">
        <v>24</v>
      </c>
      <c r="K268" s="255">
        <v>24</v>
      </c>
      <c r="L268" s="312">
        <v>23</v>
      </c>
      <c r="M268" s="255">
        <v>23</v>
      </c>
      <c r="N268" s="255">
        <v>21</v>
      </c>
    </row>
    <row r="269" spans="1:14" ht="16.5" thickBot="1">
      <c r="A269" s="253">
        <v>18</v>
      </c>
      <c r="B269" s="255">
        <v>25</v>
      </c>
      <c r="C269" s="255">
        <v>25</v>
      </c>
      <c r="D269" s="255">
        <v>25</v>
      </c>
      <c r="E269" s="255">
        <v>25</v>
      </c>
      <c r="F269" s="255">
        <v>25</v>
      </c>
      <c r="G269" s="255">
        <v>25</v>
      </c>
      <c r="H269" s="255">
        <v>25</v>
      </c>
      <c r="I269" s="255">
        <v>25</v>
      </c>
      <c r="J269" s="255">
        <v>25</v>
      </c>
      <c r="K269" s="255">
        <v>25</v>
      </c>
      <c r="L269" s="255">
        <v>24</v>
      </c>
      <c r="M269" s="255">
        <v>24</v>
      </c>
      <c r="N269" s="255">
        <v>22</v>
      </c>
    </row>
    <row r="270" spans="1:14" ht="16.5" thickBot="1">
      <c r="A270" s="253">
        <v>19</v>
      </c>
      <c r="B270" s="256" t="s">
        <v>150</v>
      </c>
      <c r="C270" s="256" t="s">
        <v>150</v>
      </c>
      <c r="D270" s="256" t="s">
        <v>150</v>
      </c>
      <c r="E270" s="257" t="s">
        <v>150</v>
      </c>
      <c r="F270" s="257" t="s">
        <v>150</v>
      </c>
      <c r="G270" s="257" t="s">
        <v>150</v>
      </c>
      <c r="H270" s="256" t="s">
        <v>150</v>
      </c>
      <c r="I270" s="256" t="s">
        <v>150</v>
      </c>
      <c r="J270" s="256" t="s">
        <v>150</v>
      </c>
      <c r="K270" s="256" t="s">
        <v>150</v>
      </c>
      <c r="L270" s="255">
        <v>25</v>
      </c>
      <c r="M270" s="255">
        <v>25</v>
      </c>
      <c r="N270" s="255">
        <v>25</v>
      </c>
    </row>
    <row r="272" spans="1:14">
      <c r="A272" s="106">
        <f>WAIS!B3</f>
        <v>0</v>
      </c>
      <c r="B272">
        <f>IF(A272&gt;B269,A270,IF(A272&gt;B268,A269,IF(A272&gt;B267,A268,IF(A272&gt;B266,A267,IF(A272&gt;B265,A266,IF(A272&gt;B264,A265,IF(A272&gt;B263,A264,IF(A272&gt;B262,A263,IF(A272&gt;B261,A262,IF(A272&gt;B260,A261,IF(A272&gt;B259,A260,IF(A272&gt;B258,A259,IF(A272&gt;B257,A258,IF(A272&gt;B256,A257,IF(A272&gt;B255,A256,IF(A272&gt;B254,A255,IF(A272&gt;B253,A254,IF(A272&gt;B252,A253,1))))))))))))))))))</f>
        <v>1</v>
      </c>
      <c r="C272">
        <f>IF(A272&gt;C269,A270,IF(A272&gt;C268,A269,IF(A272&gt;C267,A268,IF(A272&gt;C266,A267,IF(A272&gt;C265,A266,IF(A272&gt;C264,A265,IF(A272&gt;C263,A264,IF(A272&gt;C262,A263,IF(A272&gt;C261,A262,IF(A272&gt;C260,A261,IF(A272&gt;C259,A260,IF(A272&gt;C258,A259,IF(A272&gt;C257,A258,IF(A272&gt;C256,A257,IF(A272&gt;C255,A256,IF(A272&gt;C254,A255,IF(A272&gt;C253,A254,IF(A272&gt;C252,A253,1))))))))))))))))))</f>
        <v>1</v>
      </c>
      <c r="D272">
        <f>IF(A272&gt;D269,A270,IF(A272&gt;D268,A269,IF(A272&gt;D267,A268,IF(A272&gt;D266,A267,IF(A272&gt;D265,A266,IF(A272&gt;D264,A265,IF(A272&gt;D263,A264,IF(A272&gt;D262,A263,IF(A272&gt;D261,A262,IF(A272&gt;D260,A261,IF(A272&gt;D259,A260,IF(A272&gt;D258,A259,IF(A272&gt;D257,A258,IF(A272&gt;D256,A257,IF(A272&gt;D255,A256,IF(A272&gt;D254,A255,IF(A272&gt;D253,A254,IF(A272&gt;D252,A253,1))))))))))))))))))</f>
        <v>1</v>
      </c>
      <c r="E272">
        <f>IF(A272&gt;E269,A270,IF(A272&gt;E268,A269,IF(A272&gt;E267,A268,IF(A272&gt;E266,A267,IF(A272&gt;E265,A266,IF(A272&gt;E264,A265,IF(A272&gt;E263,A264,IF(A272&gt;E262,A263,IF(A272&gt;E261,A262,IF(A272&gt;E260,A261,IF(A272&gt;E259,A260,IF(A272&gt;E258,A259,IF(A272&gt;E257,A258,IF(A272&gt;E256,A257,IF(A272&gt;E255,A256,IF(A272&gt;E254,A255,IF(A272&gt;E253,A254,IF(A272&gt;E252,A253,1))))))))))))))))))</f>
        <v>1</v>
      </c>
      <c r="F272">
        <f>IF(A272&gt;F269,A270,IF(A272&gt;F268,A269,IF(A272&gt;F267,A268,IF(A272&gt;F266,A267,IF(A272&gt;F265,A266,IF(A272&gt;F264,A265,IF(A272&gt;F263,A264,IF(A272&gt;F262,A263,IF(A272&gt;F261,A262,IF(A272&gt;F260,A261,IF(A272&gt;F259,A260,IF(A272&gt;F258,A259,IF(A272&gt;F257,A258,IF(A272&gt;F256,A257,IF(A272&gt;F255,A256,IF(A272&gt;F254,A255,IF(A272&gt;F253,A254,IF(A272&gt;F252,A253,1))))))))))))))))))</f>
        <v>1</v>
      </c>
      <c r="G272">
        <f>IF(A272&gt;G269,A270,IF(A272&gt;G268,A269,IF(A272&gt;G267,A268,IF(A272&gt;G266,A267,IF(A272&gt;G265,A266,IF(A272&gt;G264,A265,IF(A272&gt;G263,A264,IF(A272&gt;G262,A263,IF(A272&gt;G261,A262,IF(A272&gt;G260,A261,IF(A272&gt;G259,A260,IF(A272&gt;G258,A259,IF(A272&gt;G257,A258,IF(A272&gt;G256,A257,IF(A272&gt;G255,A256,IF(A272&gt;G254,A255,IF(A272&gt;G253,A254,IF(A272&gt;G252,A253,1))))))))))))))))))</f>
        <v>1</v>
      </c>
      <c r="H272">
        <f>IF(A272&gt;H269,A270,IF(A272&gt;H268,A269,IF(A272&gt;H267,A268,IF(A272&gt;H266,A267,IF(A272&gt;H265,A266,IF(A272&gt;H264,A265,IF(A272&gt;H263,A264,IF(A272&gt;H262,A263,IF(A272&gt;H261,A262,IF(A272&gt;H260,A261,IF(A272&gt;H259,A260,IF(A272&gt;H258,A259,IF(A272&gt;H257,A258,IF(A272&gt;H256,A257,IF(A272&gt;H255,A256,IF(A272&gt;H254,A255,IF(A272&gt;H253,A254,IF(A272&gt;H252,A253,1))))))))))))))))))</f>
        <v>1</v>
      </c>
      <c r="I272">
        <f>IF(A272&gt;I269,A270,IF(A272&gt;I268,A269,IF(A272&gt;I267,A268,IF(A272&gt;I266,A267,IF(A272&gt;I265,A266,IF(A272&gt;I264,A265,IF(A272&gt;I263,A264,IF(A272&gt;I262,A263,IF(A272&gt;I261,A262,IF(A272&gt;I260,A261,IF(A272&gt;I259,A260,IF(A272&gt;I258,A259,IF(A272&gt;I257,A258,IF(A272&gt;I256,A257,IF(A272&gt;I255,A256,IF(A272&gt;I254,A255,IF(A272&gt;I253,A254,IF(A272&gt;I252,A253,1))))))))))))))))))</f>
        <v>1</v>
      </c>
      <c r="J272">
        <f>IF(A272&gt;J269,A270,IF(A272&gt;J268,A269,IF(A272&gt;J267,A268,IF(A272&gt;J266,A267,IF(A272&gt;J265,A266,IF(A272&gt;J264,A265,IF(A272&gt;J263,A264,IF(A272&gt;J262,A263,IF(A272&gt;J261,A262,IF(A272&gt;J260,A261,IF(A272&gt;J259,A260,IF(A272&gt;J258,A259,IF(A272&gt;J257,A258,IF(A272&gt;J256,A257,IF(A272&gt;J255,A256,IF(A272&gt;J254,A255,IF(A272&gt;J253,A254,IF(A272&gt;J252,A253,1))))))))))))))))))</f>
        <v>1</v>
      </c>
      <c r="K272" s="250">
        <f>IF(A272&gt;K269,A270,IF(A272&gt;K268,A269,IF(A272&gt;K267,A268,IF(A272&gt;K266,A267,IF(A272&gt;K265,A266,IF(A272&gt;K264,A265,IF(A272&gt;K263,A264,IF(A272&gt;K262,A263,IF(A272&gt;K261,A262,IF(A272&gt;K260,A261,IF(A272&gt;K259,A260,IF(A272&gt;K258,A259,IF(A272&gt;K257,A258,IF(A272&gt;K256,A257,IF(A272&gt;K255,A256,IF(A272&gt;K254,A255,IF(A272&gt;K253,A254,IF(A272&gt;K252,A253,1))))))))))))))))))</f>
        <v>1</v>
      </c>
      <c r="L272">
        <f>IF(A272&gt;L269,A270,IF(A272&gt;L268,A269,IF(A272&gt;L267,A268,IF(A272&gt;L266,A267,IF(A272&gt;L265,A266,IF(A272&gt;L264,A265,IF(A272&gt;L263,A264,IF(A272&gt;L262,A263,IF(A272&gt;L261,A262,IF(A272&gt;L260,A261,IF(A272&gt;L259,A260,IF(A272&gt;L258,A259,IF(A272&gt;L257,A258,IF(A272&gt;L256,A257,IF(A272&gt;L255,A256,IF(A272&gt;L254,A255,IF(A272&gt;L253,A254,IF(A272&gt;L252,A253,1))))))))))))))))))</f>
        <v>1</v>
      </c>
      <c r="M272">
        <f>IF(A272&gt;M269,A270,IF(A272&gt;M268,A269,IF(A272&gt;M267,A268,IF(A272&gt;M266,A267,IF(A272&gt;M265,A266,IF(A272&gt;M264,A265,IF(A272&gt;M263,A264,IF(A272&gt;M262,A263,IF(A272&gt;M261,A262,IF(A272&gt;M260,A261,IF(A272&gt;M259,A260,IF(A272&gt;M258,A259,IF(A272&gt;M257,A258,IF(A272&gt;M256,A257,IF(A272&gt;M255,A256,IF(A272&gt;M254,A255,IF(A272&gt;M253,A254,IF(A272&gt;M252,A253,1))))))))))))))))))</f>
        <v>1</v>
      </c>
      <c r="N272">
        <f>IF(A272&gt;N269,A270,IF(A272&gt;N268,A269,IF(A272&gt;N267,A268,IF(A272&gt;N266,A267,IF(A272&gt;N265,A266,IF(A272&gt;N264,A265,IF(A272&gt;N263,A264,IF(A272&gt;N262,A263,IF(A272&gt;N261,A262,IF(A272&gt;N260,A261,IF(A272&gt;N259,A260,IF(A272&gt;N258,A259,IF(A272&gt;N257,A258,IF(A272&gt;N256,A257,IF(A272&gt;N255,A256,IF(A272&gt;N254,A255,IF(A272&gt;N253,A254,IF(A272&gt;N252,A253,1))))))))))))))))))</f>
        <v>1</v>
      </c>
    </row>
    <row r="273" spans="1:14">
      <c r="A273" s="62">
        <f>A248</f>
        <v>0</v>
      </c>
    </row>
    <row r="274" spans="1:14">
      <c r="A274" s="259">
        <f>IF(A273&gt;M251,N272,IF(A273&gt;L251,M272,IF(A273&gt;K251,L272,IF(A273&gt;J251,K272,IF(A273&gt;I251,J272,IF(A273&gt;H251,I272,IF(A273&gt;G251,H272,IF(A273&gt;F251,G272,IF(A273&gt;E251,F272,IF(A273&gt;D251,E272,IF(A273&gt;C251,D272,IF(A273&gt;B251,C272,B272))))))))))))</f>
        <v>1</v>
      </c>
    </row>
    <row r="276" spans="1:14" ht="16.5" thickBot="1">
      <c r="A276" s="314" t="s">
        <v>795</v>
      </c>
      <c r="B276" s="254">
        <v>17</v>
      </c>
      <c r="C276" s="254">
        <v>19</v>
      </c>
      <c r="D276" s="254">
        <v>24</v>
      </c>
      <c r="E276" s="254">
        <v>29</v>
      </c>
      <c r="F276" s="254">
        <v>34</v>
      </c>
      <c r="G276" s="254">
        <v>44</v>
      </c>
      <c r="H276" s="254">
        <v>54</v>
      </c>
      <c r="I276" s="254">
        <v>64</v>
      </c>
      <c r="J276" s="254">
        <v>69</v>
      </c>
      <c r="K276" s="254">
        <v>74</v>
      </c>
      <c r="L276" s="254">
        <v>79</v>
      </c>
      <c r="M276" s="254">
        <v>84</v>
      </c>
      <c r="N276" s="254">
        <v>89</v>
      </c>
    </row>
    <row r="277" spans="1:14" ht="16.5" thickBot="1">
      <c r="A277" s="253">
        <v>1</v>
      </c>
      <c r="B277" s="255">
        <v>2</v>
      </c>
      <c r="C277" s="255">
        <v>2</v>
      </c>
      <c r="D277" s="255">
        <v>2</v>
      </c>
      <c r="E277" s="255">
        <v>2</v>
      </c>
      <c r="F277" s="255">
        <v>1</v>
      </c>
      <c r="G277" s="255">
        <v>1</v>
      </c>
      <c r="H277" s="255">
        <v>1</v>
      </c>
      <c r="I277" s="255">
        <v>1</v>
      </c>
      <c r="J277" s="255">
        <v>1</v>
      </c>
      <c r="K277" s="255">
        <v>1</v>
      </c>
      <c r="L277" s="255">
        <v>1</v>
      </c>
      <c r="M277" s="255">
        <v>1</v>
      </c>
      <c r="N277" s="255">
        <v>1</v>
      </c>
    </row>
    <row r="278" spans="1:14" ht="16.5" thickBot="1">
      <c r="A278" s="253">
        <v>2</v>
      </c>
      <c r="B278" s="255">
        <v>6</v>
      </c>
      <c r="C278" s="255">
        <v>6</v>
      </c>
      <c r="D278" s="255">
        <v>6</v>
      </c>
      <c r="E278" s="255">
        <v>6</v>
      </c>
      <c r="F278" s="255">
        <v>5</v>
      </c>
      <c r="G278" s="255">
        <v>5</v>
      </c>
      <c r="H278" s="255">
        <v>5</v>
      </c>
      <c r="I278" s="255">
        <v>4</v>
      </c>
      <c r="J278" s="255">
        <v>4</v>
      </c>
      <c r="K278" s="255">
        <v>4</v>
      </c>
      <c r="L278" s="255">
        <v>3</v>
      </c>
      <c r="M278" s="255">
        <v>3</v>
      </c>
      <c r="N278" s="255">
        <v>2</v>
      </c>
    </row>
    <row r="279" spans="1:14" ht="16.5" thickBot="1">
      <c r="A279" s="253">
        <v>3</v>
      </c>
      <c r="B279" s="255">
        <v>10</v>
      </c>
      <c r="C279" s="255">
        <v>10</v>
      </c>
      <c r="D279" s="255">
        <v>10</v>
      </c>
      <c r="E279" s="255">
        <v>10</v>
      </c>
      <c r="F279" s="255">
        <v>9</v>
      </c>
      <c r="G279" s="255">
        <v>9</v>
      </c>
      <c r="H279" s="255">
        <v>9</v>
      </c>
      <c r="I279" s="255">
        <v>8</v>
      </c>
      <c r="J279" s="255">
        <v>7</v>
      </c>
      <c r="K279" s="255">
        <v>7</v>
      </c>
      <c r="L279" s="255">
        <v>5</v>
      </c>
      <c r="M279" s="255">
        <v>5</v>
      </c>
      <c r="N279" s="255">
        <v>4</v>
      </c>
    </row>
    <row r="280" spans="1:14" ht="16.5" thickBot="1">
      <c r="A280" s="253">
        <v>4</v>
      </c>
      <c r="B280" s="255">
        <v>14</v>
      </c>
      <c r="C280" s="255">
        <v>14</v>
      </c>
      <c r="D280" s="255">
        <v>14</v>
      </c>
      <c r="E280" s="255">
        <v>14</v>
      </c>
      <c r="F280" s="255">
        <v>14</v>
      </c>
      <c r="G280" s="255">
        <v>14</v>
      </c>
      <c r="H280" s="255">
        <v>14</v>
      </c>
      <c r="I280" s="255">
        <v>12</v>
      </c>
      <c r="J280" s="255">
        <v>10</v>
      </c>
      <c r="K280" s="255">
        <v>10</v>
      </c>
      <c r="L280" s="255">
        <v>9</v>
      </c>
      <c r="M280" s="255">
        <v>8</v>
      </c>
      <c r="N280" s="255">
        <v>7</v>
      </c>
    </row>
    <row r="281" spans="1:14" ht="16.5" thickBot="1">
      <c r="A281" s="253">
        <v>5</v>
      </c>
      <c r="B281" s="255">
        <v>19</v>
      </c>
      <c r="C281" s="255">
        <v>19</v>
      </c>
      <c r="D281" s="255">
        <v>19</v>
      </c>
      <c r="E281" s="255">
        <v>19</v>
      </c>
      <c r="F281" s="255">
        <v>19</v>
      </c>
      <c r="G281" s="255">
        <v>19</v>
      </c>
      <c r="H281" s="255">
        <v>18</v>
      </c>
      <c r="I281" s="255">
        <v>16</v>
      </c>
      <c r="J281" s="255">
        <v>13</v>
      </c>
      <c r="K281" s="255">
        <v>13</v>
      </c>
      <c r="L281" s="255">
        <v>12</v>
      </c>
      <c r="M281" s="255">
        <v>11</v>
      </c>
      <c r="N281" s="255">
        <v>10</v>
      </c>
    </row>
    <row r="282" spans="1:14" ht="16.5" thickBot="1">
      <c r="A282" s="253">
        <v>6</v>
      </c>
      <c r="B282" s="255">
        <v>24</v>
      </c>
      <c r="C282" s="255">
        <v>24</v>
      </c>
      <c r="D282" s="255">
        <v>24</v>
      </c>
      <c r="E282" s="255">
        <v>24</v>
      </c>
      <c r="F282" s="255">
        <v>24</v>
      </c>
      <c r="G282" s="255">
        <v>23</v>
      </c>
      <c r="H282" s="255">
        <v>22</v>
      </c>
      <c r="I282" s="255">
        <v>19</v>
      </c>
      <c r="J282" s="255">
        <v>16</v>
      </c>
      <c r="K282" s="255">
        <v>16</v>
      </c>
      <c r="L282" s="255">
        <v>15</v>
      </c>
      <c r="M282" s="255">
        <v>14</v>
      </c>
      <c r="N282" s="255">
        <v>13</v>
      </c>
    </row>
    <row r="283" spans="1:14" ht="16.5" thickBot="1">
      <c r="A283" s="253">
        <v>7</v>
      </c>
      <c r="B283" s="255">
        <v>29</v>
      </c>
      <c r="C283" s="255">
        <v>29</v>
      </c>
      <c r="D283" s="255">
        <v>29</v>
      </c>
      <c r="E283" s="255">
        <v>29</v>
      </c>
      <c r="F283" s="255">
        <v>29</v>
      </c>
      <c r="G283" s="255">
        <v>27</v>
      </c>
      <c r="H283" s="255">
        <v>25</v>
      </c>
      <c r="I283" s="255">
        <v>23</v>
      </c>
      <c r="J283" s="255">
        <v>17</v>
      </c>
      <c r="K283" s="255">
        <v>19</v>
      </c>
      <c r="L283" s="255">
        <v>18</v>
      </c>
      <c r="M283" s="255">
        <v>17</v>
      </c>
      <c r="N283" s="255">
        <v>16</v>
      </c>
    </row>
    <row r="284" spans="1:14" ht="16.5" thickBot="1">
      <c r="A284" s="253">
        <v>8</v>
      </c>
      <c r="B284" s="255">
        <v>34</v>
      </c>
      <c r="C284" s="255">
        <v>34</v>
      </c>
      <c r="D284" s="255">
        <v>34</v>
      </c>
      <c r="E284" s="255">
        <v>34</v>
      </c>
      <c r="F284" s="255">
        <v>34</v>
      </c>
      <c r="G284" s="255">
        <v>31</v>
      </c>
      <c r="H284" s="255">
        <v>29</v>
      </c>
      <c r="I284" s="255">
        <v>27</v>
      </c>
      <c r="J284" s="255">
        <v>23</v>
      </c>
      <c r="K284" s="255">
        <v>23</v>
      </c>
      <c r="L284" s="255">
        <v>22</v>
      </c>
      <c r="M284" s="255">
        <v>20</v>
      </c>
      <c r="N284" s="255">
        <v>19</v>
      </c>
    </row>
    <row r="285" spans="1:14" ht="16.5" thickBot="1">
      <c r="A285" s="253">
        <v>9</v>
      </c>
      <c r="B285" s="255">
        <v>39</v>
      </c>
      <c r="C285" s="255">
        <v>39</v>
      </c>
      <c r="D285" s="255">
        <v>39</v>
      </c>
      <c r="E285" s="255">
        <v>39</v>
      </c>
      <c r="F285" s="255">
        <v>38</v>
      </c>
      <c r="G285" s="255">
        <v>38</v>
      </c>
      <c r="H285" s="255">
        <v>34</v>
      </c>
      <c r="I285" s="255">
        <v>31</v>
      </c>
      <c r="J285" s="255">
        <v>27</v>
      </c>
      <c r="K285" s="255">
        <v>26</v>
      </c>
      <c r="L285" s="255">
        <v>25</v>
      </c>
      <c r="M285" s="255">
        <v>23</v>
      </c>
      <c r="N285" s="255">
        <v>22</v>
      </c>
    </row>
    <row r="286" spans="1:14" ht="16.5" thickBot="1">
      <c r="A286" s="253">
        <v>10</v>
      </c>
      <c r="B286" s="255">
        <v>43</v>
      </c>
      <c r="C286" s="255">
        <v>43</v>
      </c>
      <c r="D286" s="255">
        <v>43</v>
      </c>
      <c r="E286" s="255">
        <v>43</v>
      </c>
      <c r="F286" s="255">
        <v>43</v>
      </c>
      <c r="G286" s="255">
        <v>42</v>
      </c>
      <c r="H286" s="255">
        <v>38</v>
      </c>
      <c r="I286" s="255">
        <v>35</v>
      </c>
      <c r="J286" s="255">
        <v>31</v>
      </c>
      <c r="K286" s="255">
        <v>30</v>
      </c>
      <c r="L286" s="255">
        <v>27</v>
      </c>
      <c r="M286" s="255">
        <v>26</v>
      </c>
      <c r="N286" s="255">
        <v>25</v>
      </c>
    </row>
    <row r="287" spans="1:14" ht="16.5" thickBot="1">
      <c r="A287" s="253">
        <v>11</v>
      </c>
      <c r="B287" s="255">
        <v>48</v>
      </c>
      <c r="C287" s="255">
        <v>48</v>
      </c>
      <c r="D287" s="255">
        <v>48</v>
      </c>
      <c r="E287" s="255">
        <v>48</v>
      </c>
      <c r="F287" s="255">
        <v>47</v>
      </c>
      <c r="G287" s="255">
        <v>46</v>
      </c>
      <c r="H287" s="255">
        <v>42</v>
      </c>
      <c r="I287" s="255">
        <v>39</v>
      </c>
      <c r="J287" s="255">
        <v>35</v>
      </c>
      <c r="K287" s="255">
        <v>33</v>
      </c>
      <c r="L287" s="255">
        <v>30</v>
      </c>
      <c r="M287" s="255">
        <v>28</v>
      </c>
      <c r="N287" s="255">
        <v>27</v>
      </c>
    </row>
    <row r="288" spans="1:14" ht="16.5" thickBot="1">
      <c r="A288" s="253">
        <v>12</v>
      </c>
      <c r="B288" s="255">
        <v>52</v>
      </c>
      <c r="C288" s="255">
        <v>52</v>
      </c>
      <c r="D288" s="255">
        <v>52</v>
      </c>
      <c r="E288" s="255">
        <v>52</v>
      </c>
      <c r="F288" s="255">
        <v>51</v>
      </c>
      <c r="G288" s="255">
        <v>49</v>
      </c>
      <c r="H288" s="255">
        <v>46</v>
      </c>
      <c r="I288" s="255">
        <v>43</v>
      </c>
      <c r="J288" s="255">
        <v>39</v>
      </c>
      <c r="K288" s="255">
        <v>36</v>
      </c>
      <c r="L288" s="255">
        <v>33</v>
      </c>
      <c r="M288" s="255">
        <v>30</v>
      </c>
      <c r="N288" s="255">
        <v>29</v>
      </c>
    </row>
    <row r="289" spans="1:14" ht="16.5" thickBot="1">
      <c r="A289" s="253">
        <v>13</v>
      </c>
      <c r="B289" s="255">
        <v>55</v>
      </c>
      <c r="C289" s="255">
        <v>55</v>
      </c>
      <c r="D289" s="255">
        <v>55</v>
      </c>
      <c r="E289" s="255">
        <v>55</v>
      </c>
      <c r="F289" s="255">
        <v>55</v>
      </c>
      <c r="G289" s="255">
        <v>53</v>
      </c>
      <c r="H289" s="255">
        <v>49</v>
      </c>
      <c r="I289" s="255">
        <v>47</v>
      </c>
      <c r="J289" s="255">
        <v>43</v>
      </c>
      <c r="K289" s="255">
        <v>39</v>
      </c>
      <c r="L289" s="255">
        <v>36</v>
      </c>
      <c r="M289" s="255">
        <v>33</v>
      </c>
      <c r="N289" s="255">
        <v>32</v>
      </c>
    </row>
    <row r="290" spans="1:14" ht="16.5" thickBot="1">
      <c r="A290" s="253">
        <v>14</v>
      </c>
      <c r="B290" s="255">
        <v>58</v>
      </c>
      <c r="C290" s="255">
        <v>58</v>
      </c>
      <c r="D290" s="255">
        <v>58</v>
      </c>
      <c r="E290" s="255">
        <v>58</v>
      </c>
      <c r="F290" s="255">
        <v>58</v>
      </c>
      <c r="G290" s="255">
        <v>56</v>
      </c>
      <c r="H290" s="255">
        <v>53</v>
      </c>
      <c r="I290" s="255">
        <v>51</v>
      </c>
      <c r="J290" s="255">
        <v>47</v>
      </c>
      <c r="K290" s="255">
        <v>43</v>
      </c>
      <c r="L290" s="255">
        <v>39</v>
      </c>
      <c r="M290" s="255">
        <v>36</v>
      </c>
      <c r="N290" s="255">
        <v>35</v>
      </c>
    </row>
    <row r="291" spans="1:14" ht="16.5" thickBot="1">
      <c r="A291" s="253">
        <v>15</v>
      </c>
      <c r="B291" s="255">
        <v>61</v>
      </c>
      <c r="C291" s="255">
        <v>61</v>
      </c>
      <c r="D291" s="255">
        <v>61</v>
      </c>
      <c r="E291" s="255">
        <v>61</v>
      </c>
      <c r="F291" s="255">
        <v>60</v>
      </c>
      <c r="G291" s="255">
        <v>59</v>
      </c>
      <c r="H291" s="255">
        <v>56</v>
      </c>
      <c r="I291" s="255">
        <v>55</v>
      </c>
      <c r="J291" s="255">
        <v>51</v>
      </c>
      <c r="K291" s="255">
        <v>46</v>
      </c>
      <c r="L291" s="255">
        <v>43</v>
      </c>
      <c r="M291" s="255">
        <v>40</v>
      </c>
      <c r="N291" s="255">
        <v>38</v>
      </c>
    </row>
    <row r="292" spans="1:14" ht="16.5" thickBot="1">
      <c r="A292" s="253">
        <v>16</v>
      </c>
      <c r="B292" s="255">
        <v>63</v>
      </c>
      <c r="C292" s="255">
        <v>63</v>
      </c>
      <c r="D292" s="255">
        <v>63</v>
      </c>
      <c r="E292" s="255">
        <v>63</v>
      </c>
      <c r="F292" s="255">
        <v>62</v>
      </c>
      <c r="G292" s="255">
        <v>61</v>
      </c>
      <c r="H292" s="255">
        <v>59</v>
      </c>
      <c r="I292" s="255">
        <v>59</v>
      </c>
      <c r="J292" s="255">
        <v>55</v>
      </c>
      <c r="K292" s="255">
        <v>51</v>
      </c>
      <c r="L292" s="255">
        <v>46</v>
      </c>
      <c r="M292" s="255">
        <v>43</v>
      </c>
      <c r="N292" s="255">
        <v>41</v>
      </c>
    </row>
    <row r="293" spans="1:14" ht="16.5" thickBot="1">
      <c r="A293" s="253">
        <v>17</v>
      </c>
      <c r="B293" s="255">
        <v>65</v>
      </c>
      <c r="C293" s="255">
        <v>65</v>
      </c>
      <c r="D293" s="255">
        <v>65</v>
      </c>
      <c r="E293" s="255">
        <v>65</v>
      </c>
      <c r="F293" s="255">
        <v>64</v>
      </c>
      <c r="G293" s="255">
        <v>63</v>
      </c>
      <c r="H293" s="255">
        <v>62</v>
      </c>
      <c r="I293" s="255">
        <v>62</v>
      </c>
      <c r="J293" s="255">
        <v>59</v>
      </c>
      <c r="K293" s="255">
        <v>54</v>
      </c>
      <c r="L293" s="255">
        <v>51</v>
      </c>
      <c r="M293" s="255">
        <v>46</v>
      </c>
      <c r="N293" s="255">
        <v>44</v>
      </c>
    </row>
    <row r="294" spans="1:14" ht="16.5" thickBot="1">
      <c r="A294" s="253">
        <v>18</v>
      </c>
      <c r="B294" s="255">
        <v>67</v>
      </c>
      <c r="C294" s="255">
        <v>67</v>
      </c>
      <c r="D294" s="255">
        <v>67</v>
      </c>
      <c r="E294" s="255">
        <v>67</v>
      </c>
      <c r="F294" s="255">
        <v>66</v>
      </c>
      <c r="G294" s="255">
        <v>65</v>
      </c>
      <c r="H294" s="255">
        <v>65</v>
      </c>
      <c r="I294" s="255">
        <v>65</v>
      </c>
      <c r="J294" s="255">
        <v>63</v>
      </c>
      <c r="K294" s="255">
        <v>58</v>
      </c>
      <c r="L294" s="255">
        <v>55</v>
      </c>
      <c r="M294" s="255">
        <v>52</v>
      </c>
      <c r="N294" s="255">
        <v>47</v>
      </c>
    </row>
    <row r="295" spans="1:14" ht="16.5" thickBot="1">
      <c r="A295" s="253">
        <v>19</v>
      </c>
      <c r="B295" s="255">
        <v>68</v>
      </c>
      <c r="C295" s="255">
        <v>68</v>
      </c>
      <c r="D295" s="255">
        <v>68</v>
      </c>
      <c r="E295" s="255">
        <v>68</v>
      </c>
      <c r="F295" s="255">
        <v>68</v>
      </c>
      <c r="G295" s="255">
        <v>68</v>
      </c>
      <c r="H295" s="255">
        <v>68</v>
      </c>
      <c r="I295" s="255">
        <v>68</v>
      </c>
      <c r="J295" s="255">
        <v>68</v>
      </c>
      <c r="K295" s="255">
        <v>68</v>
      </c>
      <c r="L295" s="255">
        <v>68</v>
      </c>
      <c r="M295" s="255">
        <v>68</v>
      </c>
      <c r="N295" s="255">
        <v>68</v>
      </c>
    </row>
    <row r="297" spans="1:14">
      <c r="A297" s="106">
        <f>WAIS!B7</f>
        <v>0</v>
      </c>
      <c r="B297">
        <f>IF(A297&gt;B294,A295,IF(A297&gt;B293,A294,IF(A297&gt;B292,A293,IF(A297&gt;B291,A292,IF(A297&gt;B290,A291,IF(A297&gt;B289,A290,IF(A297&gt;B288,A289,IF(A297&gt;B287,A288,IF(A297&gt;B286,A287,IF(A297&gt;B285,A286,IF(A297&gt;B284,A285,IF(A297&gt;B283,A284,IF(A297&gt;B282,A283,IF(A297&gt;B281,A282,IF(A297&gt;B280,A281,IF(A297&gt;B279,A280,IF(A297&gt;B278,A279,IF(A297&gt;B277,A278,1))))))))))))))))))</f>
        <v>1</v>
      </c>
      <c r="C297">
        <f>IF(A297&gt;C294,A295,IF(A297&gt;C293,A294,IF(A297&gt;C292,A293,IF(A297&gt;C291,A292,IF(A297&gt;C290,A291,IF(A297&gt;C289,A290,IF(A297&gt;C288,A289,IF(A297&gt;C287,A288,IF(A297&gt;C286,A287,IF(A297&gt;C285,A286,IF(A297&gt;C284,A285,IF(A297&gt;C283,A284,IF(A297&gt;C282,A283,IF(A297&gt;C281,A282,IF(A297&gt;C280,A281,IF(A297&gt;C279,A280,IF(A297&gt;C278,A279,IF(A297&gt;C277,A278,1))))))))))))))))))</f>
        <v>1</v>
      </c>
      <c r="D297">
        <f>IF(A297&gt;D294,A295,IF(A297&gt;D293,A294,IF(A297&gt;D292,A293,IF(A297&gt;D291,A292,IF(A297&gt;D290,A291,IF(A297&gt;D289,A290,IF(A297&gt;D288,A289,IF(A297&gt;D287,A288,IF(A297&gt;D286,A287,IF(A297&gt;D285,A286,IF(A297&gt;D284,A285,IF(A297&gt;D283,A284,IF(A297&gt;D282,A283,IF(A297&gt;D281,A282,IF(A297&gt;D280,A281,IF(A297&gt;D279,A280,IF(A297&gt;D278,A279,IF(A297&gt;D277,A278,1))))))))))))))))))</f>
        <v>1</v>
      </c>
      <c r="E297">
        <f>IF(A297&gt;E294,A295,IF(A297&gt;E293,A294,IF(A297&gt;E292,A293,IF(A297&gt;E291,A292,IF(A297&gt;E290,A291,IF(A297&gt;E289,A290,IF(A297&gt;E288,A289,IF(A297&gt;E287,A288,IF(A297&gt;E286,A287,IF(A297&gt;E285,A286,IF(A297&gt;E284,A285,IF(A297&gt;E283,A284,IF(A297&gt;E282,A283,IF(A297&gt;E281,A282,IF(A297&gt;E280,A281,IF(A297&gt;E279,A280,IF(A297&gt;E278,A279,IF(A297&gt;E277,A278,1))))))))))))))))))</f>
        <v>1</v>
      </c>
      <c r="F297">
        <f>IF(A297&gt;F294,A295,IF(A297&gt;F293,A294,IF(A297&gt;F292,A293,IF(A297&gt;F291,A292,IF(A297&gt;F290,A291,IF(A297&gt;F289,A290,IF(A297&gt;F288,A289,IF(A297&gt;F287,A288,IF(A297&gt;F286,A287,IF(A297&gt;F285,A286,IF(A297&gt;F284,A285,IF(A297&gt;F283,A284,IF(A297&gt;F282,A283,IF(A297&gt;F281,A282,IF(A297&gt;F280,A281,IF(A297&gt;F279,A280,IF(A297&gt;F278,A279,IF(A297&gt;F277,A278,1))))))))))))))))))</f>
        <v>1</v>
      </c>
      <c r="G297">
        <f>IF(A297&gt;G294,A295,IF(A297&gt;G293,A294,IF(A297&gt;G292,A293,IF(A297&gt;G291,A292,IF(A297&gt;G290,A291,IF(A297&gt;G289,A290,IF(A297&gt;G288,A289,IF(A297&gt;G287,A288,IF(A297&gt;G286,A287,IF(A297&gt;G285,A286,IF(A297&gt;G284,A285,IF(A297&gt;G283,A284,IF(A297&gt;G282,A283,IF(A297&gt;G281,A282,IF(A297&gt;G280,A281,IF(A297&gt;G279,A280,IF(A297&gt;G278,A279,IF(A297&gt;G277,A278,1))))))))))))))))))</f>
        <v>1</v>
      </c>
      <c r="H297">
        <f>IF(A297&gt;H294,A295,IF(A297&gt;H293,A294,IF(A297&gt;H292,A293,IF(A297&gt;H291,A292,IF(A297&gt;H290,A291,IF(A297&gt;H289,A290,IF(A297&gt;H288,A289,IF(A297&gt;H287,A288,IF(A297&gt;H286,A287,IF(A297&gt;H285,A286,IF(A297&gt;H284,A285,IF(A297&gt;H283,A284,IF(A297&gt;H282,A283,IF(A297&gt;H281,A282,IF(A297&gt;H280,A281,IF(A297&gt;H279,A280,IF(A297&gt;H278,A279,IF(A297&gt;H277,A278,1))))))))))))))))))</f>
        <v>1</v>
      </c>
      <c r="I297">
        <f>IF(A297&gt;I294,A295,IF(A297&gt;I293,A294,IF(A297&gt;I292,A293,IF(A297&gt;I291,A292,IF(A297&gt;I290,A291,IF(A297&gt;I289,A290,IF(A297&gt;I288,A289,IF(A297&gt;I287,A288,IF(A297&gt;I286,A287,IF(A297&gt;I285,A286,IF(A297&gt;I284,A285,IF(A297&gt;I283,A284,IF(A297&gt;I282,A283,IF(A297&gt;I281,A282,IF(A297&gt;I280,A281,IF(A297&gt;I279,A280,IF(A297&gt;I278,A279,IF(A297&gt;I277,A278,1))))))))))))))))))</f>
        <v>1</v>
      </c>
      <c r="J297">
        <f>IF(A297&gt;J294,A295,IF(A297&gt;J293,A294,IF(A297&gt;J292,A293,IF(A297&gt;J291,A292,IF(A297&gt;J290,A291,IF(A297&gt;J289,A290,IF(A297&gt;J288,A289,IF(A297&gt;J287,A288,IF(A297&gt;J286,A287,IF(A297&gt;J285,A286,IF(A297&gt;J284,A285,IF(A297&gt;J283,A284,IF(A297&gt;J282,A283,IF(A297&gt;J281,A282,IF(A297&gt;J280,A281,IF(A297&gt;J279,A280,IF(A297&gt;J278,A279,IF(A297&gt;J277,A278,1))))))))))))))))))</f>
        <v>1</v>
      </c>
      <c r="K297" s="250">
        <f>IF(A297&gt;K294,A295,IF(A297&gt;K293,A294,IF(A297&gt;K292,A293,IF(A297&gt;K291,A292,IF(A297&gt;K290,A291,IF(A297&gt;K289,A290,IF(A297&gt;K288,A289,IF(A297&gt;K287,A288,IF(A297&gt;K286,A287,IF(A297&gt;K285,A286,IF(A297&gt;K284,A285,IF(A297&gt;K283,A284,IF(A297&gt;K282,A283,IF(A297&gt;K281,A282,IF(A297&gt;K280,A281,IF(A297&gt;K279,A280,IF(A297&gt;K278,A279,IF(A297&gt;K277,A278,1))))))))))))))))))</f>
        <v>1</v>
      </c>
      <c r="L297">
        <f>IF(A297&gt;L294,A295,IF(A297&gt;L293,A294,IF(A297&gt;L292,A293,IF(A297&gt;L291,A292,IF(A297&gt;L290,A291,IF(A297&gt;L289,A290,IF(A297&gt;L288,A289,IF(A297&gt;L287,A288,IF(A297&gt;L286,A287,IF(A297&gt;L285,A286,IF(A297&gt;L284,A285,IF(A297&gt;L283,A284,IF(A297&gt;L282,A283,IF(A297&gt;L281,A282,IF(A297&gt;L280,A281,IF(A297&gt;L279,A280,IF(A297&gt;L278,A279,IF(A297&gt;L277,A278,1))))))))))))))))))</f>
        <v>1</v>
      </c>
      <c r="M297">
        <f>IF(A297&gt;M294,A295,IF(A297&gt;M293,A294,IF(A297&gt;M292,A293,IF(A297&gt;M291,A292,IF(A297&gt;M290,A291,IF(A297&gt;M289,A290,IF(A297&gt;M288,A289,IF(A297&gt;M287,A288,IF(A297&gt;M286,A287,IF(A297&gt;M285,A286,IF(A297&gt;M284,A285,IF(A297&gt;M283,A284,IF(A297&gt;M282,A283,IF(A297&gt;M281,A282,IF(A297&gt;M280,A281,IF(A297&gt;M279,A280,IF(A297&gt;M278,A279,IF(A297&gt;M277,A278,1))))))))))))))))))</f>
        <v>1</v>
      </c>
      <c r="N297">
        <f>IF(A297&gt;N294,A295,IF(A297&gt;N293,A294,IF(A297&gt;N292,A293,IF(A297&gt;N291,A292,IF(A297&gt;N290,A291,IF(A297&gt;N289,A290,IF(A297&gt;N288,A289,IF(A297&gt;N287,A288,IF(A297&gt;N286,A287,IF(A297&gt;N285,A286,IF(A297&gt;N284,A285,IF(A297&gt;N283,A284,IF(A297&gt;N282,A283,IF(A297&gt;N281,A282,IF(A297&gt;N280,A281,IF(A297&gt;N279,A280,IF(A297&gt;N278,A279,IF(A297&gt;N277,A278,1))))))))))))))))))</f>
        <v>1</v>
      </c>
    </row>
    <row r="298" spans="1:14">
      <c r="A298" s="62">
        <f>A273</f>
        <v>0</v>
      </c>
    </row>
    <row r="299" spans="1:14">
      <c r="A299" s="259">
        <f>IF(A298&gt;M276,N297,IF(A298&gt;L276,M297,IF(A298&gt;K276,L297,IF(A298&gt;J276,K297,IF(A298&gt;I276,J297,IF(A298&gt;H276,I297,IF(A298&gt;G276,H297,IF(A298&gt;F276,G297,IF(A298&gt;E276,F297,IF(A298&gt;D276,E297,IF(A298&gt;C276,D297,IF(A298&gt;B276,C297,B297))))))))))))</f>
        <v>1</v>
      </c>
    </row>
    <row r="301" spans="1:14" ht="16.5" thickBot="1">
      <c r="A301" s="315" t="s">
        <v>796</v>
      </c>
      <c r="B301" s="254">
        <v>17</v>
      </c>
      <c r="C301" s="254">
        <v>19</v>
      </c>
      <c r="D301" s="254">
        <v>24</v>
      </c>
      <c r="E301" s="254">
        <v>29</v>
      </c>
      <c r="F301" s="254">
        <v>34</v>
      </c>
      <c r="G301" s="254">
        <v>44</v>
      </c>
      <c r="H301" s="254">
        <v>54</v>
      </c>
      <c r="I301" s="254">
        <v>64</v>
      </c>
      <c r="J301" s="254">
        <v>69</v>
      </c>
      <c r="K301" s="254">
        <v>74</v>
      </c>
      <c r="L301" s="254">
        <v>79</v>
      </c>
      <c r="M301" s="254">
        <v>84</v>
      </c>
      <c r="N301" s="254">
        <v>89</v>
      </c>
    </row>
    <row r="302" spans="1:14" ht="16.5" thickBot="1">
      <c r="A302" s="253">
        <v>1</v>
      </c>
      <c r="B302" s="255"/>
      <c r="C302" s="255"/>
      <c r="D302" s="255"/>
      <c r="E302" s="255"/>
      <c r="F302" s="255"/>
      <c r="G302" s="255"/>
      <c r="H302" s="255"/>
      <c r="I302" s="312"/>
      <c r="J302" s="312"/>
      <c r="K302" s="312"/>
      <c r="L302" s="312"/>
      <c r="M302" s="312"/>
      <c r="N302" s="312"/>
    </row>
    <row r="303" spans="1:14" ht="16.5" thickBot="1">
      <c r="A303" s="253">
        <v>2</v>
      </c>
      <c r="B303" s="255">
        <v>1</v>
      </c>
      <c r="C303" s="255">
        <v>1</v>
      </c>
      <c r="D303" s="255">
        <v>1</v>
      </c>
      <c r="E303" s="255">
        <v>1</v>
      </c>
      <c r="F303" s="255">
        <v>1</v>
      </c>
      <c r="G303" s="313"/>
      <c r="H303" s="312"/>
      <c r="I303" s="255"/>
      <c r="J303" s="312"/>
      <c r="K303" s="312"/>
      <c r="L303" s="312"/>
      <c r="M303" s="312"/>
      <c r="N303" s="312"/>
    </row>
    <row r="304" spans="1:14" ht="16.5" thickBot="1">
      <c r="A304" s="253">
        <v>3</v>
      </c>
      <c r="B304" s="255">
        <v>2</v>
      </c>
      <c r="C304" s="255">
        <v>2</v>
      </c>
      <c r="D304" s="255">
        <v>2</v>
      </c>
      <c r="E304" s="255">
        <v>2</v>
      </c>
      <c r="F304" s="255">
        <v>2</v>
      </c>
      <c r="G304" s="255">
        <v>1</v>
      </c>
      <c r="H304" s="255">
        <v>1</v>
      </c>
      <c r="I304" s="255">
        <v>1</v>
      </c>
      <c r="J304" s="255"/>
      <c r="K304" s="255"/>
      <c r="L304" s="312"/>
      <c r="M304" s="312"/>
      <c r="N304" s="312"/>
    </row>
    <row r="305" spans="1:14" ht="16.5" thickBot="1">
      <c r="A305" s="253">
        <v>4</v>
      </c>
      <c r="B305" s="255">
        <v>4</v>
      </c>
      <c r="C305" s="255">
        <v>4</v>
      </c>
      <c r="D305" s="255">
        <v>4</v>
      </c>
      <c r="E305" s="255">
        <v>4</v>
      </c>
      <c r="F305" s="255">
        <v>4</v>
      </c>
      <c r="G305" s="255">
        <v>3</v>
      </c>
      <c r="H305" s="255">
        <v>2</v>
      </c>
      <c r="I305" s="255">
        <v>2</v>
      </c>
      <c r="J305" s="312"/>
      <c r="K305" s="312"/>
      <c r="L305" s="255"/>
      <c r="M305" s="255"/>
      <c r="N305" s="312"/>
    </row>
    <row r="306" spans="1:14" ht="16.5" thickBot="1">
      <c r="A306" s="253">
        <v>5</v>
      </c>
      <c r="B306" s="255">
        <v>7</v>
      </c>
      <c r="C306" s="255">
        <v>7</v>
      </c>
      <c r="D306" s="255">
        <v>7</v>
      </c>
      <c r="E306" s="255">
        <v>7</v>
      </c>
      <c r="F306" s="255">
        <v>7</v>
      </c>
      <c r="G306" s="255">
        <v>5</v>
      </c>
      <c r="H306" s="255">
        <v>4</v>
      </c>
      <c r="I306" s="255">
        <v>3</v>
      </c>
      <c r="J306" s="255">
        <v>2</v>
      </c>
      <c r="K306" s="255">
        <v>2</v>
      </c>
      <c r="L306" s="255">
        <v>1</v>
      </c>
      <c r="M306" s="312"/>
      <c r="N306" s="255"/>
    </row>
    <row r="307" spans="1:14" ht="16.5" thickBot="1">
      <c r="A307" s="253">
        <v>6</v>
      </c>
      <c r="B307" s="255">
        <v>9</v>
      </c>
      <c r="C307" s="255">
        <v>9</v>
      </c>
      <c r="D307" s="255">
        <v>9</v>
      </c>
      <c r="E307" s="255">
        <v>9</v>
      </c>
      <c r="F307" s="255">
        <v>9</v>
      </c>
      <c r="G307" s="255">
        <v>7</v>
      </c>
      <c r="H307" s="255">
        <v>6</v>
      </c>
      <c r="I307" s="255">
        <v>5</v>
      </c>
      <c r="J307" s="255">
        <v>3</v>
      </c>
      <c r="K307" s="255">
        <v>3</v>
      </c>
      <c r="L307" s="255">
        <v>2</v>
      </c>
      <c r="M307" s="255">
        <v>1</v>
      </c>
      <c r="N307" s="255">
        <v>1</v>
      </c>
    </row>
    <row r="308" spans="1:14" ht="16.5" thickBot="1">
      <c r="A308" s="253">
        <v>7</v>
      </c>
      <c r="B308" s="255">
        <v>11</v>
      </c>
      <c r="C308" s="255">
        <v>11</v>
      </c>
      <c r="D308" s="255">
        <v>11</v>
      </c>
      <c r="E308" s="255">
        <v>11</v>
      </c>
      <c r="F308" s="255">
        <v>11</v>
      </c>
      <c r="G308" s="255">
        <v>9</v>
      </c>
      <c r="H308" s="255">
        <v>8</v>
      </c>
      <c r="I308" s="255">
        <v>7</v>
      </c>
      <c r="J308" s="255">
        <v>5</v>
      </c>
      <c r="K308" s="255">
        <v>4</v>
      </c>
      <c r="L308" s="255">
        <v>4</v>
      </c>
      <c r="M308" s="255">
        <v>2</v>
      </c>
      <c r="N308" s="255">
        <v>2</v>
      </c>
    </row>
    <row r="309" spans="1:14" ht="16.5" thickBot="1">
      <c r="A309" s="253">
        <v>8</v>
      </c>
      <c r="B309" s="255">
        <v>13</v>
      </c>
      <c r="C309" s="255">
        <v>13</v>
      </c>
      <c r="D309" s="255">
        <v>13</v>
      </c>
      <c r="E309" s="255">
        <v>13</v>
      </c>
      <c r="F309" s="255">
        <v>12</v>
      </c>
      <c r="G309" s="255">
        <v>11</v>
      </c>
      <c r="H309" s="255">
        <v>10</v>
      </c>
      <c r="I309" s="255">
        <v>9</v>
      </c>
      <c r="J309" s="255">
        <v>7</v>
      </c>
      <c r="K309" s="255">
        <v>6</v>
      </c>
      <c r="L309" s="255">
        <v>6</v>
      </c>
      <c r="M309" s="255">
        <v>3</v>
      </c>
      <c r="N309" s="312">
        <v>2</v>
      </c>
    </row>
    <row r="310" spans="1:14" ht="16.5" thickBot="1">
      <c r="A310" s="253">
        <v>9</v>
      </c>
      <c r="B310" s="255">
        <v>14</v>
      </c>
      <c r="C310" s="255">
        <v>14</v>
      </c>
      <c r="D310" s="255">
        <v>14</v>
      </c>
      <c r="E310" s="255">
        <v>14</v>
      </c>
      <c r="F310" s="255">
        <v>14</v>
      </c>
      <c r="G310" s="255">
        <v>13</v>
      </c>
      <c r="H310" s="255">
        <v>12</v>
      </c>
      <c r="I310" s="255">
        <v>11</v>
      </c>
      <c r="J310" s="255">
        <v>9</v>
      </c>
      <c r="K310" s="255">
        <v>7</v>
      </c>
      <c r="L310" s="255">
        <v>7</v>
      </c>
      <c r="M310" s="255">
        <v>5</v>
      </c>
      <c r="N310" s="255">
        <v>3</v>
      </c>
    </row>
    <row r="311" spans="1:14" ht="16.5" thickBot="1">
      <c r="A311" s="253">
        <v>10</v>
      </c>
      <c r="B311" s="255">
        <v>16</v>
      </c>
      <c r="C311" s="255">
        <v>16</v>
      </c>
      <c r="D311" s="255">
        <v>16</v>
      </c>
      <c r="E311" s="255">
        <v>16</v>
      </c>
      <c r="F311" s="255">
        <v>16</v>
      </c>
      <c r="G311" s="255">
        <v>15</v>
      </c>
      <c r="H311" s="255">
        <v>14</v>
      </c>
      <c r="I311" s="255">
        <v>13</v>
      </c>
      <c r="J311" s="255">
        <v>11</v>
      </c>
      <c r="K311" s="255">
        <v>9</v>
      </c>
      <c r="L311" s="255">
        <v>8</v>
      </c>
      <c r="M311" s="255">
        <v>7</v>
      </c>
      <c r="N311" s="255">
        <v>5</v>
      </c>
    </row>
    <row r="312" spans="1:14" ht="16.5" thickBot="1">
      <c r="A312" s="253">
        <v>11</v>
      </c>
      <c r="B312" s="255">
        <v>17</v>
      </c>
      <c r="C312" s="255">
        <v>17</v>
      </c>
      <c r="D312" s="255">
        <v>17</v>
      </c>
      <c r="E312" s="255">
        <v>18</v>
      </c>
      <c r="F312" s="255">
        <v>17</v>
      </c>
      <c r="G312" s="255">
        <v>17</v>
      </c>
      <c r="H312" s="255">
        <v>15</v>
      </c>
      <c r="I312" s="255">
        <v>14</v>
      </c>
      <c r="J312" s="255">
        <v>13</v>
      </c>
      <c r="K312" s="255">
        <v>11</v>
      </c>
      <c r="L312" s="255">
        <v>10</v>
      </c>
      <c r="M312" s="255">
        <v>9</v>
      </c>
      <c r="N312" s="255">
        <v>6</v>
      </c>
    </row>
    <row r="313" spans="1:14" ht="16.5" thickBot="1">
      <c r="A313" s="253">
        <v>12</v>
      </c>
      <c r="B313" s="255">
        <v>18</v>
      </c>
      <c r="C313" s="255">
        <v>18</v>
      </c>
      <c r="D313" s="255">
        <v>18</v>
      </c>
      <c r="E313" s="255">
        <v>19</v>
      </c>
      <c r="F313" s="255">
        <v>18</v>
      </c>
      <c r="G313" s="255">
        <v>18</v>
      </c>
      <c r="H313" s="255">
        <v>16</v>
      </c>
      <c r="I313" s="255">
        <v>15</v>
      </c>
      <c r="J313" s="255">
        <v>14</v>
      </c>
      <c r="K313" s="255">
        <v>13</v>
      </c>
      <c r="L313" s="255">
        <v>11</v>
      </c>
      <c r="M313" s="255">
        <v>10</v>
      </c>
      <c r="N313" s="255">
        <v>8</v>
      </c>
    </row>
    <row r="314" spans="1:14" ht="16.5" thickBot="1">
      <c r="A314" s="253">
        <v>13</v>
      </c>
      <c r="B314" s="255">
        <v>19</v>
      </c>
      <c r="C314" s="255">
        <v>19</v>
      </c>
      <c r="D314" s="255">
        <v>19</v>
      </c>
      <c r="E314" s="313">
        <v>19</v>
      </c>
      <c r="F314" s="255">
        <v>19</v>
      </c>
      <c r="G314" s="255">
        <v>19</v>
      </c>
      <c r="H314" s="255">
        <v>18</v>
      </c>
      <c r="I314" s="255">
        <v>16</v>
      </c>
      <c r="J314" s="255">
        <v>15</v>
      </c>
      <c r="K314" s="255">
        <v>14</v>
      </c>
      <c r="L314" s="255">
        <v>12</v>
      </c>
      <c r="M314" s="255">
        <v>11</v>
      </c>
      <c r="N314" s="255">
        <v>10</v>
      </c>
    </row>
    <row r="315" spans="1:14" ht="16.5" thickBot="1">
      <c r="A315" s="253">
        <v>14</v>
      </c>
      <c r="B315" s="312">
        <v>19</v>
      </c>
      <c r="C315" s="312">
        <v>19</v>
      </c>
      <c r="D315" s="312">
        <v>19</v>
      </c>
      <c r="E315" s="255">
        <v>20</v>
      </c>
      <c r="F315" s="255">
        <v>20</v>
      </c>
      <c r="G315" s="313">
        <v>19</v>
      </c>
      <c r="H315" s="255">
        <v>19</v>
      </c>
      <c r="I315" s="255">
        <v>18</v>
      </c>
      <c r="J315" s="255">
        <v>16</v>
      </c>
      <c r="K315" s="255">
        <v>15</v>
      </c>
      <c r="L315" s="255">
        <v>13</v>
      </c>
      <c r="M315" s="255">
        <v>13</v>
      </c>
      <c r="N315" s="255">
        <v>12</v>
      </c>
    </row>
    <row r="316" spans="1:14" ht="16.5" thickBot="1">
      <c r="A316" s="253">
        <v>15</v>
      </c>
      <c r="B316" s="255">
        <v>20</v>
      </c>
      <c r="C316" s="255">
        <v>20</v>
      </c>
      <c r="D316" s="255">
        <v>20</v>
      </c>
      <c r="E316" s="255">
        <v>21</v>
      </c>
      <c r="F316" s="313">
        <v>20</v>
      </c>
      <c r="G316" s="255">
        <v>20</v>
      </c>
      <c r="H316" s="255">
        <v>20</v>
      </c>
      <c r="I316" s="255">
        <v>19</v>
      </c>
      <c r="J316" s="255">
        <v>17</v>
      </c>
      <c r="K316" s="255">
        <v>16</v>
      </c>
      <c r="L316" s="255">
        <v>15</v>
      </c>
      <c r="M316" s="255">
        <v>14</v>
      </c>
      <c r="N316" s="255">
        <v>14</v>
      </c>
    </row>
    <row r="317" spans="1:14" ht="16.5" thickBot="1">
      <c r="A317" s="253">
        <v>16</v>
      </c>
      <c r="B317" s="255">
        <v>21</v>
      </c>
      <c r="C317" s="255">
        <v>21</v>
      </c>
      <c r="D317" s="255">
        <v>21</v>
      </c>
      <c r="E317" s="313">
        <v>21</v>
      </c>
      <c r="F317" s="255">
        <v>21</v>
      </c>
      <c r="G317" s="313">
        <v>20</v>
      </c>
      <c r="H317" s="312">
        <v>20</v>
      </c>
      <c r="I317" s="255">
        <v>20</v>
      </c>
      <c r="J317" s="255">
        <v>19</v>
      </c>
      <c r="K317" s="255">
        <v>17</v>
      </c>
      <c r="L317" s="255">
        <v>16</v>
      </c>
      <c r="M317" s="255">
        <v>15</v>
      </c>
      <c r="N317" s="255">
        <v>15</v>
      </c>
    </row>
    <row r="318" spans="1:14" ht="16.5" thickBot="1">
      <c r="A318" s="253">
        <v>17</v>
      </c>
      <c r="B318" s="312">
        <v>21</v>
      </c>
      <c r="C318" s="312">
        <v>21</v>
      </c>
      <c r="D318" s="255">
        <v>22</v>
      </c>
      <c r="E318" s="255">
        <v>22</v>
      </c>
      <c r="F318" s="255">
        <v>22</v>
      </c>
      <c r="G318" s="255">
        <v>21</v>
      </c>
      <c r="H318" s="255">
        <v>21</v>
      </c>
      <c r="I318" s="312">
        <v>20</v>
      </c>
      <c r="J318" s="255">
        <v>20</v>
      </c>
      <c r="K318" s="255">
        <v>18</v>
      </c>
      <c r="L318" s="255">
        <v>18</v>
      </c>
      <c r="M318" s="255">
        <v>16</v>
      </c>
      <c r="N318" s="255">
        <v>16</v>
      </c>
    </row>
    <row r="319" spans="1:14" ht="16.5" thickBot="1">
      <c r="A319" s="253">
        <v>18</v>
      </c>
      <c r="B319" s="312">
        <v>21</v>
      </c>
      <c r="C319" s="312">
        <v>21</v>
      </c>
      <c r="D319" s="312" t="s">
        <v>150</v>
      </c>
      <c r="E319" s="313" t="s">
        <v>150</v>
      </c>
      <c r="F319" s="313" t="s">
        <v>150</v>
      </c>
      <c r="G319" s="255">
        <v>22</v>
      </c>
      <c r="H319" s="255">
        <v>22</v>
      </c>
      <c r="I319" s="255">
        <v>21</v>
      </c>
      <c r="J319" s="255">
        <v>21</v>
      </c>
      <c r="K319" s="255">
        <v>20</v>
      </c>
      <c r="L319" s="255">
        <v>20</v>
      </c>
      <c r="M319" s="255">
        <v>18</v>
      </c>
      <c r="N319" s="255">
        <v>18</v>
      </c>
    </row>
    <row r="320" spans="1:14" ht="16.5" thickBot="1">
      <c r="A320" s="253">
        <v>19</v>
      </c>
      <c r="B320" s="255">
        <v>22</v>
      </c>
      <c r="C320" s="255">
        <v>22</v>
      </c>
      <c r="D320" s="312" t="s">
        <v>150</v>
      </c>
      <c r="E320" s="316" t="s">
        <v>150</v>
      </c>
      <c r="F320" s="316" t="s">
        <v>150</v>
      </c>
      <c r="G320" s="257" t="s">
        <v>150</v>
      </c>
      <c r="H320" s="256" t="s">
        <v>150</v>
      </c>
      <c r="I320" s="255">
        <v>22</v>
      </c>
      <c r="J320" s="255">
        <v>22</v>
      </c>
      <c r="K320" s="255">
        <v>22</v>
      </c>
      <c r="L320" s="255">
        <v>22</v>
      </c>
      <c r="M320" s="255">
        <v>22</v>
      </c>
      <c r="N320" s="255">
        <v>22</v>
      </c>
    </row>
    <row r="322" spans="1:14">
      <c r="A322" s="317">
        <f>WAIS!B12</f>
        <v>0</v>
      </c>
      <c r="B322">
        <f>IF(A322&gt;B319,A320,IF(A322&gt;B318,A319,IF(A322&gt;B317,A318,IF(A322&gt;B316,A317,IF(A322&gt;B315,A316,IF(A322&gt;B314,A315,IF(A322&gt;B313,A314,IF(A322&gt;B312,A313,IF(A322&gt;B311,A312,IF(A322&gt;B310,A311,IF(A322&gt;B309,A310,IF(A322&gt;B308,A309,IF(A322&gt;B307,A308,IF(A322&gt;B306,A307,IF(A322&gt;B305,A306,IF(A322&gt;B304,A305,IF(A322&gt;B303,A304,IF(A322&gt;B302,A303,1))))))))))))))))))</f>
        <v>1</v>
      </c>
      <c r="C322">
        <f>IF(A322&gt;C319,A320,IF(A322&gt;C318,A319,IF(A322&gt;C317,A318,IF(A322&gt;C316,A317,IF(A322&gt;C315,A316,IF(A322&gt;C314,A315,IF(A322&gt;C313,A314,IF(A322&gt;C312,A313,IF(A322&gt;C311,A312,IF(A322&gt;C310,A311,IF(A322&gt;C309,A310,IF(A322&gt;C308,A309,IF(A322&gt;C307,A308,IF(A322&gt;C306,A307,IF(A322&gt;C305,A306,IF(A322&gt;C304,A305,IF(A322&gt;C303,A304,IF(A322&gt;C302,A303,1))))))))))))))))))</f>
        <v>1</v>
      </c>
      <c r="D322">
        <f>IF(A322&gt;D319,A320,IF(A322&gt;D318,A319,IF(A322&gt;D317,A318,IF(A322&gt;D316,A317,IF(A322&gt;D315,A316,IF(A322&gt;D314,A315,IF(A322&gt;D313,A314,IF(A322&gt;D312,A313,IF(A322&gt;D311,A312,IF(A322&gt;D310,A311,IF(A322&gt;D309,A310,IF(A322&gt;D308,A309,IF(A322&gt;D307,A308,IF(A322&gt;D306,A307,IF(A322&gt;D305,A306,IF(A322&gt;D304,A305,IF(A322&gt;D303,A304,IF(A322&gt;D302,A303,1))))))))))))))))))</f>
        <v>1</v>
      </c>
      <c r="E322">
        <f>IF(A322&gt;E319,A320,IF(A322&gt;E318,A319,IF(A322&gt;E317,A318,IF(A322&gt;E316,A317,IF(A322&gt;E315,A316,IF(A322&gt;E314,A315,IF(A322&gt;E313,A314,IF(A322&gt;E312,A313,IF(A322&gt;E311,A312,IF(A322&gt;E310,A311,IF(A322&gt;E309,A310,IF(A322&gt;E308,A309,IF(A322&gt;E307,A308,IF(A322&gt;E306,A307,IF(A322&gt;E305,A306,IF(A322&gt;E304,A305,IF(A322&gt;E303,A304,IF(A322&gt;E302,A303,1))))))))))))))))))</f>
        <v>1</v>
      </c>
      <c r="F322">
        <f>IF(A322&gt;F319,A320,IF(A322&gt;F318,A319,IF(A322&gt;F317,A318,IF(A322&gt;F316,A317,IF(A322&gt;F315,A316,IF(A322&gt;F314,A315,IF(A322&gt;F313,A314,IF(A322&gt;F312,A313,IF(A322&gt;F311,A312,IF(A322&gt;F310,A311,IF(A322&gt;F309,A310,IF(A322&gt;F308,A309,IF(A322&gt;F307,A308,IF(A322&gt;F306,A307,IF(A322&gt;F305,A306,IF(A322&gt;F304,A305,IF(A322&gt;F303,A304,IF(A322&gt;F302,A303,1))))))))))))))))))</f>
        <v>1</v>
      </c>
      <c r="G322">
        <f>IF(A322&gt;G319,A320,IF(A322&gt;G318,A319,IF(A322&gt;G317,A318,IF(A322&gt;G316,A317,IF(A322&gt;G315,A316,IF(A322&gt;G314,A315,IF(A322&gt;G313,A314,IF(A322&gt;G312,A313,IF(A322&gt;G311,A312,IF(A322&gt;G310,A311,IF(A322&gt;G309,A310,IF(A322&gt;G308,A309,IF(A322&gt;G307,A308,IF(A322&gt;G306,A307,IF(A322&gt;G305,A306,IF(A322&gt;G304,A305,IF(A322&gt;G303,A304,IF(A322&gt;G302,A303,1))))))))))))))))))</f>
        <v>1</v>
      </c>
      <c r="H322">
        <f>IF(A322&gt;H319,A320,IF(A322&gt;H318,A319,IF(A322&gt;H317,A318,IF(A322&gt;H316,A317,IF(A322&gt;H315,A316,IF(A322&gt;H314,A315,IF(A322&gt;H313,A314,IF(A322&gt;H312,A313,IF(A322&gt;H311,A312,IF(A322&gt;H310,A311,IF(A322&gt;H309,A310,IF(A322&gt;H308,A309,IF(A322&gt;H307,A308,IF(A322&gt;H306,A307,IF(A322&gt;H305,A306,IF(A322&gt;H304,A305,IF(A322&gt;H303,A304,IF(A322&gt;H302,A303,1))))))))))))))))))</f>
        <v>1</v>
      </c>
      <c r="I322">
        <f>IF(A322&gt;I319,A320,IF(A322&gt;I318,A319,IF(A322&gt;I317,A318,IF(A322&gt;I316,A317,IF(A322&gt;I315,A316,IF(A322&gt;I314,A315,IF(A322&gt;I313,A314,IF(A322&gt;I312,A313,IF(A322&gt;I311,A312,IF(A322&gt;I310,A311,IF(A322&gt;I309,A310,IF(A322&gt;I308,A309,IF(A322&gt;I307,A308,IF(A322&gt;I306,A307,IF(A322&gt;I305,A306,IF(A322&gt;I304,A305,IF(A322&gt;I303,A304,IF(A322&gt;I302,A303,1))))))))))))))))))</f>
        <v>1</v>
      </c>
      <c r="J322">
        <f>IF(A322&gt;J319,A320,IF(A322&gt;J318,A319,IF(A322&gt;J317,A318,IF(A322&gt;J316,A317,IF(A322&gt;J315,A316,IF(A322&gt;J314,A315,IF(A322&gt;J313,A314,IF(A322&gt;J312,A313,IF(A322&gt;J311,A312,IF(A322&gt;J310,A311,IF(A322&gt;J309,A310,IF(A322&gt;J308,A309,IF(A322&gt;J307,A308,IF(A322&gt;J306,A307,IF(A322&gt;J305,A306,IF(A322&gt;J304,A305,IF(A322&gt;J303,A304,IF(A322&gt;J302,A303,1))))))))))))))))))</f>
        <v>1</v>
      </c>
      <c r="K322" s="250">
        <f>IF(A322&gt;K319,A320,IF(A322&gt;K318,A319,IF(A322&gt;K317,A318,IF(A322&gt;K316,A317,IF(A322&gt;K315,A316,IF(A322&gt;K314,A315,IF(A322&gt;K313,A314,IF(A322&gt;K312,A313,IF(A322&gt;K311,A312,IF(A322&gt;K310,A311,IF(A322&gt;K309,A310,IF(A322&gt;K308,A309,IF(A322&gt;K307,A308,IF(A322&gt;K306,A307,IF(A322&gt;K305,A306,IF(A322&gt;K304,A305,IF(A322&gt;K303,A304,IF(A322&gt;K302,A303,1))))))))))))))))))</f>
        <v>1</v>
      </c>
      <c r="L322">
        <f>IF(A322&gt;L319,A320,IF(A322&gt;L318,A319,IF(A322&gt;L317,A318,IF(A322&gt;L316,A317,IF(A322&gt;L315,A316,IF(A322&gt;L314,A315,IF(A322&gt;L313,A314,IF(A322&gt;L312,A313,IF(A322&gt;L311,A312,IF(A322&gt;L310,A311,IF(A322&gt;L309,A310,IF(A322&gt;L308,A309,IF(A322&gt;L307,A308,IF(A322&gt;L306,A307,IF(A322&gt;L305,A306,IF(A322&gt;L304,A305,IF(A322&gt;L303,A304,IF(A322&gt;L302,A303,1))))))))))))))))))</f>
        <v>1</v>
      </c>
      <c r="M322">
        <f>IF(A322&gt;M319,A320,IF(A322&gt;M318,A319,IF(A322&gt;M317,A318,IF(A322&gt;M316,A317,IF(A322&gt;M315,A316,IF(A322&gt;M314,A315,IF(A322&gt;M313,A314,IF(A322&gt;M312,A313,IF(A322&gt;M311,A312,IF(A322&gt;M310,A311,IF(A322&gt;M309,A310,IF(A322&gt;M308,A309,IF(A322&gt;M307,A308,IF(A322&gt;M306,A307,IF(A322&gt;M305,A306,IF(A322&gt;M304,A305,IF(A322&gt;M303,A304,IF(A322&gt;M302,A303,1))))))))))))))))))</f>
        <v>1</v>
      </c>
      <c r="N322">
        <f>IF(A322&gt;N319,A320,IF(A322&gt;N318,A319,IF(A322&gt;N317,A318,IF(A322&gt;N316,A317,IF(A322&gt;N315,A316,IF(A322&gt;N314,A315,IF(A322&gt;N313,A314,IF(A322&gt;N312,A313,IF(A322&gt;N311,A312,IF(A322&gt;N310,A311,IF(A322&gt;N309,A310,IF(A322&gt;N308,A309,IF(A322&gt;N307,A308,IF(A322&gt;N306,A307,IF(A322&gt;N305,A306,IF(A322&gt;N304,A305,IF(A322&gt;N303,A304,IF(A322&gt;N302,A303,1))))))))))))))))))</f>
        <v>1</v>
      </c>
    </row>
    <row r="323" spans="1:14">
      <c r="A323" s="62">
        <f>A298</f>
        <v>0</v>
      </c>
    </row>
    <row r="324" spans="1:14">
      <c r="A324" s="259">
        <f>IF(A323&gt;M301,N322,IF(A323&gt;L301,M322,IF(A323&gt;K301,L322,IF(A323&gt;J301,K322,IF(A323&gt;I301,J322,IF(A323&gt;H301,I322,IF(A323&gt;G301,H322,IF(A323&gt;F301,G322,IF(A323&gt;E301,F322,IF(A323&gt;D301,E322,IF(A323&gt;C301,D322,IF(A323&gt;B301,C322,B322))))))))))))</f>
        <v>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9"/>
  <sheetViews>
    <sheetView workbookViewId="0">
      <selection activeCell="B115" sqref="B115"/>
    </sheetView>
  </sheetViews>
  <sheetFormatPr baseColWidth="10" defaultRowHeight="15.75"/>
  <cols>
    <col min="1" max="1" width="13.125" bestFit="1" customWidth="1"/>
    <col min="3" max="3" width="13.125" bestFit="1" customWidth="1"/>
    <col min="4" max="4" width="11.125" bestFit="1" customWidth="1"/>
    <col min="5" max="5" width="11.5" bestFit="1" customWidth="1"/>
    <col min="6" max="6" width="11.125" bestFit="1" customWidth="1"/>
    <col min="8" max="8" width="11.5" bestFit="1" customWidth="1"/>
  </cols>
  <sheetData>
    <row r="1" spans="1:12">
      <c r="A1" s="345" t="s">
        <v>379</v>
      </c>
      <c r="B1" s="345"/>
      <c r="C1" s="345"/>
      <c r="D1" s="345"/>
      <c r="E1" s="345"/>
      <c r="F1" s="345"/>
      <c r="G1" s="345"/>
      <c r="H1" s="345"/>
      <c r="I1" s="75"/>
      <c r="K1" t="s">
        <v>467</v>
      </c>
      <c r="L1" t="s">
        <v>468</v>
      </c>
    </row>
    <row r="2" spans="1:12">
      <c r="A2" s="106" t="s">
        <v>463</v>
      </c>
      <c r="B2" s="109">
        <v>17</v>
      </c>
      <c r="C2" s="109">
        <v>13</v>
      </c>
      <c r="D2" s="109">
        <v>10</v>
      </c>
      <c r="E2" s="109">
        <v>7</v>
      </c>
      <c r="F2" s="109">
        <v>5</v>
      </c>
      <c r="G2" s="109">
        <v>3</v>
      </c>
      <c r="H2" s="109">
        <v>1</v>
      </c>
      <c r="I2" s="109">
        <v>0</v>
      </c>
      <c r="K2">
        <f>(B8+C8+D8+E8)-ACE!D50</f>
        <v>0</v>
      </c>
      <c r="L2">
        <f>IF(K2&gt;B2,B4,IF(K2&gt;C2,C4,IF(K2&gt;D2,D4,IF(K2&gt;E2,E4,IF(K2&gt;F2,F4,IF(K2&gt;G2,G4,IF(K2&gt;H2,H4,I4)))))))</f>
        <v>0</v>
      </c>
    </row>
    <row r="3" spans="1:12">
      <c r="A3" s="106" t="s">
        <v>464</v>
      </c>
      <c r="B3" s="109">
        <v>21</v>
      </c>
      <c r="C3" s="109">
        <v>16</v>
      </c>
      <c r="D3" s="109">
        <v>13</v>
      </c>
      <c r="E3" s="109">
        <v>10</v>
      </c>
      <c r="F3" s="109">
        <v>8</v>
      </c>
      <c r="G3" s="109">
        <v>6</v>
      </c>
      <c r="H3" s="109">
        <v>4</v>
      </c>
      <c r="I3" s="109">
        <v>0</v>
      </c>
      <c r="K3">
        <f>(F8+G8+H8+I8)-ACE!H50</f>
        <v>0</v>
      </c>
      <c r="L3">
        <f>IF(K3&gt;B3,B5,IF(K3&gt;C3,C5,IF(K3&gt;D3,D5,IF(K3&gt;E3,E5,IF(K3&gt;F3,F5,IF(K3&gt;G3,G5,IF(K3&gt;H3,H5,I5)))))))</f>
        <v>0</v>
      </c>
    </row>
    <row r="4" spans="1:12">
      <c r="A4" s="106" t="s">
        <v>198</v>
      </c>
      <c r="B4" s="115">
        <v>7</v>
      </c>
      <c r="C4" s="115">
        <v>6</v>
      </c>
      <c r="D4" s="115">
        <v>5</v>
      </c>
      <c r="E4" s="115">
        <v>4</v>
      </c>
      <c r="F4" s="115">
        <v>3</v>
      </c>
      <c r="G4" s="115">
        <v>2</v>
      </c>
      <c r="H4" s="115">
        <v>1</v>
      </c>
      <c r="I4" s="115">
        <v>0</v>
      </c>
    </row>
    <row r="5" spans="1:12">
      <c r="B5" s="115">
        <v>7</v>
      </c>
      <c r="C5" s="115">
        <v>6</v>
      </c>
      <c r="D5" s="115">
        <v>5</v>
      </c>
      <c r="E5" s="115">
        <v>4</v>
      </c>
      <c r="F5" s="115">
        <v>3</v>
      </c>
      <c r="G5" s="115">
        <v>2</v>
      </c>
      <c r="H5" s="115">
        <v>1</v>
      </c>
      <c r="I5" s="115">
        <v>0</v>
      </c>
    </row>
    <row r="6" spans="1:12">
      <c r="B6" s="143"/>
      <c r="C6" s="143"/>
      <c r="D6" s="143"/>
      <c r="E6" s="143"/>
      <c r="F6" s="143"/>
      <c r="G6" s="143"/>
      <c r="H6" s="143"/>
      <c r="I6" s="143"/>
    </row>
    <row r="7" spans="1:12">
      <c r="B7" s="382" t="s">
        <v>463</v>
      </c>
      <c r="C7" s="382"/>
      <c r="D7" s="382"/>
      <c r="E7" s="382"/>
      <c r="F7" s="382" t="s">
        <v>381</v>
      </c>
      <c r="G7" s="382"/>
      <c r="H7" s="382"/>
      <c r="I7" s="382"/>
    </row>
    <row r="8" spans="1:12">
      <c r="B8" s="143">
        <f>18-COUNTBLANK(ACE!A31:A48)</f>
        <v>0</v>
      </c>
      <c r="C8" s="143">
        <f>18-COUNTBLANK(ACE!B31:B48)</f>
        <v>0</v>
      </c>
      <c r="D8" s="143">
        <f>18-COUNTBLANK(ACE!C31:C48)</f>
        <v>0</v>
      </c>
      <c r="E8" s="143">
        <f>18-COUNTBLANK(ACE!D31:D48)</f>
        <v>0</v>
      </c>
      <c r="F8" s="143">
        <f>18-COUNTBLANK(ACE!E31:E48)</f>
        <v>0</v>
      </c>
      <c r="G8" s="143">
        <f>18-COUNTBLANK(ACE!F31:F48)</f>
        <v>0</v>
      </c>
      <c r="H8" s="143">
        <f>18-COUNTBLANK(ACE!G31:G48)</f>
        <v>0</v>
      </c>
      <c r="I8" s="143">
        <f>18-COUNTBLANK(ACE!H31:H48)</f>
        <v>0</v>
      </c>
    </row>
    <row r="9" spans="1:12">
      <c r="B9" s="143"/>
      <c r="C9" s="143"/>
      <c r="D9" s="143"/>
      <c r="E9" s="143"/>
      <c r="F9" s="143"/>
      <c r="G9" s="143"/>
      <c r="H9" s="143"/>
      <c r="I9" s="143"/>
    </row>
    <row r="11" spans="1:12">
      <c r="A11" s="350" t="s">
        <v>409</v>
      </c>
      <c r="B11" s="351"/>
      <c r="C11" s="351"/>
      <c r="D11" s="351"/>
      <c r="E11" s="351"/>
      <c r="F11" s="351"/>
      <c r="G11" s="351"/>
    </row>
    <row r="12" spans="1:12">
      <c r="A12" t="s">
        <v>469</v>
      </c>
      <c r="B12">
        <f>COUNTIF(ACE!A94:H94,"X")</f>
        <v>0</v>
      </c>
      <c r="D12" t="s">
        <v>198</v>
      </c>
      <c r="E12">
        <f>IF(B12&gt;3,2,IF(B12&gt;2,1,0))</f>
        <v>0</v>
      </c>
    </row>
    <row r="14" spans="1:12">
      <c r="A14" s="345" t="s">
        <v>482</v>
      </c>
      <c r="B14" s="345"/>
      <c r="C14" s="345"/>
      <c r="D14" s="345"/>
      <c r="E14" t="s">
        <v>5</v>
      </c>
      <c r="F14" t="s">
        <v>524</v>
      </c>
      <c r="G14" t="s">
        <v>525</v>
      </c>
    </row>
    <row r="15" spans="1:12">
      <c r="A15" s="127" t="s">
        <v>483</v>
      </c>
      <c r="B15" s="106">
        <f>COUNTIF(IFS!B12,"X")</f>
        <v>0</v>
      </c>
      <c r="C15" s="127" t="s">
        <v>490</v>
      </c>
      <c r="D15" s="106">
        <f>COUNTIF(IFS!D12,"x")</f>
        <v>0</v>
      </c>
      <c r="E15" t="str">
        <f>IF(D21=1,6,IF(B21=1,6,IF(D20=1,6,IF(B20=1,6,IF(D19=1,6,IF(B19=1,6,IF(D18=1,5,IF(B18=1,5,IF(D17=1,4,IF(B17=1,4,IF(D16=1,3,IF(B16=1,3,IF(D15=1,2,IF(B15=1,2,IF(H15=TRUE,"",2)))))))))))))))</f>
        <v/>
      </c>
      <c r="F15">
        <f>IF(D21=1,8,IF(B21=1,8,IF(D20=1,7,IF(B20=1,7,IF(D19=1,6,IF(B19=1,6,IF(D18=1,5,IF(B18=1,5,IF(D17=1,4,IF(B17=1,4,IF(D16=1,3,IF(B16=1,3,IF(D15=1,2,IF(B15=1,2,1))))))))))))))</f>
        <v>1</v>
      </c>
      <c r="G15">
        <f>IF(D21=1,14,IF(B21=1,13,IF(D20=1,12,IF(B20=1,11,IF(D19=1,10,IF(B19=1,9,IF(D18=1,8,IF(B18=1,7,IF(D17=1,6,IF(B17=1,5,IF(D16=1,4,IF(B16=1,3,IF(D15=1,2,IF(B21=1,1,0))))))))))))))</f>
        <v>0</v>
      </c>
      <c r="H15" t="b">
        <f>ISBLANK(IFS!B12)</f>
        <v>1</v>
      </c>
    </row>
    <row r="16" spans="1:12">
      <c r="A16" s="127" t="s">
        <v>484</v>
      </c>
      <c r="B16" s="106">
        <f>COUNTIF(IFS!B13,"X")</f>
        <v>0</v>
      </c>
      <c r="C16" s="127" t="s">
        <v>491</v>
      </c>
      <c r="D16" s="106">
        <f>COUNTIF(IFS!D13,"x")</f>
        <v>0</v>
      </c>
    </row>
    <row r="17" spans="1:5">
      <c r="A17" s="127" t="s">
        <v>485</v>
      </c>
      <c r="B17" s="106">
        <f>COUNTIF(IFS!B14,"X")</f>
        <v>0</v>
      </c>
      <c r="C17" s="127" t="s">
        <v>492</v>
      </c>
      <c r="D17" s="106">
        <f>COUNTIF(IFS!D14,"x")</f>
        <v>0</v>
      </c>
    </row>
    <row r="18" spans="1:5">
      <c r="A18" s="127" t="s">
        <v>486</v>
      </c>
      <c r="B18" s="106">
        <f>COUNTIF(IFS!B15,"X")</f>
        <v>0</v>
      </c>
      <c r="C18" s="127" t="s">
        <v>493</v>
      </c>
      <c r="D18" s="106">
        <f>COUNTIF(IFS!D15,"x")</f>
        <v>0</v>
      </c>
    </row>
    <row r="19" spans="1:5">
      <c r="A19" s="127" t="s">
        <v>487</v>
      </c>
      <c r="B19" s="106">
        <f>COUNTIF(IFS!B16,"X")</f>
        <v>0</v>
      </c>
      <c r="C19" s="127" t="s">
        <v>494</v>
      </c>
      <c r="D19" s="106">
        <f>COUNTIF(IFS!D16,"x")</f>
        <v>0</v>
      </c>
    </row>
    <row r="20" spans="1:5">
      <c r="A20" s="127" t="s">
        <v>488</v>
      </c>
      <c r="B20" s="106">
        <f>COUNTIF(IFS!B17,"X")</f>
        <v>0</v>
      </c>
      <c r="C20" s="127" t="s">
        <v>496</v>
      </c>
      <c r="D20" s="106">
        <f>COUNTIF(IFS!D17,"x")</f>
        <v>0</v>
      </c>
    </row>
    <row r="21" spans="1:5">
      <c r="A21" s="127" t="s">
        <v>489</v>
      </c>
      <c r="B21" s="106">
        <f>COUNTIF(IFS!B18,"X")</f>
        <v>0</v>
      </c>
      <c r="C21" s="127" t="s">
        <v>495</v>
      </c>
      <c r="D21" s="106">
        <f>COUNTIF(IFS!D18,"x")</f>
        <v>0</v>
      </c>
    </row>
    <row r="23" spans="1:5">
      <c r="A23" s="345" t="s">
        <v>546</v>
      </c>
      <c r="B23" s="345"/>
      <c r="C23" s="345"/>
      <c r="D23" s="345"/>
    </row>
    <row r="24" spans="1:5">
      <c r="A24">
        <f>COUNTIF(IFS!B21:B26,"X")+COUNTIF(IFS!D21:D26,"X")</f>
        <v>0</v>
      </c>
      <c r="B24">
        <f>IF(A24=0,2,IF(A24=1,1,0))</f>
        <v>2</v>
      </c>
      <c r="C24" t="b">
        <f>ISBLANK(IFS!B21)</f>
        <v>1</v>
      </c>
    </row>
    <row r="27" spans="1:5">
      <c r="A27" s="345" t="s">
        <v>509</v>
      </c>
      <c r="B27" s="345"/>
      <c r="C27" s="345"/>
      <c r="D27" s="345"/>
      <c r="E27" t="s">
        <v>5</v>
      </c>
    </row>
    <row r="28" spans="1:5">
      <c r="A28" s="127" t="s">
        <v>510</v>
      </c>
      <c r="B28" s="106">
        <f>COUNTIF(IFS!B29,"x")</f>
        <v>0</v>
      </c>
      <c r="C28" s="127" t="s">
        <v>512</v>
      </c>
      <c r="D28" s="106">
        <f>COUNTIF(IFS!D29,"x")</f>
        <v>0</v>
      </c>
      <c r="E28">
        <f>COUNTIF(B28:B29,1)+COUNTIF(D28:D29,1)</f>
        <v>0</v>
      </c>
    </row>
    <row r="29" spans="1:5">
      <c r="A29" s="127" t="s">
        <v>511</v>
      </c>
      <c r="B29" s="106">
        <f>COUNTIF(IFS!B30,"x")</f>
        <v>0</v>
      </c>
      <c r="C29" s="127" t="s">
        <v>513</v>
      </c>
      <c r="D29" s="106">
        <f>COUNTIF(IFS!D30,"x")</f>
        <v>0</v>
      </c>
    </row>
    <row r="32" spans="1:5">
      <c r="A32" s="345" t="s">
        <v>514</v>
      </c>
      <c r="B32" s="345"/>
      <c r="C32" s="345"/>
      <c r="D32" s="345"/>
      <c r="E32" s="345"/>
    </row>
    <row r="33" spans="1:11">
      <c r="A33">
        <v>1</v>
      </c>
      <c r="B33">
        <f>COUNTIF(IFS!D34:D36,"X")</f>
        <v>0</v>
      </c>
      <c r="D33" t="str">
        <f>IF(I33+J33=0,"","VERDADERO")</f>
        <v/>
      </c>
      <c r="E33" t="b">
        <f>EXACT(IFS!D34,IFS!E34)</f>
        <v>1</v>
      </c>
      <c r="F33" t="b">
        <f>EXACT(D33,E33)</f>
        <v>0</v>
      </c>
      <c r="G33" t="str">
        <f>IF(F33=TRUE,"ERROR!","")</f>
        <v/>
      </c>
      <c r="I33">
        <f>COUNTIF(IFS!D34,"X")</f>
        <v>0</v>
      </c>
      <c r="J33">
        <f>COUNTIF(IFS!E34,"X")</f>
        <v>0</v>
      </c>
    </row>
    <row r="34" spans="1:11">
      <c r="A34" t="s">
        <v>530</v>
      </c>
      <c r="B34">
        <f>COUNTIF(IFS!E34:E36,"X")</f>
        <v>0</v>
      </c>
      <c r="C34">
        <f>B34*0.5</f>
        <v>0</v>
      </c>
      <c r="D34" t="str">
        <f t="shared" ref="D34:D35" si="0">IF(I34+J34=0,"","VERDADERO")</f>
        <v/>
      </c>
      <c r="E34" t="b">
        <f>EXACT(IFS!D35,IFS!E35)</f>
        <v>1</v>
      </c>
      <c r="F34" t="b">
        <f t="shared" ref="F34:F35" si="1">EXACT(D34,E34)</f>
        <v>0</v>
      </c>
      <c r="G34" t="str">
        <f t="shared" ref="G34:G35" si="2">IF(F34=TRUE,"ERROR!","")</f>
        <v/>
      </c>
      <c r="I34">
        <f>COUNTIF(IFS!D35,"X")</f>
        <v>0</v>
      </c>
      <c r="J34">
        <f>COUNTIF(IFS!E35,"X")</f>
        <v>0</v>
      </c>
    </row>
    <row r="35" spans="1:11">
      <c r="B35">
        <f>B33+C34</f>
        <v>0</v>
      </c>
      <c r="D35" t="str">
        <f t="shared" si="0"/>
        <v/>
      </c>
      <c r="E35" t="b">
        <f>EXACT(IFS!D36,IFS!E36)</f>
        <v>1</v>
      </c>
      <c r="F35" t="b">
        <f t="shared" si="1"/>
        <v>0</v>
      </c>
      <c r="G35" t="str">
        <f t="shared" si="2"/>
        <v/>
      </c>
      <c r="I35">
        <f>COUNTIF(IFS!D36,"X")</f>
        <v>0</v>
      </c>
      <c r="J35">
        <f>COUNTIF(IFS!E36,"X")</f>
        <v>0</v>
      </c>
    </row>
    <row r="36" spans="1:11">
      <c r="A36" t="s">
        <v>533</v>
      </c>
      <c r="B36">
        <f>B33+B34</f>
        <v>0</v>
      </c>
    </row>
    <row r="38" spans="1:11">
      <c r="A38" s="345" t="s">
        <v>518</v>
      </c>
      <c r="B38" s="345"/>
      <c r="C38" s="345"/>
      <c r="D38" s="345"/>
    </row>
    <row r="39" spans="1:11">
      <c r="A39" s="131" t="s">
        <v>535</v>
      </c>
      <c r="B39" s="131" t="s">
        <v>536</v>
      </c>
      <c r="C39" s="131" t="s">
        <v>537</v>
      </c>
    </row>
    <row r="40" spans="1:11">
      <c r="A40">
        <f>COUNTIF(IFS!C42:C44,"X")</f>
        <v>0</v>
      </c>
      <c r="B40">
        <f>COUNTIF(IFS!D42:D44,"X")</f>
        <v>0</v>
      </c>
      <c r="C40">
        <f>COUNTIF(IFS!E42:E44,"X")</f>
        <v>0</v>
      </c>
      <c r="G40">
        <f>COUNTIF(IFS!C42,"X")</f>
        <v>0</v>
      </c>
      <c r="H40">
        <f>COUNTIF(IFS!D42,"X")</f>
        <v>0</v>
      </c>
      <c r="I40">
        <f>COUNTIF(IFS!E42,"X")</f>
        <v>0</v>
      </c>
      <c r="J40">
        <f t="shared" ref="J40:J41" si="3">G40+H40+I40</f>
        <v>0</v>
      </c>
      <c r="K40" t="str">
        <f>IF(J40&gt;1,"ERROR!","")</f>
        <v/>
      </c>
    </row>
    <row r="41" spans="1:11">
      <c r="A41">
        <f>A40*2</f>
        <v>0</v>
      </c>
      <c r="B41">
        <f>B40*1</f>
        <v>0</v>
      </c>
      <c r="C41">
        <f>C40*0</f>
        <v>0</v>
      </c>
      <c r="D41">
        <f>A41+B41+C41</f>
        <v>0</v>
      </c>
      <c r="G41">
        <f>COUNTIF(IFS!C43,"X")</f>
        <v>0</v>
      </c>
      <c r="H41">
        <f>COUNTIF(IFS!D43,"X")</f>
        <v>0</v>
      </c>
      <c r="I41">
        <f>COUNTIF(IFS!E43,"X")</f>
        <v>0</v>
      </c>
      <c r="J41">
        <f t="shared" si="3"/>
        <v>0</v>
      </c>
      <c r="K41" t="str">
        <f t="shared" ref="K41:K42" si="4">IF(J41&gt;1,"ERROR!","")</f>
        <v/>
      </c>
    </row>
    <row r="42" spans="1:11">
      <c r="G42">
        <f>COUNTIF(IFS!C44,"X")</f>
        <v>0</v>
      </c>
      <c r="H42">
        <f>COUNTIF(IFS!D44,"X")</f>
        <v>0</v>
      </c>
      <c r="I42">
        <f>COUNTIF(IFS!E44,"X")</f>
        <v>0</v>
      </c>
      <c r="J42">
        <f>G42+H42+I42</f>
        <v>0</v>
      </c>
      <c r="K42" t="str">
        <f t="shared" si="4"/>
        <v/>
      </c>
    </row>
    <row r="44" spans="1:11">
      <c r="A44" s="134" t="s">
        <v>377</v>
      </c>
      <c r="B44" s="135">
        <v>86</v>
      </c>
      <c r="C44" s="135">
        <v>79</v>
      </c>
      <c r="D44" s="135">
        <v>72</v>
      </c>
      <c r="E44" s="135">
        <v>65</v>
      </c>
    </row>
    <row r="45" spans="1:11">
      <c r="A45" s="136">
        <f>IF(ACE!A18=93,1,0)</f>
        <v>0</v>
      </c>
      <c r="B45" s="137">
        <f>IF(ACE!B18=ACE!A18-7,1,0)</f>
        <v>0</v>
      </c>
      <c r="C45" s="137">
        <f>IF(ACE!C18=ACE!B18-7,1,0)</f>
        <v>0</v>
      </c>
      <c r="D45" s="137">
        <f>IF(ACE!D18=ACE!C18-7,1,0)</f>
        <v>0</v>
      </c>
      <c r="E45" s="137">
        <f>IF(ACE!E18=ACE!D18-7,1,0)</f>
        <v>0</v>
      </c>
      <c r="F45">
        <f>A45+B45+C45+D45+E45</f>
        <v>0</v>
      </c>
    </row>
    <row r="48" spans="1:11">
      <c r="A48" s="345" t="s">
        <v>476</v>
      </c>
      <c r="B48" s="345"/>
      <c r="C48" s="345"/>
      <c r="D48" s="345"/>
      <c r="E48" s="345"/>
    </row>
    <row r="49" spans="1:11">
      <c r="A49" s="348" t="s">
        <v>395</v>
      </c>
      <c r="B49" s="348"/>
      <c r="C49" s="133" t="s">
        <v>402</v>
      </c>
      <c r="D49" s="133" t="s">
        <v>404</v>
      </c>
      <c r="E49" s="133" t="s">
        <v>403</v>
      </c>
    </row>
    <row r="50" spans="1:11">
      <c r="C50">
        <f>COUNTIF(ACE!C57:C63,"X")</f>
        <v>0</v>
      </c>
      <c r="D50">
        <f>COUNTIF(ACE!D57:D63,"X")</f>
        <v>0</v>
      </c>
      <c r="E50">
        <f>ACE!E64</f>
        <v>0</v>
      </c>
    </row>
    <row r="52" spans="1:11">
      <c r="A52" t="s">
        <v>41</v>
      </c>
      <c r="B52" t="e">
        <f>IF(Resumen!#REF!&lt;86,"DESCENDIDO","")</f>
        <v>#REF!</v>
      </c>
      <c r="C52" t="e">
        <f>IF(Resumen!#REF!&lt;68,"DESCENDIDO","")</f>
        <v>#REF!</v>
      </c>
      <c r="D52" t="e">
        <f>IF(A53&gt;11,AUX!B52,AUX!C52)</f>
        <v>#REF!</v>
      </c>
    </row>
    <row r="53" spans="1:11">
      <c r="A53" s="62" t="e">
        <f>Resumen!#REF!</f>
        <v>#REF!</v>
      </c>
    </row>
    <row r="54" spans="1:11">
      <c r="A54" t="s">
        <v>5</v>
      </c>
      <c r="B54" t="e">
        <f>IF(A55&lt;25,"DESCENDIDO","")</f>
        <v>#REF!</v>
      </c>
      <c r="C54" t="e">
        <f>IF(A55&lt;9,"DESCENDIDO",IF(A55&lt;25,"DESCENDIDO-ATENCIÓN ESCOLARIDAD",""))</f>
        <v>#REF!</v>
      </c>
      <c r="D54" t="e">
        <f>IF(A53&gt;11,B54,C54)</f>
        <v>#REF!</v>
      </c>
    </row>
    <row r="55" spans="1:11">
      <c r="A55" t="e">
        <f>Resumen!#REF!</f>
        <v>#REF!</v>
      </c>
    </row>
    <row r="59" spans="1:11">
      <c r="A59" s="106" t="s">
        <v>53</v>
      </c>
      <c r="B59" s="106" t="s">
        <v>585</v>
      </c>
      <c r="C59" s="106" t="s">
        <v>586</v>
      </c>
      <c r="D59" s="106" t="s">
        <v>588</v>
      </c>
      <c r="E59" s="219" t="s">
        <v>591</v>
      </c>
      <c r="F59" s="219" t="s">
        <v>33</v>
      </c>
    </row>
    <row r="60" spans="1:11">
      <c r="A60" s="218">
        <v>44</v>
      </c>
      <c r="B60" s="218" t="e">
        <f>Resumen!#REF!</f>
        <v>#REF!</v>
      </c>
      <c r="C60" s="218" t="e">
        <f>Resumen!#REF!</f>
        <v>#REF!</v>
      </c>
      <c r="D60" s="218" t="e">
        <f>Resumen!#REF!</f>
        <v>#REF!</v>
      </c>
      <c r="E60" s="106" t="e">
        <f>(B60*C60)/(B60+C60)</f>
        <v>#REF!</v>
      </c>
      <c r="F60" s="106" t="e">
        <f>D60-E60</f>
        <v>#REF!</v>
      </c>
    </row>
    <row r="61" spans="1:11">
      <c r="A61" s="218">
        <v>64</v>
      </c>
      <c r="B61" s="218" t="e">
        <f>B60+8</f>
        <v>#REF!</v>
      </c>
      <c r="C61" s="218" t="e">
        <f>C60+4</f>
        <v>#REF!</v>
      </c>
      <c r="D61" s="218" t="e">
        <f>D60+5</f>
        <v>#REF!</v>
      </c>
      <c r="E61" s="106" t="e">
        <f t="shared" ref="E61:E62" si="5">(B61*C61)/(B61+C61)</f>
        <v>#REF!</v>
      </c>
      <c r="F61" s="106" t="e">
        <f t="shared" ref="F61:F62" si="6">D61-E61</f>
        <v>#REF!</v>
      </c>
    </row>
    <row r="62" spans="1:11">
      <c r="A62" s="218"/>
      <c r="B62" s="218" t="e">
        <f>B60+14</f>
        <v>#REF!</v>
      </c>
      <c r="C62" s="218" t="e">
        <f>C60+11</f>
        <v>#REF!</v>
      </c>
      <c r="D62" s="218" t="e">
        <f>D60+15</f>
        <v>#REF!</v>
      </c>
      <c r="E62" s="106" t="e">
        <f t="shared" si="5"/>
        <v>#REF!</v>
      </c>
      <c r="F62" s="106" t="e">
        <f t="shared" si="6"/>
        <v>#REF!</v>
      </c>
    </row>
    <row r="63" spans="1:11">
      <c r="G63" s="381" t="s">
        <v>595</v>
      </c>
      <c r="H63" s="381"/>
      <c r="I63" s="381"/>
      <c r="J63" s="381"/>
      <c r="K63" s="381"/>
    </row>
    <row r="64" spans="1:11">
      <c r="A64" s="139" t="s">
        <v>584</v>
      </c>
      <c r="B64" s="213" t="s">
        <v>585</v>
      </c>
      <c r="C64" s="139" t="s">
        <v>586</v>
      </c>
      <c r="D64" s="213" t="s">
        <v>587</v>
      </c>
      <c r="E64" s="139" t="s">
        <v>33</v>
      </c>
      <c r="G64" s="224" t="s">
        <v>584</v>
      </c>
      <c r="H64" s="225" t="s">
        <v>585</v>
      </c>
      <c r="I64" s="224" t="s">
        <v>586</v>
      </c>
      <c r="J64" s="225" t="s">
        <v>587</v>
      </c>
      <c r="K64" s="224" t="s">
        <v>33</v>
      </c>
    </row>
    <row r="65" spans="1:11">
      <c r="A65" s="214">
        <v>80</v>
      </c>
      <c r="B65">
        <v>168</v>
      </c>
      <c r="C65" s="214">
        <v>125</v>
      </c>
      <c r="D65">
        <v>75</v>
      </c>
      <c r="E65" s="214">
        <v>30</v>
      </c>
      <c r="G65" s="226">
        <v>80</v>
      </c>
      <c r="H65" s="14"/>
      <c r="I65" s="226"/>
      <c r="J65" s="14"/>
      <c r="K65" s="226"/>
    </row>
    <row r="66" spans="1:11">
      <c r="A66" s="214">
        <v>78</v>
      </c>
      <c r="B66">
        <v>164</v>
      </c>
      <c r="C66" s="214">
        <v>122</v>
      </c>
      <c r="D66">
        <v>73</v>
      </c>
      <c r="E66" s="214">
        <v>28</v>
      </c>
      <c r="G66" s="226">
        <v>78</v>
      </c>
      <c r="H66" s="14">
        <f>B66+1</f>
        <v>165</v>
      </c>
      <c r="I66" s="226">
        <f>C66+1</f>
        <v>123</v>
      </c>
      <c r="J66" s="14">
        <v>73</v>
      </c>
      <c r="K66" s="226">
        <f>E66+1</f>
        <v>29</v>
      </c>
    </row>
    <row r="67" spans="1:11">
      <c r="A67" s="214">
        <v>76</v>
      </c>
      <c r="B67">
        <v>160</v>
      </c>
      <c r="C67" s="214">
        <v>119</v>
      </c>
      <c r="D67">
        <v>71</v>
      </c>
      <c r="E67" s="214">
        <v>26</v>
      </c>
      <c r="G67" s="226">
        <v>76</v>
      </c>
      <c r="H67" s="14">
        <f t="shared" ref="H67:H95" si="7">B67+1</f>
        <v>161</v>
      </c>
      <c r="I67" s="226">
        <f t="shared" ref="I67:I95" si="8">C67+1</f>
        <v>120</v>
      </c>
      <c r="J67" s="14">
        <v>71</v>
      </c>
      <c r="K67" s="226">
        <f t="shared" ref="K67:K95" si="9">E67+1</f>
        <v>27</v>
      </c>
    </row>
    <row r="68" spans="1:11">
      <c r="A68" s="214">
        <v>74</v>
      </c>
      <c r="B68">
        <v>156</v>
      </c>
      <c r="C68" s="214">
        <v>116</v>
      </c>
      <c r="D68">
        <v>69</v>
      </c>
      <c r="E68" s="214">
        <v>24</v>
      </c>
      <c r="G68" s="226">
        <v>74</v>
      </c>
      <c r="H68" s="14">
        <f t="shared" si="7"/>
        <v>157</v>
      </c>
      <c r="I68" s="226">
        <f t="shared" si="8"/>
        <v>117</v>
      </c>
      <c r="J68" s="14">
        <v>69</v>
      </c>
      <c r="K68" s="226">
        <f t="shared" si="9"/>
        <v>25</v>
      </c>
    </row>
    <row r="69" spans="1:11">
      <c r="A69" s="214">
        <v>72</v>
      </c>
      <c r="B69">
        <v>152</v>
      </c>
      <c r="C69" s="214">
        <v>113</v>
      </c>
      <c r="D69">
        <v>67</v>
      </c>
      <c r="E69" s="214">
        <v>22</v>
      </c>
      <c r="G69" s="226">
        <v>72</v>
      </c>
      <c r="H69" s="14">
        <f t="shared" si="7"/>
        <v>153</v>
      </c>
      <c r="I69" s="226">
        <f t="shared" si="8"/>
        <v>114</v>
      </c>
      <c r="J69" s="14">
        <v>67</v>
      </c>
      <c r="K69" s="226">
        <f t="shared" si="9"/>
        <v>23</v>
      </c>
    </row>
    <row r="70" spans="1:11">
      <c r="A70" s="214">
        <v>70</v>
      </c>
      <c r="B70">
        <v>148</v>
      </c>
      <c r="C70" s="214">
        <v>110</v>
      </c>
      <c r="D70">
        <v>65</v>
      </c>
      <c r="E70" s="214">
        <v>20</v>
      </c>
      <c r="G70" s="226">
        <v>70</v>
      </c>
      <c r="H70" s="14">
        <f t="shared" si="7"/>
        <v>149</v>
      </c>
      <c r="I70" s="226">
        <f t="shared" si="8"/>
        <v>111</v>
      </c>
      <c r="J70" s="14">
        <v>65</v>
      </c>
      <c r="K70" s="226">
        <f t="shared" si="9"/>
        <v>21</v>
      </c>
    </row>
    <row r="71" spans="1:11">
      <c r="A71" s="214">
        <v>68</v>
      </c>
      <c r="B71">
        <v>144</v>
      </c>
      <c r="C71" s="214">
        <v>107</v>
      </c>
      <c r="D71">
        <v>63</v>
      </c>
      <c r="E71" s="214">
        <v>18</v>
      </c>
      <c r="G71" s="226">
        <v>68</v>
      </c>
      <c r="H71" s="14">
        <f t="shared" si="7"/>
        <v>145</v>
      </c>
      <c r="I71" s="226">
        <f t="shared" si="8"/>
        <v>108</v>
      </c>
      <c r="J71" s="14">
        <v>63</v>
      </c>
      <c r="K71" s="226">
        <f t="shared" si="9"/>
        <v>19</v>
      </c>
    </row>
    <row r="72" spans="1:11">
      <c r="A72" s="214">
        <v>66</v>
      </c>
      <c r="B72">
        <v>140</v>
      </c>
      <c r="C72" s="214">
        <v>104</v>
      </c>
      <c r="D72">
        <v>61</v>
      </c>
      <c r="E72" s="214">
        <v>16</v>
      </c>
      <c r="G72" s="226">
        <v>66</v>
      </c>
      <c r="H72" s="14">
        <f t="shared" si="7"/>
        <v>141</v>
      </c>
      <c r="I72" s="226">
        <f t="shared" si="8"/>
        <v>105</v>
      </c>
      <c r="J72" s="14">
        <v>61</v>
      </c>
      <c r="K72" s="226">
        <f t="shared" si="9"/>
        <v>17</v>
      </c>
    </row>
    <row r="73" spans="1:11">
      <c r="A73" s="214">
        <v>64</v>
      </c>
      <c r="B73">
        <v>136</v>
      </c>
      <c r="C73" s="214">
        <v>101</v>
      </c>
      <c r="D73">
        <v>59</v>
      </c>
      <c r="E73" s="214">
        <v>14</v>
      </c>
      <c r="G73" s="226">
        <v>64</v>
      </c>
      <c r="H73" s="14">
        <f t="shared" si="7"/>
        <v>137</v>
      </c>
      <c r="I73" s="226">
        <f t="shared" si="8"/>
        <v>102</v>
      </c>
      <c r="J73" s="14">
        <v>59</v>
      </c>
      <c r="K73" s="226">
        <f t="shared" si="9"/>
        <v>15</v>
      </c>
    </row>
    <row r="74" spans="1:11">
      <c r="A74" s="214">
        <v>62</v>
      </c>
      <c r="B74">
        <v>132</v>
      </c>
      <c r="C74" s="214">
        <v>98</v>
      </c>
      <c r="D74">
        <v>57</v>
      </c>
      <c r="E74" s="214">
        <v>12</v>
      </c>
      <c r="G74" s="226">
        <v>62</v>
      </c>
      <c r="H74" s="14">
        <f t="shared" si="7"/>
        <v>133</v>
      </c>
      <c r="I74" s="226">
        <f t="shared" si="8"/>
        <v>99</v>
      </c>
      <c r="J74" s="14">
        <v>57</v>
      </c>
      <c r="K74" s="226">
        <f t="shared" si="9"/>
        <v>13</v>
      </c>
    </row>
    <row r="75" spans="1:11">
      <c r="A75" s="214">
        <v>60</v>
      </c>
      <c r="B75">
        <v>128</v>
      </c>
      <c r="C75" s="214">
        <v>95</v>
      </c>
      <c r="D75">
        <v>55</v>
      </c>
      <c r="E75" s="214">
        <v>10</v>
      </c>
      <c r="G75" s="226">
        <v>60</v>
      </c>
      <c r="H75" s="14">
        <f t="shared" si="7"/>
        <v>129</v>
      </c>
      <c r="I75" s="226">
        <f t="shared" si="8"/>
        <v>96</v>
      </c>
      <c r="J75" s="14">
        <v>55</v>
      </c>
      <c r="K75" s="226">
        <f t="shared" si="9"/>
        <v>11</v>
      </c>
    </row>
    <row r="76" spans="1:11">
      <c r="A76" s="214">
        <v>58</v>
      </c>
      <c r="B76">
        <v>124</v>
      </c>
      <c r="C76" s="214">
        <v>92</v>
      </c>
      <c r="D76">
        <v>53</v>
      </c>
      <c r="E76" s="214">
        <v>8</v>
      </c>
      <c r="G76" s="226">
        <v>58</v>
      </c>
      <c r="H76" s="14">
        <f t="shared" si="7"/>
        <v>125</v>
      </c>
      <c r="I76" s="226">
        <f t="shared" si="8"/>
        <v>93</v>
      </c>
      <c r="J76" s="14">
        <v>53</v>
      </c>
      <c r="K76" s="226">
        <f t="shared" si="9"/>
        <v>9</v>
      </c>
    </row>
    <row r="77" spans="1:11">
      <c r="A77" s="214">
        <v>56</v>
      </c>
      <c r="B77">
        <v>120</v>
      </c>
      <c r="C77" s="214">
        <v>89</v>
      </c>
      <c r="D77">
        <v>51</v>
      </c>
      <c r="E77" s="214">
        <v>6</v>
      </c>
      <c r="G77" s="226">
        <v>56</v>
      </c>
      <c r="H77" s="14">
        <f t="shared" si="7"/>
        <v>121</v>
      </c>
      <c r="I77" s="226">
        <f t="shared" si="8"/>
        <v>90</v>
      </c>
      <c r="J77" s="14">
        <v>51</v>
      </c>
      <c r="K77" s="226">
        <f t="shared" si="9"/>
        <v>7</v>
      </c>
    </row>
    <row r="78" spans="1:11">
      <c r="A78" s="214">
        <v>54</v>
      </c>
      <c r="B78">
        <v>116</v>
      </c>
      <c r="C78" s="214">
        <v>86</v>
      </c>
      <c r="D78">
        <v>49</v>
      </c>
      <c r="E78" s="214">
        <v>4</v>
      </c>
      <c r="G78" s="226">
        <v>54</v>
      </c>
      <c r="H78" s="14">
        <f t="shared" si="7"/>
        <v>117</v>
      </c>
      <c r="I78" s="226">
        <f t="shared" si="8"/>
        <v>87</v>
      </c>
      <c r="J78" s="14">
        <v>49</v>
      </c>
      <c r="K78" s="226">
        <f t="shared" si="9"/>
        <v>5</v>
      </c>
    </row>
    <row r="79" spans="1:11">
      <c r="A79" s="214">
        <v>52</v>
      </c>
      <c r="B79">
        <v>112</v>
      </c>
      <c r="C79" s="214">
        <v>83</v>
      </c>
      <c r="D79">
        <v>47</v>
      </c>
      <c r="E79" s="214">
        <v>2</v>
      </c>
      <c r="G79" s="226">
        <v>52</v>
      </c>
      <c r="H79" s="14">
        <f t="shared" si="7"/>
        <v>113</v>
      </c>
      <c r="I79" s="226">
        <f t="shared" si="8"/>
        <v>84</v>
      </c>
      <c r="J79" s="14">
        <v>47</v>
      </c>
      <c r="K79" s="226">
        <f t="shared" si="9"/>
        <v>3</v>
      </c>
    </row>
    <row r="80" spans="1:11">
      <c r="A80" s="214">
        <v>50</v>
      </c>
      <c r="B80">
        <v>108</v>
      </c>
      <c r="C80" s="214">
        <v>80</v>
      </c>
      <c r="D80">
        <v>45</v>
      </c>
      <c r="E80" s="214">
        <v>0</v>
      </c>
      <c r="G80" s="226">
        <v>50</v>
      </c>
      <c r="H80" s="14">
        <f t="shared" si="7"/>
        <v>109</v>
      </c>
      <c r="I80" s="226">
        <f t="shared" si="8"/>
        <v>81</v>
      </c>
      <c r="J80" s="14">
        <v>45</v>
      </c>
      <c r="K80" s="226">
        <f t="shared" si="9"/>
        <v>1</v>
      </c>
    </row>
    <row r="81" spans="1:11">
      <c r="A81" s="214">
        <v>48</v>
      </c>
      <c r="B81">
        <v>104</v>
      </c>
      <c r="C81" s="214">
        <v>77</v>
      </c>
      <c r="D81">
        <v>43</v>
      </c>
      <c r="E81" s="214">
        <v>-2</v>
      </c>
      <c r="G81" s="226">
        <v>48</v>
      </c>
      <c r="H81" s="14">
        <f t="shared" si="7"/>
        <v>105</v>
      </c>
      <c r="I81" s="226">
        <f t="shared" si="8"/>
        <v>78</v>
      </c>
      <c r="J81" s="14">
        <v>43</v>
      </c>
      <c r="K81" s="226">
        <f t="shared" si="9"/>
        <v>-1</v>
      </c>
    </row>
    <row r="82" spans="1:11">
      <c r="A82" s="214">
        <v>46</v>
      </c>
      <c r="B82">
        <v>100</v>
      </c>
      <c r="C82" s="214">
        <v>74</v>
      </c>
      <c r="D82">
        <v>41</v>
      </c>
      <c r="E82" s="214">
        <v>-4</v>
      </c>
      <c r="G82" s="226">
        <v>46</v>
      </c>
      <c r="H82" s="14">
        <f t="shared" si="7"/>
        <v>101</v>
      </c>
      <c r="I82" s="226">
        <f t="shared" si="8"/>
        <v>75</v>
      </c>
      <c r="J82" s="14">
        <v>41</v>
      </c>
      <c r="K82" s="226">
        <f t="shared" si="9"/>
        <v>-3</v>
      </c>
    </row>
    <row r="83" spans="1:11">
      <c r="A83" s="214">
        <v>44</v>
      </c>
      <c r="B83">
        <v>96</v>
      </c>
      <c r="C83" s="214">
        <v>71</v>
      </c>
      <c r="D83">
        <v>39</v>
      </c>
      <c r="E83" s="214">
        <v>-6</v>
      </c>
      <c r="G83" s="226">
        <v>44</v>
      </c>
      <c r="H83" s="14">
        <f t="shared" si="7"/>
        <v>97</v>
      </c>
      <c r="I83" s="226">
        <f t="shared" si="8"/>
        <v>72</v>
      </c>
      <c r="J83" s="14">
        <v>39</v>
      </c>
      <c r="K83" s="226">
        <f t="shared" si="9"/>
        <v>-5</v>
      </c>
    </row>
    <row r="84" spans="1:11">
      <c r="A84" s="214">
        <v>42</v>
      </c>
      <c r="B84">
        <v>92</v>
      </c>
      <c r="C84" s="214">
        <v>68</v>
      </c>
      <c r="D84">
        <v>37</v>
      </c>
      <c r="E84" s="214">
        <v>-8</v>
      </c>
      <c r="G84" s="226">
        <v>42</v>
      </c>
      <c r="H84" s="14">
        <f t="shared" si="7"/>
        <v>93</v>
      </c>
      <c r="I84" s="226">
        <f t="shared" si="8"/>
        <v>69</v>
      </c>
      <c r="J84" s="14">
        <v>37</v>
      </c>
      <c r="K84" s="226">
        <f t="shared" si="9"/>
        <v>-7</v>
      </c>
    </row>
    <row r="85" spans="1:11">
      <c r="A85" s="214">
        <v>40</v>
      </c>
      <c r="B85">
        <v>88</v>
      </c>
      <c r="C85" s="214">
        <v>65</v>
      </c>
      <c r="D85">
        <v>35</v>
      </c>
      <c r="E85" s="214">
        <v>-10</v>
      </c>
      <c r="G85" s="226">
        <v>40</v>
      </c>
      <c r="H85" s="14">
        <f t="shared" si="7"/>
        <v>89</v>
      </c>
      <c r="I85" s="226">
        <f t="shared" si="8"/>
        <v>66</v>
      </c>
      <c r="J85" s="14">
        <v>35</v>
      </c>
      <c r="K85" s="226">
        <f t="shared" si="9"/>
        <v>-9</v>
      </c>
    </row>
    <row r="86" spans="1:11">
      <c r="A86" s="214">
        <v>38</v>
      </c>
      <c r="B86">
        <v>84</v>
      </c>
      <c r="C86" s="214">
        <v>62</v>
      </c>
      <c r="D86">
        <v>33</v>
      </c>
      <c r="E86" s="214">
        <v>-12</v>
      </c>
      <c r="G86" s="226">
        <v>38</v>
      </c>
      <c r="H86" s="14">
        <f t="shared" si="7"/>
        <v>85</v>
      </c>
      <c r="I86" s="226">
        <f t="shared" si="8"/>
        <v>63</v>
      </c>
      <c r="J86" s="14">
        <v>33</v>
      </c>
      <c r="K86" s="226">
        <f t="shared" si="9"/>
        <v>-11</v>
      </c>
    </row>
    <row r="87" spans="1:11">
      <c r="A87" s="215">
        <v>36</v>
      </c>
      <c r="B87">
        <v>80</v>
      </c>
      <c r="C87" s="214">
        <v>59</v>
      </c>
      <c r="D87">
        <v>31</v>
      </c>
      <c r="E87" s="214">
        <v>-14</v>
      </c>
      <c r="G87" s="227">
        <v>36</v>
      </c>
      <c r="H87" s="14">
        <f t="shared" si="7"/>
        <v>81</v>
      </c>
      <c r="I87" s="226">
        <f t="shared" si="8"/>
        <v>60</v>
      </c>
      <c r="J87" s="14">
        <v>31</v>
      </c>
      <c r="K87" s="226">
        <f t="shared" si="9"/>
        <v>-13</v>
      </c>
    </row>
    <row r="88" spans="1:11">
      <c r="A88" s="215">
        <v>34</v>
      </c>
      <c r="B88">
        <v>76</v>
      </c>
      <c r="C88" s="214">
        <v>56</v>
      </c>
      <c r="D88">
        <v>29</v>
      </c>
      <c r="E88" s="214">
        <v>-16</v>
      </c>
      <c r="G88" s="227">
        <v>34</v>
      </c>
      <c r="H88" s="14">
        <f t="shared" si="7"/>
        <v>77</v>
      </c>
      <c r="I88" s="226">
        <f t="shared" si="8"/>
        <v>57</v>
      </c>
      <c r="J88" s="14">
        <v>29</v>
      </c>
      <c r="K88" s="226">
        <f t="shared" si="9"/>
        <v>-15</v>
      </c>
    </row>
    <row r="89" spans="1:11">
      <c r="A89" s="215">
        <v>32</v>
      </c>
      <c r="B89">
        <v>72</v>
      </c>
      <c r="C89" s="214">
        <v>53</v>
      </c>
      <c r="D89">
        <v>27</v>
      </c>
      <c r="E89" s="214">
        <v>-18</v>
      </c>
      <c r="G89" s="227">
        <v>32</v>
      </c>
      <c r="H89" s="14">
        <f t="shared" si="7"/>
        <v>73</v>
      </c>
      <c r="I89" s="226">
        <f t="shared" si="8"/>
        <v>54</v>
      </c>
      <c r="J89" s="14">
        <v>27</v>
      </c>
      <c r="K89" s="226">
        <f t="shared" si="9"/>
        <v>-17</v>
      </c>
    </row>
    <row r="90" spans="1:11">
      <c r="A90" s="214">
        <v>30</v>
      </c>
      <c r="B90">
        <v>68</v>
      </c>
      <c r="C90" s="214">
        <v>50</v>
      </c>
      <c r="D90">
        <v>25</v>
      </c>
      <c r="E90" s="214">
        <v>-20</v>
      </c>
      <c r="G90" s="226">
        <v>30</v>
      </c>
      <c r="H90" s="14">
        <f t="shared" si="7"/>
        <v>69</v>
      </c>
      <c r="I90" s="226">
        <f t="shared" si="8"/>
        <v>51</v>
      </c>
      <c r="J90" s="14">
        <v>25</v>
      </c>
      <c r="K90" s="226">
        <f t="shared" si="9"/>
        <v>-19</v>
      </c>
    </row>
    <row r="91" spans="1:11">
      <c r="A91" s="214">
        <v>28</v>
      </c>
      <c r="B91">
        <v>64</v>
      </c>
      <c r="C91" s="214">
        <v>47</v>
      </c>
      <c r="D91">
        <v>23</v>
      </c>
      <c r="E91" s="214">
        <v>-22</v>
      </c>
      <c r="G91" s="226">
        <v>28</v>
      </c>
      <c r="H91" s="14">
        <f t="shared" si="7"/>
        <v>65</v>
      </c>
      <c r="I91" s="226">
        <f t="shared" si="8"/>
        <v>48</v>
      </c>
      <c r="J91" s="14">
        <v>23</v>
      </c>
      <c r="K91" s="226">
        <f t="shared" si="9"/>
        <v>-21</v>
      </c>
    </row>
    <row r="92" spans="1:11">
      <c r="A92" s="214">
        <v>26</v>
      </c>
      <c r="B92">
        <v>60</v>
      </c>
      <c r="C92" s="214">
        <v>44</v>
      </c>
      <c r="D92">
        <v>21</v>
      </c>
      <c r="E92" s="214">
        <v>-24</v>
      </c>
      <c r="G92" s="226">
        <v>26</v>
      </c>
      <c r="H92" s="14">
        <f t="shared" si="7"/>
        <v>61</v>
      </c>
      <c r="I92" s="226">
        <f t="shared" si="8"/>
        <v>45</v>
      </c>
      <c r="J92" s="14">
        <v>21</v>
      </c>
      <c r="K92" s="226">
        <f t="shared" si="9"/>
        <v>-23</v>
      </c>
    </row>
    <row r="93" spans="1:11">
      <c r="A93" s="214">
        <v>24</v>
      </c>
      <c r="B93">
        <v>56</v>
      </c>
      <c r="C93" s="214">
        <v>41</v>
      </c>
      <c r="D93">
        <v>19</v>
      </c>
      <c r="E93" s="214">
        <v>-26</v>
      </c>
      <c r="G93" s="226">
        <v>24</v>
      </c>
      <c r="H93" s="14">
        <f t="shared" si="7"/>
        <v>57</v>
      </c>
      <c r="I93" s="226">
        <f t="shared" si="8"/>
        <v>42</v>
      </c>
      <c r="J93" s="14">
        <v>19</v>
      </c>
      <c r="K93" s="226">
        <f t="shared" si="9"/>
        <v>-25</v>
      </c>
    </row>
    <row r="94" spans="1:11">
      <c r="A94" s="214">
        <v>22</v>
      </c>
      <c r="B94">
        <v>52</v>
      </c>
      <c r="C94" s="214">
        <v>38</v>
      </c>
      <c r="D94">
        <v>17</v>
      </c>
      <c r="E94" s="214">
        <v>-28</v>
      </c>
      <c r="G94" s="226">
        <v>22</v>
      </c>
      <c r="H94" s="14">
        <f t="shared" si="7"/>
        <v>53</v>
      </c>
      <c r="I94" s="226">
        <f t="shared" si="8"/>
        <v>39</v>
      </c>
      <c r="J94" s="14">
        <v>17</v>
      </c>
      <c r="K94" s="226">
        <f t="shared" si="9"/>
        <v>-27</v>
      </c>
    </row>
    <row r="95" spans="1:11">
      <c r="A95" s="216">
        <v>20</v>
      </c>
      <c r="B95" s="217">
        <v>48</v>
      </c>
      <c r="C95" s="216">
        <v>35</v>
      </c>
      <c r="D95" s="217">
        <v>15</v>
      </c>
      <c r="E95" s="216">
        <v>-30</v>
      </c>
      <c r="G95" s="136">
        <v>20</v>
      </c>
      <c r="H95" s="14">
        <f t="shared" si="7"/>
        <v>49</v>
      </c>
      <c r="I95" s="226">
        <f t="shared" si="8"/>
        <v>36</v>
      </c>
      <c r="J95" s="228">
        <v>15</v>
      </c>
      <c r="K95" s="226">
        <f t="shared" si="9"/>
        <v>-29</v>
      </c>
    </row>
    <row r="97" spans="1:15">
      <c r="A97" t="s">
        <v>596</v>
      </c>
    </row>
    <row r="98" spans="1:15">
      <c r="A98" s="22">
        <f>Resumen!B1</f>
        <v>0</v>
      </c>
      <c r="B98">
        <f>Resumen!B1</f>
        <v>0</v>
      </c>
    </row>
    <row r="99" spans="1:15">
      <c r="A99" s="22">
        <f>Resumen!B1</f>
        <v>0</v>
      </c>
      <c r="B99">
        <f>B98</f>
        <v>0</v>
      </c>
    </row>
    <row r="100" spans="1:15">
      <c r="A100" s="22">
        <f>Resumen!B1</f>
        <v>0</v>
      </c>
      <c r="B100">
        <f>B98</f>
        <v>0</v>
      </c>
    </row>
    <row r="101" spans="1:15">
      <c r="A101" s="22">
        <f>Resumen!B1</f>
        <v>0</v>
      </c>
      <c r="B101">
        <f>B98</f>
        <v>0</v>
      </c>
    </row>
    <row r="102" spans="1:15">
      <c r="A102" t="s">
        <v>589</v>
      </c>
      <c r="E102" t="s">
        <v>590</v>
      </c>
      <c r="I102" t="s">
        <v>594</v>
      </c>
      <c r="M102" t="s">
        <v>582</v>
      </c>
    </row>
    <row r="103" spans="1:15">
      <c r="A103" s="157"/>
      <c r="B103" s="220" t="s">
        <v>592</v>
      </c>
      <c r="C103" s="221" t="s">
        <v>4</v>
      </c>
      <c r="E103" s="157"/>
      <c r="F103" s="220" t="s">
        <v>592</v>
      </c>
      <c r="G103" s="221" t="s">
        <v>4</v>
      </c>
      <c r="I103" s="157"/>
      <c r="J103" s="220" t="s">
        <v>592</v>
      </c>
      <c r="K103" s="221" t="s">
        <v>4</v>
      </c>
      <c r="M103" s="157"/>
      <c r="N103" s="157"/>
      <c r="O103" s="221" t="s">
        <v>4</v>
      </c>
    </row>
    <row r="104" spans="1:15">
      <c r="A104" s="157" t="s">
        <v>463</v>
      </c>
      <c r="B104" s="222" t="e">
        <f>IF(B60&gt;H66,G65,IF(B60&gt;H67,G66,IF(B60&gt;H68,G67,IF(B60&gt;H69,G68,IF(B60&gt;H70,G69,IF(B60&gt;H71,G70,IF(B60&gt;H72,G71,IF(B60&gt;H73,G72,IF(B60&gt;H74,G73,IF(B60&gt;H75,G74,IF(B60&gt;H76,G75,IF(B60&gt;H77,G76,IF(B60&gt;H78,G77,IF(B60&gt;H79,G78,IF(B60&gt;H80,G79,IF(B60&gt;H81,G80,IF(B60&gt;H82,G81,IF(B60&gt;H83,G82,IF(B60&gt;H84,G83,IF(B60&gt;H85,G84,IF(B60&gt;H86,G85,IF(B60&gt;H87,G86,IF(B60&gt;H88,G87,IF(B60&gt;H89,G88,IF(B60&gt;H90,G89,IF(B60&gt;H91,G90,IF(B60&gt;H92,G91,IF(B60&gt;H93,G92,IF(B60&gt;H94,G93,IF(B60&gt;H95,G94,G95))))))))))))))))))))))))))))))</f>
        <v>#REF!</v>
      </c>
      <c r="C104" s="223" t="e">
        <f>(B104-50)/10</f>
        <v>#REF!</v>
      </c>
      <c r="E104" s="157" t="s">
        <v>463</v>
      </c>
      <c r="F104" s="222" t="e">
        <f>IF(B61&gt;H66,G65,IF(B61&gt;H67,G66,IF(B61&gt;H68,G67,IF(B61&gt;H69,G68,IF(B61&gt;H70,G69,IF(B61&gt;H71,G70,IF(B61&gt;H72,G71,IF(B61&gt;H73,G72,IF(B61&gt;H74,G73,IF(B61&gt;H75,G74,IF(B61&gt;H76,G75,IF(B61&gt;H77,G76,IF(B61&gt;H78,G77,IF(B61&gt;H79,G78,IF(B61&gt;H80,G79,IF(B61&gt;H81,G80,IF(B61&gt;H82,G81,IF(B61&gt;H83,G82,IF(B61&gt;H84,G83,IF(B61&gt;H85,G84,IF(B61&gt;H86,G85,IF(B61&gt;H87,G86,IF(B61&gt;H88,G87,IF(B61&gt;H89,G88,IF(B61&gt;H90,G89,IF(B61&gt;H91,G90,IF(B61&gt;H92,G91,IF(B61&gt;H93,G92,IF(B61&gt;H94,G93,IF(B61&gt;H95,G94,G95))))))))))))))))))))))))))))))</f>
        <v>#REF!</v>
      </c>
      <c r="G104" s="223" t="e">
        <f>(F104-50)/10</f>
        <v>#REF!</v>
      </c>
      <c r="I104" s="157" t="s">
        <v>463</v>
      </c>
      <c r="J104" s="222" t="e">
        <f>IF(B62&gt;H66,G65,IF(B62&gt;H67,G66,IF(B62&gt;H68,G67,IF(B62&gt;H69,G68,IF(B62&gt;H70,G69,IF(B62&gt;H71,G70,IF(B62&gt;H72,G71,IF(B62&gt;H73,G72,IF(B62&gt;H74,G73,IF(B62&gt;H75,G74,IF(B62&gt;H76,G75,IF(B62&gt;H77,G76,IF(B62&gt;H78,G77,IF(B62&gt;H79,G78,IF(B62&gt;H80,G79,IF(B62&gt;H81,G80,IF(B62&gt;H82,G81,IF(B62&gt;H83,G82,IF(B62&gt;H84,G83,IF(B62&gt;H85,G84,IF(B62&gt;H86,G85,IF(B62&gt;H87,G86,IF(B62&gt;H88,G87,IF(B62&gt;H89,G88,IF(B62&gt;H90,G89,IF(B62&gt;H91,G90,IF(B62&gt;H92,G91,IF(B62&gt;H93,G92,IF(B62&gt;H94,G93,IF(B62&gt;H95,G94,G95))))))))))))))))))))))))))))))</f>
        <v>#REF!</v>
      </c>
      <c r="K104" s="223" t="e">
        <f>(J104-50)/10</f>
        <v>#REF!</v>
      </c>
      <c r="M104" s="157" t="s">
        <v>463</v>
      </c>
      <c r="N104" s="223" t="e">
        <f t="shared" ref="N104:O107" si="10">IF(A98&gt;64,J104,IF(A98&gt;44,F104,B104))</f>
        <v>#REF!</v>
      </c>
      <c r="O104" s="223" t="e">
        <f t="shared" si="10"/>
        <v>#REF!</v>
      </c>
    </row>
    <row r="105" spans="1:15">
      <c r="A105" s="157" t="s">
        <v>593</v>
      </c>
      <c r="B105" s="222" t="e">
        <f>IF(C60&gt;I66,G65,IF(C60&gt;I67,G66,IF(C60&gt;I68,G67,IF(C60&gt;I69,G68,IF(C60&gt;I70,G69,IF(C60&gt;I71,G70,IF(C60&gt;I72,G71,IF(C60&gt;I73,G72,IF(C60&gt;I74,G73,IF(C60&gt;I75,G74,IF(C60&gt;I76,G75,IF(C60&gt;I77,G76,IF(C60&gt;I78,G77,IF(C60&gt;I79,G78,IF(C60&gt;I80,G79,IF(C60&gt;I81,G80,IF(C60&gt;I82,G81,IF(C60&gt;I83,G82,IF(C60&gt;I84,G83,IF(C60&gt;I85,G84,IF(C60&gt;I86,G85,IF(C60&gt;I87,G86,IF(C60&gt;I88,G87,IF(C60&gt;I89,G88,IF(C60&gt;I90,G89,IF(C60&gt;I91,G90,IF(C60&gt;I92,G91,IF(C60&gt;I93,G92,IF(C60&gt;I94,G93,IF(C60&gt;I95,G94,G95))))))))))))))))))))))))))))))</f>
        <v>#REF!</v>
      </c>
      <c r="C105" s="223" t="e">
        <f t="shared" ref="C105:C107" si="11">(B105-50)/10</f>
        <v>#REF!</v>
      </c>
      <c r="E105" s="157" t="s">
        <v>593</v>
      </c>
      <c r="F105" s="222" t="e">
        <f>IF(C61&gt;I66,G65,IF(C61&gt;I67,G66,IF(C61&gt;I68,G67,IF(C61&gt;I69,G68,IF(C61&gt;I70,G69,IF(C61&gt;I71,G70,IF(C61&gt;I72,G71,IF(C61&gt;I73,G72,IF(C61&gt;I74,G73,IF(C61&gt;I75,G74,IF(C61&gt;I76,G75,IF(C61&gt;I77,G76,IF(C61&gt;I78,G77,IF(C61&gt;I79,G78,IF(C61&gt;I80,G79,IF(C61&gt;I81,G80,IF(C61&gt;I82,G81,IF(C61&gt;I83,G82,IF(C61&gt;I84,G83,IF(C61&gt;I85,G84,IF(C61&gt;I86,G85,IF(C61&gt;I87,G86,IF(C61&gt;I88,G87,IF(C61&gt;I89,G88,IF(C61&gt;I90,G89,IF(C61&gt;I91,G90,IF(C61&gt;I92,G91,IF(C61&gt;I93,G92,IF(C61&gt;I94,G93,IF(C61&gt;I95,G94,G95))))))))))))))))))))))))))))))</f>
        <v>#REF!</v>
      </c>
      <c r="G105" s="223" t="e">
        <f t="shared" ref="G105:G107" si="12">(F105-50)/10</f>
        <v>#REF!</v>
      </c>
      <c r="I105" s="157" t="s">
        <v>593</v>
      </c>
      <c r="J105" s="222" t="e">
        <f>IF(C62&gt;I66,G65,IF(C62&gt;I67,G66,IF(C62&gt;I68,G67,IF(C62&gt;I69,G68,IF(C62&gt;I70,G69,IF(C62&gt;I71,G70,IF(C62&gt;I72,G71,IF(C62&gt;I73,G72,IF(C62&gt;I74,G73,IF(C62&gt;I75,G74,IF(C62&gt;I76,G75,IF(C62&gt;I77,G76,IF(C62&gt;I78,G77,IF(C62&gt;I79,G78,IF(C62&gt;I80,G79,IF(C62&gt;I81,G80,IF(C62&gt;I82,G81,IF(C62&gt;I83,G82,IF(C62&gt;I84,G83,IF(C62&gt;I85,G84,IF(C62&gt;I86,G85,IF(C62&gt;I87,G86,IF(C62&gt;I88,G87,IF(C62&gt;I89,G88,IF(C62&gt;I90,G89,IF(C62&gt;I91,G90,IF(C62&gt;I92,G91,IF(C62&gt;I93,G92,IF(C62&gt;I94,G93,IF(C62&gt;I95,G94,G95))))))))))))))))))))))))))))))</f>
        <v>#REF!</v>
      </c>
      <c r="K105" s="223" t="e">
        <f t="shared" ref="K105:K107" si="13">(J105-50)/10</f>
        <v>#REF!</v>
      </c>
      <c r="M105" s="157" t="s">
        <v>593</v>
      </c>
      <c r="N105" s="223" t="e">
        <f t="shared" si="10"/>
        <v>#REF!</v>
      </c>
      <c r="O105" s="223" t="e">
        <f t="shared" si="10"/>
        <v>#REF!</v>
      </c>
    </row>
    <row r="106" spans="1:15">
      <c r="A106" s="157" t="s">
        <v>588</v>
      </c>
      <c r="B106" s="222" t="e">
        <f>IF(D60&gt;J66,G65,IF(D60&gt;J67,G66,IF(D60&gt;J68,G67,IF(D60&gt;J69,G68,IF(D60&gt;J70,G69,IF(D60&gt;J71,G70,IF(D60&gt;J72,G71,IF(D60&gt;J73,G72,IF(D60&gt;J74,G73,IF(D60&gt;J75,G74,IF(D60&gt;J76,G75,IF(D60&gt;J77,G76,IF(D60&gt;J78,G77,IF(D60&gt;J79,G78,IF(D60&gt;J80,G79,IF(D60&gt;J81,G80,IF(D60&gt;J82,G81,IF(D60&gt;J83,G82,IF(D60&gt;J84,G83,IF(D60&gt;J85,G84,IF(D60&gt;J86,G85,IF(D60&gt;J87,G86,IF(D60&gt;J88,G87,IF(D60&gt;J89,G88,IF(D60&gt;J90,G89,IF(D60&gt;J91,G90,IF(D60&gt;J92,G91,IF(D60&gt;J93,G92,IF(D60&gt;J94,G93,IF(D60&gt;J95,G94,G95))))))))))))))))))))))))))))))</f>
        <v>#REF!</v>
      </c>
      <c r="C106" s="223" t="e">
        <f t="shared" si="11"/>
        <v>#REF!</v>
      </c>
      <c r="E106" s="157" t="s">
        <v>588</v>
      </c>
      <c r="F106" s="222" t="e">
        <f>IF(D61&gt;J66,G65,IF(D61&gt;J67,G66,IF(D61&gt;J68,G67,IF(D61&gt;J69,G68,IF(D61&gt;J70,G69,IF(D61&gt;J71,G70,IF(D61&gt;J72,G71,IF(D61&gt;J73,G72,IF(D61&gt;J74,G73,IF(D61&gt;J75,G74,IF(D61&gt;J76,G75,IF(D61&gt;J77,G76,IF(D61&gt;J78,G77,IF(D61&gt;J79,G78,IF(D61&gt;J80,G79,IF(D61&gt;J81,G80,IF(D61&gt;J82,G81,IF(D61&gt;J83,G82,IF(D61&gt;J84,G83,IF(D61&gt;J85,G84,IF(D61&gt;J86,G85,IF(D61&gt;J87,G86,IF(D61&gt;J88,G87,IF(D61&gt;J89,G88,IF(D61&gt;J90,G89,IF(D61&gt;J91,G90,IF(D61&gt;J92,G91,IF(D61&gt;J93,G92,IF(D61&gt;J94,G93,IF(D61&gt;J95,G94,G95))))))))))))))))))))))))))))))</f>
        <v>#REF!</v>
      </c>
      <c r="G106" s="223" t="e">
        <f t="shared" si="12"/>
        <v>#REF!</v>
      </c>
      <c r="I106" s="157" t="s">
        <v>588</v>
      </c>
      <c r="J106" s="222" t="e">
        <f>IF(D62&gt;J66,G65,IF(D62&gt;J67,G66,IF(D62&gt;J68,G67,IF(D62&gt;J69,G68,IF(D62&gt;J70,G69,IF(D62&gt;J71,G70,IF(D62&gt;J72,G71,IF(D62&gt;J73,G72,IF(D62&gt;J74,G73,IF(D62&gt;J75,G74,IF(D62&gt;J76,G75,IF(D62&gt;J77,G76,IF(D62&gt;J78,G77,IF(D62&gt;J79,G78,IF(D62&gt;J80,G79,IF(D62&gt;J81,G80,IF(D62&gt;J82,G81,IF(D62&gt;J83,G82,IF(D62&gt;J84,G83,IF(D62&gt;J85,G84,IF(D62&gt;J86,G85,IF(D62&gt;J87,G86,IF(D62&gt;J88,G87,IF(D62&gt;J89,G88,IF(D62&gt;J90,G89,IF(D62&gt;J91,G90,IF(D62&gt;J92,G91,IF(D62&gt;J93,G92,IF(D62&gt;J94,G93,IF(D62&gt;J95,G94,G95))))))))))))))))))))))))))))))</f>
        <v>#REF!</v>
      </c>
      <c r="K106" s="223" t="e">
        <f t="shared" si="13"/>
        <v>#REF!</v>
      </c>
      <c r="M106" s="157" t="s">
        <v>588</v>
      </c>
      <c r="N106" s="223" t="e">
        <f t="shared" si="10"/>
        <v>#REF!</v>
      </c>
      <c r="O106" s="223" t="e">
        <f t="shared" si="10"/>
        <v>#REF!</v>
      </c>
    </row>
    <row r="107" spans="1:15">
      <c r="A107" s="157" t="s">
        <v>33</v>
      </c>
      <c r="B107" s="222" t="e">
        <f>IF(F60&gt;K66,G65,IF(F60&gt;K67,G66,IF(F60&gt;K68,G67,IF(F60&gt;K69,G68,IF(F60&gt;K70,G69,IF(F60&gt;K71,G70,IF(F60&gt;K72,G71,IF(F60&gt;K73,G72,IF(F60&gt;K74,G73,IF(F60&gt;K75,G74,IF(F60&gt;K76,G75,IF(F60&gt;K77,G76,IF(F60&gt;K78,G77,IF(F60&gt;K79,G78,IF(F60&gt;K80,G79,IF(F60&gt;K81,G80,IF(F60&gt;K82,G81,IF(F60&gt;K83,G82,IF(F60&gt;K84,G83,IF(F60&gt;K85,G84,IF(F60&gt;K86,G85,IF(F60&gt;K87,G86,IF(F60&gt;K88,G87,IF(F60&gt;K89,G88,IF(F60&gt;K90,G89,IF(F60&gt;K91,G90,IF(F60&gt;K92,G91,IF(F60&gt;K93,G92,IF(F60&gt;K94,G93,IF(F60&gt;K95,G94,G95))))))))))))))))))))))))))))))</f>
        <v>#REF!</v>
      </c>
      <c r="C107" s="223" t="e">
        <f t="shared" si="11"/>
        <v>#REF!</v>
      </c>
      <c r="E107" s="157" t="s">
        <v>33</v>
      </c>
      <c r="F107" s="222" t="e">
        <f>IF(F61&gt;K66,G65,IF(F61&gt;K67,G66,IF(F61&gt;K68,G67,IF(F61&gt;K69,G68,IF(F61&gt;K70,G69,IF(F61&gt;K71,G70,IF(F61&gt;K72,G71,IF(F61&gt;K73,G72,IF(F61&gt;K74,G73,IF(F61&gt;K75,G74,IF(F61&gt;K76,G75,IF(F61&gt;K77,G76,IF(F61&gt;K78,G77,IF(F61&gt;K79,G78,IF(F61&gt;K80,G79,IF(F61&gt;K81,G80,IF(F61&gt;K82,G81,IF(F61&gt;K83,G82,IF(F61&gt;K84,G83,IF(F61&gt;K85,G84,IF(F61&gt;K86,G85,IF(F61&gt;K87,G86,IF(F61&gt;K88,G87,IF(F61&gt;K89,G88,IF(F61&gt;K90,G89,IF(F61&gt;K91,G90,IF(F61&gt;K92,G91,IF(F61&gt;K93,G92,IF(F61&gt;K94,G93,IF(F61&gt;K95,G94,G95))))))))))))))))))))))))))))))</f>
        <v>#REF!</v>
      </c>
      <c r="G107" s="223" t="e">
        <f t="shared" si="12"/>
        <v>#REF!</v>
      </c>
      <c r="I107" s="157" t="s">
        <v>33</v>
      </c>
      <c r="J107" s="222" t="e">
        <f>IF(F62&gt;K66,G65,IF(F62&gt;K67,G66,IF(F62&gt;K68,G67,IF(F62&gt;K69,G68,IF(F62&gt;K70,G69,IF(F62&gt;K71,G70,IF(F62&gt;K72,G71,IF(F62&gt;K73,G72,IF(F62&gt;K74,G73,IF(F62&gt;K75,G74,IF(F62&gt;K76,G75,IF(F62&gt;K77,G76,IF(F62&gt;K78,G77,IF(F62&gt;K79,G78,IF(F62&gt;K80,G79,IF(F62&gt;K81,G80,IF(F62&gt;K82,G81,IF(F62&gt;K83,G82,IF(F62&gt;K84,G83,IF(F62&gt;K85,G84,IF(F62&gt;K86,G85,IF(F62&gt;K87,G86,IF(F62&gt;K88,G87,IF(F62&gt;K89,G88,IF(F62&gt;K90,G89,IF(F62&gt;K91,G90,IF(F62&gt;K92,G91,IF(F62&gt;K93,G92,IF(F62&gt;K94,G93,IF(F62&gt;K95,G94,G95))))))))))))))))))))))))))))))</f>
        <v>#REF!</v>
      </c>
      <c r="K107" s="223" t="e">
        <f t="shared" si="13"/>
        <v>#REF!</v>
      </c>
      <c r="M107" s="157" t="s">
        <v>33</v>
      </c>
      <c r="N107" s="223" t="e">
        <f t="shared" si="10"/>
        <v>#REF!</v>
      </c>
      <c r="O107" s="223" t="e">
        <f t="shared" si="10"/>
        <v>#REF!</v>
      </c>
    </row>
    <row r="110" spans="1:15">
      <c r="A110" s="380" t="s">
        <v>525</v>
      </c>
      <c r="B110" s="380"/>
      <c r="C110" s="380"/>
      <c r="D110" s="380"/>
      <c r="E110" s="380"/>
      <c r="F110" s="380"/>
    </row>
    <row r="112" spans="1:15">
      <c r="A112" t="s">
        <v>598</v>
      </c>
      <c r="B112" t="e">
        <f>Resumen!C2+Resumen!C3</f>
        <v>#VALUE!</v>
      </c>
      <c r="C112" t="e">
        <f>IF(B112&gt;A155,D156,
IF(B112&gt;A154,D155,
IF(B112&gt;A153,D154,
IF(B112&gt;A152,D153,
IF(B112&gt;A151,D152,
IF(B112&gt;A150,D151,
IF(B112&gt;A149,D150,
IF(B112&gt;A148,D149,
IF(B112&gt;A147,D148,
IF(B112&gt;A146,D147,
IF(B112&gt;A145,D146,
IF(B112&gt;A144,D145,
IF(B112&gt;A143,D144,
IF(B112&gt;A142,D143,
IF(B112&gt;A141,D142,
IF(B112&gt;A140,D141,
IF(B112&gt;A139,D140,
IF(B112&gt;A138,D139,
IF(B112&gt;A137,D138,
IF(B112&gt;A136,D137,
IF(B112&gt;A135,D136,
IF(B112&gt;A134,D135,
IF(B112&gt;A133,D134,
IF(B112&gt;A132,D133,
IF(B112&gt;A131,D132,
IF(B112&gt;A130,D131,
IF(B112&gt;A129,D130,
IF(B112&gt;A128,D129,
IF(B112&gt;A127,D128,
IF(B112&gt;A126,D127,
IF(B112&gt;A125,D126,
IF(B112&gt;A124,D125,
IF(B112&gt;A123,D124,
IF(B112&gt;A122,D123,
IF(B112&gt;A121,D122,
IF(B112&gt;A120,D121,D120
))))))))))))))))))))))))))))))))))))</f>
        <v>#VALUE!</v>
      </c>
    </row>
    <row r="113" spans="1:9">
      <c r="A113" t="s">
        <v>599</v>
      </c>
      <c r="B113" t="e">
        <f>Resumen!#REF!+Resumen!#REF!</f>
        <v>#REF!</v>
      </c>
      <c r="C113" t="e">
        <f>IF(B113&gt;A155,C156,
IF(B113&gt;A154,C155,
IF(B113&gt;A153,C154,
IF(B113&gt;A152,C153,
IF(B113&gt;A151,C152,
IF(B113&gt;A150,C151,
IF(B113&gt;A149,C150,
IF(B113&gt;A148,C149,
IF(B113&gt;A147,C148,
IF(B113&gt;A146,C147,
IF(B113&gt;A145,C146,
IF(B113&gt;A144,C145,
IF(B113&gt;A143,C144,
IF(B113&gt;A142,C143,
IF(B113&gt;A141,C142,
IF(B113&gt;A140,C141,
IF(B113&gt;A139,C140,
IF(B113&gt;A138,C139,
IF(B113&gt;A137,C138,
IF(B113&gt;A136,C137,
IF(B113&gt;A135,C136,
IF(B113&gt;A134,C135,
IF(B113&gt;A133,C134,
IF(B113&gt;A132,C133,
IF(B113&gt;A131,C132,
IF(B113&gt;A130,C131,
IF(B113&gt;A129,C130,
IF(B113&gt;A128,C129,
IF(B113&gt;A127,C128,
IF(B113&gt;A126,C127,
IF(B113&gt;A125,C126,
IF(B113&gt;A124,C125,
IF(B113&gt;A123,C124,
IF(B113&gt;A122,C123,
IF(B113&gt;A121,C122,
IF(B113&gt;A120,C121,C120
))))))))))))))))))))))))))))))))))))</f>
        <v>#REF!</v>
      </c>
    </row>
    <row r="114" spans="1:9">
      <c r="A114" t="s">
        <v>604</v>
      </c>
      <c r="B114" t="e">
        <f>Resumen!#REF!+Resumen!#REF!+Resumen!#REF!</f>
        <v>#REF!</v>
      </c>
      <c r="C114" t="e">
        <f>IF(B114&gt;A171,B172,IF(B114&gt;A170,B171,IF(B114&gt;A169,B170,IF(B114&gt;A168,B169,IF(B114&gt;A167,B168,IF(B114&gt;A166,B167,IF(B114&gt;A165,B166,IF(B114&gt;A164,B165,IF(B114&gt;A163,B164,IF(B114&gt;A162,B163,IF(B114&gt;A161,B162,IF(B114&gt;A160,B161,IF(B114&gt;A159,B160,IF(B114&gt;A158,B159,IF(B114&gt;A157,B158,IF(B114&gt;A156,B157,IF(B114&gt;A155,B156,IF(B114&gt;A154,B155,IF(B114&gt;A153,B154,IF(B114&gt;A152,B153,IF(B114&gt;A151,B152,IF(B114&gt;A150,B151,IF(B114&gt;A149,B150,IF(B114&gt;A148,B149,IF(B114&gt;A147,B148,B147)))))))))))))))))))))))))</f>
        <v>#REF!</v>
      </c>
      <c r="D114" t="e">
        <f>IF(B114&gt;A146,B147,IF(B114&gt;A145,B146,IF(B114&gt;A144,B145,IF(B114&gt;A143,B144,IF(B114&gt;A142,B143,IF(B114&gt;A141,B142,IF(B114&gt;A140,B141,IF(B114&gt;A139,B140,IF(B114&gt;A138,B139,IF(B114&gt;A137,B138,IF(B114&gt;A136,B137,IF(B114&gt;A135,B136,IF(B114&gt;A134,B135,IF(B114&gt;A133,B134,IF(B114&gt;A132,B133,IF(B114&gt;A131,B132,IF(B114&gt;A130,B131,IF(B114&gt;A129,B130,IF(B114&gt;A128,B129,IF(B114&gt;A127,B128,IF(B114&gt;A126,B127,IF(B114&gt;A125,B126,IF(B114&gt;A124,B125,IF(B114&gt;A123,B124,IF(B114&gt;A122,B123,IF(B114&gt;A121,B122,IF(B114&gt;A120,B121,B120)))))))))))))))))))))))))))</f>
        <v>#REF!</v>
      </c>
      <c r="E114" t="e">
        <f>IF(B114&gt;28,C114,D114)</f>
        <v>#REF!</v>
      </c>
    </row>
    <row r="115" spans="1:9">
      <c r="A115" t="s">
        <v>241</v>
      </c>
    </row>
    <row r="116" spans="1:9">
      <c r="A116" t="s">
        <v>240</v>
      </c>
    </row>
    <row r="119" spans="1:9" ht="45">
      <c r="A119" s="261" t="s">
        <v>600</v>
      </c>
      <c r="B119" s="262" t="s">
        <v>601</v>
      </c>
      <c r="C119" s="262" t="s">
        <v>602</v>
      </c>
      <c r="D119" s="262" t="s">
        <v>603</v>
      </c>
      <c r="E119" s="325" t="s">
        <v>240</v>
      </c>
      <c r="F119" s="325" t="s">
        <v>241</v>
      </c>
      <c r="G119" s="325" t="s">
        <v>828</v>
      </c>
      <c r="H119" s="325" t="s">
        <v>238</v>
      </c>
      <c r="I119" s="325" t="s">
        <v>239</v>
      </c>
    </row>
    <row r="120" spans="1:9" ht="16.5" thickBot="1">
      <c r="A120" s="263">
        <v>2</v>
      </c>
      <c r="B120" s="264" t="s">
        <v>150</v>
      </c>
      <c r="C120" s="264">
        <v>54</v>
      </c>
      <c r="D120" s="264">
        <v>49</v>
      </c>
    </row>
    <row r="121" spans="1:9" ht="16.5" thickBot="1">
      <c r="A121" s="263">
        <v>3</v>
      </c>
      <c r="B121" s="265">
        <v>50</v>
      </c>
      <c r="C121" s="265">
        <v>57</v>
      </c>
      <c r="D121" s="265">
        <v>53</v>
      </c>
      <c r="E121" s="255">
        <v>50</v>
      </c>
      <c r="F121" s="255">
        <v>50</v>
      </c>
    </row>
    <row r="122" spans="1:9" ht="16.5" thickBot="1">
      <c r="A122" s="263">
        <v>4</v>
      </c>
      <c r="B122" s="264">
        <v>50</v>
      </c>
      <c r="C122" s="264">
        <v>60</v>
      </c>
      <c r="D122" s="264">
        <v>54</v>
      </c>
      <c r="E122" s="255">
        <v>50</v>
      </c>
      <c r="F122" s="255">
        <v>50</v>
      </c>
    </row>
    <row r="123" spans="1:9" ht="16.5" thickBot="1">
      <c r="A123" s="263">
        <v>5</v>
      </c>
      <c r="B123" s="265">
        <v>50</v>
      </c>
      <c r="C123" s="265">
        <v>63</v>
      </c>
      <c r="D123" s="265">
        <v>57</v>
      </c>
      <c r="E123" s="255">
        <v>52</v>
      </c>
      <c r="F123" s="255">
        <v>52</v>
      </c>
      <c r="H123" s="255">
        <v>47</v>
      </c>
    </row>
    <row r="124" spans="1:9" ht="16.5" thickBot="1">
      <c r="A124" s="263">
        <v>6</v>
      </c>
      <c r="B124" s="264">
        <v>51</v>
      </c>
      <c r="C124" s="264">
        <v>66</v>
      </c>
      <c r="D124" s="264">
        <v>60</v>
      </c>
      <c r="E124" s="255">
        <v>55</v>
      </c>
      <c r="F124" s="255">
        <v>54</v>
      </c>
      <c r="G124" s="255">
        <v>48</v>
      </c>
      <c r="H124" s="255">
        <v>48</v>
      </c>
    </row>
    <row r="125" spans="1:9" ht="16.5" thickBot="1">
      <c r="A125" s="263">
        <v>7</v>
      </c>
      <c r="B125" s="265">
        <v>53</v>
      </c>
      <c r="C125" s="265">
        <v>68</v>
      </c>
      <c r="D125" s="265">
        <v>63</v>
      </c>
      <c r="E125" s="255">
        <v>57</v>
      </c>
      <c r="F125" s="255">
        <v>56</v>
      </c>
      <c r="G125" s="255">
        <v>49</v>
      </c>
      <c r="H125" s="255">
        <v>49</v>
      </c>
    </row>
    <row r="126" spans="1:9" ht="16.5" thickBot="1">
      <c r="A126" s="263">
        <v>8</v>
      </c>
      <c r="B126" s="264">
        <v>55</v>
      </c>
      <c r="C126" s="264">
        <v>69</v>
      </c>
      <c r="D126" s="264">
        <v>68</v>
      </c>
      <c r="E126" s="255">
        <v>59</v>
      </c>
      <c r="F126" s="255">
        <v>58</v>
      </c>
      <c r="G126" s="255">
        <v>50</v>
      </c>
      <c r="H126" s="255">
        <v>50</v>
      </c>
    </row>
    <row r="127" spans="1:9" ht="16.5" thickBot="1">
      <c r="A127" s="263">
        <v>9</v>
      </c>
      <c r="B127" s="265">
        <v>57</v>
      </c>
      <c r="C127" s="265">
        <v>71</v>
      </c>
      <c r="D127" s="265">
        <v>69</v>
      </c>
      <c r="E127" s="255">
        <v>61</v>
      </c>
      <c r="F127" s="255">
        <v>60</v>
      </c>
      <c r="G127" s="255">
        <v>51</v>
      </c>
      <c r="H127" s="255">
        <v>51</v>
      </c>
    </row>
    <row r="128" spans="1:9" ht="16.5" thickBot="1">
      <c r="A128" s="263">
        <v>10</v>
      </c>
      <c r="B128" s="264">
        <v>59</v>
      </c>
      <c r="C128" s="264">
        <v>73</v>
      </c>
      <c r="D128" s="264">
        <v>72</v>
      </c>
      <c r="E128" s="255">
        <v>63</v>
      </c>
      <c r="F128" s="255">
        <v>62</v>
      </c>
      <c r="G128" s="255">
        <v>52</v>
      </c>
      <c r="H128" s="255">
        <v>52</v>
      </c>
    </row>
    <row r="129" spans="1:9" ht="16.5" thickBot="1">
      <c r="A129" s="263">
        <v>11</v>
      </c>
      <c r="B129" s="265">
        <v>61</v>
      </c>
      <c r="C129" s="265">
        <v>76</v>
      </c>
      <c r="D129" s="265">
        <v>74</v>
      </c>
      <c r="E129" s="255">
        <v>65</v>
      </c>
      <c r="F129" s="255">
        <v>64</v>
      </c>
      <c r="G129" s="255">
        <v>53</v>
      </c>
      <c r="H129" s="255">
        <v>53</v>
      </c>
      <c r="I129" s="255">
        <v>45</v>
      </c>
    </row>
    <row r="130" spans="1:9" ht="16.5" thickBot="1">
      <c r="A130" s="263">
        <v>12</v>
      </c>
      <c r="B130" s="264">
        <v>63</v>
      </c>
      <c r="C130" s="264">
        <v>79</v>
      </c>
      <c r="D130" s="264">
        <v>77</v>
      </c>
      <c r="E130" s="255">
        <v>67</v>
      </c>
      <c r="F130" s="255">
        <v>65</v>
      </c>
      <c r="G130" s="255">
        <v>54</v>
      </c>
      <c r="H130" s="255">
        <v>54</v>
      </c>
      <c r="I130" s="255">
        <v>45</v>
      </c>
    </row>
    <row r="131" spans="1:9" ht="16.5" thickBot="1">
      <c r="A131" s="263">
        <v>13</v>
      </c>
      <c r="B131" s="265">
        <v>65</v>
      </c>
      <c r="C131" s="265">
        <v>81</v>
      </c>
      <c r="D131" s="265">
        <v>80</v>
      </c>
      <c r="E131" s="255">
        <v>68</v>
      </c>
      <c r="F131" s="255">
        <v>67</v>
      </c>
      <c r="G131" s="255">
        <v>55</v>
      </c>
      <c r="H131" s="255">
        <v>55</v>
      </c>
      <c r="I131" s="255">
        <v>45</v>
      </c>
    </row>
    <row r="132" spans="1:9" ht="16.5" thickBot="1">
      <c r="A132" s="263">
        <v>14</v>
      </c>
      <c r="B132" s="264">
        <v>67</v>
      </c>
      <c r="C132" s="264">
        <v>84</v>
      </c>
      <c r="D132" s="264">
        <v>83</v>
      </c>
      <c r="E132" s="255">
        <v>70</v>
      </c>
      <c r="F132" s="255">
        <v>69</v>
      </c>
      <c r="G132" s="255">
        <v>56</v>
      </c>
      <c r="H132" s="255">
        <v>56</v>
      </c>
      <c r="I132" s="255">
        <v>45</v>
      </c>
    </row>
    <row r="133" spans="1:9" ht="16.5" thickBot="1">
      <c r="A133" s="263">
        <v>15</v>
      </c>
      <c r="B133" s="265">
        <v>69</v>
      </c>
      <c r="C133" s="265">
        <v>86</v>
      </c>
      <c r="D133" s="265">
        <v>86</v>
      </c>
      <c r="E133" s="255">
        <v>72</v>
      </c>
      <c r="F133" s="255">
        <v>70</v>
      </c>
      <c r="G133" s="255">
        <v>57</v>
      </c>
      <c r="H133" s="255">
        <v>57</v>
      </c>
      <c r="I133" s="255">
        <v>45</v>
      </c>
    </row>
    <row r="134" spans="1:9" ht="16.5" thickBot="1">
      <c r="A134" s="263">
        <v>16</v>
      </c>
      <c r="B134" s="264">
        <v>71</v>
      </c>
      <c r="C134" s="264">
        <v>88</v>
      </c>
      <c r="D134" s="264">
        <v>89</v>
      </c>
      <c r="E134" s="255">
        <v>74</v>
      </c>
      <c r="F134" s="255">
        <v>72</v>
      </c>
      <c r="G134" s="255">
        <v>58</v>
      </c>
      <c r="H134" s="255">
        <v>58</v>
      </c>
      <c r="I134" s="255">
        <v>45</v>
      </c>
    </row>
    <row r="135" spans="1:9" ht="16.5" thickBot="1">
      <c r="A135" s="263">
        <v>17</v>
      </c>
      <c r="B135" s="265">
        <v>73</v>
      </c>
      <c r="C135" s="265">
        <v>91</v>
      </c>
      <c r="D135" s="265">
        <v>91</v>
      </c>
      <c r="E135" s="255">
        <v>76</v>
      </c>
      <c r="F135" s="255">
        <v>74</v>
      </c>
      <c r="G135" s="255">
        <v>59</v>
      </c>
      <c r="H135" s="255">
        <v>59</v>
      </c>
      <c r="I135" s="255">
        <v>46</v>
      </c>
    </row>
    <row r="136" spans="1:9" ht="16.5" thickBot="1">
      <c r="A136" s="263">
        <v>18</v>
      </c>
      <c r="B136" s="264">
        <v>75</v>
      </c>
      <c r="C136" s="264">
        <v>93</v>
      </c>
      <c r="D136" s="264">
        <v>94</v>
      </c>
      <c r="E136" s="255">
        <v>78</v>
      </c>
      <c r="F136" s="255">
        <v>76</v>
      </c>
      <c r="G136" s="255">
        <v>60</v>
      </c>
      <c r="H136" s="255">
        <v>60</v>
      </c>
      <c r="I136" s="255">
        <v>46</v>
      </c>
    </row>
    <row r="137" spans="1:9" ht="16.5" thickBot="1">
      <c r="A137" s="263">
        <v>19</v>
      </c>
      <c r="B137" s="265">
        <v>78</v>
      </c>
      <c r="C137" s="265">
        <v>96</v>
      </c>
      <c r="D137" s="265">
        <v>97</v>
      </c>
      <c r="E137" s="255">
        <v>80</v>
      </c>
      <c r="F137" s="255">
        <v>78</v>
      </c>
      <c r="G137" s="255">
        <v>61</v>
      </c>
      <c r="H137" s="255">
        <v>62</v>
      </c>
      <c r="I137" s="255">
        <v>47</v>
      </c>
    </row>
    <row r="138" spans="1:9" ht="16.5" thickBot="1">
      <c r="A138" s="263">
        <v>20</v>
      </c>
      <c r="B138" s="264">
        <v>80</v>
      </c>
      <c r="C138" s="264">
        <v>99</v>
      </c>
      <c r="D138" s="264">
        <v>100</v>
      </c>
      <c r="E138" s="255">
        <v>82</v>
      </c>
      <c r="F138" s="255">
        <v>80</v>
      </c>
      <c r="G138" s="255">
        <v>61</v>
      </c>
      <c r="H138" s="255">
        <v>63</v>
      </c>
      <c r="I138" s="255">
        <v>48</v>
      </c>
    </row>
    <row r="139" spans="1:9" ht="16.5" thickBot="1">
      <c r="A139" s="263">
        <v>21</v>
      </c>
      <c r="B139" s="265">
        <v>82</v>
      </c>
      <c r="C139" s="265">
        <v>103</v>
      </c>
      <c r="D139" s="265">
        <v>103</v>
      </c>
      <c r="E139" s="255">
        <v>84</v>
      </c>
      <c r="F139" s="255">
        <v>82</v>
      </c>
      <c r="G139" s="255">
        <v>62</v>
      </c>
      <c r="H139" s="255">
        <v>64</v>
      </c>
      <c r="I139" s="255">
        <v>48</v>
      </c>
    </row>
    <row r="140" spans="1:9" ht="16.5" thickBot="1">
      <c r="A140" s="263">
        <v>22</v>
      </c>
      <c r="B140" s="264">
        <v>84</v>
      </c>
      <c r="C140" s="264">
        <v>106</v>
      </c>
      <c r="D140" s="264">
        <v>106</v>
      </c>
      <c r="E140" s="255">
        <v>86</v>
      </c>
      <c r="F140" s="255">
        <v>84</v>
      </c>
      <c r="G140" s="255">
        <v>63</v>
      </c>
      <c r="H140" s="255">
        <v>65</v>
      </c>
      <c r="I140" s="255">
        <v>49</v>
      </c>
    </row>
    <row r="141" spans="1:9" ht="16.5" thickBot="1">
      <c r="A141" s="263">
        <v>23</v>
      </c>
      <c r="B141" s="265">
        <v>86</v>
      </c>
      <c r="C141" s="265">
        <v>108</v>
      </c>
      <c r="D141" s="265">
        <v>109</v>
      </c>
      <c r="E141" s="255">
        <v>88</v>
      </c>
      <c r="F141" s="255">
        <v>86</v>
      </c>
      <c r="G141" s="255">
        <v>64</v>
      </c>
      <c r="H141" s="255">
        <v>67</v>
      </c>
      <c r="I141" s="255">
        <v>49</v>
      </c>
    </row>
    <row r="142" spans="1:9" ht="16.5" thickBot="1">
      <c r="A142" s="263">
        <v>24</v>
      </c>
      <c r="B142" s="264">
        <v>88</v>
      </c>
      <c r="C142" s="264">
        <v>111</v>
      </c>
      <c r="D142" s="264">
        <v>111</v>
      </c>
      <c r="E142" s="255">
        <v>89</v>
      </c>
      <c r="F142" s="255">
        <v>88</v>
      </c>
      <c r="G142" s="255">
        <v>65</v>
      </c>
      <c r="H142" s="255">
        <v>68</v>
      </c>
      <c r="I142" s="255">
        <v>50</v>
      </c>
    </row>
    <row r="143" spans="1:9" ht="16.5" thickBot="1">
      <c r="A143" s="263">
        <v>25</v>
      </c>
      <c r="B143" s="265">
        <v>90</v>
      </c>
      <c r="C143" s="265">
        <v>114</v>
      </c>
      <c r="D143" s="265">
        <v>114</v>
      </c>
      <c r="E143" s="255">
        <v>91</v>
      </c>
      <c r="F143" s="255">
        <v>89</v>
      </c>
      <c r="G143" s="255">
        <v>66</v>
      </c>
      <c r="H143" s="255">
        <v>69</v>
      </c>
      <c r="I143" s="255">
        <v>50</v>
      </c>
    </row>
    <row r="144" spans="1:9" ht="16.5" thickBot="1">
      <c r="A144" s="263">
        <v>26</v>
      </c>
      <c r="B144" s="264">
        <v>92</v>
      </c>
      <c r="C144" s="264">
        <v>117</v>
      </c>
      <c r="D144" s="264">
        <v>117</v>
      </c>
      <c r="E144" s="255">
        <v>93</v>
      </c>
      <c r="F144" s="255">
        <v>91</v>
      </c>
      <c r="G144" s="255">
        <v>66</v>
      </c>
      <c r="H144" s="255">
        <v>70</v>
      </c>
      <c r="I144" s="255">
        <v>51</v>
      </c>
    </row>
    <row r="145" spans="1:9" ht="16.5" thickBot="1">
      <c r="A145" s="263">
        <v>27</v>
      </c>
      <c r="B145" s="265">
        <v>94</v>
      </c>
      <c r="C145" s="265">
        <v>120</v>
      </c>
      <c r="D145" s="265">
        <v>120</v>
      </c>
      <c r="E145" s="255">
        <v>94</v>
      </c>
      <c r="F145" s="255">
        <v>93</v>
      </c>
      <c r="G145" s="255">
        <v>67</v>
      </c>
      <c r="H145" s="255">
        <v>72</v>
      </c>
      <c r="I145" s="255">
        <v>51</v>
      </c>
    </row>
    <row r="146" spans="1:9" ht="16.5" thickBot="1">
      <c r="A146" s="263">
        <v>28</v>
      </c>
      <c r="B146" s="264">
        <v>95</v>
      </c>
      <c r="C146" s="264">
        <v>122</v>
      </c>
      <c r="D146" s="264">
        <v>123</v>
      </c>
      <c r="E146" s="255">
        <v>96</v>
      </c>
      <c r="F146" s="255">
        <v>95</v>
      </c>
      <c r="G146" s="255">
        <v>68</v>
      </c>
      <c r="H146" s="255">
        <v>73</v>
      </c>
      <c r="I146" s="255">
        <v>52</v>
      </c>
    </row>
    <row r="147" spans="1:9" ht="16.5" thickBot="1">
      <c r="A147" s="263">
        <v>29</v>
      </c>
      <c r="B147" s="265">
        <v>97</v>
      </c>
      <c r="C147" s="265">
        <v>125</v>
      </c>
      <c r="D147" s="265">
        <v>126</v>
      </c>
      <c r="E147" s="255">
        <v>98</v>
      </c>
      <c r="F147" s="255">
        <v>97</v>
      </c>
      <c r="G147" s="255">
        <v>69</v>
      </c>
      <c r="H147" s="255">
        <v>74</v>
      </c>
      <c r="I147" s="255">
        <v>52</v>
      </c>
    </row>
    <row r="148" spans="1:9" ht="16.5" thickBot="1">
      <c r="A148" s="263">
        <v>30</v>
      </c>
      <c r="B148" s="264">
        <v>99</v>
      </c>
      <c r="C148" s="264">
        <v>128</v>
      </c>
      <c r="D148" s="264">
        <v>128</v>
      </c>
      <c r="E148" s="255">
        <v>100</v>
      </c>
      <c r="F148" s="255">
        <v>99</v>
      </c>
      <c r="G148" s="255">
        <v>70</v>
      </c>
      <c r="H148" s="255">
        <v>75</v>
      </c>
      <c r="I148" s="255">
        <v>53</v>
      </c>
    </row>
    <row r="149" spans="1:9" ht="16.5" thickBot="1">
      <c r="A149" s="263">
        <v>31</v>
      </c>
      <c r="B149" s="265">
        <v>102</v>
      </c>
      <c r="C149" s="265">
        <v>131</v>
      </c>
      <c r="D149" s="265">
        <v>131</v>
      </c>
      <c r="E149" s="255">
        <v>101</v>
      </c>
      <c r="F149" s="255">
        <v>101</v>
      </c>
      <c r="G149" s="255">
        <v>71</v>
      </c>
      <c r="H149" s="255">
        <v>76</v>
      </c>
      <c r="I149" s="255">
        <v>53</v>
      </c>
    </row>
    <row r="150" spans="1:9" ht="16.5" thickBot="1">
      <c r="A150" s="263">
        <v>32</v>
      </c>
      <c r="B150" s="264">
        <v>104</v>
      </c>
      <c r="C150" s="264">
        <v>134</v>
      </c>
      <c r="D150" s="264">
        <v>134</v>
      </c>
      <c r="E150" s="255">
        <v>103</v>
      </c>
      <c r="F150" s="255">
        <v>103</v>
      </c>
      <c r="G150" s="255">
        <v>72</v>
      </c>
      <c r="H150" s="255">
        <v>77</v>
      </c>
      <c r="I150" s="255">
        <v>54</v>
      </c>
    </row>
    <row r="151" spans="1:9" ht="16.5" thickBot="1">
      <c r="A151" s="263">
        <v>33</v>
      </c>
      <c r="B151" s="265">
        <v>106</v>
      </c>
      <c r="C151" s="265">
        <v>137</v>
      </c>
      <c r="D151" s="265">
        <v>137</v>
      </c>
      <c r="E151" s="255">
        <v>105</v>
      </c>
      <c r="F151" s="255">
        <v>105</v>
      </c>
      <c r="G151" s="255">
        <v>73</v>
      </c>
      <c r="H151" s="255">
        <v>78</v>
      </c>
      <c r="I151" s="255">
        <v>54</v>
      </c>
    </row>
    <row r="152" spans="1:9" ht="16.5" thickBot="1">
      <c r="A152" s="263">
        <v>34</v>
      </c>
      <c r="B152" s="264">
        <v>108</v>
      </c>
      <c r="C152" s="264">
        <v>140</v>
      </c>
      <c r="D152" s="264">
        <v>140</v>
      </c>
      <c r="E152" s="255">
        <v>107</v>
      </c>
      <c r="F152" s="255">
        <v>107</v>
      </c>
      <c r="G152" s="255">
        <v>74</v>
      </c>
      <c r="H152" s="255">
        <v>79</v>
      </c>
      <c r="I152" s="255">
        <v>55</v>
      </c>
    </row>
    <row r="153" spans="1:9" ht="16.5" thickBot="1">
      <c r="A153" s="263">
        <v>35</v>
      </c>
      <c r="B153" s="265">
        <v>109</v>
      </c>
      <c r="C153" s="265">
        <v>143</v>
      </c>
      <c r="D153" s="265">
        <v>143</v>
      </c>
      <c r="E153" s="255">
        <v>109</v>
      </c>
      <c r="F153" s="255">
        <v>109</v>
      </c>
      <c r="G153" s="255">
        <v>75</v>
      </c>
      <c r="H153" s="255">
        <v>80</v>
      </c>
      <c r="I153" s="255">
        <v>56</v>
      </c>
    </row>
    <row r="154" spans="1:9" ht="16.5" thickBot="1">
      <c r="A154" s="263">
        <v>36</v>
      </c>
      <c r="B154" s="264">
        <v>111</v>
      </c>
      <c r="C154" s="264">
        <v>145</v>
      </c>
      <c r="D154" s="264">
        <v>146</v>
      </c>
      <c r="E154" s="255">
        <v>110</v>
      </c>
      <c r="F154" s="255">
        <v>111</v>
      </c>
      <c r="G154" s="255">
        <v>76</v>
      </c>
      <c r="H154" s="255">
        <v>81</v>
      </c>
      <c r="I154" s="255">
        <v>56</v>
      </c>
    </row>
    <row r="155" spans="1:9" ht="16.5" thickBot="1">
      <c r="A155" s="263">
        <v>37</v>
      </c>
      <c r="B155" s="265">
        <v>113</v>
      </c>
      <c r="C155" s="265">
        <v>148</v>
      </c>
      <c r="D155" s="265">
        <v>148</v>
      </c>
      <c r="E155" s="255">
        <v>112</v>
      </c>
      <c r="F155" s="255">
        <v>114</v>
      </c>
      <c r="G155" s="255">
        <v>77</v>
      </c>
      <c r="H155" s="255">
        <v>83</v>
      </c>
      <c r="I155" s="255">
        <v>57</v>
      </c>
    </row>
    <row r="156" spans="1:9" ht="16.5" thickBot="1">
      <c r="A156" s="263">
        <v>38</v>
      </c>
      <c r="B156" s="264">
        <v>115</v>
      </c>
      <c r="C156" s="264">
        <v>150</v>
      </c>
      <c r="D156" s="264">
        <v>151</v>
      </c>
      <c r="E156" s="255">
        <v>114</v>
      </c>
      <c r="F156" s="255">
        <v>116</v>
      </c>
      <c r="G156" s="255">
        <v>78</v>
      </c>
      <c r="H156" s="255">
        <v>84</v>
      </c>
      <c r="I156" s="255">
        <v>58</v>
      </c>
    </row>
    <row r="157" spans="1:9" ht="16.5" thickBot="1">
      <c r="A157" s="263">
        <v>39</v>
      </c>
      <c r="B157" s="265">
        <v>117</v>
      </c>
      <c r="C157" s="265" t="s">
        <v>150</v>
      </c>
      <c r="D157" s="265" t="s">
        <v>150</v>
      </c>
      <c r="E157" s="255">
        <v>116</v>
      </c>
      <c r="F157" s="255">
        <v>118</v>
      </c>
      <c r="G157" s="255">
        <v>79</v>
      </c>
      <c r="H157" s="255">
        <v>85</v>
      </c>
      <c r="I157" s="255">
        <v>58</v>
      </c>
    </row>
    <row r="158" spans="1:9" ht="16.5" thickBot="1">
      <c r="A158" s="263">
        <v>40</v>
      </c>
      <c r="B158" s="264">
        <v>119</v>
      </c>
      <c r="C158" s="264" t="s">
        <v>150</v>
      </c>
      <c r="D158" s="264" t="s">
        <v>150</v>
      </c>
      <c r="E158" s="255">
        <v>118</v>
      </c>
      <c r="F158" s="255">
        <v>121</v>
      </c>
      <c r="G158" s="255">
        <v>80</v>
      </c>
      <c r="H158" s="255">
        <v>86</v>
      </c>
      <c r="I158" s="255">
        <v>59</v>
      </c>
    </row>
    <row r="159" spans="1:9" ht="16.5" thickBot="1">
      <c r="A159" s="263">
        <v>41</v>
      </c>
      <c r="B159" s="265">
        <v>121</v>
      </c>
      <c r="C159" s="265" t="s">
        <v>150</v>
      </c>
      <c r="D159" s="265" t="s">
        <v>150</v>
      </c>
      <c r="E159" s="255">
        <v>120</v>
      </c>
      <c r="F159" s="255">
        <v>123</v>
      </c>
      <c r="G159" s="255">
        <v>81</v>
      </c>
      <c r="H159" s="255">
        <v>87</v>
      </c>
      <c r="I159" s="255">
        <v>59</v>
      </c>
    </row>
    <row r="160" spans="1:9" ht="16.5" thickBot="1">
      <c r="A160" s="263">
        <v>42</v>
      </c>
      <c r="B160" s="264">
        <v>124</v>
      </c>
      <c r="C160" s="264" t="s">
        <v>150</v>
      </c>
      <c r="D160" s="264" t="s">
        <v>150</v>
      </c>
      <c r="E160" s="255">
        <v>122</v>
      </c>
      <c r="F160" s="255">
        <v>125</v>
      </c>
      <c r="G160" s="255">
        <v>82</v>
      </c>
      <c r="H160" s="255">
        <v>89</v>
      </c>
      <c r="I160" s="255">
        <v>60</v>
      </c>
    </row>
    <row r="161" spans="1:9" ht="16.5" thickBot="1">
      <c r="A161" s="263">
        <v>43</v>
      </c>
      <c r="B161" s="265">
        <v>126</v>
      </c>
      <c r="C161" s="265" t="s">
        <v>150</v>
      </c>
      <c r="D161" s="265" t="s">
        <v>150</v>
      </c>
      <c r="E161" s="255">
        <v>124</v>
      </c>
      <c r="F161" s="255">
        <v>128</v>
      </c>
      <c r="G161" s="255">
        <v>83</v>
      </c>
      <c r="H161" s="255">
        <v>90</v>
      </c>
      <c r="I161" s="255">
        <v>61</v>
      </c>
    </row>
    <row r="162" spans="1:9" ht="16.5" thickBot="1">
      <c r="A162" s="263">
        <v>44</v>
      </c>
      <c r="B162" s="264">
        <v>128</v>
      </c>
      <c r="C162" s="264" t="s">
        <v>150</v>
      </c>
      <c r="D162" s="264" t="s">
        <v>150</v>
      </c>
      <c r="E162" s="255">
        <v>126</v>
      </c>
      <c r="F162" s="255">
        <v>130</v>
      </c>
      <c r="G162" s="255">
        <v>84</v>
      </c>
      <c r="H162" s="255">
        <v>91</v>
      </c>
      <c r="I162" s="255">
        <v>61</v>
      </c>
    </row>
    <row r="163" spans="1:9" ht="16.5" thickBot="1">
      <c r="A163" s="263">
        <v>45</v>
      </c>
      <c r="B163" s="265">
        <v>130</v>
      </c>
      <c r="C163" s="265" t="s">
        <v>150</v>
      </c>
      <c r="D163" s="265" t="s">
        <v>150</v>
      </c>
      <c r="E163" s="255">
        <v>129</v>
      </c>
      <c r="F163" s="255">
        <v>133</v>
      </c>
      <c r="G163" s="255">
        <v>85</v>
      </c>
      <c r="H163" s="255">
        <v>92</v>
      </c>
      <c r="I163" s="255">
        <v>62</v>
      </c>
    </row>
    <row r="164" spans="1:9" ht="16.5" thickBot="1">
      <c r="A164" s="263">
        <v>46</v>
      </c>
      <c r="B164" s="264">
        <v>133</v>
      </c>
      <c r="C164" s="264" t="s">
        <v>150</v>
      </c>
      <c r="D164" s="264" t="s">
        <v>150</v>
      </c>
      <c r="E164" s="255">
        <v>131</v>
      </c>
      <c r="F164" s="255">
        <v>135</v>
      </c>
      <c r="G164" s="255">
        <v>86</v>
      </c>
      <c r="H164" s="255">
        <v>94</v>
      </c>
      <c r="I164" s="255">
        <v>62</v>
      </c>
    </row>
    <row r="165" spans="1:9" ht="16.5" thickBot="1">
      <c r="A165" s="263">
        <v>47</v>
      </c>
      <c r="B165" s="265">
        <v>136</v>
      </c>
      <c r="C165" s="265" t="s">
        <v>150</v>
      </c>
      <c r="D165" s="265" t="s">
        <v>150</v>
      </c>
      <c r="E165" s="255">
        <v>134</v>
      </c>
      <c r="F165" s="255">
        <v>138</v>
      </c>
      <c r="G165" s="255">
        <v>87</v>
      </c>
      <c r="H165" s="255">
        <v>95</v>
      </c>
      <c r="I165" s="255">
        <v>63</v>
      </c>
    </row>
    <row r="166" spans="1:9" ht="16.5" thickBot="1">
      <c r="A166" s="263">
        <v>48</v>
      </c>
      <c r="B166" s="264">
        <v>139</v>
      </c>
      <c r="C166" s="264" t="s">
        <v>150</v>
      </c>
      <c r="D166" s="264" t="s">
        <v>150</v>
      </c>
      <c r="E166" s="255">
        <v>136</v>
      </c>
      <c r="F166" s="255">
        <v>142</v>
      </c>
      <c r="G166" s="255">
        <v>88</v>
      </c>
      <c r="H166" s="255">
        <v>97</v>
      </c>
      <c r="I166" s="255">
        <v>63</v>
      </c>
    </row>
    <row r="167" spans="1:9" ht="16.5" thickBot="1">
      <c r="A167" s="263">
        <v>49</v>
      </c>
      <c r="B167" s="265">
        <v>141</v>
      </c>
      <c r="C167" s="265" t="s">
        <v>150</v>
      </c>
      <c r="D167" s="265" t="s">
        <v>150</v>
      </c>
      <c r="E167" s="255">
        <v>138</v>
      </c>
      <c r="F167" s="255">
        <v>145</v>
      </c>
      <c r="G167" s="255">
        <v>89</v>
      </c>
      <c r="H167" s="255">
        <v>98</v>
      </c>
      <c r="I167" s="255">
        <v>64</v>
      </c>
    </row>
    <row r="168" spans="1:9" ht="16.5" thickBot="1">
      <c r="A168" s="263">
        <v>50</v>
      </c>
      <c r="B168" s="264">
        <v>144</v>
      </c>
      <c r="C168" s="264" t="s">
        <v>150</v>
      </c>
      <c r="D168" s="264" t="s">
        <v>150</v>
      </c>
      <c r="E168" s="255">
        <v>140</v>
      </c>
      <c r="F168" s="255">
        <v>148</v>
      </c>
      <c r="G168" s="255">
        <v>90</v>
      </c>
      <c r="H168" s="255">
        <v>99</v>
      </c>
      <c r="I168" s="255">
        <v>64</v>
      </c>
    </row>
    <row r="169" spans="1:9" ht="16.5" thickBot="1">
      <c r="A169" s="263">
        <v>51</v>
      </c>
      <c r="B169" s="265">
        <v>147</v>
      </c>
      <c r="C169" s="265" t="s">
        <v>150</v>
      </c>
      <c r="D169" s="265" t="s">
        <v>150</v>
      </c>
      <c r="E169" s="255">
        <v>142</v>
      </c>
      <c r="F169" s="255">
        <v>150</v>
      </c>
      <c r="G169" s="255">
        <v>91</v>
      </c>
      <c r="H169" s="255">
        <v>100</v>
      </c>
      <c r="I169" s="255">
        <v>65</v>
      </c>
    </row>
    <row r="170" spans="1:9" ht="16.5" thickBot="1">
      <c r="A170" s="263">
        <v>52</v>
      </c>
      <c r="B170" s="264">
        <v>150</v>
      </c>
      <c r="C170" s="264" t="s">
        <v>150</v>
      </c>
      <c r="D170" s="264" t="s">
        <v>150</v>
      </c>
      <c r="E170" s="255">
        <v>145</v>
      </c>
      <c r="F170" s="255">
        <v>150</v>
      </c>
      <c r="G170" s="255">
        <v>91</v>
      </c>
      <c r="H170" s="255">
        <v>102</v>
      </c>
      <c r="I170" s="255">
        <v>65</v>
      </c>
    </row>
    <row r="171" spans="1:9" ht="16.5" thickBot="1">
      <c r="A171" s="263">
        <v>53</v>
      </c>
      <c r="B171" s="265">
        <v>150</v>
      </c>
      <c r="C171" s="265" t="s">
        <v>150</v>
      </c>
      <c r="D171" s="265" t="s">
        <v>150</v>
      </c>
      <c r="E171" s="255">
        <v>148</v>
      </c>
      <c r="F171" s="255">
        <v>150</v>
      </c>
      <c r="G171" s="255">
        <v>92</v>
      </c>
      <c r="H171" s="255">
        <v>104</v>
      </c>
      <c r="I171" s="255">
        <v>66</v>
      </c>
    </row>
    <row r="172" spans="1:9" ht="16.5" thickBot="1">
      <c r="A172" s="263">
        <v>54</v>
      </c>
      <c r="B172" s="264">
        <v>150</v>
      </c>
      <c r="C172" s="264" t="s">
        <v>150</v>
      </c>
      <c r="D172" s="264" t="s">
        <v>150</v>
      </c>
      <c r="E172" s="255">
        <v>150</v>
      </c>
      <c r="F172" s="255">
        <v>150</v>
      </c>
      <c r="G172" s="255">
        <v>93</v>
      </c>
      <c r="H172" s="255">
        <v>105</v>
      </c>
      <c r="I172" s="255">
        <v>66</v>
      </c>
    </row>
    <row r="173" spans="1:9" ht="16.5" thickBot="1">
      <c r="A173" s="263">
        <v>55</v>
      </c>
      <c r="B173" s="265">
        <v>150</v>
      </c>
      <c r="C173" s="265" t="s">
        <v>150</v>
      </c>
      <c r="D173" s="265" t="s">
        <v>150</v>
      </c>
      <c r="E173" s="255">
        <v>150</v>
      </c>
      <c r="F173" s="255">
        <v>150</v>
      </c>
      <c r="G173" s="255">
        <v>94</v>
      </c>
      <c r="H173" s="255">
        <v>106</v>
      </c>
      <c r="I173" s="255">
        <v>67</v>
      </c>
    </row>
    <row r="174" spans="1:9" ht="16.5" thickBot="1">
      <c r="A174" s="263">
        <v>56</v>
      </c>
      <c r="B174" s="264">
        <v>150</v>
      </c>
      <c r="C174" s="264" t="s">
        <v>150</v>
      </c>
      <c r="D174" s="264" t="s">
        <v>150</v>
      </c>
      <c r="E174" s="255">
        <v>150</v>
      </c>
      <c r="F174" s="255">
        <v>150</v>
      </c>
      <c r="G174" s="255">
        <v>95</v>
      </c>
      <c r="H174" s="255">
        <v>107</v>
      </c>
      <c r="I174" s="255">
        <v>67</v>
      </c>
    </row>
    <row r="175" spans="1:9" ht="16.5" thickBot="1">
      <c r="A175" s="266">
        <v>57</v>
      </c>
      <c r="B175" s="267">
        <v>150</v>
      </c>
      <c r="C175" s="267" t="s">
        <v>150</v>
      </c>
      <c r="D175" s="267" t="s">
        <v>150</v>
      </c>
      <c r="E175" s="255">
        <v>150</v>
      </c>
      <c r="F175" s="255">
        <v>150</v>
      </c>
      <c r="G175" s="255">
        <v>96</v>
      </c>
      <c r="H175" s="255">
        <v>109</v>
      </c>
      <c r="I175" s="255">
        <v>68</v>
      </c>
    </row>
    <row r="176" spans="1:9" ht="16.5" thickBot="1">
      <c r="A176" s="263">
        <v>58</v>
      </c>
      <c r="G176" s="255">
        <v>97</v>
      </c>
      <c r="H176" s="255">
        <v>110</v>
      </c>
      <c r="I176" s="255">
        <v>69</v>
      </c>
    </row>
    <row r="177" spans="1:9" ht="16.5" thickBot="1">
      <c r="A177" s="263">
        <v>59</v>
      </c>
      <c r="G177" s="255">
        <v>98</v>
      </c>
      <c r="H177" s="255">
        <v>111</v>
      </c>
      <c r="I177" s="255">
        <v>69</v>
      </c>
    </row>
    <row r="178" spans="1:9" ht="16.5" thickBot="1">
      <c r="A178" s="266">
        <v>60</v>
      </c>
      <c r="G178" s="255">
        <v>99</v>
      </c>
      <c r="H178" s="255">
        <v>113</v>
      </c>
      <c r="I178" s="255">
        <v>70</v>
      </c>
    </row>
    <row r="179" spans="1:9" ht="16.5" thickBot="1">
      <c r="A179" s="263">
        <v>61</v>
      </c>
      <c r="G179" s="255">
        <v>100</v>
      </c>
      <c r="H179" s="255">
        <v>114</v>
      </c>
      <c r="I179" s="255">
        <v>70</v>
      </c>
    </row>
    <row r="180" spans="1:9" ht="16.5" thickBot="1">
      <c r="A180" s="263">
        <v>62</v>
      </c>
      <c r="G180" s="255">
        <v>101</v>
      </c>
      <c r="H180" s="255">
        <v>116</v>
      </c>
      <c r="I180" s="255">
        <v>71</v>
      </c>
    </row>
    <row r="181" spans="1:9" ht="16.5" thickBot="1">
      <c r="A181" s="266">
        <v>63</v>
      </c>
      <c r="G181" s="255">
        <v>102</v>
      </c>
      <c r="H181" s="255">
        <v>117</v>
      </c>
      <c r="I181" s="255">
        <v>72</v>
      </c>
    </row>
    <row r="182" spans="1:9" ht="16.5" thickBot="1">
      <c r="A182" s="263">
        <v>64</v>
      </c>
      <c r="G182" s="255">
        <v>103</v>
      </c>
      <c r="H182" s="255">
        <v>119</v>
      </c>
      <c r="I182" s="255">
        <v>72</v>
      </c>
    </row>
    <row r="183" spans="1:9" ht="16.5" thickBot="1">
      <c r="A183" s="263">
        <v>65</v>
      </c>
      <c r="G183" s="255">
        <v>104</v>
      </c>
      <c r="H183" s="255">
        <v>121</v>
      </c>
      <c r="I183" s="255">
        <v>73</v>
      </c>
    </row>
    <row r="184" spans="1:9" ht="16.5" thickBot="1">
      <c r="A184" s="266">
        <v>66</v>
      </c>
      <c r="G184" s="255">
        <v>105</v>
      </c>
      <c r="H184" s="255">
        <v>122</v>
      </c>
      <c r="I184" s="255">
        <v>74</v>
      </c>
    </row>
    <row r="185" spans="1:9" ht="16.5" thickBot="1">
      <c r="A185" s="263">
        <v>67</v>
      </c>
      <c r="G185" s="255">
        <v>106</v>
      </c>
      <c r="H185" s="255">
        <v>124</v>
      </c>
      <c r="I185" s="255">
        <v>74</v>
      </c>
    </row>
    <row r="186" spans="1:9" ht="16.5" thickBot="1">
      <c r="A186" s="263">
        <v>68</v>
      </c>
      <c r="G186" s="255">
        <v>107</v>
      </c>
      <c r="H186" s="255">
        <v>125</v>
      </c>
      <c r="I186" s="255">
        <v>75</v>
      </c>
    </row>
    <row r="187" spans="1:9" ht="16.5" thickBot="1">
      <c r="A187" s="266">
        <v>69</v>
      </c>
      <c r="G187" s="255">
        <v>108</v>
      </c>
      <c r="H187" s="255">
        <v>127</v>
      </c>
      <c r="I187" s="255">
        <v>75</v>
      </c>
    </row>
    <row r="188" spans="1:9" ht="16.5" thickBot="1">
      <c r="A188" s="263">
        <v>70</v>
      </c>
      <c r="G188" s="255">
        <v>110</v>
      </c>
      <c r="H188" s="255">
        <v>128</v>
      </c>
      <c r="I188" s="255">
        <v>76</v>
      </c>
    </row>
    <row r="189" spans="1:9" ht="16.5" thickBot="1">
      <c r="A189" s="263">
        <v>71</v>
      </c>
      <c r="G189" s="255">
        <v>111</v>
      </c>
      <c r="H189" s="255">
        <v>130</v>
      </c>
      <c r="I189" s="255">
        <v>76</v>
      </c>
    </row>
    <row r="190" spans="1:9" ht="16.5" thickBot="1">
      <c r="A190" s="266">
        <v>72</v>
      </c>
      <c r="G190" s="255">
        <v>112</v>
      </c>
      <c r="H190" s="255">
        <v>132</v>
      </c>
      <c r="I190" s="255">
        <v>77</v>
      </c>
    </row>
    <row r="191" spans="1:9" ht="16.5" thickBot="1">
      <c r="A191" s="263">
        <v>73</v>
      </c>
      <c r="G191" s="255">
        <v>113</v>
      </c>
      <c r="H191" s="255">
        <v>134</v>
      </c>
      <c r="I191" s="255">
        <v>77</v>
      </c>
    </row>
    <row r="192" spans="1:9" ht="16.5" thickBot="1">
      <c r="A192" s="263">
        <v>74</v>
      </c>
      <c r="G192" s="255">
        <v>114</v>
      </c>
      <c r="H192" s="255">
        <v>136</v>
      </c>
      <c r="I192" s="255">
        <v>78</v>
      </c>
    </row>
    <row r="193" spans="1:9" ht="16.5" thickBot="1">
      <c r="A193" s="266">
        <v>75</v>
      </c>
      <c r="G193" s="255">
        <v>115</v>
      </c>
      <c r="H193" s="255">
        <v>138</v>
      </c>
      <c r="I193" s="255">
        <v>78</v>
      </c>
    </row>
    <row r="194" spans="1:9" ht="16.5" thickBot="1">
      <c r="A194" s="263">
        <v>76</v>
      </c>
      <c r="G194" s="255">
        <v>116</v>
      </c>
      <c r="H194" s="255">
        <v>140</v>
      </c>
      <c r="I194" s="255">
        <v>79</v>
      </c>
    </row>
    <row r="195" spans="1:9" ht="16.5" thickBot="1">
      <c r="A195" s="263">
        <v>77</v>
      </c>
      <c r="G195" s="255">
        <v>117</v>
      </c>
      <c r="H195" s="255">
        <v>142</v>
      </c>
      <c r="I195" s="255">
        <v>79</v>
      </c>
    </row>
    <row r="196" spans="1:9" ht="16.5" thickBot="1">
      <c r="A196" s="266">
        <v>78</v>
      </c>
      <c r="G196" s="255">
        <v>118</v>
      </c>
      <c r="H196" s="255">
        <v>144</v>
      </c>
      <c r="I196" s="255">
        <v>80</v>
      </c>
    </row>
    <row r="197" spans="1:9" ht="16.5" thickBot="1">
      <c r="A197" s="263">
        <v>79</v>
      </c>
      <c r="G197" s="255">
        <v>119</v>
      </c>
      <c r="H197" s="255">
        <v>146</v>
      </c>
      <c r="I197" s="255">
        <v>80</v>
      </c>
    </row>
    <row r="198" spans="1:9" ht="16.5" thickBot="1">
      <c r="A198" s="263">
        <v>80</v>
      </c>
      <c r="G198" s="255">
        <v>121</v>
      </c>
      <c r="H198" s="255">
        <v>148</v>
      </c>
      <c r="I198" s="255">
        <v>81</v>
      </c>
    </row>
    <row r="199" spans="1:9" ht="16.5" thickBot="1">
      <c r="A199" s="266">
        <v>81</v>
      </c>
      <c r="G199" s="255">
        <v>122</v>
      </c>
      <c r="H199" s="255">
        <v>150</v>
      </c>
      <c r="I199" s="255">
        <v>82</v>
      </c>
    </row>
    <row r="200" spans="1:9" ht="16.5" thickBot="1">
      <c r="A200" s="263">
        <v>82</v>
      </c>
      <c r="G200" s="255">
        <v>123</v>
      </c>
      <c r="H200" s="255">
        <v>153</v>
      </c>
      <c r="I200" s="255">
        <v>83</v>
      </c>
    </row>
    <row r="201" spans="1:9" ht="16.5" thickBot="1">
      <c r="A201" s="263">
        <v>83</v>
      </c>
      <c r="G201" s="255">
        <v>124</v>
      </c>
      <c r="H201" s="255">
        <v>155</v>
      </c>
      <c r="I201" s="255">
        <v>84</v>
      </c>
    </row>
    <row r="202" spans="1:9" ht="16.5" thickBot="1">
      <c r="A202" s="266">
        <v>84</v>
      </c>
      <c r="G202" s="255">
        <v>125</v>
      </c>
      <c r="H202" s="255">
        <v>155</v>
      </c>
      <c r="I202" s="255">
        <v>84</v>
      </c>
    </row>
    <row r="203" spans="1:9" ht="16.5" thickBot="1">
      <c r="A203" s="263">
        <v>85</v>
      </c>
      <c r="G203" s="255">
        <v>127</v>
      </c>
      <c r="H203" s="255">
        <v>155</v>
      </c>
      <c r="I203" s="255">
        <v>85</v>
      </c>
    </row>
    <row r="204" spans="1:9" ht="16.5" thickBot="1">
      <c r="A204" s="263">
        <v>86</v>
      </c>
      <c r="G204" s="255">
        <v>128</v>
      </c>
      <c r="H204" s="255">
        <v>155</v>
      </c>
      <c r="I204" s="255">
        <v>85</v>
      </c>
    </row>
    <row r="205" spans="1:9" ht="16.5" thickBot="1">
      <c r="A205" s="266">
        <v>87</v>
      </c>
      <c r="G205" s="255">
        <v>130</v>
      </c>
      <c r="H205" s="255">
        <v>155</v>
      </c>
      <c r="I205" s="255">
        <v>86</v>
      </c>
    </row>
    <row r="206" spans="1:9" ht="16.5" thickBot="1">
      <c r="A206" s="263">
        <v>88</v>
      </c>
      <c r="G206" s="255">
        <v>131</v>
      </c>
      <c r="H206" s="255">
        <v>155</v>
      </c>
      <c r="I206" s="255">
        <v>87</v>
      </c>
    </row>
    <row r="207" spans="1:9" ht="16.5" thickBot="1">
      <c r="A207" s="263">
        <v>89</v>
      </c>
      <c r="G207" s="255">
        <v>133</v>
      </c>
      <c r="H207" s="255">
        <v>155</v>
      </c>
      <c r="I207" s="255">
        <v>87</v>
      </c>
    </row>
    <row r="208" spans="1:9" ht="16.5" thickBot="1">
      <c r="A208" s="266">
        <v>90</v>
      </c>
      <c r="G208" s="255">
        <v>134</v>
      </c>
      <c r="H208" s="255">
        <v>155</v>
      </c>
      <c r="I208" s="255">
        <v>88</v>
      </c>
    </row>
    <row r="209" spans="1:9" ht="16.5" thickBot="1">
      <c r="A209" s="263">
        <v>91</v>
      </c>
      <c r="G209" s="255">
        <v>135</v>
      </c>
      <c r="H209" s="255">
        <v>155</v>
      </c>
      <c r="I209" s="255">
        <v>88</v>
      </c>
    </row>
    <row r="210" spans="1:9" ht="16.5" thickBot="1">
      <c r="A210" s="263">
        <v>92</v>
      </c>
      <c r="G210" s="255">
        <v>137</v>
      </c>
      <c r="H210" s="255">
        <v>155</v>
      </c>
      <c r="I210" s="255">
        <v>89</v>
      </c>
    </row>
    <row r="211" spans="1:9" ht="16.5" thickBot="1">
      <c r="A211" s="266">
        <v>93</v>
      </c>
      <c r="G211" s="255">
        <v>138</v>
      </c>
      <c r="H211" s="255">
        <v>155</v>
      </c>
      <c r="I211" s="255">
        <v>89</v>
      </c>
    </row>
    <row r="212" spans="1:9" ht="16.5" thickBot="1">
      <c r="A212" s="263">
        <v>94</v>
      </c>
      <c r="G212" s="255">
        <v>139</v>
      </c>
      <c r="H212" s="255">
        <v>155</v>
      </c>
      <c r="I212" s="255">
        <v>90</v>
      </c>
    </row>
    <row r="213" spans="1:9" ht="16.5" thickBot="1">
      <c r="A213" s="263">
        <v>95</v>
      </c>
      <c r="G213" s="255">
        <v>140</v>
      </c>
      <c r="H213" s="255">
        <v>155</v>
      </c>
      <c r="I213" s="255">
        <v>90</v>
      </c>
    </row>
    <row r="214" spans="1:9" ht="16.5" thickBot="1">
      <c r="A214" s="266">
        <v>96</v>
      </c>
      <c r="G214" s="255">
        <v>142</v>
      </c>
      <c r="I214" s="255">
        <v>91</v>
      </c>
    </row>
    <row r="215" spans="1:9" ht="16.5" thickBot="1">
      <c r="A215" s="263">
        <v>97</v>
      </c>
      <c r="G215" s="255">
        <v>143</v>
      </c>
      <c r="I215" s="255">
        <v>91</v>
      </c>
    </row>
    <row r="216" spans="1:9" ht="16.5" thickBot="1">
      <c r="A216" s="263">
        <v>98</v>
      </c>
      <c r="G216" s="255">
        <v>144</v>
      </c>
      <c r="I216" s="255">
        <v>91</v>
      </c>
    </row>
    <row r="217" spans="1:9" ht="16.5" thickBot="1">
      <c r="A217" s="266">
        <v>99</v>
      </c>
      <c r="G217" s="255">
        <v>145</v>
      </c>
      <c r="I217" s="255">
        <v>93</v>
      </c>
    </row>
    <row r="218" spans="1:9" ht="16.5" thickBot="1">
      <c r="A218" s="263">
        <v>100</v>
      </c>
      <c r="G218" s="255">
        <v>147</v>
      </c>
      <c r="I218" s="255">
        <v>94</v>
      </c>
    </row>
    <row r="219" spans="1:9" ht="16.5" thickBot="1">
      <c r="A219" s="263">
        <v>101</v>
      </c>
      <c r="G219" s="255">
        <v>148</v>
      </c>
      <c r="I219" s="255">
        <v>94</v>
      </c>
    </row>
    <row r="220" spans="1:9" ht="16.5" thickBot="1">
      <c r="A220" s="266">
        <v>102</v>
      </c>
      <c r="G220" s="255">
        <v>150</v>
      </c>
      <c r="I220" s="255">
        <v>95</v>
      </c>
    </row>
    <row r="221" spans="1:9" ht="16.5" thickBot="1">
      <c r="A221" s="263">
        <v>103</v>
      </c>
      <c r="G221" s="255">
        <v>151</v>
      </c>
      <c r="I221" s="255">
        <v>95</v>
      </c>
    </row>
    <row r="222" spans="1:9" ht="16.5" thickBot="1">
      <c r="A222" s="263">
        <v>104</v>
      </c>
      <c r="G222" s="255">
        <v>153</v>
      </c>
      <c r="I222" s="255">
        <v>96</v>
      </c>
    </row>
    <row r="223" spans="1:9" ht="16.5" thickBot="1">
      <c r="A223" s="266">
        <v>105</v>
      </c>
      <c r="G223" s="255">
        <v>154</v>
      </c>
      <c r="I223" s="255">
        <v>97</v>
      </c>
    </row>
    <row r="224" spans="1:9" ht="16.5" thickBot="1">
      <c r="A224" s="263">
        <v>106</v>
      </c>
      <c r="G224" s="255">
        <v>155</v>
      </c>
      <c r="I224" s="255">
        <v>97</v>
      </c>
    </row>
    <row r="225" spans="1:9" ht="16.5" thickBot="1">
      <c r="A225" s="263">
        <v>107</v>
      </c>
      <c r="G225" s="255">
        <v>155</v>
      </c>
      <c r="I225" s="255">
        <v>98</v>
      </c>
    </row>
    <row r="226" spans="1:9" ht="16.5" thickBot="1">
      <c r="A226" s="266">
        <v>108</v>
      </c>
      <c r="G226" s="255">
        <v>155</v>
      </c>
      <c r="I226" s="255">
        <v>98</v>
      </c>
    </row>
    <row r="227" spans="1:9" ht="16.5" thickBot="1">
      <c r="A227" s="263">
        <v>109</v>
      </c>
      <c r="G227" s="255">
        <v>155</v>
      </c>
      <c r="I227" s="255">
        <v>99</v>
      </c>
    </row>
    <row r="228" spans="1:9" ht="16.5" thickBot="1">
      <c r="A228" s="263">
        <v>110</v>
      </c>
      <c r="G228" s="255">
        <v>155</v>
      </c>
      <c r="I228" s="255">
        <v>99</v>
      </c>
    </row>
    <row r="229" spans="1:9" ht="16.5" thickBot="1">
      <c r="A229" s="266">
        <v>111</v>
      </c>
      <c r="G229" s="255">
        <v>155</v>
      </c>
      <c r="I229" s="255">
        <v>100</v>
      </c>
    </row>
    <row r="230" spans="1:9" ht="16.5" thickBot="1">
      <c r="A230" s="263">
        <v>112</v>
      </c>
      <c r="G230" s="255">
        <v>155</v>
      </c>
      <c r="I230" s="255">
        <v>100</v>
      </c>
    </row>
    <row r="231" spans="1:9" ht="16.5" thickBot="1">
      <c r="A231" s="263">
        <v>113</v>
      </c>
      <c r="G231" s="255">
        <v>155</v>
      </c>
      <c r="I231" s="255">
        <v>101</v>
      </c>
    </row>
    <row r="232" spans="1:9" ht="16.5" thickBot="1">
      <c r="A232" s="266">
        <v>114</v>
      </c>
      <c r="G232" s="255">
        <v>155</v>
      </c>
      <c r="I232" s="255">
        <v>102</v>
      </c>
    </row>
    <row r="233" spans="1:9" ht="16.5" thickBot="1">
      <c r="A233" s="263">
        <v>115</v>
      </c>
      <c r="I233" s="255">
        <v>102</v>
      </c>
    </row>
    <row r="234" spans="1:9" ht="16.5" thickBot="1">
      <c r="A234" s="263">
        <v>116</v>
      </c>
      <c r="I234" s="255">
        <v>103</v>
      </c>
    </row>
    <row r="235" spans="1:9" ht="16.5" thickBot="1">
      <c r="A235" s="266">
        <v>117</v>
      </c>
      <c r="I235" s="255">
        <v>103</v>
      </c>
    </row>
    <row r="236" spans="1:9" ht="16.5" thickBot="1">
      <c r="A236" s="263">
        <v>118</v>
      </c>
      <c r="I236" s="255">
        <v>104</v>
      </c>
    </row>
    <row r="237" spans="1:9" ht="16.5" thickBot="1">
      <c r="A237" s="263">
        <v>119</v>
      </c>
      <c r="I237" s="255">
        <v>104</v>
      </c>
    </row>
    <row r="238" spans="1:9" ht="16.5" thickBot="1">
      <c r="A238" s="266">
        <v>120</v>
      </c>
      <c r="I238" s="255">
        <v>105</v>
      </c>
    </row>
    <row r="239" spans="1:9" ht="16.5" thickBot="1">
      <c r="A239" s="263">
        <v>121</v>
      </c>
      <c r="I239" s="255">
        <v>106</v>
      </c>
    </row>
    <row r="240" spans="1:9" ht="16.5" thickBot="1">
      <c r="A240" s="263">
        <v>122</v>
      </c>
      <c r="I240" s="255">
        <v>107</v>
      </c>
    </row>
    <row r="241" spans="1:9" ht="16.5" thickBot="1">
      <c r="A241" s="266">
        <v>123</v>
      </c>
      <c r="I241" s="255">
        <v>107</v>
      </c>
    </row>
    <row r="242" spans="1:9" ht="16.5" thickBot="1">
      <c r="A242" s="263">
        <v>124</v>
      </c>
      <c r="I242" s="255">
        <v>108</v>
      </c>
    </row>
    <row r="243" spans="1:9" ht="16.5" thickBot="1">
      <c r="A243" s="263">
        <v>125</v>
      </c>
      <c r="I243" s="255">
        <v>108</v>
      </c>
    </row>
    <row r="244" spans="1:9" ht="16.5" thickBot="1">
      <c r="A244" s="266">
        <v>126</v>
      </c>
      <c r="I244" s="255">
        <v>109</v>
      </c>
    </row>
    <row r="245" spans="1:9" ht="16.5" thickBot="1">
      <c r="A245" s="263">
        <v>127</v>
      </c>
      <c r="I245" s="255">
        <v>110</v>
      </c>
    </row>
    <row r="246" spans="1:9" ht="16.5" thickBot="1">
      <c r="A246" s="263">
        <v>128</v>
      </c>
      <c r="I246" s="255">
        <v>110</v>
      </c>
    </row>
    <row r="247" spans="1:9" ht="16.5" thickBot="1">
      <c r="A247" s="266">
        <v>129</v>
      </c>
      <c r="I247" s="255">
        <v>111</v>
      </c>
    </row>
    <row r="248" spans="1:9" ht="16.5" thickBot="1">
      <c r="A248" s="263">
        <v>130</v>
      </c>
      <c r="I248" s="255">
        <v>112</v>
      </c>
    </row>
    <row r="249" spans="1:9" ht="16.5" thickBot="1">
      <c r="A249" s="263">
        <v>131</v>
      </c>
      <c r="I249" s="255">
        <v>113</v>
      </c>
    </row>
    <row r="250" spans="1:9" ht="16.5" thickBot="1">
      <c r="A250" s="266">
        <v>132</v>
      </c>
      <c r="I250" s="255">
        <v>113</v>
      </c>
    </row>
    <row r="251" spans="1:9" ht="16.5" thickBot="1">
      <c r="A251" s="263">
        <v>133</v>
      </c>
      <c r="I251" s="255">
        <v>113</v>
      </c>
    </row>
    <row r="252" spans="1:9" ht="16.5" thickBot="1">
      <c r="A252" s="263">
        <v>134</v>
      </c>
      <c r="I252" s="255">
        <v>114</v>
      </c>
    </row>
    <row r="253" spans="1:9" ht="16.5" thickBot="1">
      <c r="A253" s="266">
        <v>135</v>
      </c>
      <c r="I253" s="255">
        <v>115</v>
      </c>
    </row>
    <row r="254" spans="1:9" ht="16.5" thickBot="1">
      <c r="A254" s="263">
        <v>136</v>
      </c>
      <c r="I254" s="255">
        <v>116</v>
      </c>
    </row>
    <row r="255" spans="1:9" ht="16.5" thickBot="1">
      <c r="A255" s="263">
        <v>137</v>
      </c>
      <c r="I255" s="255">
        <v>116</v>
      </c>
    </row>
    <row r="256" spans="1:9" ht="16.5" thickBot="1">
      <c r="A256" s="266">
        <v>138</v>
      </c>
      <c r="I256" s="255">
        <v>117</v>
      </c>
    </row>
    <row r="257" spans="1:9" ht="16.5" thickBot="1">
      <c r="A257" s="263">
        <v>139</v>
      </c>
      <c r="I257" s="255">
        <v>118</v>
      </c>
    </row>
    <row r="258" spans="1:9" ht="16.5" thickBot="1">
      <c r="A258" s="263">
        <v>140</v>
      </c>
      <c r="I258" s="255">
        <v>119</v>
      </c>
    </row>
    <row r="259" spans="1:9" ht="16.5" thickBot="1">
      <c r="A259" s="266">
        <v>141</v>
      </c>
      <c r="I259" s="255">
        <v>120</v>
      </c>
    </row>
    <row r="260" spans="1:9" ht="16.5" thickBot="1">
      <c r="A260" s="263">
        <v>142</v>
      </c>
      <c r="I260" s="255">
        <v>120</v>
      </c>
    </row>
    <row r="261" spans="1:9" ht="16.5" thickBot="1">
      <c r="A261" s="263">
        <v>143</v>
      </c>
      <c r="I261" s="255">
        <v>121</v>
      </c>
    </row>
    <row r="262" spans="1:9" ht="16.5" thickBot="1">
      <c r="A262" s="266">
        <v>144</v>
      </c>
      <c r="I262" s="255">
        <v>122</v>
      </c>
    </row>
    <row r="263" spans="1:9" ht="16.5" thickBot="1">
      <c r="A263" s="263">
        <v>145</v>
      </c>
      <c r="I263" s="255">
        <v>122</v>
      </c>
    </row>
    <row r="264" spans="1:9" ht="16.5" thickBot="1">
      <c r="A264" s="263">
        <v>146</v>
      </c>
      <c r="I264" s="255">
        <v>123</v>
      </c>
    </row>
    <row r="265" spans="1:9" ht="16.5" thickBot="1">
      <c r="A265" s="266">
        <v>147</v>
      </c>
      <c r="I265" s="255">
        <v>124</v>
      </c>
    </row>
    <row r="266" spans="1:9" ht="16.5" thickBot="1">
      <c r="A266" s="263">
        <v>148</v>
      </c>
      <c r="I266" s="255">
        <v>125</v>
      </c>
    </row>
    <row r="267" spans="1:9" ht="16.5" thickBot="1">
      <c r="A267" s="263">
        <v>149</v>
      </c>
      <c r="I267" s="255">
        <v>126</v>
      </c>
    </row>
    <row r="268" spans="1:9" ht="16.5" thickBot="1">
      <c r="A268" s="266">
        <v>150</v>
      </c>
      <c r="I268" s="255">
        <v>127</v>
      </c>
    </row>
    <row r="269" spans="1:9" ht="16.5" thickBot="1">
      <c r="A269" s="263">
        <v>151</v>
      </c>
      <c r="I269" s="255">
        <v>128</v>
      </c>
    </row>
    <row r="270" spans="1:9" ht="16.5" thickBot="1">
      <c r="A270" s="263">
        <v>152</v>
      </c>
      <c r="I270" s="255">
        <v>128</v>
      </c>
    </row>
    <row r="271" spans="1:9" ht="16.5" thickBot="1">
      <c r="A271" s="266">
        <v>153</v>
      </c>
      <c r="I271" s="255">
        <v>129</v>
      </c>
    </row>
    <row r="272" spans="1:9" ht="16.5" thickBot="1">
      <c r="A272" s="263">
        <v>154</v>
      </c>
      <c r="I272" s="255">
        <v>130</v>
      </c>
    </row>
    <row r="273" spans="1:9" ht="16.5" thickBot="1">
      <c r="A273" s="263">
        <v>155</v>
      </c>
      <c r="I273" s="255">
        <v>131</v>
      </c>
    </row>
    <row r="274" spans="1:9" ht="16.5" thickBot="1">
      <c r="A274" s="266">
        <v>156</v>
      </c>
      <c r="I274" s="255">
        <v>132</v>
      </c>
    </row>
    <row r="275" spans="1:9" ht="16.5" thickBot="1">
      <c r="A275" s="263">
        <v>157</v>
      </c>
      <c r="I275" s="255">
        <v>133</v>
      </c>
    </row>
    <row r="276" spans="1:9" ht="16.5" thickBot="1">
      <c r="A276" s="263">
        <v>158</v>
      </c>
      <c r="I276" s="255">
        <v>134</v>
      </c>
    </row>
    <row r="277" spans="1:9" ht="16.5" thickBot="1">
      <c r="A277" s="266">
        <v>159</v>
      </c>
      <c r="I277" s="255">
        <v>135</v>
      </c>
    </row>
    <row r="278" spans="1:9" ht="16.5" thickBot="1">
      <c r="A278" s="263">
        <v>160</v>
      </c>
      <c r="I278" s="255">
        <v>135</v>
      </c>
    </row>
    <row r="279" spans="1:9" ht="16.5" thickBot="1">
      <c r="A279" s="263">
        <v>161</v>
      </c>
      <c r="I279" s="255">
        <v>136</v>
      </c>
    </row>
    <row r="280" spans="1:9" ht="16.5" thickBot="1">
      <c r="A280" s="266">
        <v>162</v>
      </c>
      <c r="I280" s="255">
        <v>137</v>
      </c>
    </row>
    <row r="281" spans="1:9" ht="16.5" thickBot="1">
      <c r="A281" s="263">
        <v>163</v>
      </c>
      <c r="I281" s="255">
        <v>138</v>
      </c>
    </row>
    <row r="282" spans="1:9" ht="16.5" thickBot="1">
      <c r="A282" s="263">
        <v>164</v>
      </c>
      <c r="I282" s="255">
        <v>139</v>
      </c>
    </row>
    <row r="283" spans="1:9" ht="16.5" thickBot="1">
      <c r="A283" s="266">
        <v>165</v>
      </c>
      <c r="I283" s="255">
        <v>140</v>
      </c>
    </row>
    <row r="284" spans="1:9" ht="16.5" thickBot="1">
      <c r="A284" s="263">
        <v>166</v>
      </c>
      <c r="I284" s="255">
        <v>141</v>
      </c>
    </row>
    <row r="285" spans="1:9" ht="16.5" thickBot="1">
      <c r="A285" s="263">
        <v>167</v>
      </c>
      <c r="I285" s="255">
        <v>142</v>
      </c>
    </row>
    <row r="286" spans="1:9" ht="16.5" thickBot="1">
      <c r="A286" s="266">
        <v>168</v>
      </c>
      <c r="I286" s="255">
        <v>143</v>
      </c>
    </row>
    <row r="287" spans="1:9" ht="16.5" thickBot="1">
      <c r="A287" s="263">
        <v>169</v>
      </c>
      <c r="I287" s="255">
        <v>143</v>
      </c>
    </row>
    <row r="288" spans="1:9" ht="16.5" thickBot="1">
      <c r="A288" s="263">
        <v>170</v>
      </c>
      <c r="I288" s="255">
        <v>144</v>
      </c>
    </row>
    <row r="289" spans="1:9" ht="16.5" thickBot="1">
      <c r="A289" s="266">
        <v>171</v>
      </c>
      <c r="I289" s="255">
        <v>145</v>
      </c>
    </row>
    <row r="290" spans="1:9" ht="16.5" thickBot="1">
      <c r="A290" s="263">
        <v>172</v>
      </c>
      <c r="I290" s="255">
        <v>145</v>
      </c>
    </row>
    <row r="291" spans="1:9" ht="16.5" thickBot="1">
      <c r="A291" s="263">
        <v>173</v>
      </c>
      <c r="I291" s="255">
        <v>146</v>
      </c>
    </row>
    <row r="292" spans="1:9" ht="16.5" thickBot="1">
      <c r="A292" s="266">
        <v>174</v>
      </c>
      <c r="I292" s="255">
        <v>147</v>
      </c>
    </row>
    <row r="293" spans="1:9" ht="16.5" thickBot="1">
      <c r="A293" s="263">
        <v>175</v>
      </c>
      <c r="I293" s="255">
        <v>148</v>
      </c>
    </row>
    <row r="294" spans="1:9" ht="16.5" thickBot="1">
      <c r="A294" s="263">
        <v>176</v>
      </c>
      <c r="I294" s="255">
        <v>149</v>
      </c>
    </row>
    <row r="295" spans="1:9" ht="16.5" thickBot="1">
      <c r="A295" s="266">
        <v>177</v>
      </c>
      <c r="I295" s="255">
        <v>150</v>
      </c>
    </row>
    <row r="296" spans="1:9" ht="16.5" thickBot="1">
      <c r="A296" s="263">
        <v>178</v>
      </c>
      <c r="I296" s="255">
        <v>151</v>
      </c>
    </row>
    <row r="297" spans="1:9" ht="16.5" thickBot="1">
      <c r="A297" s="263">
        <v>179</v>
      </c>
      <c r="I297" s="255">
        <v>151</v>
      </c>
    </row>
    <row r="298" spans="1:9" ht="16.5" thickBot="1">
      <c r="A298" s="266">
        <v>180</v>
      </c>
      <c r="I298" s="255">
        <v>152</v>
      </c>
    </row>
    <row r="299" spans="1:9" ht="16.5" thickBot="1">
      <c r="A299" s="263">
        <v>181</v>
      </c>
      <c r="I299" s="255">
        <v>153</v>
      </c>
    </row>
    <row r="300" spans="1:9" ht="16.5" thickBot="1">
      <c r="A300" s="263">
        <v>182</v>
      </c>
      <c r="I300" s="255">
        <v>155</v>
      </c>
    </row>
    <row r="301" spans="1:9" ht="16.5" thickBot="1">
      <c r="A301" s="266">
        <v>183</v>
      </c>
      <c r="I301" s="255">
        <v>155</v>
      </c>
    </row>
    <row r="302" spans="1:9" ht="16.5" thickBot="1">
      <c r="A302" s="263">
        <v>184</v>
      </c>
      <c r="I302" s="255">
        <v>155</v>
      </c>
    </row>
    <row r="303" spans="1:9" ht="16.5" thickBot="1">
      <c r="A303" s="263">
        <v>185</v>
      </c>
      <c r="I303" s="255">
        <v>155</v>
      </c>
    </row>
    <row r="304" spans="1:9" ht="16.5" thickBot="1">
      <c r="A304" s="266">
        <v>186</v>
      </c>
      <c r="I304" s="255">
        <v>155</v>
      </c>
    </row>
    <row r="305" spans="1:9" ht="16.5" thickBot="1">
      <c r="A305" s="263">
        <v>187</v>
      </c>
      <c r="I305" s="255">
        <v>155</v>
      </c>
    </row>
    <row r="306" spans="1:9" ht="16.5" thickBot="1">
      <c r="A306" s="263">
        <v>188</v>
      </c>
      <c r="I306" s="255">
        <v>155</v>
      </c>
    </row>
    <row r="307" spans="1:9" ht="16.5" thickBot="1">
      <c r="A307" s="266">
        <v>189</v>
      </c>
      <c r="I307" s="255">
        <v>155</v>
      </c>
    </row>
    <row r="308" spans="1:9" ht="16.5" thickBot="1">
      <c r="A308" s="263">
        <v>190</v>
      </c>
      <c r="I308" s="255">
        <v>155</v>
      </c>
    </row>
    <row r="309" spans="1:9" ht="16.5" thickBot="1">
      <c r="A309" s="263">
        <v>191</v>
      </c>
      <c r="I309" s="255">
        <v>155</v>
      </c>
    </row>
    <row r="310" spans="1:9" ht="16.5" thickBot="1">
      <c r="A310" s="266">
        <v>192</v>
      </c>
      <c r="I310" s="255">
        <v>155</v>
      </c>
    </row>
    <row r="311" spans="1:9" ht="16.5" thickBot="1">
      <c r="A311" s="263">
        <v>193</v>
      </c>
      <c r="I311" s="255">
        <v>155</v>
      </c>
    </row>
    <row r="312" spans="1:9" ht="16.5" thickBot="1">
      <c r="A312" s="263">
        <v>194</v>
      </c>
      <c r="I312" s="255">
        <v>155</v>
      </c>
    </row>
    <row r="313" spans="1:9" ht="16.5" thickBot="1">
      <c r="A313" s="266">
        <v>195</v>
      </c>
      <c r="I313" s="255">
        <v>155</v>
      </c>
    </row>
    <row r="314" spans="1:9" ht="16.5" thickBot="1">
      <c r="A314" s="263">
        <v>196</v>
      </c>
      <c r="I314" s="255">
        <v>155</v>
      </c>
    </row>
    <row r="315" spans="1:9" ht="16.5" thickBot="1">
      <c r="A315" s="263">
        <v>197</v>
      </c>
      <c r="I315" s="255">
        <v>155</v>
      </c>
    </row>
    <row r="316" spans="1:9" ht="16.5" thickBot="1">
      <c r="A316" s="266">
        <v>198</v>
      </c>
      <c r="I316" s="255">
        <v>155</v>
      </c>
    </row>
    <row r="317" spans="1:9" ht="16.5" thickBot="1">
      <c r="A317" s="263">
        <v>199</v>
      </c>
      <c r="I317" s="255">
        <v>155</v>
      </c>
    </row>
    <row r="318" spans="1:9" ht="16.5" thickBot="1">
      <c r="A318" s="263">
        <v>200</v>
      </c>
      <c r="I318" s="255">
        <v>155</v>
      </c>
    </row>
    <row r="319" spans="1:9" ht="16.5" thickBot="1">
      <c r="A319" s="266">
        <v>201</v>
      </c>
      <c r="I319" s="255">
        <v>155</v>
      </c>
    </row>
    <row r="320" spans="1:9" ht="16.5" thickBot="1">
      <c r="A320" s="263">
        <v>202</v>
      </c>
      <c r="I320" s="255">
        <v>155</v>
      </c>
    </row>
    <row r="321" spans="1:9" ht="16.5" thickBot="1">
      <c r="A321" s="263">
        <v>203</v>
      </c>
      <c r="I321" s="255">
        <v>155</v>
      </c>
    </row>
    <row r="322" spans="1:9" ht="16.5" thickBot="1">
      <c r="A322" s="266">
        <v>204</v>
      </c>
      <c r="I322" s="255">
        <v>155</v>
      </c>
    </row>
    <row r="323" spans="1:9" ht="16.5" thickBot="1">
      <c r="A323" s="263">
        <v>205</v>
      </c>
      <c r="I323" s="255">
        <v>155</v>
      </c>
    </row>
    <row r="324" spans="1:9" ht="16.5" thickBot="1">
      <c r="A324" s="263">
        <v>206</v>
      </c>
      <c r="I324" s="255">
        <v>155</v>
      </c>
    </row>
    <row r="325" spans="1:9" ht="16.5" thickBot="1">
      <c r="A325" s="266">
        <v>207</v>
      </c>
      <c r="I325" s="255">
        <v>155</v>
      </c>
    </row>
    <row r="326" spans="1:9" ht="16.5" thickBot="1">
      <c r="A326" s="263">
        <v>208</v>
      </c>
      <c r="I326" s="255">
        <v>155</v>
      </c>
    </row>
    <row r="327" spans="1:9" ht="16.5" thickBot="1">
      <c r="A327" s="263">
        <v>209</v>
      </c>
      <c r="I327" s="255">
        <v>155</v>
      </c>
    </row>
    <row r="328" spans="1:9" ht="16.5" thickBot="1">
      <c r="A328" s="266"/>
      <c r="I328" s="255"/>
    </row>
    <row r="329" spans="1:9" ht="16.5" thickBot="1">
      <c r="A329" s="263"/>
      <c r="I329" s="255"/>
    </row>
    <row r="330" spans="1:9" ht="16.5" thickBot="1">
      <c r="A330" s="263"/>
      <c r="I330" s="255"/>
    </row>
    <row r="331" spans="1:9" ht="16.5" thickBot="1">
      <c r="A331" s="266"/>
      <c r="I331" s="255"/>
    </row>
    <row r="332" spans="1:9" ht="16.5" thickBot="1">
      <c r="A332" s="263"/>
      <c r="I332" s="255"/>
    </row>
    <row r="333" spans="1:9" ht="16.5" thickBot="1">
      <c r="A333" s="263"/>
      <c r="I333" s="255"/>
    </row>
    <row r="334" spans="1:9" ht="16.5" thickBot="1">
      <c r="A334" s="266"/>
      <c r="I334" s="255"/>
    </row>
    <row r="335" spans="1:9" ht="16.5" thickBot="1">
      <c r="A335" s="263"/>
      <c r="I335" s="255"/>
    </row>
    <row r="336" spans="1:9" ht="16.5" thickBot="1">
      <c r="A336" s="263"/>
      <c r="I336" s="255"/>
    </row>
    <row r="337" spans="1:9" ht="16.5" thickBot="1">
      <c r="A337" s="266"/>
      <c r="I337" s="255"/>
    </row>
    <row r="338" spans="1:9" ht="16.5" thickBot="1">
      <c r="A338" s="263"/>
      <c r="I338" s="255"/>
    </row>
    <row r="339" spans="1:9" ht="16.5" thickBot="1">
      <c r="A339" s="263"/>
      <c r="I339" s="255"/>
    </row>
  </sheetData>
  <mergeCells count="13">
    <mergeCell ref="A1:H1"/>
    <mergeCell ref="A11:G11"/>
    <mergeCell ref="A14:D14"/>
    <mergeCell ref="A23:D23"/>
    <mergeCell ref="A27:D27"/>
    <mergeCell ref="B7:E7"/>
    <mergeCell ref="F7:I7"/>
    <mergeCell ref="A110:F110"/>
    <mergeCell ref="G63:K63"/>
    <mergeCell ref="A48:E48"/>
    <mergeCell ref="A49:B49"/>
    <mergeCell ref="A32:E32"/>
    <mergeCell ref="A38:D38"/>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workbookViewId="0">
      <selection activeCell="E17" sqref="E17"/>
    </sheetView>
  </sheetViews>
  <sheetFormatPr baseColWidth="10" defaultRowHeight="15.75"/>
  <cols>
    <col min="1" max="1" width="13.125" bestFit="1" customWidth="1"/>
    <col min="2" max="2" width="11.375" customWidth="1"/>
    <col min="3" max="3" width="13.125" bestFit="1" customWidth="1"/>
    <col min="6" max="6" width="11.5" bestFit="1" customWidth="1"/>
    <col min="10" max="10" width="17.625" bestFit="1" customWidth="1"/>
  </cols>
  <sheetData>
    <row r="1" spans="1:18" ht="15" customHeight="1">
      <c r="A1" s="360" t="s">
        <v>5</v>
      </c>
      <c r="B1" s="360"/>
      <c r="C1" s="360"/>
      <c r="D1" s="360"/>
      <c r="E1" s="360"/>
      <c r="F1" s="360"/>
      <c r="G1" s="360"/>
      <c r="H1" s="360"/>
      <c r="I1" s="360"/>
      <c r="J1" s="360" t="e">
        <f>D4+D6+D8+E11+E20+E28+F32+F41</f>
        <v>#VALUE!</v>
      </c>
      <c r="K1" s="230"/>
      <c r="L1" s="230"/>
      <c r="M1" s="230"/>
      <c r="N1" s="230"/>
      <c r="O1" s="230"/>
      <c r="P1" s="230"/>
      <c r="Q1" s="230"/>
      <c r="R1" s="230"/>
    </row>
    <row r="2" spans="1:18" ht="15" customHeight="1">
      <c r="A2" s="360"/>
      <c r="B2" s="360"/>
      <c r="C2" s="360"/>
      <c r="D2" s="360"/>
      <c r="E2" s="360"/>
      <c r="F2" s="360"/>
      <c r="G2" s="360"/>
      <c r="H2" s="360"/>
      <c r="I2" s="360"/>
      <c r="J2" s="360"/>
      <c r="K2" s="230"/>
      <c r="L2" s="230"/>
      <c r="M2" s="230"/>
      <c r="N2" s="230"/>
      <c r="O2" s="230"/>
      <c r="P2" s="230"/>
      <c r="Q2" s="230"/>
      <c r="R2" s="230"/>
    </row>
    <row r="3" spans="1:18">
      <c r="A3" s="230"/>
      <c r="B3" s="230"/>
      <c r="C3" s="230"/>
      <c r="D3" s="230"/>
      <c r="E3" s="230"/>
      <c r="F3" s="230"/>
      <c r="G3" s="230"/>
      <c r="H3" s="230"/>
      <c r="I3" s="230"/>
      <c r="J3" s="230"/>
      <c r="K3" s="230"/>
      <c r="L3" s="230"/>
      <c r="M3" s="230"/>
      <c r="N3" s="230"/>
      <c r="O3" s="230"/>
      <c r="P3" s="230"/>
      <c r="Q3" s="230"/>
      <c r="R3" s="230"/>
    </row>
    <row r="4" spans="1:18" ht="30" customHeight="1">
      <c r="A4" s="345" t="s">
        <v>478</v>
      </c>
      <c r="B4" s="345"/>
      <c r="C4" s="345"/>
      <c r="D4" s="106"/>
      <c r="E4" t="s">
        <v>481</v>
      </c>
      <c r="F4" s="372" t="s">
        <v>527</v>
      </c>
      <c r="G4" s="372"/>
      <c r="H4" s="372"/>
      <c r="I4" s="372"/>
      <c r="J4" s="372"/>
      <c r="K4" s="372"/>
      <c r="L4" s="372"/>
      <c r="M4" s="372"/>
      <c r="N4" s="372"/>
      <c r="O4" s="372"/>
      <c r="P4" s="372"/>
      <c r="Q4" s="372"/>
      <c r="R4" s="372"/>
    </row>
    <row r="5" spans="1:18">
      <c r="A5" s="230"/>
      <c r="B5" s="230"/>
      <c r="C5" s="230"/>
      <c r="D5" s="230"/>
      <c r="E5" s="230"/>
      <c r="F5" s="231"/>
      <c r="G5" s="231"/>
      <c r="H5" s="231"/>
      <c r="I5" s="231"/>
      <c r="J5" s="231"/>
      <c r="K5" s="231"/>
      <c r="L5" s="231"/>
      <c r="M5" s="231"/>
      <c r="N5" s="231"/>
      <c r="O5" s="231"/>
      <c r="P5" s="231"/>
      <c r="Q5" s="231"/>
      <c r="R5" s="231"/>
    </row>
    <row r="6" spans="1:18">
      <c r="A6" s="345" t="s">
        <v>479</v>
      </c>
      <c r="B6" s="345"/>
      <c r="C6" s="345"/>
      <c r="D6" s="106"/>
      <c r="E6" t="s">
        <v>481</v>
      </c>
      <c r="F6" s="373" t="s">
        <v>526</v>
      </c>
      <c r="G6" s="373"/>
      <c r="H6" s="373"/>
      <c r="I6" s="373"/>
      <c r="J6" s="373"/>
      <c r="K6" s="373"/>
      <c r="L6" s="373"/>
      <c r="M6" s="373"/>
      <c r="N6" s="373"/>
      <c r="O6" s="373"/>
      <c r="P6" s="373"/>
      <c r="Q6" s="373"/>
      <c r="R6" s="373"/>
    </row>
    <row r="7" spans="1:18">
      <c r="A7" s="230"/>
      <c r="B7" s="230"/>
      <c r="C7" s="230"/>
      <c r="D7" s="230"/>
      <c r="E7" s="230"/>
      <c r="F7" s="231"/>
      <c r="G7" s="231"/>
      <c r="H7" s="231"/>
      <c r="I7" s="231"/>
      <c r="J7" s="231"/>
      <c r="K7" s="231"/>
      <c r="L7" s="231"/>
      <c r="M7" s="231"/>
      <c r="N7" s="231"/>
      <c r="O7" s="231"/>
      <c r="P7" s="231"/>
      <c r="Q7" s="231"/>
      <c r="R7" s="231"/>
    </row>
    <row r="8" spans="1:18">
      <c r="A8" s="345" t="s">
        <v>480</v>
      </c>
      <c r="B8" s="345"/>
      <c r="C8" s="345"/>
      <c r="D8" s="106"/>
      <c r="E8" t="s">
        <v>481</v>
      </c>
      <c r="F8" s="373" t="s">
        <v>526</v>
      </c>
      <c r="G8" s="373"/>
      <c r="H8" s="373"/>
      <c r="I8" s="373"/>
      <c r="J8" s="373"/>
      <c r="K8" s="373"/>
      <c r="L8" s="373"/>
      <c r="M8" s="373"/>
      <c r="N8" s="373"/>
      <c r="O8" s="373"/>
      <c r="P8" s="373"/>
      <c r="Q8" s="373"/>
      <c r="R8" s="373"/>
    </row>
    <row r="9" spans="1:18">
      <c r="A9" s="230"/>
      <c r="B9" s="230"/>
      <c r="C9" s="230"/>
      <c r="D9" s="230"/>
      <c r="E9" s="230"/>
      <c r="F9" s="230"/>
      <c r="G9" s="230"/>
      <c r="H9" s="230"/>
      <c r="I9" s="230"/>
      <c r="J9" s="230"/>
      <c r="K9" s="230"/>
      <c r="L9" s="230"/>
      <c r="M9" s="230"/>
      <c r="N9" s="230"/>
      <c r="O9" s="230"/>
      <c r="P9" s="230"/>
      <c r="Q9" s="230"/>
      <c r="R9" s="230"/>
    </row>
    <row r="10" spans="1:18">
      <c r="A10" s="230"/>
      <c r="B10" s="230"/>
      <c r="C10" s="230"/>
      <c r="D10" s="230"/>
      <c r="E10" s="230"/>
      <c r="F10" s="230"/>
      <c r="G10" s="230"/>
      <c r="H10" s="230"/>
      <c r="I10" s="230"/>
      <c r="J10" s="230"/>
      <c r="K10" s="230"/>
      <c r="L10" s="230"/>
      <c r="M10" s="230"/>
      <c r="N10" s="230"/>
      <c r="O10" s="230"/>
      <c r="P10" s="230"/>
      <c r="Q10" s="230"/>
      <c r="R10" s="230"/>
    </row>
    <row r="11" spans="1:18">
      <c r="A11" s="345" t="s">
        <v>482</v>
      </c>
      <c r="B11" s="345"/>
      <c r="C11" s="345"/>
      <c r="D11" s="345"/>
      <c r="E11" s="106" t="str">
        <f>AUX!E15</f>
        <v/>
      </c>
      <c r="F11" s="230" t="s">
        <v>697</v>
      </c>
      <c r="G11" s="230"/>
      <c r="H11" s="230"/>
      <c r="I11" s="230"/>
      <c r="J11" s="230"/>
      <c r="K11" s="230"/>
      <c r="L11" s="230"/>
      <c r="M11" s="230"/>
      <c r="N11" s="230"/>
      <c r="O11" s="230"/>
      <c r="P11" s="230"/>
      <c r="Q11" s="230"/>
      <c r="R11" s="230"/>
    </row>
    <row r="12" spans="1:18">
      <c r="A12" s="127" t="s">
        <v>483</v>
      </c>
      <c r="B12" s="106"/>
      <c r="C12" s="127" t="s">
        <v>490</v>
      </c>
      <c r="D12" s="106"/>
      <c r="E12" s="237"/>
      <c r="F12" s="374" t="s">
        <v>528</v>
      </c>
      <c r="G12" s="374"/>
      <c r="H12" s="374"/>
      <c r="I12" s="374"/>
      <c r="J12" s="374"/>
      <c r="K12" s="374"/>
      <c r="L12" s="374"/>
      <c r="M12" s="230"/>
      <c r="N12" s="230"/>
      <c r="O12" s="230"/>
      <c r="P12" s="230"/>
      <c r="Q12" s="230"/>
      <c r="R12" s="230"/>
    </row>
    <row r="13" spans="1:18">
      <c r="A13" s="127" t="s">
        <v>484</v>
      </c>
      <c r="B13" s="106"/>
      <c r="C13" s="127" t="s">
        <v>491</v>
      </c>
      <c r="D13" s="106"/>
      <c r="E13" s="230"/>
      <c r="F13" s="230" t="s">
        <v>698</v>
      </c>
      <c r="G13" s="230"/>
      <c r="H13" s="230"/>
      <c r="I13" s="230"/>
      <c r="J13" s="230"/>
      <c r="K13" s="230"/>
      <c r="L13" s="230"/>
      <c r="M13" s="230"/>
      <c r="N13" s="230"/>
      <c r="O13" s="230"/>
      <c r="P13" s="230"/>
      <c r="Q13" s="230"/>
      <c r="R13" s="230"/>
    </row>
    <row r="14" spans="1:18">
      <c r="A14" s="127" t="s">
        <v>485</v>
      </c>
      <c r="B14" s="106"/>
      <c r="C14" s="127" t="s">
        <v>492</v>
      </c>
      <c r="D14" s="106"/>
      <c r="E14" s="230"/>
      <c r="F14" s="230"/>
      <c r="G14" s="230"/>
      <c r="H14" s="230"/>
      <c r="I14" s="230"/>
      <c r="J14" s="230"/>
      <c r="K14" s="230"/>
      <c r="L14" s="230"/>
      <c r="M14" s="230"/>
      <c r="N14" s="230"/>
      <c r="O14" s="230"/>
      <c r="P14" s="230"/>
      <c r="Q14" s="230"/>
      <c r="R14" s="230"/>
    </row>
    <row r="15" spans="1:18">
      <c r="A15" s="127" t="s">
        <v>486</v>
      </c>
      <c r="B15" s="106"/>
      <c r="C15" s="127" t="s">
        <v>493</v>
      </c>
      <c r="D15" s="106"/>
      <c r="E15" s="230"/>
      <c r="F15" s="230"/>
      <c r="G15" s="230"/>
      <c r="H15" s="230"/>
      <c r="I15" s="230"/>
      <c r="J15" s="230"/>
      <c r="K15" s="230"/>
      <c r="L15" s="230"/>
      <c r="M15" s="230"/>
      <c r="N15" s="230"/>
      <c r="O15" s="230"/>
      <c r="P15" s="230"/>
      <c r="Q15" s="230"/>
      <c r="R15" s="230"/>
    </row>
    <row r="16" spans="1:18">
      <c r="A16" s="127" t="s">
        <v>487</v>
      </c>
      <c r="B16" s="106"/>
      <c r="C16" s="127" t="s">
        <v>494</v>
      </c>
      <c r="D16" s="106"/>
      <c r="E16" s="230"/>
      <c r="F16" s="230"/>
      <c r="G16" s="230"/>
      <c r="H16" s="230"/>
      <c r="I16" s="230"/>
      <c r="J16" s="230"/>
      <c r="K16" s="230"/>
      <c r="L16" s="230"/>
      <c r="M16" s="230"/>
      <c r="N16" s="230"/>
      <c r="O16" s="230"/>
      <c r="P16" s="230"/>
      <c r="Q16" s="230"/>
      <c r="R16" s="230"/>
    </row>
    <row r="17" spans="1:18">
      <c r="A17" s="127" t="s">
        <v>488</v>
      </c>
      <c r="B17" s="106"/>
      <c r="C17" s="127" t="s">
        <v>496</v>
      </c>
      <c r="D17" s="106"/>
      <c r="E17" s="230"/>
      <c r="F17" s="230"/>
      <c r="G17" s="230"/>
      <c r="H17" s="230"/>
      <c r="I17" s="230"/>
      <c r="J17" s="230"/>
      <c r="K17" s="230"/>
      <c r="L17" s="230"/>
      <c r="M17" s="230"/>
      <c r="N17" s="230"/>
      <c r="O17" s="230"/>
      <c r="P17" s="230"/>
      <c r="Q17" s="230"/>
      <c r="R17" s="230"/>
    </row>
    <row r="18" spans="1:18">
      <c r="A18" s="127" t="s">
        <v>489</v>
      </c>
      <c r="B18" s="106"/>
      <c r="C18" s="127" t="s">
        <v>495</v>
      </c>
      <c r="D18" s="106"/>
      <c r="E18" s="230"/>
      <c r="F18" s="230"/>
      <c r="G18" s="230"/>
      <c r="H18" s="230"/>
      <c r="I18" s="230"/>
      <c r="J18" s="230"/>
      <c r="K18" s="230"/>
      <c r="L18" s="230"/>
      <c r="M18" s="230"/>
      <c r="N18" s="230"/>
      <c r="O18" s="230"/>
      <c r="P18" s="230"/>
      <c r="Q18" s="230"/>
      <c r="R18" s="230"/>
    </row>
    <row r="19" spans="1:18">
      <c r="A19" s="233"/>
      <c r="B19" s="230"/>
      <c r="C19" s="230"/>
      <c r="D19" s="230"/>
      <c r="E19" s="230"/>
      <c r="F19" s="230"/>
      <c r="G19" s="230"/>
      <c r="H19" s="230"/>
      <c r="I19" s="230"/>
      <c r="J19" s="230"/>
      <c r="K19" s="230"/>
      <c r="L19" s="230"/>
      <c r="M19" s="230"/>
      <c r="N19" s="230"/>
      <c r="O19" s="230"/>
      <c r="P19" s="230"/>
      <c r="Q19" s="230"/>
      <c r="R19" s="230"/>
    </row>
    <row r="20" spans="1:18">
      <c r="A20" s="345" t="s">
        <v>482</v>
      </c>
      <c r="B20" s="345"/>
      <c r="C20" s="345"/>
      <c r="D20" s="345"/>
      <c r="E20" s="7">
        <f>AUX!B24</f>
        <v>2</v>
      </c>
      <c r="F20" s="370" t="s">
        <v>545</v>
      </c>
      <c r="G20" s="371"/>
      <c r="H20" s="371"/>
      <c r="I20" s="230"/>
      <c r="J20" s="230"/>
      <c r="K20" s="230"/>
      <c r="L20" s="230"/>
      <c r="M20" s="230"/>
      <c r="N20" s="230"/>
      <c r="O20" s="230"/>
      <c r="P20" s="230"/>
      <c r="Q20" s="230"/>
      <c r="R20" s="230"/>
    </row>
    <row r="21" spans="1:18">
      <c r="A21" s="127" t="s">
        <v>497</v>
      </c>
      <c r="B21" s="106"/>
      <c r="C21" s="127" t="s">
        <v>503</v>
      </c>
      <c r="D21" s="106"/>
      <c r="E21" s="230"/>
      <c r="F21" s="230" t="s">
        <v>529</v>
      </c>
      <c r="G21" s="230"/>
      <c r="H21" s="230"/>
      <c r="I21" s="230"/>
      <c r="J21" s="230"/>
      <c r="K21" s="230"/>
      <c r="L21" s="230"/>
      <c r="M21" s="230"/>
      <c r="N21" s="230"/>
      <c r="O21" s="230"/>
      <c r="P21" s="230"/>
      <c r="Q21" s="230"/>
      <c r="R21" s="230"/>
    </row>
    <row r="22" spans="1:18">
      <c r="A22" s="127" t="s">
        <v>498</v>
      </c>
      <c r="B22" s="106"/>
      <c r="C22" s="127" t="s">
        <v>504</v>
      </c>
      <c r="D22" s="106"/>
      <c r="E22" s="230"/>
      <c r="F22" s="230"/>
      <c r="G22" s="230"/>
      <c r="H22" s="230"/>
      <c r="I22" s="230"/>
      <c r="J22" s="230"/>
      <c r="K22" s="230"/>
      <c r="L22" s="230"/>
      <c r="M22" s="230"/>
      <c r="N22" s="230"/>
      <c r="O22" s="230"/>
      <c r="P22" s="230"/>
      <c r="Q22" s="230"/>
      <c r="R22" s="230"/>
    </row>
    <row r="23" spans="1:18">
      <c r="A23" s="127" t="s">
        <v>499</v>
      </c>
      <c r="B23" s="106"/>
      <c r="C23" s="127" t="s">
        <v>505</v>
      </c>
      <c r="D23" s="106"/>
      <c r="E23" s="230"/>
      <c r="F23" s="230"/>
      <c r="G23" s="230"/>
      <c r="H23" s="230"/>
      <c r="I23" s="230"/>
      <c r="J23" s="230"/>
      <c r="K23" s="230"/>
      <c r="L23" s="230"/>
      <c r="M23" s="230"/>
      <c r="N23" s="230"/>
      <c r="O23" s="230"/>
      <c r="P23" s="230"/>
      <c r="Q23" s="230"/>
      <c r="R23" s="230"/>
    </row>
    <row r="24" spans="1:18">
      <c r="A24" s="127" t="s">
        <v>500</v>
      </c>
      <c r="B24" s="106"/>
      <c r="C24" s="127" t="s">
        <v>506</v>
      </c>
      <c r="D24" s="106"/>
      <c r="E24" s="230"/>
      <c r="F24" s="230"/>
      <c r="G24" s="230"/>
      <c r="H24" s="230"/>
      <c r="I24" s="230"/>
      <c r="J24" s="230"/>
      <c r="K24" s="230"/>
      <c r="L24" s="230"/>
      <c r="M24" s="230"/>
      <c r="N24" s="230"/>
      <c r="O24" s="230"/>
      <c r="P24" s="230"/>
      <c r="Q24" s="230"/>
      <c r="R24" s="230"/>
    </row>
    <row r="25" spans="1:18">
      <c r="A25" s="127" t="s">
        <v>501</v>
      </c>
      <c r="B25" s="106"/>
      <c r="C25" s="127" t="s">
        <v>507</v>
      </c>
      <c r="D25" s="106"/>
      <c r="E25" s="230"/>
      <c r="F25" s="230"/>
      <c r="G25" s="230"/>
      <c r="H25" s="230"/>
      <c r="I25" s="230"/>
      <c r="J25" s="230"/>
      <c r="K25" s="230"/>
      <c r="L25" s="230"/>
      <c r="M25" s="230"/>
      <c r="N25" s="230"/>
      <c r="O25" s="230"/>
      <c r="P25" s="230"/>
      <c r="Q25" s="230"/>
      <c r="R25" s="230"/>
    </row>
    <row r="26" spans="1:18">
      <c r="A26" s="127" t="s">
        <v>502</v>
      </c>
      <c r="B26" s="106"/>
      <c r="C26" s="127" t="s">
        <v>508</v>
      </c>
      <c r="D26" s="106"/>
      <c r="E26" s="230"/>
      <c r="F26" s="230"/>
      <c r="G26" s="230"/>
      <c r="H26" s="230"/>
      <c r="I26" s="230"/>
      <c r="J26" s="230"/>
      <c r="K26" s="230"/>
      <c r="L26" s="230"/>
      <c r="M26" s="230"/>
      <c r="N26" s="230"/>
      <c r="O26" s="230"/>
      <c r="P26" s="230"/>
      <c r="Q26" s="230"/>
      <c r="R26" s="230"/>
    </row>
    <row r="27" spans="1:18">
      <c r="A27" s="234"/>
      <c r="B27" s="230"/>
      <c r="C27" s="230"/>
      <c r="D27" s="230"/>
      <c r="E27" s="230"/>
      <c r="F27" s="230"/>
      <c r="G27" s="230"/>
      <c r="H27" s="230"/>
      <c r="I27" s="230"/>
      <c r="J27" s="230"/>
      <c r="K27" s="230"/>
      <c r="L27" s="230"/>
      <c r="M27" s="230"/>
      <c r="N27" s="230"/>
      <c r="O27" s="230"/>
      <c r="P27" s="230"/>
      <c r="Q27" s="230"/>
      <c r="R27" s="230"/>
    </row>
    <row r="28" spans="1:18">
      <c r="A28" s="345" t="s">
        <v>509</v>
      </c>
      <c r="B28" s="345"/>
      <c r="C28" s="345"/>
      <c r="D28" s="345"/>
      <c r="E28" s="7">
        <f>AUX!E28</f>
        <v>0</v>
      </c>
      <c r="F28" s="232" t="s">
        <v>547</v>
      </c>
      <c r="G28" s="230"/>
      <c r="H28" s="230"/>
      <c r="I28" s="230"/>
      <c r="J28" s="230"/>
      <c r="K28" s="230"/>
      <c r="L28" s="230"/>
      <c r="M28" s="230"/>
      <c r="N28" s="230"/>
      <c r="O28" s="230"/>
      <c r="P28" s="230"/>
      <c r="Q28" s="230"/>
      <c r="R28" s="230"/>
    </row>
    <row r="29" spans="1:18">
      <c r="A29" s="127" t="s">
        <v>510</v>
      </c>
      <c r="B29" s="106"/>
      <c r="C29" s="127" t="s">
        <v>512</v>
      </c>
      <c r="D29" s="106"/>
      <c r="E29" s="230"/>
      <c r="F29" s="230"/>
      <c r="G29" s="230"/>
      <c r="H29" s="230"/>
      <c r="I29" s="230"/>
      <c r="J29" s="230"/>
      <c r="K29" s="230"/>
      <c r="L29" s="230"/>
      <c r="M29" s="230"/>
      <c r="N29" s="230"/>
      <c r="O29" s="230"/>
      <c r="P29" s="230"/>
      <c r="Q29" s="230"/>
      <c r="R29" s="230"/>
    </row>
    <row r="30" spans="1:18">
      <c r="A30" s="127" t="s">
        <v>511</v>
      </c>
      <c r="B30" s="106"/>
      <c r="C30" s="127" t="s">
        <v>513</v>
      </c>
      <c r="D30" s="106"/>
      <c r="E30" s="230"/>
      <c r="F30" s="230"/>
      <c r="G30" s="230"/>
      <c r="H30" s="230"/>
      <c r="I30" s="230"/>
      <c r="J30" s="230"/>
      <c r="K30" s="230"/>
      <c r="L30" s="230"/>
      <c r="M30" s="230"/>
      <c r="N30" s="230"/>
      <c r="O30" s="230"/>
      <c r="P30" s="230"/>
      <c r="Q30" s="230"/>
      <c r="R30" s="230"/>
    </row>
    <row r="31" spans="1:18">
      <c r="A31" s="230"/>
      <c r="B31" s="230"/>
      <c r="C31" s="230"/>
      <c r="D31" s="7"/>
      <c r="E31" s="230"/>
      <c r="F31" s="230"/>
      <c r="G31" s="230"/>
      <c r="H31" s="230"/>
      <c r="I31" s="230"/>
      <c r="J31" s="230"/>
      <c r="K31" s="230"/>
      <c r="L31" s="230"/>
      <c r="M31" s="230"/>
      <c r="N31" s="230"/>
      <c r="O31" s="230"/>
      <c r="P31" s="230"/>
      <c r="Q31" s="230"/>
      <c r="R31" s="230"/>
    </row>
    <row r="32" spans="1:18">
      <c r="A32" s="345" t="s">
        <v>514</v>
      </c>
      <c r="B32" s="345"/>
      <c r="C32" s="345"/>
      <c r="D32" s="345"/>
      <c r="E32" s="345"/>
      <c r="F32" s="7">
        <f>AUX!B35</f>
        <v>0</v>
      </c>
      <c r="G32" s="236"/>
      <c r="H32" s="230"/>
      <c r="I32" s="230"/>
      <c r="J32" s="230"/>
      <c r="K32" s="230"/>
      <c r="L32" s="230"/>
      <c r="M32" s="230"/>
      <c r="N32" s="230"/>
      <c r="O32" s="230"/>
      <c r="P32" s="230"/>
      <c r="Q32" s="230"/>
      <c r="R32" s="230"/>
    </row>
    <row r="33" spans="1:18">
      <c r="A33" s="130"/>
      <c r="B33" s="130"/>
      <c r="C33" s="130"/>
      <c r="D33" s="131" t="s">
        <v>531</v>
      </c>
      <c r="E33" s="131" t="s">
        <v>532</v>
      </c>
      <c r="F33" s="131" t="s">
        <v>730</v>
      </c>
      <c r="G33" s="230" t="s">
        <v>731</v>
      </c>
      <c r="H33" s="230"/>
      <c r="I33" s="230"/>
      <c r="J33" s="230"/>
      <c r="K33" s="230"/>
      <c r="L33" s="230"/>
      <c r="M33" s="230"/>
      <c r="N33" s="230"/>
      <c r="O33" s="230"/>
      <c r="P33" s="230"/>
      <c r="Q33" s="230"/>
      <c r="R33" s="230"/>
    </row>
    <row r="34" spans="1:18">
      <c r="A34" s="344" t="s">
        <v>515</v>
      </c>
      <c r="B34" s="344"/>
      <c r="C34" s="344"/>
      <c r="D34" s="132"/>
      <c r="E34" s="132"/>
      <c r="F34" s="305"/>
      <c r="G34" s="235"/>
      <c r="H34" s="230"/>
      <c r="I34" s="230"/>
      <c r="J34" s="230"/>
      <c r="K34" s="230"/>
      <c r="L34" s="230"/>
      <c r="M34" s="230"/>
      <c r="N34" s="230"/>
      <c r="O34" s="230"/>
      <c r="P34" s="230"/>
      <c r="Q34" s="230"/>
      <c r="R34" s="230"/>
    </row>
    <row r="35" spans="1:18">
      <c r="A35" s="344" t="s">
        <v>516</v>
      </c>
      <c r="B35" s="344"/>
      <c r="C35" s="344"/>
      <c r="D35" s="132"/>
      <c r="E35" s="132"/>
      <c r="F35" s="305"/>
      <c r="G35" s="230"/>
      <c r="H35" s="230"/>
      <c r="I35" s="230"/>
      <c r="J35" s="230"/>
      <c r="K35" s="230"/>
      <c r="L35" s="230"/>
      <c r="M35" s="230"/>
      <c r="N35" s="230"/>
      <c r="O35" s="230"/>
      <c r="P35" s="230"/>
      <c r="Q35" s="230"/>
      <c r="R35" s="230"/>
    </row>
    <row r="36" spans="1:18">
      <c r="A36" s="344" t="s">
        <v>517</v>
      </c>
      <c r="B36" s="344"/>
      <c r="C36" s="344"/>
      <c r="D36" s="132"/>
      <c r="E36" s="132"/>
      <c r="F36" s="305"/>
      <c r="G36" s="230"/>
      <c r="H36" s="230"/>
      <c r="I36" s="230"/>
      <c r="J36" s="230"/>
      <c r="K36" s="230"/>
      <c r="L36" s="230"/>
      <c r="M36" s="230"/>
      <c r="N36" s="230"/>
      <c r="O36" s="230"/>
      <c r="P36" s="230"/>
      <c r="Q36" s="230"/>
      <c r="R36" s="230"/>
    </row>
    <row r="37" spans="1:18">
      <c r="A37" s="230"/>
      <c r="B37" s="230"/>
      <c r="C37" s="230"/>
      <c r="D37" s="230"/>
      <c r="E37" s="230"/>
      <c r="F37" s="230"/>
      <c r="G37" s="230"/>
      <c r="H37" s="230"/>
      <c r="I37" s="230"/>
      <c r="J37" s="230"/>
      <c r="K37" s="230"/>
      <c r="L37" s="230"/>
      <c r="M37" s="230"/>
      <c r="N37" s="230"/>
      <c r="O37" s="230"/>
      <c r="P37" s="230"/>
      <c r="Q37" s="230"/>
      <c r="R37" s="230"/>
    </row>
    <row r="38" spans="1:18">
      <c r="A38" s="345" t="s">
        <v>518</v>
      </c>
      <c r="B38" s="345"/>
      <c r="C38" s="345"/>
      <c r="D38" s="345"/>
      <c r="F38" s="230"/>
      <c r="G38" s="230"/>
      <c r="H38" s="230"/>
      <c r="I38" s="230"/>
      <c r="J38" s="230"/>
      <c r="K38" s="230"/>
      <c r="L38" s="230"/>
      <c r="M38" s="230"/>
      <c r="N38" s="230"/>
      <c r="O38" s="230"/>
      <c r="P38" s="230"/>
      <c r="Q38" s="230"/>
      <c r="R38" s="230"/>
    </row>
    <row r="39" spans="1:18">
      <c r="A39" s="70" t="s">
        <v>519</v>
      </c>
      <c r="B39" s="70"/>
      <c r="C39" s="70"/>
      <c r="D39" s="70"/>
      <c r="E39" s="230" t="s">
        <v>534</v>
      </c>
      <c r="F39" s="230"/>
      <c r="G39" s="230"/>
      <c r="H39" s="230"/>
      <c r="I39" s="230"/>
      <c r="J39" s="230"/>
      <c r="K39" s="230"/>
      <c r="L39" s="230"/>
      <c r="M39" s="230"/>
      <c r="N39" s="230"/>
      <c r="O39" s="230"/>
      <c r="P39" s="230"/>
      <c r="Q39" s="230"/>
      <c r="R39" s="230"/>
    </row>
    <row r="40" spans="1:18">
      <c r="A40" s="375" t="s">
        <v>520</v>
      </c>
      <c r="B40" s="375"/>
      <c r="C40" s="375"/>
      <c r="D40" s="70"/>
      <c r="E40" s="230" t="s">
        <v>538</v>
      </c>
      <c r="F40" s="230"/>
      <c r="G40" s="230"/>
      <c r="H40" s="230"/>
      <c r="I40" s="230"/>
      <c r="J40" s="230"/>
      <c r="K40" s="230"/>
      <c r="L40" s="230"/>
      <c r="M40" s="230"/>
      <c r="N40" s="230"/>
      <c r="O40" s="230"/>
      <c r="P40" s="230"/>
      <c r="Q40" s="230"/>
      <c r="R40" s="230"/>
    </row>
    <row r="41" spans="1:18">
      <c r="A41" s="70"/>
      <c r="B41" s="70"/>
      <c r="C41" s="131" t="s">
        <v>535</v>
      </c>
      <c r="D41" s="131" t="s">
        <v>536</v>
      </c>
      <c r="E41" s="131" t="s">
        <v>537</v>
      </c>
      <c r="F41" s="7">
        <f>AUX!D41</f>
        <v>0</v>
      </c>
      <c r="G41" s="230"/>
      <c r="H41" s="230"/>
      <c r="I41" s="230"/>
      <c r="J41" s="230"/>
      <c r="K41" s="230"/>
      <c r="L41" s="230"/>
      <c r="M41" s="230"/>
      <c r="N41" s="230"/>
      <c r="O41" s="230"/>
      <c r="P41" s="230"/>
      <c r="Q41" s="230"/>
      <c r="R41" s="230"/>
    </row>
    <row r="42" spans="1:18">
      <c r="A42" s="344" t="s">
        <v>521</v>
      </c>
      <c r="B42" s="344"/>
      <c r="C42" s="106"/>
      <c r="D42" s="106"/>
      <c r="E42" s="106"/>
      <c r="F42" s="235" t="str">
        <f>AUX!K40</f>
        <v/>
      </c>
      <c r="G42" s="230"/>
      <c r="H42" s="230"/>
      <c r="I42" s="230"/>
      <c r="J42" s="230"/>
      <c r="K42" s="230"/>
      <c r="L42" s="230"/>
      <c r="M42" s="230"/>
      <c r="N42" s="230"/>
      <c r="O42" s="230"/>
      <c r="P42" s="230"/>
      <c r="Q42" s="230"/>
      <c r="R42" s="230"/>
    </row>
    <row r="43" spans="1:18">
      <c r="A43" s="344" t="s">
        <v>522</v>
      </c>
      <c r="B43" s="344"/>
      <c r="C43" s="106"/>
      <c r="D43" s="106"/>
      <c r="E43" s="106"/>
      <c r="F43" s="235" t="str">
        <f>AUX!K41</f>
        <v/>
      </c>
      <c r="G43" s="230"/>
      <c r="H43" s="230"/>
      <c r="I43" s="230"/>
      <c r="J43" s="230"/>
      <c r="K43" s="230"/>
      <c r="L43" s="230"/>
      <c r="M43" s="230"/>
      <c r="N43" s="230"/>
      <c r="O43" s="230"/>
      <c r="P43" s="230"/>
      <c r="Q43" s="230"/>
      <c r="R43" s="230"/>
    </row>
    <row r="44" spans="1:18">
      <c r="A44" s="344" t="s">
        <v>523</v>
      </c>
      <c r="B44" s="344"/>
      <c r="C44" s="106"/>
      <c r="D44" s="106"/>
      <c r="E44" s="106"/>
      <c r="F44" s="235" t="str">
        <f>AUX!K42</f>
        <v/>
      </c>
      <c r="G44" s="230"/>
      <c r="H44" s="230"/>
      <c r="I44" s="230"/>
      <c r="J44" s="230"/>
      <c r="K44" s="230"/>
      <c r="L44" s="230"/>
      <c r="M44" s="230"/>
      <c r="N44" s="230"/>
      <c r="O44" s="230"/>
      <c r="P44" s="230"/>
      <c r="Q44" s="230"/>
      <c r="R44" s="230"/>
    </row>
    <row r="45" spans="1:18">
      <c r="A45" s="230"/>
      <c r="B45" s="230"/>
      <c r="C45" s="230"/>
      <c r="D45" s="230"/>
      <c r="E45" s="230"/>
      <c r="F45" s="230"/>
      <c r="G45" s="230"/>
      <c r="H45" s="230"/>
      <c r="I45" s="230"/>
      <c r="J45" s="230"/>
      <c r="K45" s="230"/>
      <c r="L45" s="230"/>
      <c r="M45" s="230"/>
      <c r="N45" s="230"/>
      <c r="O45" s="230"/>
      <c r="P45" s="230"/>
      <c r="Q45" s="230"/>
      <c r="R45" s="230"/>
    </row>
    <row r="46" spans="1:18">
      <c r="A46" s="230"/>
      <c r="B46" s="230"/>
      <c r="C46" s="230"/>
      <c r="D46" s="230"/>
      <c r="E46" s="230"/>
      <c r="F46" s="230"/>
      <c r="G46" s="230"/>
      <c r="H46" s="230"/>
      <c r="I46" s="230"/>
      <c r="J46" s="230"/>
      <c r="K46" s="230"/>
      <c r="L46" s="230"/>
      <c r="M46" s="230"/>
      <c r="N46" s="230"/>
      <c r="O46" s="230"/>
      <c r="P46" s="230"/>
      <c r="Q46" s="230"/>
      <c r="R46" s="230"/>
    </row>
    <row r="47" spans="1:18">
      <c r="A47" s="230"/>
      <c r="B47" s="230"/>
      <c r="C47" s="230"/>
      <c r="D47" s="230"/>
      <c r="E47" s="230"/>
      <c r="F47" s="230"/>
      <c r="G47" s="230"/>
      <c r="H47" s="230"/>
      <c r="I47" s="230"/>
      <c r="J47" s="230"/>
      <c r="K47" s="230"/>
      <c r="L47" s="230"/>
      <c r="M47" s="230"/>
      <c r="N47" s="230"/>
      <c r="O47" s="230"/>
      <c r="P47" s="230"/>
      <c r="Q47" s="230"/>
      <c r="R47" s="230"/>
    </row>
    <row r="48" spans="1:18">
      <c r="A48" s="230"/>
      <c r="B48" s="230"/>
      <c r="C48" s="230"/>
      <c r="D48" s="230"/>
      <c r="E48" s="230"/>
      <c r="F48" s="230"/>
      <c r="G48" s="230"/>
      <c r="H48" s="230"/>
      <c r="I48" s="230"/>
      <c r="J48" s="230"/>
      <c r="K48" s="230"/>
      <c r="L48" s="230"/>
      <c r="M48" s="230"/>
      <c r="N48" s="230"/>
      <c r="O48" s="230"/>
      <c r="P48" s="230"/>
      <c r="Q48" s="230"/>
      <c r="R48" s="230"/>
    </row>
    <row r="49" spans="1:18">
      <c r="A49" s="230"/>
      <c r="B49" s="230"/>
      <c r="C49" s="230"/>
      <c r="D49" s="230"/>
      <c r="E49" s="230"/>
      <c r="F49" s="230"/>
      <c r="G49" s="230"/>
      <c r="H49" s="230"/>
      <c r="I49" s="230"/>
      <c r="J49" s="230"/>
      <c r="K49" s="230"/>
      <c r="L49" s="230"/>
      <c r="M49" s="230"/>
      <c r="N49" s="230"/>
      <c r="O49" s="230"/>
      <c r="P49" s="230"/>
      <c r="Q49" s="230"/>
      <c r="R49" s="230"/>
    </row>
    <row r="50" spans="1:18">
      <c r="R50" s="230"/>
    </row>
  </sheetData>
  <mergeCells count="22">
    <mergeCell ref="A38:D38"/>
    <mergeCell ref="A42:B42"/>
    <mergeCell ref="A43:B43"/>
    <mergeCell ref="A44:B44"/>
    <mergeCell ref="A40:C40"/>
    <mergeCell ref="A36:C36"/>
    <mergeCell ref="A8:C8"/>
    <mergeCell ref="A6:C6"/>
    <mergeCell ref="A4:C4"/>
    <mergeCell ref="A11:D11"/>
    <mergeCell ref="A20:D20"/>
    <mergeCell ref="A28:D28"/>
    <mergeCell ref="A34:C34"/>
    <mergeCell ref="A35:C35"/>
    <mergeCell ref="A32:E32"/>
    <mergeCell ref="A1:I2"/>
    <mergeCell ref="J1:J2"/>
    <mergeCell ref="F20:H20"/>
    <mergeCell ref="F4:R4"/>
    <mergeCell ref="F6:R6"/>
    <mergeCell ref="F8:R8"/>
    <mergeCell ref="F12:L12"/>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tabSelected="1" zoomScale="80" zoomScaleNormal="80" zoomScalePageLayoutView="80" workbookViewId="0">
      <selection activeCell="B5" sqref="B5"/>
    </sheetView>
  </sheetViews>
  <sheetFormatPr baseColWidth="10" defaultRowHeight="15.75"/>
  <cols>
    <col min="1" max="1" width="20.375" customWidth="1"/>
    <col min="8" max="8" width="13.5" customWidth="1"/>
    <col min="10" max="10" width="11.5" bestFit="1" customWidth="1"/>
  </cols>
  <sheetData>
    <row r="1" spans="1:18">
      <c r="A1" s="19" t="s">
        <v>53</v>
      </c>
      <c r="B1" s="260"/>
      <c r="C1" s="243"/>
      <c r="D1" s="237"/>
      <c r="E1" s="237"/>
      <c r="F1" s="237"/>
      <c r="G1" s="230"/>
      <c r="H1" s="242"/>
      <c r="I1" s="340"/>
      <c r="J1" s="230"/>
      <c r="K1" s="230"/>
      <c r="L1" s="230"/>
      <c r="M1" s="230"/>
      <c r="N1" s="230"/>
      <c r="O1" s="230"/>
      <c r="P1" s="230"/>
      <c r="Q1" s="230"/>
      <c r="R1" s="230"/>
    </row>
    <row r="2" spans="1:18">
      <c r="A2" s="19" t="s">
        <v>6</v>
      </c>
      <c r="B2" s="260"/>
      <c r="C2" s="260" t="str">
        <f>IF(B2="","",WAIStablas!A49)</f>
        <v/>
      </c>
      <c r="D2" s="230"/>
      <c r="E2" s="230"/>
      <c r="F2" s="230"/>
      <c r="G2" s="230"/>
      <c r="H2" s="230"/>
      <c r="I2" s="230"/>
      <c r="J2" s="230"/>
      <c r="K2" s="230"/>
      <c r="L2" s="230"/>
      <c r="M2" s="230"/>
      <c r="N2" s="230"/>
      <c r="O2" s="230"/>
      <c r="P2" s="230"/>
      <c r="Q2" s="230"/>
      <c r="R2" s="230"/>
    </row>
    <row r="3" spans="1:18">
      <c r="A3" s="19" t="s">
        <v>7</v>
      </c>
      <c r="B3" s="56"/>
      <c r="C3" s="260" t="str">
        <f>IF(B3="","",WAIStablas!A24)</f>
        <v/>
      </c>
      <c r="D3" s="230"/>
      <c r="E3" s="230"/>
      <c r="F3" s="230"/>
      <c r="G3" s="230"/>
      <c r="H3" s="230"/>
      <c r="I3" s="230"/>
      <c r="J3" s="230"/>
      <c r="K3" s="230"/>
      <c r="L3" s="230"/>
      <c r="M3" s="230"/>
      <c r="N3" s="230"/>
      <c r="O3" s="230"/>
      <c r="P3" s="230"/>
      <c r="Q3" s="230"/>
      <c r="R3" s="230"/>
    </row>
    <row r="4" spans="1:18">
      <c r="A4" s="383" t="s">
        <v>572</v>
      </c>
      <c r="B4" s="260" t="str">
        <f>IF(COUNT(B2:B3)=2,AUX!C112,"")</f>
        <v/>
      </c>
      <c r="C4" s="230"/>
      <c r="D4" s="230"/>
      <c r="E4" s="230"/>
      <c r="F4" s="230"/>
      <c r="G4" s="230"/>
      <c r="H4" s="230"/>
      <c r="I4" s="230"/>
      <c r="J4" s="230"/>
      <c r="K4" s="230"/>
      <c r="L4" s="230"/>
      <c r="M4" s="230"/>
      <c r="N4" s="230"/>
      <c r="O4" s="230"/>
      <c r="P4" s="230"/>
      <c r="Q4" s="230"/>
      <c r="R4" s="230"/>
    </row>
    <row r="5" spans="1:18">
      <c r="A5" s="230"/>
      <c r="B5" s="230"/>
      <c r="C5" s="230"/>
      <c r="D5" s="230"/>
      <c r="E5" s="230"/>
      <c r="F5" s="230"/>
      <c r="G5" s="230"/>
      <c r="H5" s="230"/>
      <c r="I5" s="230"/>
      <c r="J5" s="230"/>
      <c r="K5" s="230"/>
      <c r="L5" s="230"/>
      <c r="M5" s="230"/>
      <c r="N5" s="230"/>
      <c r="O5" s="230"/>
      <c r="P5" s="230"/>
      <c r="Q5" s="230"/>
      <c r="R5" s="230"/>
    </row>
    <row r="6" spans="1:18">
      <c r="A6" s="230"/>
      <c r="B6" s="230"/>
      <c r="C6" s="230"/>
      <c r="D6" s="230"/>
      <c r="E6" s="230"/>
      <c r="F6" s="230"/>
      <c r="G6" s="230"/>
      <c r="H6" s="230"/>
      <c r="I6" s="230"/>
      <c r="J6" s="230"/>
      <c r="K6" s="230"/>
      <c r="L6" s="230"/>
      <c r="M6" s="230"/>
      <c r="N6" s="230"/>
      <c r="O6" s="230"/>
      <c r="P6" s="230"/>
      <c r="Q6" s="230"/>
      <c r="R6" s="230"/>
    </row>
    <row r="7" spans="1:18">
      <c r="A7" s="230"/>
      <c r="B7" s="230"/>
      <c r="C7" s="230"/>
      <c r="D7" s="230"/>
      <c r="E7" s="230"/>
      <c r="F7" s="230"/>
      <c r="G7" s="230"/>
      <c r="H7" s="230"/>
      <c r="I7" s="230"/>
      <c r="J7" s="230"/>
      <c r="K7" s="230"/>
      <c r="L7" s="230"/>
      <c r="M7" s="230"/>
      <c r="N7" s="230"/>
      <c r="O7" s="230"/>
      <c r="P7" s="230"/>
      <c r="Q7" s="230"/>
      <c r="R7" s="230"/>
    </row>
    <row r="8" spans="1:18">
      <c r="A8" s="230"/>
      <c r="B8" s="230"/>
      <c r="C8" s="230"/>
      <c r="D8" s="230"/>
      <c r="E8" s="230"/>
      <c r="F8" s="230"/>
      <c r="G8" s="230"/>
      <c r="H8" s="230"/>
      <c r="I8" s="230"/>
      <c r="J8" s="230"/>
      <c r="K8" s="230"/>
      <c r="L8" s="230"/>
      <c r="M8" s="230"/>
      <c r="N8" s="230"/>
      <c r="O8" s="230"/>
      <c r="P8" s="230"/>
      <c r="Q8" s="230"/>
      <c r="R8" s="230"/>
    </row>
    <row r="9" spans="1:18">
      <c r="A9" s="230"/>
      <c r="B9" s="230"/>
      <c r="C9" s="230"/>
      <c r="D9" s="230"/>
      <c r="E9" s="230"/>
      <c r="F9" s="230"/>
      <c r="G9" s="230"/>
      <c r="H9" s="230"/>
      <c r="I9" s="230"/>
      <c r="J9" s="230"/>
      <c r="K9" s="230"/>
      <c r="L9" s="230"/>
      <c r="M9" s="230"/>
      <c r="N9" s="230"/>
      <c r="O9" s="230"/>
      <c r="P9" s="230"/>
      <c r="Q9" s="230"/>
      <c r="R9" s="230"/>
    </row>
    <row r="10" spans="1:18">
      <c r="A10" s="230"/>
      <c r="B10" s="230"/>
      <c r="C10" s="230"/>
      <c r="D10" s="230"/>
      <c r="E10" s="230"/>
      <c r="F10" s="230"/>
      <c r="G10" s="230"/>
      <c r="H10" s="230"/>
      <c r="I10" s="230"/>
      <c r="J10" s="230"/>
      <c r="K10" s="230"/>
      <c r="L10" s="230"/>
      <c r="M10" s="230"/>
      <c r="N10" s="230"/>
      <c r="O10" s="230"/>
      <c r="P10" s="230"/>
      <c r="Q10" s="230"/>
      <c r="R10" s="230"/>
    </row>
    <row r="11" spans="1:18">
      <c r="A11" s="230"/>
      <c r="B11" s="230"/>
      <c r="C11" s="230"/>
      <c r="D11" s="230"/>
      <c r="E11" s="230"/>
      <c r="F11" s="230"/>
      <c r="G11" s="230"/>
      <c r="H11" s="230"/>
      <c r="I11" s="230"/>
      <c r="J11" s="230"/>
      <c r="K11" s="230"/>
      <c r="L11" s="230"/>
      <c r="M11" s="230"/>
      <c r="N11" s="230"/>
      <c r="O11" s="230"/>
      <c r="P11" s="230"/>
      <c r="Q11" s="230"/>
      <c r="R11" s="230"/>
    </row>
    <row r="12" spans="1:18">
      <c r="A12" s="230"/>
      <c r="B12" s="230"/>
      <c r="C12" s="230"/>
      <c r="D12" s="230"/>
      <c r="E12" s="230"/>
      <c r="F12" s="230"/>
      <c r="G12" s="230"/>
      <c r="H12" s="230"/>
      <c r="I12" s="230"/>
      <c r="J12" s="230"/>
      <c r="K12" s="230"/>
      <c r="L12" s="230"/>
      <c r="M12" s="230"/>
      <c r="N12" s="230"/>
      <c r="O12" s="230"/>
      <c r="P12" s="230"/>
      <c r="Q12" s="230"/>
      <c r="R12" s="230"/>
    </row>
    <row r="13" spans="1:18">
      <c r="A13" s="230"/>
      <c r="B13" s="230"/>
      <c r="C13" s="230"/>
      <c r="D13" s="230"/>
      <c r="E13" s="230"/>
      <c r="F13" s="230"/>
      <c r="G13" s="230"/>
      <c r="H13" s="230"/>
      <c r="I13" s="230"/>
      <c r="J13" s="230"/>
      <c r="K13" s="230"/>
      <c r="L13" s="230"/>
      <c r="M13" s="230"/>
      <c r="N13" s="230"/>
      <c r="O13" s="230"/>
      <c r="P13" s="230"/>
      <c r="Q13" s="230"/>
      <c r="R13" s="230"/>
    </row>
    <row r="14" spans="1:18">
      <c r="A14" s="230"/>
      <c r="B14" s="230"/>
      <c r="C14" s="230"/>
      <c r="D14" s="230"/>
      <c r="E14" s="230"/>
      <c r="F14" s="230"/>
      <c r="G14" s="230"/>
      <c r="H14" s="230"/>
      <c r="I14" s="230"/>
      <c r="J14" s="230"/>
      <c r="K14" s="230"/>
      <c r="L14" s="230"/>
      <c r="M14" s="230"/>
      <c r="N14" s="230"/>
      <c r="O14" s="230"/>
      <c r="P14" s="230"/>
      <c r="Q14" s="230"/>
      <c r="R14" s="230"/>
    </row>
    <row r="15" spans="1:18">
      <c r="A15" s="230"/>
      <c r="B15" s="230"/>
      <c r="C15" s="230"/>
      <c r="D15" s="230"/>
      <c r="E15" s="230"/>
      <c r="F15" s="230"/>
      <c r="G15" s="230"/>
      <c r="H15" s="230"/>
      <c r="I15" s="230"/>
      <c r="J15" s="230"/>
      <c r="K15" s="230"/>
      <c r="L15" s="230"/>
      <c r="M15" s="230"/>
      <c r="N15" s="230"/>
      <c r="O15" s="230"/>
      <c r="P15" s="230"/>
      <c r="Q15" s="230"/>
      <c r="R15" s="230"/>
    </row>
    <row r="16" spans="1:18">
      <c r="A16" s="230"/>
      <c r="B16" s="230"/>
      <c r="C16" s="230"/>
      <c r="D16" s="230"/>
      <c r="E16" s="230"/>
      <c r="F16" s="230"/>
      <c r="G16" s="230"/>
      <c r="H16" s="230"/>
      <c r="I16" s="230"/>
      <c r="J16" s="230"/>
      <c r="K16" s="230"/>
      <c r="L16" s="230"/>
      <c r="M16" s="230"/>
      <c r="N16" s="230"/>
      <c r="O16" s="230"/>
      <c r="P16" s="230"/>
      <c r="Q16" s="230"/>
      <c r="R16" s="230"/>
    </row>
    <row r="17" spans="1:18">
      <c r="A17" s="230"/>
      <c r="B17" s="230"/>
      <c r="C17" s="230"/>
      <c r="D17" s="230"/>
      <c r="E17" s="230"/>
      <c r="F17" s="230"/>
      <c r="G17" s="230"/>
      <c r="H17" s="230"/>
      <c r="I17" s="230"/>
      <c r="J17" s="230"/>
      <c r="K17" s="230"/>
      <c r="L17" s="230"/>
      <c r="M17" s="230"/>
      <c r="N17" s="230"/>
      <c r="O17" s="230"/>
      <c r="P17" s="230"/>
      <c r="Q17" s="230"/>
      <c r="R17" s="230"/>
    </row>
    <row r="18" spans="1:18">
      <c r="A18" s="230"/>
      <c r="B18" s="230"/>
      <c r="C18" s="230"/>
      <c r="D18" s="230"/>
      <c r="E18" s="230"/>
      <c r="F18" s="230"/>
      <c r="G18" s="230"/>
      <c r="H18" s="230"/>
      <c r="I18" s="230"/>
      <c r="J18" s="230"/>
      <c r="K18" s="230"/>
      <c r="L18" s="230"/>
      <c r="M18" s="230"/>
      <c r="N18" s="230"/>
      <c r="O18" s="230"/>
      <c r="P18" s="230"/>
      <c r="Q18" s="230"/>
      <c r="R18" s="230"/>
    </row>
    <row r="19" spans="1:18">
      <c r="A19" s="230"/>
      <c r="B19" s="230"/>
      <c r="C19" s="230"/>
      <c r="D19" s="230"/>
      <c r="E19" s="230"/>
      <c r="F19" s="230"/>
      <c r="G19" s="230"/>
      <c r="H19" s="230"/>
      <c r="I19" s="230"/>
      <c r="J19" s="230"/>
      <c r="K19" s="230"/>
      <c r="L19" s="230"/>
      <c r="M19" s="230"/>
      <c r="N19" s="230"/>
      <c r="O19" s="230"/>
      <c r="P19" s="230"/>
      <c r="Q19" s="230"/>
      <c r="R19" s="230"/>
    </row>
    <row r="20" spans="1:18">
      <c r="A20" s="230"/>
      <c r="B20" s="230"/>
      <c r="C20" s="230"/>
      <c r="D20" s="230"/>
      <c r="E20" s="230"/>
      <c r="F20" s="230"/>
      <c r="G20" s="230"/>
      <c r="H20" s="230"/>
      <c r="I20" s="230"/>
      <c r="J20" s="230"/>
      <c r="K20" s="230"/>
      <c r="L20" s="230"/>
      <c r="M20" s="230"/>
      <c r="N20" s="230"/>
      <c r="O20" s="230"/>
      <c r="P20" s="230"/>
      <c r="Q20" s="230"/>
      <c r="R20" s="230"/>
    </row>
    <row r="21" spans="1:18">
      <c r="A21" s="230"/>
      <c r="B21" s="230"/>
      <c r="C21" s="230"/>
      <c r="D21" s="230"/>
      <c r="E21" s="230"/>
      <c r="F21" s="230"/>
      <c r="G21" s="230"/>
      <c r="H21" s="230"/>
      <c r="I21" s="230"/>
      <c r="J21" s="230"/>
      <c r="K21" s="230"/>
      <c r="L21" s="230"/>
      <c r="M21" s="230"/>
      <c r="N21" s="230"/>
      <c r="O21" s="230"/>
      <c r="P21" s="230"/>
      <c r="Q21" s="230"/>
      <c r="R21" s="230"/>
    </row>
    <row r="22" spans="1:18">
      <c r="A22" s="230"/>
      <c r="B22" s="230"/>
      <c r="C22" s="230"/>
      <c r="D22" s="230"/>
      <c r="E22" s="230"/>
      <c r="F22" s="230"/>
      <c r="G22" s="230"/>
      <c r="H22" s="230"/>
      <c r="I22" s="230"/>
      <c r="J22" s="230"/>
      <c r="K22" s="230"/>
      <c r="L22" s="230"/>
      <c r="M22" s="230"/>
      <c r="N22" s="230"/>
      <c r="O22" s="230"/>
      <c r="P22" s="230"/>
      <c r="Q22" s="230"/>
      <c r="R22" s="230"/>
    </row>
    <row r="23" spans="1:18">
      <c r="A23" s="230"/>
      <c r="B23" s="230"/>
      <c r="C23" s="230"/>
      <c r="D23" s="230"/>
      <c r="E23" s="230"/>
      <c r="F23" s="230"/>
      <c r="G23" s="230"/>
      <c r="H23" s="230"/>
      <c r="I23" s="230"/>
      <c r="J23" s="230"/>
      <c r="K23" s="230"/>
      <c r="L23" s="230"/>
      <c r="M23" s="230"/>
      <c r="N23" s="230"/>
      <c r="O23" s="230"/>
      <c r="P23" s="230"/>
      <c r="Q23" s="230"/>
      <c r="R23" s="230"/>
    </row>
    <row r="24" spans="1:18">
      <c r="A24" s="230"/>
      <c r="B24" s="230"/>
      <c r="C24" s="230"/>
      <c r="D24" s="230"/>
      <c r="E24" s="230"/>
      <c r="F24" s="230"/>
      <c r="G24" s="230"/>
      <c r="H24" s="230"/>
      <c r="I24" s="230"/>
      <c r="J24" s="230"/>
      <c r="K24" s="230"/>
      <c r="L24" s="230"/>
      <c r="M24" s="230"/>
      <c r="N24" s="230"/>
      <c r="O24" s="230"/>
      <c r="P24" s="230"/>
      <c r="Q24" s="230"/>
      <c r="R24" s="230"/>
    </row>
    <row r="25" spans="1:18">
      <c r="A25" s="230"/>
      <c r="B25" s="230"/>
      <c r="C25" s="230"/>
      <c r="D25" s="230"/>
      <c r="E25" s="230"/>
      <c r="F25" s="230"/>
      <c r="G25" s="230"/>
      <c r="H25" s="230"/>
      <c r="I25" s="230"/>
      <c r="J25" s="230"/>
      <c r="K25" s="230"/>
      <c r="L25" s="230"/>
      <c r="M25" s="230"/>
      <c r="N25" s="230"/>
      <c r="O25" s="230"/>
      <c r="P25" s="230"/>
      <c r="Q25" s="230"/>
      <c r="R25" s="230"/>
    </row>
  </sheetData>
  <phoneticPr fontId="37" type="noConversion"/>
  <conditionalFormatting sqref="C2:C3">
    <cfRule type="cellIs" dxfId="7" priority="64" operator="lessThan">
      <formula>7</formula>
    </cfRule>
  </conditionalFormatting>
  <conditionalFormatting sqref="C2">
    <cfRule type="cellIs" dxfId="6" priority="50" operator="lessThan">
      <formula>7</formula>
    </cfRule>
  </conditionalFormatting>
  <conditionalFormatting sqref="C3">
    <cfRule type="cellIs" dxfId="5" priority="49" operator="lessThan">
      <formula>7</formula>
    </cfRule>
  </conditionalFormatting>
  <conditionalFormatting sqref="B4">
    <cfRule type="cellIs" dxfId="4" priority="46" operator="lessThan">
      <formula>85</formula>
    </cfRule>
    <cfRule type="cellIs" dxfId="3" priority="47" operator="lessThan">
      <formula>85</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zoomScale="89" zoomScaleNormal="89" zoomScalePageLayoutView="89" workbookViewId="0">
      <selection activeCell="B10" sqref="B10"/>
    </sheetView>
  </sheetViews>
  <sheetFormatPr baseColWidth="10" defaultRowHeight="15.75"/>
  <cols>
    <col min="1" max="1" width="43.375" bestFit="1" customWidth="1"/>
  </cols>
  <sheetData>
    <row r="1" spans="1:3">
      <c r="A1" t="s">
        <v>666</v>
      </c>
      <c r="B1" t="s">
        <v>664</v>
      </c>
      <c r="C1" t="s">
        <v>665</v>
      </c>
    </row>
    <row r="2" spans="1:3">
      <c r="A2" t="s">
        <v>813</v>
      </c>
      <c r="B2" s="62" t="e">
        <f>Resumen!#REF!</f>
        <v>#REF!</v>
      </c>
      <c r="C2" s="62">
        <f>Reev!H18</f>
        <v>0</v>
      </c>
    </row>
    <row r="3" spans="1:3">
      <c r="A3" t="s">
        <v>814</v>
      </c>
      <c r="B3" s="62" t="e">
        <f>Resumen!#REF!</f>
        <v>#REF!</v>
      </c>
      <c r="C3" s="62">
        <f>Reev!H20</f>
        <v>0</v>
      </c>
    </row>
    <row r="4" spans="1:3">
      <c r="A4" t="s">
        <v>815</v>
      </c>
      <c r="B4" s="62" t="e">
        <f>Resumen!#REF!</f>
        <v>#REF!</v>
      </c>
      <c r="C4" s="62">
        <f>Reev!H21</f>
        <v>0</v>
      </c>
    </row>
    <row r="5" spans="1:3">
      <c r="A5" t="s">
        <v>829</v>
      </c>
      <c r="B5" s="62" t="e">
        <f>Resumen!#REF!</f>
        <v>#REF!</v>
      </c>
      <c r="C5" s="62">
        <f>Reev!H14</f>
        <v>0</v>
      </c>
    </row>
    <row r="6" spans="1:3">
      <c r="A6" t="s">
        <v>816</v>
      </c>
      <c r="B6" s="62" t="e">
        <f>Resumen!#REF!</f>
        <v>#REF!</v>
      </c>
      <c r="C6" s="62">
        <f>Reev!H15</f>
        <v>0</v>
      </c>
    </row>
    <row r="7" spans="1:3">
      <c r="A7" t="s">
        <v>817</v>
      </c>
      <c r="B7" s="62" t="e">
        <f>Resumen!#REF!</f>
        <v>#REF!</v>
      </c>
      <c r="C7" s="62">
        <f>Reev!H28</f>
        <v>0</v>
      </c>
    </row>
    <row r="8" spans="1:3">
      <c r="A8" s="102" t="s">
        <v>818</v>
      </c>
      <c r="B8" s="62" t="e">
        <f>Resumen!#REF!</f>
        <v>#REF!</v>
      </c>
      <c r="C8" s="62">
        <f>Reev!H24</f>
        <v>0</v>
      </c>
    </row>
    <row r="9" spans="1:3">
      <c r="A9" s="102" t="s">
        <v>819</v>
      </c>
      <c r="B9" s="62" t="e">
        <f>Resumen!#REF!</f>
        <v>#REF!</v>
      </c>
      <c r="C9" s="62">
        <f>Reev!H23</f>
        <v>0</v>
      </c>
    </row>
    <row r="10" spans="1:3">
      <c r="A10" s="102" t="s">
        <v>852</v>
      </c>
      <c r="B10" s="62" t="e">
        <f>ENPS!F24</f>
        <v>#REF!</v>
      </c>
      <c r="C10" s="62"/>
    </row>
    <row r="11" spans="1:3">
      <c r="A11" s="102" t="s">
        <v>575</v>
      </c>
      <c r="B11" s="62" t="e">
        <f>Resumen!#REF!</f>
        <v>#REF!</v>
      </c>
      <c r="C11" s="62">
        <f>Reev!H30</f>
        <v>0</v>
      </c>
    </row>
    <row r="12" spans="1:3">
      <c r="A12" t="s">
        <v>820</v>
      </c>
      <c r="B12" s="62" t="e">
        <f>Resumen!#REF!</f>
        <v>#REF!</v>
      </c>
      <c r="C12" s="62">
        <f>Reev!H17</f>
        <v>0</v>
      </c>
    </row>
    <row r="13" spans="1:3">
      <c r="A13" t="s">
        <v>821</v>
      </c>
      <c r="B13" s="62" t="e">
        <f>Resumen!#REF!</f>
        <v>#REF!</v>
      </c>
      <c r="C13" s="62">
        <f>Reev!H19</f>
        <v>0</v>
      </c>
    </row>
    <row r="14" spans="1:3">
      <c r="A14" t="s">
        <v>822</v>
      </c>
      <c r="B14" s="62" t="e">
        <f>Resumen!#REF!</f>
        <v>#REF!</v>
      </c>
      <c r="C14" s="62">
        <f>Reev!H25</f>
        <v>0</v>
      </c>
    </row>
    <row r="15" spans="1:3">
      <c r="A15" t="s">
        <v>823</v>
      </c>
      <c r="B15" s="62" t="e">
        <f>Resumen!#REF!</f>
        <v>#REF!</v>
      </c>
      <c r="C15" s="62">
        <f>Reev!H26</f>
        <v>0</v>
      </c>
    </row>
    <row r="16" spans="1:3">
      <c r="A16" t="s">
        <v>13</v>
      </c>
      <c r="B16" s="279" t="e">
        <f>ENPS!F15</f>
        <v>#REF!</v>
      </c>
      <c r="C16" s="279">
        <f>Reev!H13</f>
        <v>0</v>
      </c>
    </row>
    <row r="17" spans="1:3">
      <c r="A17" t="s">
        <v>12</v>
      </c>
      <c r="B17" s="279" t="e">
        <f>ENPS!F14</f>
        <v>#REF!</v>
      </c>
      <c r="C17" s="279">
        <f>Reev!H12</f>
        <v>0</v>
      </c>
    </row>
    <row r="18" spans="1:3">
      <c r="A18" t="s">
        <v>824</v>
      </c>
      <c r="B18" s="62" t="e">
        <f>Resumen!#REF!</f>
        <v>#REF!</v>
      </c>
      <c r="C18" s="62">
        <f>Reev!H31</f>
        <v>0</v>
      </c>
    </row>
    <row r="19" spans="1:3">
      <c r="A19" t="s">
        <v>825</v>
      </c>
      <c r="B19" s="62" t="e">
        <f>Resumen!#REF!</f>
        <v>#REF!</v>
      </c>
      <c r="C19" s="62">
        <f>Reev!H37</f>
        <v>0</v>
      </c>
    </row>
    <row r="20" spans="1:3">
      <c r="A20" t="s">
        <v>826</v>
      </c>
      <c r="B20" s="62" t="e">
        <f>Resumen!#REF!</f>
        <v>#REF!</v>
      </c>
      <c r="C20" s="62">
        <f>Reev!H36</f>
        <v>0</v>
      </c>
    </row>
    <row r="21" spans="1:3">
      <c r="A21" t="s">
        <v>827</v>
      </c>
      <c r="B21" s="62" t="e">
        <f>Resumen!#REF!</f>
        <v>#REF!</v>
      </c>
      <c r="C21" s="62">
        <f>Reev!H27</f>
        <v>0</v>
      </c>
    </row>
  </sheetData>
  <conditionalFormatting sqref="B2">
    <cfRule type="containsText" dxfId="2" priority="3" operator="containsText" text=" ">
      <formula>NOT(ISERROR(SEARCH(" ",B2)))</formula>
    </cfRule>
  </conditionalFormatting>
  <conditionalFormatting sqref="B3">
    <cfRule type="containsText" dxfId="1" priority="1" operator="containsText" text="    ">
      <formula>NOT(ISERROR(SEARCH("    ",B3)))</formula>
    </cfRule>
    <cfRule type="containsText" dxfId="0" priority="2" operator="containsText" text=" ">
      <formula>NOT(ISERROR(SEARCH(" ",B3)))</formula>
    </cfRule>
  </conditionalFormatting>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topLeftCell="A10" workbookViewId="0">
      <selection activeCell="B24" sqref="B24"/>
    </sheetView>
  </sheetViews>
  <sheetFormatPr baseColWidth="10" defaultRowHeight="15.75"/>
  <cols>
    <col min="1" max="1" width="25.125" bestFit="1" customWidth="1"/>
    <col min="2" max="2" width="14.125" bestFit="1" customWidth="1"/>
  </cols>
  <sheetData>
    <row r="1" spans="1:6">
      <c r="A1" s="293" t="s">
        <v>0</v>
      </c>
      <c r="B1" s="284"/>
      <c r="C1" s="284" t="s">
        <v>1</v>
      </c>
      <c r="D1" s="284" t="s">
        <v>2</v>
      </c>
      <c r="E1" s="284" t="s">
        <v>3</v>
      </c>
      <c r="F1" s="284" t="s">
        <v>4</v>
      </c>
    </row>
    <row r="2" spans="1:6">
      <c r="A2" s="294" t="s">
        <v>149</v>
      </c>
      <c r="B2" s="281"/>
      <c r="C2" s="281" t="s">
        <v>150</v>
      </c>
      <c r="D2" s="281" t="s">
        <v>150</v>
      </c>
      <c r="E2" s="283" t="e">
        <f>IF(Resumen!#REF!="","",Resumen!#REF!&amp;"/50")</f>
        <v>#REF!</v>
      </c>
      <c r="F2" s="283" t="e">
        <f>IF(Resumen!#REF!="","",(ENPS!F2-100)/15)</f>
        <v>#REF!</v>
      </c>
    </row>
    <row r="3" spans="1:6" ht="16.5" thickBot="1">
      <c r="A3" s="292" t="s">
        <v>41</v>
      </c>
      <c r="B3" s="281"/>
      <c r="C3" s="281"/>
      <c r="D3" s="281"/>
      <c r="E3" s="283" t="e">
        <f>IF(Resumen!#REF!="","",Resumen!#REF!&amp;"/100")</f>
        <v>#REF!</v>
      </c>
      <c r="F3" s="283"/>
    </row>
    <row r="4" spans="1:6">
      <c r="A4" s="295" t="s">
        <v>5</v>
      </c>
      <c r="B4" s="281"/>
      <c r="C4" s="282"/>
      <c r="D4" s="282"/>
      <c r="E4" s="283" t="e">
        <f>IF(Resumen!#REF!="","",Resumen!#REF!&amp;"/30")</f>
        <v>#REF!</v>
      </c>
      <c r="F4" s="290"/>
    </row>
    <row r="5" spans="1:6">
      <c r="A5" s="296" t="s">
        <v>151</v>
      </c>
      <c r="B5" s="281"/>
      <c r="C5" s="282">
        <v>10</v>
      </c>
      <c r="D5" s="282">
        <v>3</v>
      </c>
      <c r="E5" s="300" t="str">
        <f>ENPS!E7</f>
        <v/>
      </c>
      <c r="F5" s="283" t="str">
        <f>ENPS!F7</f>
        <v/>
      </c>
    </row>
    <row r="6" spans="1:6">
      <c r="A6" s="296" t="s">
        <v>152</v>
      </c>
      <c r="B6" s="281"/>
      <c r="C6" s="282">
        <v>10</v>
      </c>
      <c r="D6" s="282">
        <v>3</v>
      </c>
      <c r="E6" s="300" t="str">
        <f>ENPS!E8</f>
        <v/>
      </c>
      <c r="F6" s="283" t="str">
        <f>ENPS!F8</f>
        <v/>
      </c>
    </row>
    <row r="7" spans="1:6">
      <c r="A7" s="296" t="s">
        <v>8</v>
      </c>
      <c r="B7" s="281"/>
      <c r="C7" s="282">
        <v>10</v>
      </c>
      <c r="D7" s="282">
        <v>3</v>
      </c>
      <c r="E7" s="300" t="e">
        <f>ENPS!E9</f>
        <v>#REF!</v>
      </c>
      <c r="F7" s="283" t="e">
        <f>ENPS!F9</f>
        <v>#REF!</v>
      </c>
    </row>
    <row r="8" spans="1:6">
      <c r="A8" s="296" t="s">
        <v>9</v>
      </c>
      <c r="B8" s="281"/>
      <c r="C8" s="282">
        <v>10</v>
      </c>
      <c r="D8" s="282">
        <v>3</v>
      </c>
      <c r="E8" s="300" t="e">
        <f>ENPS!E11</f>
        <v>#REF!</v>
      </c>
      <c r="F8" s="283" t="e">
        <f>ENPS!F11</f>
        <v>#REF!</v>
      </c>
    </row>
    <row r="9" spans="1:6">
      <c r="A9" s="296" t="s">
        <v>153</v>
      </c>
      <c r="B9" s="281"/>
      <c r="C9" s="282">
        <v>10</v>
      </c>
      <c r="D9" s="282">
        <v>3</v>
      </c>
      <c r="E9" s="300" t="e">
        <f>ENPS!E10</f>
        <v>#REF!</v>
      </c>
      <c r="F9" s="283" t="e">
        <f>ENPS!F10</f>
        <v>#REF!</v>
      </c>
    </row>
    <row r="10" spans="1:6">
      <c r="A10" s="296" t="s">
        <v>10</v>
      </c>
      <c r="B10" s="281"/>
      <c r="C10" s="282">
        <v>10</v>
      </c>
      <c r="D10" s="282">
        <v>3</v>
      </c>
      <c r="E10" s="300" t="e">
        <f>ENPS!E12</f>
        <v>#REF!</v>
      </c>
      <c r="F10" s="283" t="e">
        <f>ENPS!F12</f>
        <v>#REF!</v>
      </c>
    </row>
    <row r="11" spans="1:6">
      <c r="A11" s="296" t="s">
        <v>11</v>
      </c>
      <c r="B11" s="281"/>
      <c r="C11" s="282">
        <v>10</v>
      </c>
      <c r="D11" s="282">
        <v>3</v>
      </c>
      <c r="E11" s="300" t="e">
        <f>ENPS!E13</f>
        <v>#REF!</v>
      </c>
      <c r="F11" s="283" t="e">
        <f>ENPS!F13</f>
        <v>#REF!</v>
      </c>
    </row>
    <row r="12" spans="1:6" ht="26.25">
      <c r="A12" s="297" t="s">
        <v>12</v>
      </c>
      <c r="B12" s="281"/>
      <c r="C12" s="282">
        <v>100</v>
      </c>
      <c r="D12" s="282">
        <v>15</v>
      </c>
      <c r="E12" s="300" t="e">
        <f>ENPS!E14</f>
        <v>#REF!</v>
      </c>
      <c r="F12" s="283" t="e">
        <f>ENPS!F14</f>
        <v>#REF!</v>
      </c>
    </row>
    <row r="13" spans="1:6" ht="26.25">
      <c r="A13" s="297" t="s">
        <v>13</v>
      </c>
      <c r="B13" s="281"/>
      <c r="C13" s="282">
        <v>100</v>
      </c>
      <c r="D13" s="282">
        <v>15</v>
      </c>
      <c r="E13" s="300" t="e">
        <f>ENPS!E15</f>
        <v>#REF!</v>
      </c>
      <c r="F13" s="283" t="e">
        <f>ENPS!F15</f>
        <v>#REF!</v>
      </c>
    </row>
    <row r="14" spans="1:6">
      <c r="A14" s="299" t="s">
        <v>14</v>
      </c>
      <c r="B14" s="280" t="s">
        <v>15</v>
      </c>
      <c r="C14" s="301">
        <f>'Caso '!R4</f>
        <v>22.99</v>
      </c>
      <c r="D14" s="301" t="e">
        <f>'Caso '!S4</f>
        <v>#REF!</v>
      </c>
      <c r="E14" s="300" t="e">
        <f>ENPS!E16</f>
        <v>#REF!</v>
      </c>
      <c r="F14" s="283" t="e">
        <f>ENPS!F16</f>
        <v>#REF!</v>
      </c>
    </row>
    <row r="15" spans="1:6">
      <c r="A15" s="299"/>
      <c r="B15" s="280" t="s">
        <v>16</v>
      </c>
      <c r="C15" s="301">
        <f>'Caso '!R5</f>
        <v>19.84</v>
      </c>
      <c r="D15" s="301" t="e">
        <f>'Caso '!S5</f>
        <v>#REF!</v>
      </c>
      <c r="E15" s="300" t="e">
        <f>ENPS!E17</f>
        <v>#REF!</v>
      </c>
      <c r="F15" s="283" t="e">
        <f>ENPS!F17</f>
        <v>#REF!</v>
      </c>
    </row>
    <row r="16" spans="1:6">
      <c r="A16" s="298"/>
      <c r="B16" s="280" t="s">
        <v>17</v>
      </c>
      <c r="C16" s="288"/>
      <c r="D16" s="288"/>
      <c r="E16" s="300" t="e">
        <f>IF(Resumen!#REF!="","",Resumen!#REF!&amp;"/21")</f>
        <v>#REF!</v>
      </c>
      <c r="F16" s="288"/>
    </row>
    <row r="17" spans="1:6">
      <c r="A17" s="299" t="s">
        <v>18</v>
      </c>
      <c r="B17" s="280" t="s">
        <v>19</v>
      </c>
      <c r="C17" s="287">
        <f>'Caso '!R6</f>
        <v>6.9</v>
      </c>
      <c r="D17" s="287" t="e">
        <f>'Caso '!S6</f>
        <v>#REF!</v>
      </c>
      <c r="E17" s="300" t="e">
        <f>ENPS!E19</f>
        <v>#REF!</v>
      </c>
      <c r="F17" s="283" t="e">
        <f>ENPS!F19</f>
        <v>#REF!</v>
      </c>
    </row>
    <row r="18" spans="1:6">
      <c r="A18" s="299"/>
      <c r="B18" s="280" t="s">
        <v>15</v>
      </c>
      <c r="C18" s="287">
        <f>'Caso '!R7</f>
        <v>53.4</v>
      </c>
      <c r="D18" s="287" t="e">
        <f>'Caso '!S7</f>
        <v>#REF!</v>
      </c>
      <c r="E18" s="300" t="e">
        <f>ENPS!E20</f>
        <v>#REF!</v>
      </c>
      <c r="F18" s="283" t="e">
        <f>ENPS!F20</f>
        <v>#REF!</v>
      </c>
    </row>
    <row r="19" spans="1:6">
      <c r="A19" s="299"/>
      <c r="B19" s="280" t="s">
        <v>20</v>
      </c>
      <c r="C19" s="287">
        <f>'Caso '!R8</f>
        <v>6.9</v>
      </c>
      <c r="D19" s="287" t="e">
        <f>'Caso '!S8</f>
        <v>#REF!</v>
      </c>
      <c r="E19" s="300" t="e">
        <f>ENPS!E21</f>
        <v>#REF!</v>
      </c>
      <c r="F19" s="283" t="e">
        <f>ENPS!F21</f>
        <v>#REF!</v>
      </c>
    </row>
    <row r="20" spans="1:6">
      <c r="A20" s="299"/>
      <c r="B20" s="280" t="s">
        <v>16</v>
      </c>
      <c r="C20" s="287">
        <f>'Caso '!R9</f>
        <v>11.3</v>
      </c>
      <c r="D20" s="287" t="e">
        <f>'Caso '!S9</f>
        <v>#REF!</v>
      </c>
      <c r="E20" s="300" t="e">
        <f>ENPS!E22</f>
        <v>#REF!</v>
      </c>
      <c r="F20" s="283" t="e">
        <f>ENPS!F22</f>
        <v>#REF!</v>
      </c>
    </row>
    <row r="21" spans="1:6">
      <c r="A21" s="299"/>
      <c r="B21" s="280" t="s">
        <v>17</v>
      </c>
      <c r="C21" s="287">
        <f>'Caso '!R10</f>
        <v>14.4</v>
      </c>
      <c r="D21" s="287" t="e">
        <f>'Caso '!S10</f>
        <v>#REF!</v>
      </c>
      <c r="E21" s="300" t="e">
        <f>ENPS!E23</f>
        <v>#REF!</v>
      </c>
      <c r="F21" s="283" t="e">
        <f>ENPS!F23</f>
        <v>#REF!</v>
      </c>
    </row>
    <row r="22" spans="1:6" ht="16.5" thickBot="1">
      <c r="A22" s="299" t="s">
        <v>667</v>
      </c>
      <c r="B22" s="292"/>
      <c r="C22" s="289"/>
      <c r="D22" s="289"/>
      <c r="E22" s="300" t="e">
        <f>ENPS!E24</f>
        <v>#REF!</v>
      </c>
      <c r="F22" s="288" t="e">
        <f>Resumen!#REF!</f>
        <v>#REF!</v>
      </c>
    </row>
    <row r="23" spans="1:6">
      <c r="A23" s="299" t="s">
        <v>21</v>
      </c>
      <c r="B23" s="280"/>
      <c r="C23" s="301" t="e">
        <f>IF(Resumen!#REF!="","",IF(Resumen!#REF!&gt;12,'Caso '!R13,IF(Resumen!#REF!&gt;7,'Caso '!R12,'Caso '!R11)))</f>
        <v>#REF!</v>
      </c>
      <c r="D23" s="287" t="e">
        <f>IF(Resumen!#REF!="","",IF(Resumen!#REF!&gt;12,'Caso '!S13,IF(Resumen!#REF!&gt;7,'Caso '!S12,'Caso '!S11)))</f>
        <v>#REF!</v>
      </c>
      <c r="E23" s="300" t="e">
        <f>IF(Resumen!#REF!="","",Resumen!#REF!)</f>
        <v>#REF!</v>
      </c>
      <c r="F23" s="283" t="e">
        <f>Resumen!#REF!</f>
        <v>#REF!</v>
      </c>
    </row>
    <row r="24" spans="1:6">
      <c r="A24" s="299" t="s">
        <v>22</v>
      </c>
      <c r="B24" s="280"/>
      <c r="C24" s="301" t="e">
        <f>IF(Resumen!#REF!="","",IF(Resumen!#REF!&gt;12,'Caso '!R16,IF(Resumen!#REF!&gt;7,'Caso '!R15,'Caso '!R14)))</f>
        <v>#REF!</v>
      </c>
      <c r="D24" s="287" t="e">
        <f>IF(Resumen!#REF!="","",IF(Resumen!#REF!&gt;12,'Caso '!S16,IF(Resumen!#REF!&gt;7,'Caso '!S15,'Caso '!S14)))</f>
        <v>#REF!</v>
      </c>
      <c r="E24" s="300" t="e">
        <f>IF(Resumen!#REF!="","",Resumen!#REF!)</f>
        <v>#REF!</v>
      </c>
      <c r="F24" s="283" t="e">
        <f>Resumen!#REF!</f>
        <v>#REF!</v>
      </c>
    </row>
    <row r="25" spans="1:6">
      <c r="A25" s="299" t="s">
        <v>853</v>
      </c>
      <c r="B25" s="280" t="s">
        <v>24</v>
      </c>
      <c r="C25" s="301">
        <f>'Caso '!R17</f>
        <v>25.7</v>
      </c>
      <c r="D25" s="301" t="e">
        <f>'Caso '!S17</f>
        <v>#REF!</v>
      </c>
      <c r="E25" s="300" t="e">
        <f>ENPS!E32</f>
        <v>#REF!</v>
      </c>
      <c r="F25" s="283" t="e">
        <f>ENPS!F32</f>
        <v>#REF!</v>
      </c>
    </row>
    <row r="26" spans="1:6">
      <c r="A26" s="299"/>
      <c r="B26" s="280" t="s">
        <v>25</v>
      </c>
      <c r="C26" s="301">
        <f>'Caso '!R18</f>
        <v>49.8</v>
      </c>
      <c r="D26" s="301" t="e">
        <f>'Caso '!S18</f>
        <v>#REF!</v>
      </c>
      <c r="E26" s="300" t="e">
        <f>ENPS!E33</f>
        <v>#REF!</v>
      </c>
      <c r="F26" s="283" t="e">
        <f>ENPS!F33</f>
        <v>#REF!</v>
      </c>
    </row>
    <row r="27" spans="1:6">
      <c r="A27" s="299" t="s">
        <v>26</v>
      </c>
      <c r="B27" s="280" t="s">
        <v>15</v>
      </c>
      <c r="C27" s="301">
        <f>'Caso '!R19</f>
        <v>33.700000000000003</v>
      </c>
      <c r="D27" s="301" t="e">
        <f>'Caso '!S19</f>
        <v>#REF!</v>
      </c>
      <c r="E27" s="300" t="e">
        <f>ENPS!E34</f>
        <v>#REF!</v>
      </c>
      <c r="F27" s="283" t="e">
        <f>ENPS!F34</f>
        <v>#REF!</v>
      </c>
    </row>
    <row r="28" spans="1:6">
      <c r="A28" s="299"/>
      <c r="B28" s="280" t="s">
        <v>16</v>
      </c>
      <c r="C28" s="301">
        <f>'Caso '!R20</f>
        <v>21.8</v>
      </c>
      <c r="D28" s="301" t="e">
        <f>'Caso '!S20</f>
        <v>#REF!</v>
      </c>
      <c r="E28" s="300" t="e">
        <f>ENPS!E35</f>
        <v>#REF!</v>
      </c>
      <c r="F28" s="283" t="e">
        <f>ENPS!F35</f>
        <v>#REF!</v>
      </c>
    </row>
    <row r="29" spans="1:6">
      <c r="A29" s="299"/>
      <c r="B29" s="280" t="s">
        <v>17</v>
      </c>
      <c r="C29" s="301" t="str">
        <f>IF(ISBLANK(Resumen!#REF!)=FALSE,"",'Caso '!R21)</f>
        <v/>
      </c>
      <c r="D29" s="301" t="str">
        <f>IF(ISBLANK(Resumen!#REF!)=FALSE,"",'Caso '!S21)</f>
        <v/>
      </c>
      <c r="E29" s="300" t="e">
        <f>IF(ISBLANK(Resumen!#REF!)=FALSE,Resumen!#REF!&amp;"/6",ENPS!E36)</f>
        <v>#REF!</v>
      </c>
      <c r="F29" s="283" t="str">
        <f>IF(ISBLANK(Resumen!#REF!)=FALSE,"",ENPS!F36)</f>
        <v/>
      </c>
    </row>
    <row r="30" spans="1:6">
      <c r="A30" s="299" t="s">
        <v>851</v>
      </c>
      <c r="B30" s="280" t="s">
        <v>28</v>
      </c>
      <c r="C30" s="301">
        <f>'Caso '!R22</f>
        <v>6.72</v>
      </c>
      <c r="D30" s="301" t="e">
        <f>'Caso '!S22</f>
        <v>#REF!</v>
      </c>
      <c r="E30" s="300" t="e">
        <f>ENPS!E37</f>
        <v>#REF!</v>
      </c>
      <c r="F30" s="283" t="e">
        <f>ENPS!F37</f>
        <v>#REF!</v>
      </c>
    </row>
    <row r="31" spans="1:6">
      <c r="A31" s="299"/>
      <c r="B31" s="285" t="s">
        <v>29</v>
      </c>
      <c r="C31" s="301">
        <f>'Caso '!R23</f>
        <v>4.88</v>
      </c>
      <c r="D31" s="301" t="e">
        <f>'Caso '!S23</f>
        <v>#REF!</v>
      </c>
      <c r="E31" s="300" t="e">
        <f>ENPS!E38</f>
        <v>#REF!</v>
      </c>
      <c r="F31" s="283" t="e">
        <f>ENPS!F38</f>
        <v>#REF!</v>
      </c>
    </row>
    <row r="32" spans="1:6">
      <c r="A32" s="299" t="s">
        <v>156</v>
      </c>
      <c r="B32" s="286" t="s">
        <v>30</v>
      </c>
      <c r="C32" s="291">
        <v>50</v>
      </c>
      <c r="D32" s="291">
        <v>10</v>
      </c>
      <c r="E32" s="300" t="e">
        <f>ENPS!E39</f>
        <v>#REF!</v>
      </c>
      <c r="F32" s="283" t="e">
        <f>ENPS!F39</f>
        <v>#REF!</v>
      </c>
    </row>
    <row r="33" spans="1:6">
      <c r="A33" s="299"/>
      <c r="B33" s="286" t="s">
        <v>31</v>
      </c>
      <c r="C33" s="291">
        <v>50</v>
      </c>
      <c r="D33" s="291">
        <v>10</v>
      </c>
      <c r="E33" s="300" t="e">
        <f>ENPS!E40</f>
        <v>#REF!</v>
      </c>
      <c r="F33" s="283" t="e">
        <f>ENPS!F40</f>
        <v>#REF!</v>
      </c>
    </row>
    <row r="34" spans="1:6">
      <c r="A34" s="299"/>
      <c r="B34" s="286" t="s">
        <v>32</v>
      </c>
      <c r="C34" s="291">
        <v>50</v>
      </c>
      <c r="D34" s="291">
        <v>10</v>
      </c>
      <c r="E34" s="300" t="e">
        <f>ENPS!E41</f>
        <v>#REF!</v>
      </c>
      <c r="F34" s="283" t="e">
        <f>ENPS!F41</f>
        <v>#REF!</v>
      </c>
    </row>
    <row r="35" spans="1:6">
      <c r="A35" s="299"/>
      <c r="B35" s="286" t="s">
        <v>33</v>
      </c>
      <c r="C35" s="291">
        <v>50</v>
      </c>
      <c r="D35" s="291">
        <v>10</v>
      </c>
      <c r="E35" s="300" t="str">
        <f>ENPS!E42</f>
        <v/>
      </c>
      <c r="F35" s="283" t="e">
        <f>ENPS!F42</f>
        <v>#REF!</v>
      </c>
    </row>
    <row r="36" spans="1:6">
      <c r="A36" s="299" t="s">
        <v>34</v>
      </c>
      <c r="B36" s="280"/>
      <c r="C36" s="287" t="e">
        <f>IF(Resumen!#REF!="","",IF(Resumen!#REF!&gt;9,'Caso '!R25,'Caso '!R24))</f>
        <v>#REF!</v>
      </c>
      <c r="D36" s="287" t="e">
        <f>IF(Resumen!#REF!="","",IF(Resumen!#REF!&gt;9,'Caso '!S25,'Caso '!S24))</f>
        <v>#REF!</v>
      </c>
      <c r="E36" s="300" t="e">
        <f>ENPS!E43</f>
        <v>#REF!</v>
      </c>
      <c r="F36" s="283" t="e">
        <f>ENPS!F43</f>
        <v>#REF!</v>
      </c>
    </row>
    <row r="37" spans="1:6">
      <c r="A37" s="299" t="s">
        <v>35</v>
      </c>
      <c r="B37" s="286"/>
      <c r="C37" s="287" t="e">
        <f>IF(Resumen!#REF!&gt;12,'Caso '!R28,IF(Resumen!#REF!&gt;6,'Caso '!R27,'Caso '!R26))</f>
        <v>#REF!</v>
      </c>
      <c r="D37" s="287" t="e">
        <f>IF(Resumen!#REF!&gt;12,'Caso '!S28,IF(Resumen!#REF!&gt;6,'Caso '!S27,'Caso '!S26))</f>
        <v>#REF!</v>
      </c>
      <c r="E37" s="300" t="e">
        <f>ENPS!E45</f>
        <v>#REF!</v>
      </c>
      <c r="F37" s="283" t="e">
        <f>ENPS!F45</f>
        <v>#REF!</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27"/>
  <sheetViews>
    <sheetView workbookViewId="0">
      <selection activeCell="G5" sqref="G5"/>
    </sheetView>
  </sheetViews>
  <sheetFormatPr baseColWidth="10" defaultRowHeight="15.75"/>
  <cols>
    <col min="1" max="1" width="42.625" bestFit="1" customWidth="1"/>
    <col min="2" max="2" width="16.125" bestFit="1" customWidth="1"/>
    <col min="3" max="5" width="11.5" bestFit="1" customWidth="1"/>
    <col min="7" max="7" width="11.5" bestFit="1" customWidth="1"/>
    <col min="9" max="9" width="11.5" bestFit="1" customWidth="1"/>
    <col min="10" max="10" width="19.875" customWidth="1"/>
    <col min="11" max="11" width="29.375" bestFit="1" customWidth="1"/>
    <col min="12" max="12" width="13" customWidth="1"/>
  </cols>
  <sheetData>
    <row r="1" spans="1:32">
      <c r="A1" s="1" t="s">
        <v>0</v>
      </c>
      <c r="B1" s="2"/>
      <c r="C1" s="2" t="s">
        <v>1</v>
      </c>
      <c r="D1" s="2" t="s">
        <v>2</v>
      </c>
      <c r="E1" s="3" t="s">
        <v>3</v>
      </c>
      <c r="F1" s="3" t="s">
        <v>4</v>
      </c>
      <c r="J1" s="10" t="s">
        <v>52</v>
      </c>
      <c r="X1" s="40" t="s">
        <v>147</v>
      </c>
      <c r="Y1" s="40"/>
      <c r="Z1" s="40" t="s">
        <v>146</v>
      </c>
      <c r="AA1" s="40"/>
      <c r="AB1" s="39"/>
      <c r="AC1" s="37" t="s">
        <v>145</v>
      </c>
      <c r="AD1" s="38"/>
      <c r="AE1" s="37"/>
      <c r="AF1" s="37"/>
    </row>
    <row r="2" spans="1:32" ht="17.25" thickBot="1">
      <c r="A2" s="66" t="s">
        <v>149</v>
      </c>
      <c r="B2" s="42"/>
      <c r="C2" s="42" t="s">
        <v>150</v>
      </c>
      <c r="D2" s="42" t="s">
        <v>150</v>
      </c>
      <c r="E2" s="67" t="e">
        <f>IF(ISBLANK(Resumen!#REF!)=TRUE,"",Resumen!#REF!)</f>
        <v>#REF!</v>
      </c>
      <c r="F2" s="67" t="e">
        <f>Resumen!#REF!</f>
        <v>#REF!</v>
      </c>
      <c r="G2" t="e">
        <f>IF(E2="","",IF(F2&gt;115,"alto",IF(F2&gt;84,"normal",IF(F2&gt;70,"bajo",IF(F2&gt;0,"deficitario","")))))</f>
        <v>#REF!</v>
      </c>
      <c r="J2" s="17" t="s">
        <v>59</v>
      </c>
      <c r="K2" s="229" t="e">
        <f>Resumen!#REF!</f>
        <v>#REF!</v>
      </c>
      <c r="X2" s="23"/>
      <c r="Y2" s="36"/>
      <c r="Z2" s="23" t="s">
        <v>144</v>
      </c>
      <c r="AA2" s="32">
        <v>7.2374999999999998</v>
      </c>
      <c r="AB2" s="23"/>
      <c r="AC2" s="23"/>
      <c r="AD2" s="33"/>
      <c r="AE2" s="33"/>
      <c r="AF2" s="23"/>
    </row>
    <row r="3" spans="1:32" ht="17.25" thickBot="1">
      <c r="A3" s="4" t="s">
        <v>41</v>
      </c>
      <c r="B3" s="42" t="s">
        <v>48</v>
      </c>
      <c r="C3" s="42"/>
      <c r="D3" s="42"/>
      <c r="E3" s="67" t="e">
        <f>IF(Resumen!#REF!="","",Resumen!#REF!)</f>
        <v>#REF!</v>
      </c>
      <c r="F3" s="44" t="e">
        <f>IF(Resumen!#REF!="","",Resumen!#REF!)</f>
        <v>#REF!</v>
      </c>
      <c r="G3" t="e">
        <f>IF(E3="","",IF(E3&gt;85,"normales",IF(E3&gt;0,"bajos","ausente")))</f>
        <v>#REF!</v>
      </c>
      <c r="H3" t="e">
        <f>IF(E3="","",IF(K6&gt;11,G3,G4))</f>
        <v>#REF!</v>
      </c>
      <c r="J3" s="17" t="s">
        <v>60</v>
      </c>
      <c r="K3" s="229" t="e">
        <f>Resumen!#REF!</f>
        <v>#REF!</v>
      </c>
      <c r="X3" s="23" t="s">
        <v>53</v>
      </c>
      <c r="Y3" s="29">
        <f>K4</f>
        <v>0</v>
      </c>
      <c r="Z3" s="23" t="s">
        <v>53</v>
      </c>
      <c r="AA3" s="32">
        <v>0.18740000000000001</v>
      </c>
      <c r="AB3" s="23"/>
      <c r="AC3" s="23" t="s">
        <v>143</v>
      </c>
      <c r="AD3" s="33"/>
      <c r="AE3" s="24">
        <v>30</v>
      </c>
      <c r="AF3" s="23">
        <v>19</v>
      </c>
    </row>
    <row r="4" spans="1:32" ht="16.5" thickBot="1">
      <c r="A4" s="4" t="s">
        <v>41</v>
      </c>
      <c r="B4" s="42" t="s">
        <v>49</v>
      </c>
      <c r="C4" s="42"/>
      <c r="D4" s="42"/>
      <c r="E4" s="43" t="e">
        <f>IF(Resumen!#REF!="","",Resumen!#REF!)</f>
        <v>#REF!</v>
      </c>
      <c r="F4" s="44" t="e">
        <f>IF(Resumen!#REF!="","",Resumen!#REF!)</f>
        <v>#REF!</v>
      </c>
      <c r="G4" t="e">
        <f>IF(E4&gt;67,"normales",IF(E4&gt;0,"bajos","ausente"))</f>
        <v>#REF!</v>
      </c>
      <c r="J4" s="17" t="s">
        <v>53</v>
      </c>
      <c r="K4">
        <f>Resumen!B1</f>
        <v>0</v>
      </c>
      <c r="X4" s="23" t="s">
        <v>142</v>
      </c>
      <c r="Y4" s="35">
        <f>Y3*Y3</f>
        <v>0</v>
      </c>
      <c r="Z4" s="23" t="s">
        <v>141</v>
      </c>
      <c r="AA4" s="32">
        <v>-2.0999999999999999E-3</v>
      </c>
      <c r="AB4" s="23"/>
      <c r="AC4" s="23" t="s">
        <v>140</v>
      </c>
      <c r="AD4" s="33"/>
      <c r="AE4" s="24">
        <v>29</v>
      </c>
      <c r="AF4" s="23">
        <v>16</v>
      </c>
    </row>
    <row r="5" spans="1:32" ht="16.5" thickBot="1">
      <c r="A5" s="41" t="s">
        <v>5</v>
      </c>
      <c r="B5" s="42"/>
      <c r="C5" s="45"/>
      <c r="D5" s="45"/>
      <c r="E5" s="46" t="e">
        <f>IF(Resumen!#REF!="","",Resumen!#REF!)</f>
        <v>#REF!</v>
      </c>
      <c r="F5" s="46" t="e">
        <f>IF(Resumen!#REF!="","",Resumen!#REF!)</f>
        <v>#REF!</v>
      </c>
      <c r="G5" t="e">
        <f>IF(E5="","",IF(E5&gt;24,"normales",IF(E5&gt;20,"bajos",IF(E5&gt;0,"deficitarios","ausente"))))</f>
        <v>#REF!</v>
      </c>
      <c r="J5" s="17" t="s">
        <v>157</v>
      </c>
      <c r="K5" s="229" t="e">
        <f>Resumen!#REF!</f>
        <v>#REF!</v>
      </c>
      <c r="X5" s="23" t="s">
        <v>139</v>
      </c>
      <c r="Y5" s="34" t="e">
        <f>K14</f>
        <v>#REF!</v>
      </c>
      <c r="Z5" s="23" t="s">
        <v>138</v>
      </c>
      <c r="AA5" s="32">
        <v>-2.274</v>
      </c>
      <c r="AB5" s="23"/>
      <c r="AC5" s="23" t="s">
        <v>137</v>
      </c>
      <c r="AD5" s="33"/>
      <c r="AE5" s="24">
        <v>28</v>
      </c>
      <c r="AF5" s="23">
        <v>15</v>
      </c>
    </row>
    <row r="6" spans="1:32" ht="16.5" thickBot="1">
      <c r="A6" s="41" t="s">
        <v>43</v>
      </c>
      <c r="B6" s="42"/>
      <c r="C6" s="45"/>
      <c r="D6" s="45"/>
      <c r="E6" s="46" t="str">
        <f>IF(Resumen!B4="","",Resumen!B4)</f>
        <v/>
      </c>
      <c r="F6" s="46" t="str">
        <f>Resumen!B4</f>
        <v/>
      </c>
      <c r="G6" t="str">
        <f>IF(E6="","",IF(E6&gt;115,"alto",IF(E6&gt;84,"normal",IF(E6&gt;70,"bajo",IF(E6&gt;0,"deficitario","ausente")))))</f>
        <v/>
      </c>
      <c r="J6" s="17" t="s">
        <v>55</v>
      </c>
      <c r="K6" t="e">
        <f>Resumen!#REF!</f>
        <v>#REF!</v>
      </c>
      <c r="X6" s="23" t="s">
        <v>136</v>
      </c>
      <c r="Y6" s="29" t="e">
        <f>K6</f>
        <v>#REF!</v>
      </c>
      <c r="Z6" s="23" t="s">
        <v>135</v>
      </c>
      <c r="AA6" s="32">
        <v>0.2359</v>
      </c>
      <c r="AB6" s="23"/>
      <c r="AC6" s="23" t="s">
        <v>134</v>
      </c>
      <c r="AD6" s="23"/>
      <c r="AE6" s="24">
        <v>27</v>
      </c>
      <c r="AF6" s="23">
        <v>14</v>
      </c>
    </row>
    <row r="7" spans="1:32">
      <c r="A7" s="41" t="s">
        <v>151</v>
      </c>
      <c r="B7" s="42"/>
      <c r="C7" s="45">
        <v>10</v>
      </c>
      <c r="D7" s="45">
        <v>3</v>
      </c>
      <c r="E7" s="272" t="str">
        <f>Resumen!C2</f>
        <v/>
      </c>
      <c r="F7" s="46" t="str">
        <f>IF(E7="","",(E7-10)/3)</f>
        <v/>
      </c>
      <c r="G7" t="str">
        <f>IF(E7="","",IF(E7&gt;13,"altos",IF(E7&gt;6,"normales",IF(E7&gt;4,"bajos",IF(E7&gt;0,"deficitarios","ausente")))))</f>
        <v/>
      </c>
      <c r="H7" t="str">
        <f>IF(E7="","",IF(E7&gt;13,4,IF(E7&gt;=6,3,IF(E7&gt;3,2,1))))</f>
        <v/>
      </c>
      <c r="J7" s="17" t="s">
        <v>56</v>
      </c>
      <c r="K7" s="229" t="e">
        <f>Resumen!#REF!</f>
        <v>#REF!</v>
      </c>
      <c r="X7" s="23"/>
      <c r="Y7" s="30"/>
      <c r="Z7" s="23" t="s">
        <v>133</v>
      </c>
      <c r="AA7" s="31">
        <v>2.2865000000000002</v>
      </c>
      <c r="AB7" s="23"/>
      <c r="AC7" s="23" t="s">
        <v>132</v>
      </c>
      <c r="AD7" s="23"/>
      <c r="AE7" s="24">
        <v>26</v>
      </c>
      <c r="AF7" s="23">
        <v>13</v>
      </c>
    </row>
    <row r="8" spans="1:32" ht="16.5" thickBot="1">
      <c r="A8" s="41" t="s">
        <v>152</v>
      </c>
      <c r="B8" s="42"/>
      <c r="C8" s="45">
        <v>10</v>
      </c>
      <c r="D8" s="45">
        <v>3</v>
      </c>
      <c r="E8" s="272" t="str">
        <f>Resumen!C3</f>
        <v/>
      </c>
      <c r="F8" s="46" t="str">
        <f>IF(E8="","",(E8-10)/3)</f>
        <v/>
      </c>
      <c r="G8" t="str">
        <f t="shared" ref="G8:G13" si="0">IF(E8="","",IF(E8&gt;13,"altos",IF(E8&gt;6,"normales",IF(E8&gt;4,"bajos",IF(E8&gt;0,"deficitarios","ausente")))))</f>
        <v/>
      </c>
      <c r="H8" t="str">
        <f t="shared" ref="H8:H12" si="1">IF(E8="","",IF(E8&gt;13,4,IF(E8&gt;=6,3,IF(E8&gt;3,2,1))))</f>
        <v/>
      </c>
      <c r="J8" s="17" t="s">
        <v>57</v>
      </c>
      <c r="K8" s="65" t="e">
        <f>K7+7</f>
        <v>#REF!</v>
      </c>
      <c r="X8" s="23"/>
      <c r="Y8" s="30"/>
      <c r="Z8" s="23"/>
      <c r="AA8" s="23"/>
      <c r="AB8" s="23"/>
      <c r="AC8" s="23" t="s">
        <v>131</v>
      </c>
      <c r="AD8" s="23"/>
      <c r="AE8" s="24">
        <v>25</v>
      </c>
      <c r="AF8" s="23">
        <v>12</v>
      </c>
    </row>
    <row r="9" spans="1:32" ht="16.5" thickBot="1">
      <c r="A9" s="41" t="s">
        <v>8</v>
      </c>
      <c r="B9" s="42"/>
      <c r="C9" s="45">
        <v>10</v>
      </c>
      <c r="D9" s="45">
        <v>3</v>
      </c>
      <c r="E9" s="43" t="e">
        <f>Resumen!#REF!</f>
        <v>#REF!</v>
      </c>
      <c r="F9" s="46" t="e">
        <f t="shared" ref="F9:F13" si="2">IF(E9="","",(E9-10)/3)</f>
        <v>#REF!</v>
      </c>
      <c r="G9" t="e">
        <f t="shared" si="0"/>
        <v>#REF!</v>
      </c>
      <c r="H9" t="e">
        <f t="shared" si="1"/>
        <v>#REF!</v>
      </c>
      <c r="J9" s="17" t="s">
        <v>58</v>
      </c>
      <c r="K9" t="e">
        <f>Resumen!#REF!</f>
        <v>#REF!</v>
      </c>
      <c r="X9" s="23" t="s">
        <v>130</v>
      </c>
      <c r="Y9" s="29" t="e">
        <f>IF(K25=AE3,AF3,IF(K25=AE4,AF4,IF(K25=AE5,AF5,IF(K25=AE6,AF6,IF(K25=AE7,AF7,IF(K25=AE8,AF8,IF(K25&gt;=AE10,AF10,IF(K25&gt;=AE12,AF12,IF(K25&gt;=AE14,AF14,IF(K25&gt;=AE16,AF16,IF(K25=AE17,AF17,IF(K25&gt;=AE19,AF19,IF(K25&gt;=AE21,AF21,IF(K25&gt;=AE24,AF24,IF(K25&gt;=AE26,AF26,1)))))))))))))))</f>
        <v>#REF!</v>
      </c>
      <c r="Z9" s="23"/>
      <c r="AA9" s="23"/>
      <c r="AB9" s="23"/>
      <c r="AC9" s="23" t="s">
        <v>129</v>
      </c>
      <c r="AD9" s="23"/>
      <c r="AE9" s="24">
        <v>24</v>
      </c>
      <c r="AF9" s="23">
        <v>11</v>
      </c>
    </row>
    <row r="10" spans="1:32" ht="16.5" thickBot="1">
      <c r="A10" s="41" t="s">
        <v>153</v>
      </c>
      <c r="B10" s="42"/>
      <c r="C10" s="45">
        <v>10</v>
      </c>
      <c r="D10" s="45">
        <v>3</v>
      </c>
      <c r="E10" s="43" t="e">
        <f>Resumen!#REF!</f>
        <v>#REF!</v>
      </c>
      <c r="F10" s="46" t="e">
        <f t="shared" si="2"/>
        <v>#REF!</v>
      </c>
      <c r="G10" t="e">
        <f t="shared" si="0"/>
        <v>#REF!</v>
      </c>
      <c r="H10" t="e">
        <f t="shared" si="1"/>
        <v>#REF!</v>
      </c>
      <c r="J10" s="17" t="s">
        <v>61</v>
      </c>
      <c r="K10" t="e">
        <f>IF(Resumen!#REF!="MR",ENPS!L10,IF(Resumen!#REF!="TT",ENPS!M10,IF(Resumen!#REF!="DB",ENPS!N10,IF(Resumen!#REF!="CP",ENPS!O10,""))))</f>
        <v>#REF!</v>
      </c>
      <c r="L10" t="s">
        <v>63</v>
      </c>
      <c r="M10" t="s">
        <v>66</v>
      </c>
      <c r="N10" t="s">
        <v>72</v>
      </c>
      <c r="O10" t="s">
        <v>74</v>
      </c>
      <c r="P10" t="s">
        <v>830</v>
      </c>
      <c r="X10" s="23" t="s">
        <v>128</v>
      </c>
      <c r="Y10" s="28" t="e">
        <f>Y9</f>
        <v>#REF!</v>
      </c>
      <c r="Z10" s="23"/>
      <c r="AA10" s="23"/>
      <c r="AB10" s="23"/>
      <c r="AC10" s="23" t="s">
        <v>127</v>
      </c>
      <c r="AD10" s="23"/>
      <c r="AE10" s="24">
        <v>23</v>
      </c>
      <c r="AF10" s="23">
        <v>11</v>
      </c>
    </row>
    <row r="11" spans="1:32">
      <c r="A11" s="41" t="s">
        <v>9</v>
      </c>
      <c r="B11" s="42"/>
      <c r="C11" s="45">
        <v>10</v>
      </c>
      <c r="D11" s="45">
        <v>3</v>
      </c>
      <c r="E11" s="43" t="e">
        <f>Resumen!#REF!</f>
        <v>#REF!</v>
      </c>
      <c r="F11" s="46" t="e">
        <f t="shared" si="2"/>
        <v>#REF!</v>
      </c>
      <c r="G11" t="e">
        <f t="shared" si="0"/>
        <v>#REF!</v>
      </c>
      <c r="H11" t="e">
        <f t="shared" si="1"/>
        <v>#REF!</v>
      </c>
      <c r="J11" s="17" t="s">
        <v>71</v>
      </c>
      <c r="K11" t="e">
        <f>IF(Resumen!#REF!="MR",ENPS!L11,IF(Resumen!#REF!="TT",ENPS!M11,IF(Resumen!#REF!="DB",ENPS!N11,IF(Resumen!#REF!="CP",ENPS!O11,""))))</f>
        <v>#REF!</v>
      </c>
      <c r="L11" s="11" t="s">
        <v>64</v>
      </c>
      <c r="M11" s="11" t="s">
        <v>65</v>
      </c>
      <c r="N11" s="11" t="s">
        <v>73</v>
      </c>
      <c r="O11" s="11" t="s">
        <v>75</v>
      </c>
      <c r="P11" s="11" t="s">
        <v>831</v>
      </c>
      <c r="Q11" s="11"/>
      <c r="R11" s="11"/>
      <c r="S11" s="11"/>
      <c r="T11" s="11"/>
      <c r="X11" s="23" t="s">
        <v>126</v>
      </c>
      <c r="Y11" s="27" t="e">
        <f>AA2+(AA3*Y3)+(AA4*Y4)+(AA6*Y6)+(AA5*Y5)</f>
        <v>#REF!</v>
      </c>
      <c r="Z11" s="23"/>
      <c r="AA11" s="23"/>
      <c r="AB11" s="23"/>
      <c r="AC11" s="23" t="s">
        <v>125</v>
      </c>
      <c r="AD11" s="23"/>
      <c r="AE11" s="24">
        <v>22</v>
      </c>
      <c r="AF11" s="23">
        <v>10</v>
      </c>
    </row>
    <row r="12" spans="1:32" ht="21">
      <c r="A12" s="41" t="s">
        <v>10</v>
      </c>
      <c r="B12" s="42"/>
      <c r="C12" s="45">
        <v>10</v>
      </c>
      <c r="D12" s="45">
        <v>3</v>
      </c>
      <c r="E12" s="43" t="e">
        <f>Resumen!#REF!</f>
        <v>#REF!</v>
      </c>
      <c r="F12" s="46" t="e">
        <f t="shared" si="2"/>
        <v>#REF!</v>
      </c>
      <c r="G12" t="e">
        <f t="shared" si="0"/>
        <v>#REF!</v>
      </c>
      <c r="H12" t="e">
        <f t="shared" si="1"/>
        <v>#REF!</v>
      </c>
      <c r="J12" s="17" t="s">
        <v>62</v>
      </c>
      <c r="K12" t="e">
        <f>IF(Resumen!#REF!="MR",ENPS!L12,IF(Resumen!#REF!="TT",ENPS!M12,IF(Resumen!#REF!="DB",ENPS!N12,IF(Resumen!#REF!="CP",ENPS!O12,""))))</f>
        <v>#REF!</v>
      </c>
      <c r="L12" s="13" t="s">
        <v>833</v>
      </c>
      <c r="M12" s="13" t="s">
        <v>834</v>
      </c>
      <c r="N12" s="13" t="s">
        <v>835</v>
      </c>
      <c r="O12" s="13" t="s">
        <v>836</v>
      </c>
      <c r="P12" s="13" t="s">
        <v>837</v>
      </c>
      <c r="Q12" s="13"/>
      <c r="R12" s="13"/>
      <c r="S12" s="13"/>
      <c r="T12" s="13"/>
      <c r="X12" s="23" t="s">
        <v>4</v>
      </c>
      <c r="Y12" s="26" t="e">
        <f>(Y10-Y11)/AA7</f>
        <v>#REF!</v>
      </c>
      <c r="Z12" s="23"/>
      <c r="AA12" s="23"/>
      <c r="AB12" s="23"/>
      <c r="AC12" s="23" t="s">
        <v>124</v>
      </c>
      <c r="AD12" s="23"/>
      <c r="AE12" s="24">
        <v>21</v>
      </c>
      <c r="AF12" s="23">
        <v>10</v>
      </c>
    </row>
    <row r="13" spans="1:32">
      <c r="A13" s="41" t="s">
        <v>11</v>
      </c>
      <c r="B13" s="42"/>
      <c r="C13" s="45">
        <v>10</v>
      </c>
      <c r="D13" s="45">
        <v>3</v>
      </c>
      <c r="E13" s="43" t="e">
        <f>Resumen!#REF!</f>
        <v>#REF!</v>
      </c>
      <c r="F13" s="46" t="e">
        <f t="shared" si="2"/>
        <v>#REF!</v>
      </c>
      <c r="G13" t="e">
        <f t="shared" si="0"/>
        <v>#REF!</v>
      </c>
      <c r="H13" t="e">
        <f>IF(E13="","",IF(E13&gt;13,4,IF(E13&gt;=6,3,IF(E13&gt;3,2,1))))</f>
        <v>#REF!</v>
      </c>
      <c r="J13" s="17" t="s">
        <v>161</v>
      </c>
      <c r="K13" t="e">
        <f>IF(Resumen!#REF!="X",1,"")</f>
        <v>#REF!</v>
      </c>
      <c r="X13" s="23"/>
      <c r="Y13" s="23"/>
      <c r="Z13" s="23"/>
      <c r="AA13" s="23"/>
      <c r="AB13" s="23"/>
      <c r="AC13" s="23" t="s">
        <v>123</v>
      </c>
      <c r="AD13" s="23"/>
      <c r="AE13" s="24">
        <v>20</v>
      </c>
      <c r="AF13" s="23">
        <v>9</v>
      </c>
    </row>
    <row r="14" spans="1:32">
      <c r="A14" s="47" t="s">
        <v>12</v>
      </c>
      <c r="B14" s="42"/>
      <c r="C14" s="45">
        <v>100</v>
      </c>
      <c r="D14" s="45">
        <v>15</v>
      </c>
      <c r="E14" s="43" t="e">
        <f>Resumen!#REF!</f>
        <v>#REF!</v>
      </c>
      <c r="F14" s="46" t="e">
        <f>IF(E14="","",(E14-100)/15)</f>
        <v>#REF!</v>
      </c>
      <c r="G14" t="e">
        <f>IF(E14="","",IF(E14&gt;115,"altos",IF(E14&gt;84,"normales",IF(E14&gt;70,"bajos",IF(E14&gt;0,"deficitarios","ausente")))))</f>
        <v>#REF!</v>
      </c>
      <c r="J14" s="17" t="s">
        <v>139</v>
      </c>
      <c r="K14" t="e">
        <f>Resumen!#REF!</f>
        <v>#REF!</v>
      </c>
      <c r="X14" s="23"/>
      <c r="Y14" s="23"/>
      <c r="Z14" s="23"/>
      <c r="AA14" s="23"/>
      <c r="AB14" s="23"/>
      <c r="AC14" s="23" t="s">
        <v>122</v>
      </c>
      <c r="AD14" s="23"/>
      <c r="AE14" s="24">
        <v>19</v>
      </c>
      <c r="AF14" s="23">
        <v>9</v>
      </c>
    </row>
    <row r="15" spans="1:32" ht="26.25">
      <c r="A15" s="47" t="s">
        <v>13</v>
      </c>
      <c r="B15" s="42"/>
      <c r="C15" s="45">
        <v>100</v>
      </c>
      <c r="D15" s="45">
        <v>15</v>
      </c>
      <c r="E15" s="43" t="e">
        <f>Resumen!#REF!</f>
        <v>#REF!</v>
      </c>
      <c r="F15" s="330" t="e">
        <f>IF(E15="","",(E15-100)/15)</f>
        <v>#REF!</v>
      </c>
      <c r="G15" t="e">
        <f>IF(E15="","",IF(E15&gt;115,"altos",IF(E15&gt;84,"normales",IF(E15&gt;70,"bajos",IF(E15&gt;0,"deficitarios","ausente")))))</f>
        <v>#REF!</v>
      </c>
      <c r="J15" s="10" t="s">
        <v>76</v>
      </c>
      <c r="L15" s="14"/>
      <c r="M15" s="14"/>
      <c r="N15" s="14"/>
      <c r="O15" s="14"/>
      <c r="P15" s="14"/>
      <c r="Q15" s="14"/>
      <c r="R15" s="14"/>
      <c r="S15" s="14"/>
      <c r="T15" s="14"/>
      <c r="U15" s="14"/>
      <c r="X15" s="23"/>
      <c r="Y15" s="23"/>
      <c r="Z15" s="23"/>
      <c r="AA15" s="23"/>
      <c r="AB15" s="25"/>
      <c r="AC15" s="23" t="s">
        <v>121</v>
      </c>
      <c r="AD15" s="23"/>
      <c r="AE15" s="24">
        <v>18</v>
      </c>
      <c r="AF15" s="23">
        <v>8</v>
      </c>
    </row>
    <row r="16" spans="1:32">
      <c r="A16" s="48" t="s">
        <v>14</v>
      </c>
      <c r="B16" s="7" t="s">
        <v>15</v>
      </c>
      <c r="C16" s="49">
        <v>23.44</v>
      </c>
      <c r="D16" s="49">
        <v>5.01</v>
      </c>
      <c r="E16" s="307" t="e">
        <f>IF(Resumen!#REF!="","",Resumen!#REF!)</f>
        <v>#REF!</v>
      </c>
      <c r="F16" s="49" t="e">
        <f>Resumen!#REF!</f>
        <v>#REF!</v>
      </c>
      <c r="G16" t="e">
        <f>IF(E16="","",IF(F16&gt;1,"altos",IF(F16&gt;=-1,"normales",IF(F16&gt;-2,"bajos","deficitarios"))))</f>
        <v>#REF!</v>
      </c>
      <c r="J16" t="s">
        <v>77</v>
      </c>
      <c r="K16" t="e">
        <f>IF(Resumen!#REF!="","",Resumen!#REF!)</f>
        <v>#REF!</v>
      </c>
      <c r="L16" s="14"/>
      <c r="M16" s="14"/>
      <c r="N16" s="14"/>
      <c r="O16" s="14"/>
      <c r="P16" s="14"/>
      <c r="Q16" s="14"/>
      <c r="R16" s="14"/>
      <c r="S16" s="14"/>
      <c r="T16" s="14"/>
      <c r="U16" s="14"/>
      <c r="X16" s="23"/>
      <c r="Y16" s="23"/>
      <c r="Z16" s="23"/>
      <c r="AA16" s="23"/>
      <c r="AB16" s="23"/>
      <c r="AC16" s="23" t="s">
        <v>120</v>
      </c>
      <c r="AD16" s="23"/>
      <c r="AE16" s="24">
        <v>17</v>
      </c>
      <c r="AF16" s="23">
        <v>8</v>
      </c>
    </row>
    <row r="17" spans="1:32">
      <c r="A17" s="48"/>
      <c r="B17" s="7" t="s">
        <v>154</v>
      </c>
      <c r="C17" s="49">
        <v>21.07</v>
      </c>
      <c r="D17" s="49">
        <v>5.91</v>
      </c>
      <c r="E17" s="307" t="e">
        <f>IF(Resumen!#REF!="","",Resumen!#REF!)</f>
        <v>#REF!</v>
      </c>
      <c r="F17" s="49" t="e">
        <f>Resumen!#REF!</f>
        <v>#REF!</v>
      </c>
      <c r="G17" t="e">
        <f>IF(E17="","",IF(F17&gt;1,"altos",IF(F17&gt;=-1,"normales",IF(F17&gt;-2,"bajos","deficitarios"))))</f>
        <v>#REF!</v>
      </c>
      <c r="X17" s="23"/>
      <c r="Y17" s="23"/>
      <c r="Z17" s="23"/>
      <c r="AA17" s="23"/>
      <c r="AB17" s="23"/>
      <c r="AC17" s="23" t="s">
        <v>119</v>
      </c>
      <c r="AD17" s="23"/>
      <c r="AE17" s="24">
        <v>16</v>
      </c>
      <c r="AF17" s="23">
        <v>7</v>
      </c>
    </row>
    <row r="18" spans="1:32">
      <c r="A18" s="7"/>
      <c r="B18" s="7" t="s">
        <v>17</v>
      </c>
      <c r="C18" s="51" t="s">
        <v>155</v>
      </c>
      <c r="D18" s="52"/>
      <c r="E18" s="327" t="e">
        <f>IF(Resumen!#REF!="","",Resumen!#REF!)</f>
        <v>#REF!</v>
      </c>
      <c r="F18" s="49"/>
      <c r="G18" t="e">
        <f>IF(E18="","",IF(E18&gt;13,"normales",IF(E18&gt;0,"bajos","ausente")))</f>
        <v>#REF!</v>
      </c>
      <c r="J18" s="20" t="s">
        <v>93</v>
      </c>
      <c r="K18" t="e">
        <f>IF(Resumen!#REF!="X",1,"")</f>
        <v>#REF!</v>
      </c>
      <c r="X18" s="23"/>
      <c r="Y18" s="23"/>
      <c r="Z18" s="23"/>
      <c r="AA18" s="23"/>
      <c r="AB18" s="23"/>
      <c r="AC18" s="23" t="s">
        <v>118</v>
      </c>
      <c r="AD18" s="23"/>
      <c r="AE18" s="24">
        <v>15</v>
      </c>
      <c r="AF18" s="23">
        <v>6</v>
      </c>
    </row>
    <row r="19" spans="1:32">
      <c r="A19" s="48" t="s">
        <v>18</v>
      </c>
      <c r="B19" s="7" t="s">
        <v>19</v>
      </c>
      <c r="C19" s="53">
        <v>6.2</v>
      </c>
      <c r="D19" s="53">
        <v>1.6</v>
      </c>
      <c r="E19" s="307" t="e">
        <f>IF(Resumen!#REF!="","",Resumen!#REF!)</f>
        <v>#REF!</v>
      </c>
      <c r="F19" s="49" t="e">
        <f>Resumen!#REF!</f>
        <v>#REF!</v>
      </c>
      <c r="G19" t="e">
        <f>IF(F19="","",IF(F19&gt;1,"altos",IF(F19&gt;=-1,"normales",IF(F19&gt;-2,"bajos","deficitarios"))))</f>
        <v>#REF!</v>
      </c>
      <c r="H19" t="e">
        <f>IF(F19&gt;1,4,IF(F19&gt;=-1,3,IF(F19&gt;-2,2,1)))</f>
        <v>#REF!</v>
      </c>
      <c r="J19" s="20" t="s">
        <v>94</v>
      </c>
      <c r="K19" t="e">
        <f>IF(Resumen!#REF!="X",1,"")</f>
        <v>#REF!</v>
      </c>
      <c r="X19" s="23"/>
      <c r="Y19" s="23"/>
      <c r="Z19" s="23"/>
      <c r="AA19" s="23"/>
      <c r="AB19" s="23"/>
      <c r="AC19" s="23"/>
      <c r="AD19" s="24"/>
      <c r="AE19" s="24">
        <v>14</v>
      </c>
      <c r="AF19" s="23">
        <v>6</v>
      </c>
    </row>
    <row r="20" spans="1:32">
      <c r="A20" s="48"/>
      <c r="B20" s="7" t="s">
        <v>15</v>
      </c>
      <c r="C20" s="53">
        <v>47.4</v>
      </c>
      <c r="D20" s="53">
        <v>8.8000000000000007</v>
      </c>
      <c r="E20" s="307" t="e">
        <f>IF(Resumen!#REF!="","",Resumen!#REF!)</f>
        <v>#REF!</v>
      </c>
      <c r="F20" s="49" t="e">
        <f>Resumen!#REF!</f>
        <v>#REF!</v>
      </c>
      <c r="G20" t="e">
        <f t="shared" ref="G20:G23" si="3">IF(F20="","",IF(F20&gt;1,"altos",IF(F20&gt;=-1,"normales",IF(F20&gt;-2,"bajos","deficitarios"))))</f>
        <v>#REF!</v>
      </c>
      <c r="H20" t="e">
        <f t="shared" ref="H20:H22" si="4">IF(F20&gt;1,4,IF(F20&gt;=-1,3,IF(F20&gt;-2,2,1)))</f>
        <v>#REF!</v>
      </c>
      <c r="AE20" s="24">
        <v>13</v>
      </c>
      <c r="AF20" s="33">
        <v>5</v>
      </c>
    </row>
    <row r="21" spans="1:32">
      <c r="A21" s="48"/>
      <c r="B21" s="7" t="s">
        <v>20</v>
      </c>
      <c r="C21" s="53">
        <v>5.9</v>
      </c>
      <c r="D21" s="53">
        <v>1.7</v>
      </c>
      <c r="E21" s="307" t="e">
        <f>IF(Resumen!#REF!="","",Resumen!#REF!)</f>
        <v>#REF!</v>
      </c>
      <c r="F21" s="49" t="e">
        <f>Resumen!#REF!</f>
        <v>#REF!</v>
      </c>
      <c r="G21" t="e">
        <f t="shared" si="3"/>
        <v>#REF!</v>
      </c>
      <c r="H21" t="e">
        <f t="shared" si="4"/>
        <v>#REF!</v>
      </c>
      <c r="J21" t="s">
        <v>98</v>
      </c>
      <c r="K21" t="e">
        <f>IF(Resumen!#REF!="","",Resumen!#REF!)</f>
        <v>#REF!</v>
      </c>
      <c r="AE21" s="24">
        <v>12</v>
      </c>
      <c r="AF21" s="33">
        <v>5</v>
      </c>
    </row>
    <row r="22" spans="1:32">
      <c r="A22" s="48"/>
      <c r="B22" s="7" t="s">
        <v>16</v>
      </c>
      <c r="C22" s="53">
        <v>9.4</v>
      </c>
      <c r="D22" s="53">
        <v>3.3</v>
      </c>
      <c r="E22" s="307" t="e">
        <f>IF(Resumen!#REF!="","",Resumen!#REF!)</f>
        <v>#REF!</v>
      </c>
      <c r="F22" s="49" t="e">
        <f>Resumen!#REF!</f>
        <v>#REF!</v>
      </c>
      <c r="G22" t="e">
        <f t="shared" si="3"/>
        <v>#REF!</v>
      </c>
      <c r="H22" t="e">
        <f t="shared" si="4"/>
        <v>#REF!</v>
      </c>
      <c r="AE22" s="24">
        <v>11</v>
      </c>
      <c r="AF22" s="33">
        <v>4</v>
      </c>
    </row>
    <row r="23" spans="1:32">
      <c r="A23" s="48"/>
      <c r="B23" s="7" t="s">
        <v>17</v>
      </c>
      <c r="C23" s="53">
        <v>12.2</v>
      </c>
      <c r="D23" s="53">
        <v>2.6</v>
      </c>
      <c r="E23" s="307" t="e">
        <f>IF(Resumen!#REF!="","",Resumen!#REF!)</f>
        <v>#REF!</v>
      </c>
      <c r="F23" s="49" t="e">
        <f>Resumen!#REF!</f>
        <v>#REF!</v>
      </c>
      <c r="G23" t="e">
        <f t="shared" si="3"/>
        <v>#REF!</v>
      </c>
      <c r="H23" t="e">
        <f>IF(F23&gt;1,4,IF(F23&gt;=-1,3,IF(F23&gt;-2,2,1)))</f>
        <v>#REF!</v>
      </c>
      <c r="J23" t="s">
        <v>117</v>
      </c>
      <c r="K23">
        <f>IF(ISBLANK(Resumen!#REF!)=FALSE,1,"")</f>
        <v>1</v>
      </c>
      <c r="AE23" s="24">
        <v>10</v>
      </c>
      <c r="AF23" s="33">
        <v>4</v>
      </c>
    </row>
    <row r="24" spans="1:32" ht="16.5" thickBot="1">
      <c r="A24" s="48" t="s">
        <v>317</v>
      </c>
      <c r="B24" s="4"/>
      <c r="C24" s="51"/>
      <c r="D24" s="51"/>
      <c r="E24" s="327" t="e">
        <f>IF(K25="","",K25)</f>
        <v>#REF!</v>
      </c>
      <c r="F24" s="49" t="e">
        <f>IF(E24="","",Y12)</f>
        <v>#REF!</v>
      </c>
      <c r="G24" t="e">
        <f>IF(F24="","",IF(F24&gt;1,"altos",IF(F24&gt;=-1,"normales",IF(F24&gt;-2,"bajos","deficitarios"))))</f>
        <v>#REF!</v>
      </c>
      <c r="H24" t="e">
        <f t="shared" ref="H24:H47" si="5">IF(F24&gt;1,"4",IF(F24&gt;=-1,"3",IF(F24&gt;-2,"2","1")))</f>
        <v>#REF!</v>
      </c>
      <c r="AE24" s="24">
        <v>9</v>
      </c>
      <c r="AF24" s="33">
        <v>4</v>
      </c>
    </row>
    <row r="25" spans="1:32" ht="16.5" thickBot="1">
      <c r="A25" s="48"/>
      <c r="B25" s="8"/>
      <c r="C25" s="51"/>
      <c r="D25" s="51"/>
      <c r="E25" s="327"/>
      <c r="F25" s="49"/>
      <c r="G25" t="str">
        <f t="shared" ref="G25" si="6">IF(ISBLANK(F25),"ausente",IF(F25&gt;1,"altos",IF(F25&gt;=-1,"normales",IF(F25&gt;-2,"bajos","deficitarios"))))</f>
        <v>ausente</v>
      </c>
      <c r="H25" t="str">
        <f t="shared" si="5"/>
        <v>3</v>
      </c>
      <c r="J25" t="s">
        <v>148</v>
      </c>
      <c r="K25" t="e">
        <f>IF(Resumen!#REF!="","",Resumen!#REF!)</f>
        <v>#REF!</v>
      </c>
      <c r="AE25" s="24">
        <v>8</v>
      </c>
      <c r="AF25" s="33">
        <v>3</v>
      </c>
    </row>
    <row r="26" spans="1:32">
      <c r="A26" s="48" t="s">
        <v>21</v>
      </c>
      <c r="B26" s="7" t="s">
        <v>44</v>
      </c>
      <c r="C26" s="53">
        <v>14.8</v>
      </c>
      <c r="D26" s="53">
        <v>2.6</v>
      </c>
      <c r="E26" s="307" t="e">
        <f>IF(ISBLANK(Resumen!#REF!)=TRUE,"",Resumen!#REF!)</f>
        <v>#REF!</v>
      </c>
      <c r="F26" s="49" t="e">
        <f>Resumen!#REF!</f>
        <v>#REF!</v>
      </c>
      <c r="G26" t="e">
        <f>IF(E26="","",IF(F26&gt;1,"altos",IF(F26&gt;=-1,"normales",IF(F26&gt;-2,"bajos","deficitarios"))))</f>
        <v>#REF!</v>
      </c>
      <c r="H26" t="e">
        <f t="shared" si="5"/>
        <v>#REF!</v>
      </c>
      <c r="AE26" s="24">
        <v>7</v>
      </c>
      <c r="AF26" s="33">
        <v>3</v>
      </c>
    </row>
    <row r="27" spans="1:32">
      <c r="A27" s="48" t="s">
        <v>21</v>
      </c>
      <c r="B27" s="54" t="s">
        <v>45</v>
      </c>
      <c r="C27" s="53">
        <v>19</v>
      </c>
      <c r="D27" s="53">
        <v>4.7</v>
      </c>
      <c r="E27" s="307" t="e">
        <f>IF(ISBLANK(Resumen!#REF!)=TRUE,"",Resumen!#REF!)</f>
        <v>#REF!</v>
      </c>
      <c r="F27" s="49" t="e">
        <f>Resumen!#REF!</f>
        <v>#REF!</v>
      </c>
      <c r="G27" t="e">
        <f>IF(E27="","",IF(F27&gt;1,"altos",IF(F27&gt;=-1,"normales",IF(F27&gt;-2,"bajos","deficitarios"))))</f>
        <v>#REF!</v>
      </c>
      <c r="H27" t="e">
        <f t="shared" si="5"/>
        <v>#REF!</v>
      </c>
      <c r="AE27" s="24">
        <v>6</v>
      </c>
      <c r="AF27" s="33">
        <v>1</v>
      </c>
    </row>
    <row r="28" spans="1:32">
      <c r="A28" s="48" t="s">
        <v>21</v>
      </c>
      <c r="B28" s="7" t="s">
        <v>46</v>
      </c>
      <c r="C28" s="53">
        <v>17.100000000000001</v>
      </c>
      <c r="D28" s="53">
        <v>4.0999999999999996</v>
      </c>
      <c r="E28" s="307" t="e">
        <f>IF(ISBLANK(Resumen!#REF!)=TRUE,"",Resumen!#REF!)</f>
        <v>#REF!</v>
      </c>
      <c r="F28" s="49" t="e">
        <f>Resumen!#REF!</f>
        <v>#REF!</v>
      </c>
      <c r="G28" t="e">
        <f t="shared" ref="G28" si="7">IF(E28="","ausente",IF(F28&gt;1,"altos",IF(F28&gt;=-1,"normales",IF(F28&gt;-2,"bajos","deficitarios"))))</f>
        <v>#REF!</v>
      </c>
      <c r="H28" t="e">
        <f t="shared" si="5"/>
        <v>#REF!</v>
      </c>
      <c r="AE28" s="24">
        <v>5</v>
      </c>
    </row>
    <row r="29" spans="1:32">
      <c r="A29" s="48" t="s">
        <v>22</v>
      </c>
      <c r="B29" s="7" t="s">
        <v>44</v>
      </c>
      <c r="C29" s="53">
        <v>18.7</v>
      </c>
      <c r="D29" s="53">
        <v>3</v>
      </c>
      <c r="E29" s="307" t="e">
        <f>IF(Resumen!#REF!="","",Resumen!#REF!)</f>
        <v>#REF!</v>
      </c>
      <c r="F29" s="49" t="e">
        <f>Resumen!#REF!</f>
        <v>#REF!</v>
      </c>
      <c r="G29" t="e">
        <f>IF(F29="","",IF(F29&gt;1,"altos",IF(F29&gt;=-1,"normales",IF(F29&gt;-2,"bajos","deficitarios"))))</f>
        <v>#REF!</v>
      </c>
      <c r="H29" t="e">
        <f t="shared" si="5"/>
        <v>#REF!</v>
      </c>
      <c r="AE29" s="24">
        <v>4</v>
      </c>
    </row>
    <row r="30" spans="1:32">
      <c r="A30" s="48" t="s">
        <v>22</v>
      </c>
      <c r="B30" s="54" t="s">
        <v>45</v>
      </c>
      <c r="C30" s="53">
        <v>22.4</v>
      </c>
      <c r="D30" s="53">
        <v>4.7</v>
      </c>
      <c r="E30" s="307" t="e">
        <f>IF(Resumen!#REF!="","",Resumen!#REF!)</f>
        <v>#REF!</v>
      </c>
      <c r="F30" s="49" t="e">
        <f>Resumen!#REF!</f>
        <v>#REF!</v>
      </c>
      <c r="G30" t="e">
        <f t="shared" ref="G30:G47" si="8">IF(ISBLANK(F30),"ausente",IF(F30&gt;1,"altos",IF(F30&gt;=-1,"normales",IF(F30&gt;-2,"bajos","deficitarios"))))</f>
        <v>#REF!</v>
      </c>
      <c r="H30" t="e">
        <f t="shared" si="5"/>
        <v>#REF!</v>
      </c>
      <c r="AE30" s="24">
        <v>3</v>
      </c>
    </row>
    <row r="31" spans="1:32">
      <c r="A31" s="48" t="s">
        <v>22</v>
      </c>
      <c r="B31" s="7" t="s">
        <v>46</v>
      </c>
      <c r="C31" s="53">
        <v>22.4</v>
      </c>
      <c r="D31" s="53">
        <v>4.8</v>
      </c>
      <c r="E31" s="307" t="e">
        <f>IF(Resumen!#REF!="","",Resumen!#REF!)</f>
        <v>#REF!</v>
      </c>
      <c r="F31" s="49" t="e">
        <f>Resumen!#REF!</f>
        <v>#REF!</v>
      </c>
      <c r="G31" t="e">
        <f t="shared" si="8"/>
        <v>#REF!</v>
      </c>
      <c r="H31" t="e">
        <f t="shared" si="5"/>
        <v>#REF!</v>
      </c>
      <c r="AE31" s="24">
        <v>2</v>
      </c>
    </row>
    <row r="32" spans="1:32">
      <c r="A32" s="48" t="s">
        <v>23</v>
      </c>
      <c r="B32" s="7" t="s">
        <v>24</v>
      </c>
      <c r="C32" s="49">
        <v>30.7</v>
      </c>
      <c r="D32" s="49">
        <v>8.8000000000000007</v>
      </c>
      <c r="E32" s="307" t="e">
        <f>IF(Resumen!#REF!="","",Resumen!#REF!)</f>
        <v>#REF!</v>
      </c>
      <c r="F32" s="49" t="e">
        <f>Resumen!#REF!</f>
        <v>#REF!</v>
      </c>
      <c r="G32" t="e">
        <f>IF(F32="","",IF(F32&gt;1,"altos",IF(F32&gt;=-1,"normales",IF(F32&gt;-2,"bajos","deficitarios"))))</f>
        <v>#REF!</v>
      </c>
      <c r="H32" t="e">
        <f>IF(F32="","",IF(F32&gt;1,4,IF(F32&gt;=-1,3,IF(F32&gt;-2,2,1))))</f>
        <v>#REF!</v>
      </c>
      <c r="AE32" s="24">
        <v>1</v>
      </c>
    </row>
    <row r="33" spans="1:10">
      <c r="A33" s="48"/>
      <c r="B33" s="7" t="s">
        <v>25</v>
      </c>
      <c r="C33" s="49">
        <v>64.400000000000006</v>
      </c>
      <c r="D33" s="49">
        <v>18.3</v>
      </c>
      <c r="E33" s="307" t="e">
        <f>IF(Resumen!#REF!="","",Resumen!#REF!)</f>
        <v>#REF!</v>
      </c>
      <c r="F33" s="49" t="e">
        <f>Resumen!#REF!</f>
        <v>#REF!</v>
      </c>
      <c r="G33" t="e">
        <f>IF(F33="","",IF(F33&gt;1,"altos",IF(F33&gt;=-1,"normales",IF(F33&gt;-2,"bajos","deficitarios"))))</f>
        <v>#REF!</v>
      </c>
      <c r="H33" t="e">
        <f>IF(F33&gt;1,4,IF(F33&gt;=-1,3,IF(F33&gt;-2,2,1)))</f>
        <v>#REF!</v>
      </c>
    </row>
    <row r="34" spans="1:10">
      <c r="A34" s="48" t="s">
        <v>26</v>
      </c>
      <c r="B34" s="7" t="s">
        <v>15</v>
      </c>
      <c r="C34" s="49">
        <v>32.31</v>
      </c>
      <c r="D34" s="49">
        <v>2.67</v>
      </c>
      <c r="E34" s="326" t="e">
        <f>IF(Resumen!#REF!="","",Resumen!#REF!)</f>
        <v>#REF!</v>
      </c>
      <c r="F34" s="49" t="e">
        <f>Resumen!#REF!</f>
        <v>#REF!</v>
      </c>
      <c r="G34" t="e">
        <f t="shared" ref="G34:G38" si="9">IF(F34="","",IF(F34&gt;1,"altos",IF(F34&gt;=-1,"normales",IF(F34&gt;-2,"bajos","deficitarios"))))</f>
        <v>#REF!</v>
      </c>
      <c r="H34" t="e">
        <f>IF(F34&gt;1,4,IF(F34&gt;=-1,3,IF(F34&gt;-2,2,1)))</f>
        <v>#REF!</v>
      </c>
    </row>
    <row r="35" spans="1:10">
      <c r="A35" s="48"/>
      <c r="B35" s="7" t="s">
        <v>16</v>
      </c>
      <c r="C35" s="49">
        <v>16.559999999999999</v>
      </c>
      <c r="D35" s="49">
        <v>6.69</v>
      </c>
      <c r="E35" s="326" t="e">
        <f>IF(Resumen!#REF!="","",Resumen!#REF!)</f>
        <v>#REF!</v>
      </c>
      <c r="F35" s="49" t="e">
        <f>Resumen!#REF!</f>
        <v>#REF!</v>
      </c>
      <c r="G35" t="e">
        <f t="shared" si="9"/>
        <v>#REF!</v>
      </c>
      <c r="H35" t="e">
        <f t="shared" ref="H35:H36" si="10">IF(F35&gt;1,4,IF(F35&gt;=-1,3,IF(F35&gt;-2,2,1)))</f>
        <v>#REF!</v>
      </c>
    </row>
    <row r="36" spans="1:10">
      <c r="A36" s="48"/>
      <c r="B36" s="7" t="s">
        <v>17</v>
      </c>
      <c r="C36" s="49">
        <v>21</v>
      </c>
      <c r="D36" s="49">
        <v>1.5</v>
      </c>
      <c r="E36" s="326" t="e">
        <f>IF(ISBLANK(Resumen!#REF!)=FALSE,Resumen!#REF!,IF(ISBLANK(Resumen!#REF!)=FALSE,Resumen!#REF!,""))</f>
        <v>#REF!</v>
      </c>
      <c r="F36" s="49" t="e">
        <f>Resumen!#REF!</f>
        <v>#REF!</v>
      </c>
      <c r="G36" t="e">
        <f t="shared" si="9"/>
        <v>#REF!</v>
      </c>
      <c r="H36" t="e">
        <f t="shared" si="10"/>
        <v>#REF!</v>
      </c>
    </row>
    <row r="37" spans="1:10">
      <c r="A37" s="48" t="s">
        <v>27</v>
      </c>
      <c r="B37" s="7" t="s">
        <v>28</v>
      </c>
      <c r="C37" s="53">
        <v>6.57</v>
      </c>
      <c r="D37" s="53">
        <v>1.38</v>
      </c>
      <c r="E37" s="307" t="e">
        <f>IF(Resumen!#REF!="","",Resumen!#REF!)</f>
        <v>#REF!</v>
      </c>
      <c r="F37" s="49" t="e">
        <f>Resumen!#REF!</f>
        <v>#REF!</v>
      </c>
      <c r="G37" t="e">
        <f t="shared" si="9"/>
        <v>#REF!</v>
      </c>
      <c r="H37" t="e">
        <f>IF(F37="","",IF(F37&gt;1,4,IF(F37&gt;=-1,3,IF(F37&gt;-2,2,1))))</f>
        <v>#REF!</v>
      </c>
      <c r="J37" s="64"/>
    </row>
    <row r="38" spans="1:10">
      <c r="A38" s="55"/>
      <c r="B38" s="56" t="s">
        <v>29</v>
      </c>
      <c r="C38" s="57">
        <v>4.79</v>
      </c>
      <c r="D38" s="57">
        <v>1.42</v>
      </c>
      <c r="E38" s="328" t="e">
        <f>IF(Resumen!#REF!="","",Resumen!#REF!)</f>
        <v>#REF!</v>
      </c>
      <c r="F38" s="58" t="e">
        <f>Resumen!#REF!</f>
        <v>#REF!</v>
      </c>
      <c r="G38" t="e">
        <f t="shared" si="9"/>
        <v>#REF!</v>
      </c>
      <c r="H38" t="e">
        <f t="shared" ref="H38" si="11">IF(F38="","",IF(F38&gt;1,4,IF(F38&gt;=-1,3,IF(F38&gt;-2,2,1))))</f>
        <v>#REF!</v>
      </c>
    </row>
    <row r="39" spans="1:10">
      <c r="A39" s="59" t="s">
        <v>156</v>
      </c>
      <c r="B39" s="60" t="s">
        <v>30</v>
      </c>
      <c r="C39" s="61">
        <v>50</v>
      </c>
      <c r="D39" s="61">
        <v>10</v>
      </c>
      <c r="E39" s="307" t="e">
        <f>IF(Resumen!#REF!="","",AUX!N104)</f>
        <v>#REF!</v>
      </c>
      <c r="F39" s="49" t="e">
        <f>Resumen!#REF!</f>
        <v>#REF!</v>
      </c>
      <c r="G39" t="e">
        <f>IF(E39="","",IF(F39&gt;1,"altos",IF(F39&gt;=-1,"normales",IF(F39&gt;-2,"bajos","deficitarios"))))</f>
        <v>#REF!</v>
      </c>
      <c r="H39" t="e">
        <f>IF(F39="","",IF(F39&gt;1,4,IF(F39&gt;=-1,3,IF(F39&gt;-2,2,1))))</f>
        <v>#REF!</v>
      </c>
    </row>
    <row r="40" spans="1:10">
      <c r="A40" s="59"/>
      <c r="B40" s="60" t="s">
        <v>31</v>
      </c>
      <c r="C40" s="61">
        <v>50</v>
      </c>
      <c r="D40" s="61">
        <v>10</v>
      </c>
      <c r="E40" s="307" t="e">
        <f>IF(Resumen!#REF!="","",AUX!N105)</f>
        <v>#REF!</v>
      </c>
      <c r="F40" s="49" t="e">
        <f>Resumen!#REF!</f>
        <v>#REF!</v>
      </c>
      <c r="G40" t="e">
        <f>IF(E40="","",IF(F40&gt;1,"altos",IF(F40&gt;=-1,"normales",IF(F40&gt;-2,"bajos","deficitarios"))))</f>
        <v>#REF!</v>
      </c>
      <c r="H40" t="e">
        <f t="shared" ref="H40:H42" si="12">IF(F40="","",IF(F40&gt;1,4,IF(F40&gt;=-1,3,IF(F40&gt;-2,2,1))))</f>
        <v>#REF!</v>
      </c>
    </row>
    <row r="41" spans="1:10">
      <c r="A41" s="59"/>
      <c r="B41" s="60" t="s">
        <v>32</v>
      </c>
      <c r="C41" s="61">
        <v>50</v>
      </c>
      <c r="D41" s="61">
        <v>10</v>
      </c>
      <c r="E41" s="307" t="e">
        <f>IF(Resumen!#REF!="","",AUX!N106)</f>
        <v>#REF!</v>
      </c>
      <c r="F41" s="49" t="e">
        <f>Resumen!#REF!</f>
        <v>#REF!</v>
      </c>
      <c r="G41" t="e">
        <f>IF(E41="","",IF(F41&gt;1,"altos",IF(F41&gt;=-1,"normales",IF(F41&gt;-2,"bajos","deficitarios"))))</f>
        <v>#REF!</v>
      </c>
      <c r="H41" t="e">
        <f t="shared" si="12"/>
        <v>#REF!</v>
      </c>
    </row>
    <row r="42" spans="1:10">
      <c r="A42" s="59"/>
      <c r="B42" s="60" t="s">
        <v>33</v>
      </c>
      <c r="C42" s="61">
        <v>50</v>
      </c>
      <c r="D42" s="61">
        <v>10</v>
      </c>
      <c r="E42" s="307" t="str">
        <f>IF(COUNT(E39:E41)=3,AUX!N107,"")</f>
        <v/>
      </c>
      <c r="F42" s="49" t="e">
        <f>Resumen!#REF!</f>
        <v>#REF!</v>
      </c>
      <c r="G42" t="str">
        <f>IF(E42="","",IF(F42&gt;1,"altos",IF(F42&gt;=-1,"normales",IF(F42&gt;-2,"bajos","deficitarios"))))</f>
        <v/>
      </c>
      <c r="H42" t="e">
        <f t="shared" si="12"/>
        <v>#REF!</v>
      </c>
    </row>
    <row r="43" spans="1:10">
      <c r="A43" s="48" t="s">
        <v>34</v>
      </c>
      <c r="B43" s="7" t="s">
        <v>39</v>
      </c>
      <c r="C43" s="53">
        <v>0.76</v>
      </c>
      <c r="D43" s="53">
        <v>0.48</v>
      </c>
      <c r="E43" s="326" t="e">
        <f>IF(Resumen!#REF!="","",Resumen!#REF!)</f>
        <v>#REF!</v>
      </c>
      <c r="F43" s="49" t="e">
        <f>Resumen!#REF!</f>
        <v>#REF!</v>
      </c>
      <c r="G43" t="e">
        <f>IF(F43="","",IF(F43&gt;1,"altos",IF(F43&gt;=-1,"normales",IF(F43&gt;-2,"bajos","deficitarios"))))</f>
        <v>#REF!</v>
      </c>
      <c r="H43" t="e">
        <f t="shared" si="5"/>
        <v>#REF!</v>
      </c>
    </row>
    <row r="44" spans="1:10">
      <c r="A44" s="48" t="s">
        <v>34</v>
      </c>
      <c r="B44" s="7" t="s">
        <v>40</v>
      </c>
      <c r="C44" s="53">
        <v>0.55000000000000004</v>
      </c>
      <c r="D44" s="53">
        <v>0.33</v>
      </c>
      <c r="E44" s="326" t="e">
        <f>IF(Resumen!#REF!="","",Resumen!#REF!)</f>
        <v>#REF!</v>
      </c>
      <c r="F44" s="49" t="e">
        <f>Resumen!#REF!</f>
        <v>#REF!</v>
      </c>
      <c r="G44" t="e">
        <f t="shared" si="8"/>
        <v>#REF!</v>
      </c>
      <c r="H44" t="e">
        <f t="shared" si="5"/>
        <v>#REF!</v>
      </c>
    </row>
    <row r="45" spans="1:10" ht="16.5" thickBot="1">
      <c r="A45" s="5" t="s">
        <v>35</v>
      </c>
      <c r="B45" s="60" t="s">
        <v>36</v>
      </c>
      <c r="C45" s="53">
        <v>5.34</v>
      </c>
      <c r="D45" s="53">
        <v>1.32</v>
      </c>
      <c r="E45" s="307" t="e">
        <f>IF(Resumen!#REF!="","",Resumen!#REF!)</f>
        <v>#REF!</v>
      </c>
      <c r="F45" s="49" t="e">
        <f>Resumen!#REF!</f>
        <v>#REF!</v>
      </c>
      <c r="G45" t="e">
        <f>IF(F45="","",IF(F45&gt;1,"altos",IF(F45&gt;=-1,"normales",IF(F45&gt;-2,"bajos","deficitarios"))))</f>
        <v>#REF!</v>
      </c>
      <c r="H45" t="e">
        <f t="shared" si="5"/>
        <v>#REF!</v>
      </c>
    </row>
    <row r="46" spans="1:10" ht="16.5" thickBot="1">
      <c r="A46" s="5" t="s">
        <v>35</v>
      </c>
      <c r="B46" s="60" t="s">
        <v>37</v>
      </c>
      <c r="C46" s="53">
        <v>5.34</v>
      </c>
      <c r="D46" s="53">
        <v>1.32</v>
      </c>
      <c r="E46" s="307" t="e">
        <f>IF(Resumen!#REF!="","",Resumen!#REF!)</f>
        <v>#REF!</v>
      </c>
      <c r="F46" s="49" t="e">
        <f>Resumen!#REF!</f>
        <v>#REF!</v>
      </c>
      <c r="G46" t="e">
        <f t="shared" si="8"/>
        <v>#REF!</v>
      </c>
      <c r="H46" t="e">
        <f t="shared" si="5"/>
        <v>#REF!</v>
      </c>
    </row>
    <row r="47" spans="1:10" ht="16.5" thickBot="1">
      <c r="A47" s="5" t="s">
        <v>35</v>
      </c>
      <c r="B47" s="60" t="s">
        <v>38</v>
      </c>
      <c r="C47" s="53">
        <v>5.34</v>
      </c>
      <c r="D47" s="53">
        <v>1.32</v>
      </c>
      <c r="E47" s="307" t="e">
        <f>IF(Resumen!#REF!="","",Resumen!#REF!)</f>
        <v>#REF!</v>
      </c>
      <c r="F47" s="49" t="e">
        <f>Resumen!#REF!</f>
        <v>#REF!</v>
      </c>
      <c r="G47" t="e">
        <f t="shared" si="8"/>
        <v>#REF!</v>
      </c>
      <c r="H47" t="e">
        <f t="shared" si="5"/>
        <v>#REF!</v>
      </c>
    </row>
    <row r="50" spans="1:11">
      <c r="A50" t="s">
        <v>50</v>
      </c>
      <c r="B50" t="e">
        <f>IF(F19&gt;=-1,"1","0")</f>
        <v>#REF!</v>
      </c>
      <c r="C50" t="e">
        <f>IF(F37&gt;=-1,"1","0")</f>
        <v>#REF!</v>
      </c>
      <c r="D50" t="e">
        <f>B50+C50</f>
        <v>#REF!</v>
      </c>
      <c r="G50" t="e">
        <f>IF(D50&gt;1,"normales",IF(D50&gt;0,"variables","descendidos"))</f>
        <v>#REF!</v>
      </c>
      <c r="H50" t="e">
        <f>IF(G50="descendidos","1",IF(G50="bajos","2",IF(G50="normales","3")))</f>
        <v>#REF!</v>
      </c>
    </row>
    <row r="51" spans="1:11">
      <c r="A51" t="s">
        <v>51</v>
      </c>
      <c r="B51" t="e">
        <f>IF(F19&gt;=-1,"1","0")</f>
        <v>#REF!</v>
      </c>
      <c r="C51" t="e">
        <f>IF(F37&gt;=-1,"1","0")</f>
        <v>#REF!</v>
      </c>
      <c r="D51" t="e">
        <f>B51+C51</f>
        <v>#REF!</v>
      </c>
      <c r="G51" t="e">
        <f>IF(D51&gt;1,"adecuado",IF(D51&gt;0,"en ocasiones disminuido","disminuido"))</f>
        <v>#REF!</v>
      </c>
    </row>
    <row r="52" spans="1:11">
      <c r="A52" t="s">
        <v>67</v>
      </c>
      <c r="B52" t="e">
        <f>IF(K16=1,"11","")</f>
        <v>#REF!</v>
      </c>
    </row>
    <row r="53" spans="1:11">
      <c r="A53" t="s">
        <v>68</v>
      </c>
      <c r="B53" t="str">
        <f>IF(K17=1,"7","")</f>
        <v/>
      </c>
    </row>
    <row r="54" spans="1:11">
      <c r="A54" t="s">
        <v>69</v>
      </c>
      <c r="B54" t="e">
        <f>IF(F21&gt;=-1,", sugiriendo que la información previamente aprendida no estaría interfiriendo sobre la capacidad de generar nuevos aprendizajes","0")</f>
        <v>#REF!</v>
      </c>
    </row>
    <row r="55" spans="1:11">
      <c r="A55" t="s">
        <v>70</v>
      </c>
      <c r="B55" t="e">
        <f>E19-E21</f>
        <v>#REF!</v>
      </c>
      <c r="C55" s="21" t="s">
        <v>97</v>
      </c>
      <c r="D55" s="21" t="s">
        <v>96</v>
      </c>
    </row>
    <row r="56" spans="1:11">
      <c r="A56" t="s">
        <v>78</v>
      </c>
      <c r="B56" s="18" t="s">
        <v>176</v>
      </c>
      <c r="C56" s="18" t="s">
        <v>177</v>
      </c>
      <c r="D56" s="18" t="b">
        <f>ISBLANK(K16)</f>
        <v>0</v>
      </c>
      <c r="E56" t="e">
        <f>IF(K16&gt;=3,3,2)</f>
        <v>#REF!</v>
      </c>
      <c r="F56" t="e">
        <f>IF(H38=3,2,1)</f>
        <v>#REF!</v>
      </c>
      <c r="G56" t="e">
        <f>IF(E56=3,2,1)</f>
        <v>#REF!</v>
      </c>
      <c r="H56" t="e">
        <f>F56+G56</f>
        <v>#REF!</v>
      </c>
      <c r="I56" t="s">
        <v>79</v>
      </c>
      <c r="J56" t="s">
        <v>80</v>
      </c>
      <c r="K56" t="s">
        <v>81</v>
      </c>
    </row>
    <row r="57" spans="1:11">
      <c r="A57" t="s">
        <v>82</v>
      </c>
      <c r="B57" t="e">
        <f>H32+H33</f>
        <v>#REF!</v>
      </c>
      <c r="C57" t="s">
        <v>83</v>
      </c>
      <c r="D57" t="s">
        <v>84</v>
      </c>
    </row>
    <row r="58" spans="1:11">
      <c r="A58" t="s">
        <v>85</v>
      </c>
    </row>
    <row r="59" spans="1:11">
      <c r="A59" t="s">
        <v>35</v>
      </c>
      <c r="B59" t="s">
        <v>87</v>
      </c>
      <c r="C59" t="s">
        <v>88</v>
      </c>
    </row>
    <row r="60" spans="1:11">
      <c r="A60" t="s">
        <v>89</v>
      </c>
      <c r="B60" t="e">
        <f>H60+I60</f>
        <v>#REF!</v>
      </c>
      <c r="C60" t="s">
        <v>90</v>
      </c>
      <c r="D60" t="s">
        <v>91</v>
      </c>
      <c r="E60" t="s">
        <v>95</v>
      </c>
      <c r="F60" t="s">
        <v>92</v>
      </c>
      <c r="G60" t="b">
        <f>ISBLANK(K17)</f>
        <v>1</v>
      </c>
      <c r="H60" t="e">
        <f>IF(K18=1,3,0)</f>
        <v>#REF!</v>
      </c>
      <c r="I60" t="e">
        <f>IF(K19=1,5,0)</f>
        <v>#REF!</v>
      </c>
    </row>
    <row r="61" spans="1:11">
      <c r="A61" t="s">
        <v>99</v>
      </c>
      <c r="C61" s="21" t="s">
        <v>100</v>
      </c>
      <c r="D61" t="s">
        <v>101</v>
      </c>
      <c r="E61" s="21" t="s">
        <v>102</v>
      </c>
    </row>
    <row r="62" spans="1:11">
      <c r="A62" t="s">
        <v>103</v>
      </c>
      <c r="B62" t="e">
        <f>E36</f>
        <v>#REF!</v>
      </c>
      <c r="C62" t="e">
        <f>IF(B62&gt;1,"",IF(B62=1,C63,D63))</f>
        <v>#REF!</v>
      </c>
      <c r="E62" s="14" t="e">
        <f>IF(H36&gt;2,E63,F63)</f>
        <v>#REF!</v>
      </c>
    </row>
    <row r="63" spans="1:11">
      <c r="C63" t="s">
        <v>106</v>
      </c>
      <c r="D63" t="s">
        <v>107</v>
      </c>
      <c r="E63" t="s">
        <v>104</v>
      </c>
      <c r="F63" t="s">
        <v>105</v>
      </c>
    </row>
    <row r="64" spans="1:11">
      <c r="C64" s="21"/>
      <c r="E64" s="21"/>
    </row>
    <row r="65" spans="1:10">
      <c r="A65" t="s">
        <v>108</v>
      </c>
      <c r="B65">
        <v>12</v>
      </c>
      <c r="C65">
        <v>20</v>
      </c>
    </row>
    <row r="67" spans="1:10">
      <c r="A67" t="s">
        <v>110</v>
      </c>
      <c r="B67" s="21" t="s">
        <v>109</v>
      </c>
      <c r="C67" s="21" t="s">
        <v>112</v>
      </c>
      <c r="D67" s="21" t="s">
        <v>113</v>
      </c>
      <c r="I67" t="e">
        <f>EXACT(#REF!,#REF!)</f>
        <v>#REF!</v>
      </c>
      <c r="J67" t="e">
        <f>IF(I67=TRUE,1,0)</f>
        <v>#REF!</v>
      </c>
    </row>
    <row r="68" spans="1:10">
      <c r="A68" t="s">
        <v>86</v>
      </c>
      <c r="B68" s="21" t="s">
        <v>111</v>
      </c>
      <c r="C68" s="21" t="s">
        <v>114</v>
      </c>
      <c r="D68" s="21" t="s">
        <v>115</v>
      </c>
    </row>
    <row r="70" spans="1:10">
      <c r="A70" t="s">
        <v>35</v>
      </c>
      <c r="B70" t="e">
        <f>E45+E46+E47</f>
        <v>#REF!</v>
      </c>
      <c r="C70" t="b">
        <f>ISBLANK(E45)</f>
        <v>0</v>
      </c>
      <c r="D70" t="b">
        <f>ISBLANK(E46)</f>
        <v>0</v>
      </c>
      <c r="E70" t="b">
        <f>ISBLANK(E47)</f>
        <v>0</v>
      </c>
      <c r="F70" t="s">
        <v>116</v>
      </c>
    </row>
    <row r="71" spans="1:10">
      <c r="C71" t="e">
        <f>IF(C70=FALSE,F45,0)</f>
        <v>#REF!</v>
      </c>
      <c r="D71" t="e">
        <f>IF(D70=FALSE,F46,0)</f>
        <v>#REF!</v>
      </c>
      <c r="E71" t="e">
        <f>IF(E70=FALSE,F47,0)</f>
        <v>#REF!</v>
      </c>
      <c r="F71" t="e">
        <f>C71+D71+E71</f>
        <v>#REF!</v>
      </c>
      <c r="G71" t="e">
        <f>IF(F71&gt;=-1,"normales",IF(F71&gt;-2,"bajos","deficitarios"))</f>
        <v>#REF!</v>
      </c>
      <c r="H71" t="e">
        <f>IF(F71&gt;=-1,3,IF(F71&gt;-2,2,1))</f>
        <v>#REF!</v>
      </c>
    </row>
    <row r="72" spans="1:10">
      <c r="A72" t="s">
        <v>158</v>
      </c>
      <c r="B72" t="s">
        <v>162</v>
      </c>
    </row>
    <row r="73" spans="1:10">
      <c r="B73" t="e">
        <f>IF(K13=1,5,3)</f>
        <v>#REF!</v>
      </c>
      <c r="C73" t="e">
        <f>B73*K14</f>
        <v>#REF!</v>
      </c>
    </row>
    <row r="75" spans="1:10">
      <c r="A75" s="74" t="s">
        <v>674</v>
      </c>
    </row>
    <row r="76" spans="1:10">
      <c r="A76" s="9" t="s">
        <v>163</v>
      </c>
      <c r="B76" s="9" t="s">
        <v>164</v>
      </c>
      <c r="C76" s="9" t="s">
        <v>166</v>
      </c>
      <c r="D76" s="9" t="s">
        <v>165</v>
      </c>
      <c r="E76" s="9" t="s">
        <v>167</v>
      </c>
      <c r="F76" s="9" t="s">
        <v>168</v>
      </c>
      <c r="G76" s="9" t="s">
        <v>169</v>
      </c>
      <c r="H76" s="9" t="s">
        <v>170</v>
      </c>
      <c r="I76" s="9" t="s">
        <v>171</v>
      </c>
      <c r="J76" s="9" t="s">
        <v>172</v>
      </c>
    </row>
    <row r="77" spans="1:10">
      <c r="A77" t="e">
        <f>IF(ENPS!C73=10,"La Sra.",IF(ENPS!C73=5,"El Sr.",""))</f>
        <v>#REF!</v>
      </c>
      <c r="B77" t="e">
        <f>IF(ENPS!C73=10,"La Sra.",IF(ENPS!C73=5,"El Sr.",ENPS!K2))</f>
        <v>#REF!</v>
      </c>
      <c r="C77" t="e">
        <f>IF(ENPS!K13=1,ENPS!K3,"")</f>
        <v>#REF!</v>
      </c>
      <c r="D77" t="e">
        <f>IF(ENPS!C73=10,"de la Sra.",IF(ENPS!C73=5,"del Sr.","de "&amp;ENPS!K2))</f>
        <v>#REF!</v>
      </c>
      <c r="E77" t="e">
        <f>IF(ENPS!C73=10,"la Sra. ",IF(ENPS!C73=5,"el Sr. ",ENPS!K2))</f>
        <v>#REF!</v>
      </c>
      <c r="F77" t="e">
        <f>IF(ENPS!K14=2,"a","o")</f>
        <v>#REF!</v>
      </c>
      <c r="G77" t="e">
        <f>IF(ENPS!K14=2,"arreglada y vestida","arreglado y vestido")</f>
        <v>#REF!</v>
      </c>
      <c r="H77" t="e">
        <f>IF(ENPS!K14=2,"La paciente","El paciente")</f>
        <v>#REF!</v>
      </c>
      <c r="I77" t="e">
        <f>IF(ENPS!K14=2,"la paciente","el paciente")</f>
        <v>#REF!</v>
      </c>
      <c r="J77" t="e">
        <f>IF(ENPS!K14=2,"de la paciente","del paciente")</f>
        <v>#REF!</v>
      </c>
    </row>
    <row r="78" spans="1:10">
      <c r="A78" t="s">
        <v>159</v>
      </c>
      <c r="E78" s="63" t="s">
        <v>160</v>
      </c>
    </row>
    <row r="79" spans="1:10">
      <c r="E79" s="63"/>
    </row>
    <row r="80" spans="1:10">
      <c r="A80" s="68" t="s">
        <v>661</v>
      </c>
      <c r="E80" s="63"/>
    </row>
    <row r="81" spans="1:24">
      <c r="E81" s="63"/>
    </row>
    <row r="82" spans="1:24" ht="22.5">
      <c r="A82" s="278" t="e">
        <f>IF(Resumen!#REF!="","","Word Accentuation Test -WAT")</f>
        <v>#REF!</v>
      </c>
      <c r="B82" s="278" t="e">
        <f>IF(Resumen!#REF!="","","Addenbroke’s Cognitive Evaluation (ACE III)")</f>
        <v>#REF!</v>
      </c>
      <c r="C82" s="278" t="e">
        <f>IF(Resumen!#REF!="","","INECO Frontal Screening (IFS)")</f>
        <v>#REF!</v>
      </c>
      <c r="D82" s="278" t="str">
        <f>IF(Resumen!B3="","","Subtest de Vocabulario (WAIS III)")</f>
        <v/>
      </c>
      <c r="E82" s="278" t="str">
        <f>IF(Resumen!B2="","","Subtest de Matrices (WAIS III)")</f>
        <v/>
      </c>
      <c r="F82" s="278" t="e">
        <f>IF(Resumen!#REF!="","","Subtest de Dígito-Símbolo (WAIS III)")</f>
        <v>#REF!</v>
      </c>
      <c r="G82" s="278" t="e">
        <f>IF(Resumen!#REF!="","","Subtest de Búsqueda de Símbolos (WAIS III)")</f>
        <v>#REF!</v>
      </c>
      <c r="H82" s="278" t="e">
        <f>IF(Resumen!#REF!="","","Subtest de Aritmética (WAIS III)")</f>
        <v>#REF!</v>
      </c>
      <c r="I82" s="278" t="e">
        <f>IF(Resumen!#REF!="","","Subtest de Repetición letra y número (WAIS III)")</f>
        <v>#REF!</v>
      </c>
      <c r="J82" s="278" t="e">
        <f>IF(Resumen!#REF!="","","Aprendizaje Verbal Auditivo de Rey (RAVLT)")</f>
        <v>#REF!</v>
      </c>
      <c r="K82" s="278" t="e">
        <f>IF(Resumen!#REF!="","","Memoria de relatos (ML)")</f>
        <v>#REF!</v>
      </c>
      <c r="L82" s="278" t="e">
        <f>IF(Resumen!#REF!="","","Repetición de Dígitos (en orden directo e inverso)")</f>
        <v>#REF!</v>
      </c>
      <c r="M82" s="278" t="e">
        <f>IF(Resumen!#REF!="","","Trail Making Test (A y B)")</f>
        <v>#REF!</v>
      </c>
      <c r="N82" s="278" t="e">
        <f>IF(Resumen!#REF!="","","Fluencia verbal fonológica y semántica")</f>
        <v>#REF!</v>
      </c>
      <c r="O82" s="278" t="e">
        <f>IF(Resumen!#REF!="","","Stroop Test")</f>
        <v>#REF!</v>
      </c>
      <c r="P82" s="278"/>
      <c r="Q82" s="278"/>
      <c r="R82" s="278"/>
      <c r="S82" s="278"/>
      <c r="T82" s="278"/>
      <c r="U82" s="278" t="e">
        <f>IF(Resumen!#REF!="","","Hayling Test")</f>
        <v>#REF!</v>
      </c>
      <c r="V82" s="278" t="e">
        <f>IF(Resumen!#REF!="","","Test de Denominación de Córdoba (TDC)")</f>
        <v>#REF!</v>
      </c>
      <c r="W82" s="278" t="e">
        <f>IF(Resumen!#REF!="","","Wisconsin Card Sorting Test ")</f>
        <v>#REF!</v>
      </c>
      <c r="X82" s="278" t="e">
        <f>IF(Resumen!#REF!="","","Figura compleja de Rey")</f>
        <v>#REF!</v>
      </c>
    </row>
    <row r="83" spans="1:24">
      <c r="E83" s="63"/>
    </row>
    <row r="84" spans="1:24">
      <c r="E84" s="63"/>
    </row>
    <row r="85" spans="1:24">
      <c r="A85" s="68" t="s">
        <v>632</v>
      </c>
      <c r="B85">
        <f>IF(ACE!A6="X",0,1)</f>
        <v>1</v>
      </c>
      <c r="C85">
        <f>IF(ACE!B6="X",0,1)</f>
        <v>1</v>
      </c>
      <c r="D85">
        <f>IF(ACE!C6="X",0,1)</f>
        <v>1</v>
      </c>
      <c r="E85">
        <f>IF(ACE!D6="X",0,1)</f>
        <v>1</v>
      </c>
      <c r="F85">
        <f>IF(ACE!E6="X",0,1)</f>
        <v>1</v>
      </c>
    </row>
    <row r="86" spans="1:24">
      <c r="A86" s="274"/>
      <c r="B86">
        <f>B85</f>
        <v>1</v>
      </c>
      <c r="C86">
        <f>B85+C85</f>
        <v>2</v>
      </c>
      <c r="D86">
        <f>C86+D85</f>
        <v>3</v>
      </c>
      <c r="E86">
        <f>D86+E85</f>
        <v>4</v>
      </c>
      <c r="F86">
        <f>E86+F85</f>
        <v>5</v>
      </c>
    </row>
    <row r="87" spans="1:24">
      <c r="A87" s="274"/>
      <c r="B87">
        <f>IF(B85=0,"",B86)</f>
        <v>1</v>
      </c>
      <c r="C87">
        <f t="shared" ref="C87:F87" si="13">IF(C85=0,"",C86)</f>
        <v>2</v>
      </c>
      <c r="D87">
        <f t="shared" si="13"/>
        <v>3</v>
      </c>
      <c r="E87">
        <f t="shared" si="13"/>
        <v>4</v>
      </c>
      <c r="F87">
        <f t="shared" si="13"/>
        <v>5</v>
      </c>
    </row>
    <row r="88" spans="1:24">
      <c r="A88" s="274"/>
    </row>
    <row r="89" spans="1:24">
      <c r="A89" t="s">
        <v>633</v>
      </c>
      <c r="B89" t="s">
        <v>638</v>
      </c>
      <c r="C89" t="str">
        <f>IF(B85=1,ENPS!A89,"")</f>
        <v>el año</v>
      </c>
      <c r="D89" t="str">
        <f>IF(B87&lt;F86-1,",","")</f>
        <v>,</v>
      </c>
      <c r="E89" s="63"/>
    </row>
    <row r="90" spans="1:24">
      <c r="A90" t="s">
        <v>643</v>
      </c>
      <c r="B90" t="s">
        <v>638</v>
      </c>
      <c r="C90" t="str">
        <f>IF(C85=1,ENPS!A90,"")</f>
        <v>la estación</v>
      </c>
      <c r="D90" t="str">
        <f>IF(C87&lt;F86-1,", ","")</f>
        <v xml:space="preserve">, </v>
      </c>
      <c r="E90" s="70" t="s">
        <v>641</v>
      </c>
      <c r="F90" t="str">
        <f>IF(C90="","",IF(C87=F86,E90,A90))</f>
        <v>la estación</v>
      </c>
    </row>
    <row r="91" spans="1:24">
      <c r="A91" t="s">
        <v>634</v>
      </c>
      <c r="B91" t="s">
        <v>638</v>
      </c>
      <c r="C91" t="str">
        <f>IF(D85=1,ENPS!A91,"")</f>
        <v>el mes</v>
      </c>
      <c r="D91" t="str">
        <f>IF(D87&lt;F86-1,", ","")</f>
        <v xml:space="preserve">, </v>
      </c>
      <c r="E91" s="70" t="s">
        <v>640</v>
      </c>
      <c r="F91" t="str">
        <f>IF(C91="","",IF(D87=F86,E91,A91))</f>
        <v>el mes</v>
      </c>
    </row>
    <row r="92" spans="1:24">
      <c r="A92" t="s">
        <v>635</v>
      </c>
      <c r="B92" t="s">
        <v>638</v>
      </c>
      <c r="C92" t="str">
        <f>IF(E85=1,ENPS!A92,"")</f>
        <v>la fecha</v>
      </c>
      <c r="D92" t="str">
        <f>IF(E87&lt;F86-1,", ","")</f>
        <v/>
      </c>
      <c r="E92" s="70" t="s">
        <v>639</v>
      </c>
      <c r="F92" t="str">
        <f>IF(C92="","",IF(E87=F86,E92,A92))</f>
        <v>la fecha</v>
      </c>
    </row>
    <row r="93" spans="1:24">
      <c r="A93" t="s">
        <v>636</v>
      </c>
      <c r="C93" t="str">
        <f>IF(F85=1,ENPS!A93,"")</f>
        <v>el día</v>
      </c>
      <c r="D93" t="str">
        <f>IF(F87&lt;F86-1,", ","")</f>
        <v/>
      </c>
      <c r="E93" s="70" t="s">
        <v>642</v>
      </c>
      <c r="F93" t="str">
        <f>IF(C93="","",IF(F87=F86,E93,A93))</f>
        <v xml:space="preserve"> ni el día</v>
      </c>
    </row>
    <row r="94" spans="1:24">
      <c r="E94" s="63"/>
    </row>
    <row r="95" spans="1:24">
      <c r="E95" s="63"/>
    </row>
    <row r="96" spans="1:24">
      <c r="A96" s="102" t="str">
        <f>" sin lograr referir correctamente "&amp;C89&amp;D89&amp;F90&amp;D90&amp;F91&amp;D91&amp;F92&amp;D92&amp;F93&amp;" en el que nos encontrábamos."</f>
        <v xml:space="preserve"> sin lograr referir correctamente el año,la estación, el mes, la fecha ni el día en el que nos encontrábamos.</v>
      </c>
      <c r="E96" s="63"/>
    </row>
    <row r="97" spans="1:6">
      <c r="E97" s="63"/>
    </row>
    <row r="98" spans="1:6">
      <c r="A98" t="s">
        <v>644</v>
      </c>
      <c r="B98">
        <f>IF(ACE!F6="X",0,1)</f>
        <v>1</v>
      </c>
      <c r="C98">
        <f>IF(ACE!G6="X",0,1)</f>
        <v>1</v>
      </c>
      <c r="D98">
        <f>IF(ACE!H6="X",0,1)</f>
        <v>1</v>
      </c>
      <c r="E98">
        <f>IF(ACE!I6="X",0,1)</f>
        <v>1</v>
      </c>
      <c r="F98">
        <f>IF(ACE!J6="X",0,1)</f>
        <v>1</v>
      </c>
    </row>
    <row r="99" spans="1:6">
      <c r="B99">
        <f>B98</f>
        <v>1</v>
      </c>
      <c r="C99">
        <f>B98+C98</f>
        <v>2</v>
      </c>
      <c r="D99">
        <f>C99+D98</f>
        <v>3</v>
      </c>
      <c r="E99">
        <f>D99+E98</f>
        <v>4</v>
      </c>
      <c r="F99">
        <f>E99+F98</f>
        <v>5</v>
      </c>
    </row>
    <row r="100" spans="1:6">
      <c r="B100">
        <f>IF(B98=0,"",B99)</f>
        <v>1</v>
      </c>
      <c r="C100">
        <f t="shared" ref="C100:F100" si="14">IF(C98=0,"",C99)</f>
        <v>2</v>
      </c>
      <c r="D100">
        <f t="shared" si="14"/>
        <v>3</v>
      </c>
      <c r="E100">
        <f t="shared" si="14"/>
        <v>4</v>
      </c>
      <c r="F100">
        <f t="shared" si="14"/>
        <v>5</v>
      </c>
    </row>
    <row r="102" spans="1:6">
      <c r="A102" t="s">
        <v>645</v>
      </c>
      <c r="B102" t="s">
        <v>637</v>
      </c>
    </row>
    <row r="103" spans="1:6">
      <c r="A103" t="s">
        <v>648</v>
      </c>
      <c r="B103" t="s">
        <v>637</v>
      </c>
      <c r="C103" t="str">
        <f>IF(C98=1,ENPS!A103,"")</f>
        <v>la ciudad</v>
      </c>
      <c r="D103" t="str">
        <f>IF(C100&lt;F99-1,", ","")</f>
        <v xml:space="preserve">, </v>
      </c>
      <c r="E103" s="70" t="s">
        <v>650</v>
      </c>
      <c r="F103" t="str">
        <f>IF(C103="","",IF(C100=F99,E103,A103))</f>
        <v>la ciudad</v>
      </c>
    </row>
    <row r="104" spans="1:6">
      <c r="A104" t="s">
        <v>646</v>
      </c>
      <c r="B104" t="s">
        <v>637</v>
      </c>
      <c r="C104" t="str">
        <f>IF(D98=1,ENPS!A104,"")</f>
        <v>el barrio</v>
      </c>
      <c r="D104" t="str">
        <f>IF(D100&lt;F99-1,", ","")</f>
        <v xml:space="preserve">, </v>
      </c>
      <c r="E104" s="70" t="s">
        <v>651</v>
      </c>
      <c r="F104" t="str">
        <f>IF(C104="","",IF(D100=F99,E104,A104))</f>
        <v>el barrio</v>
      </c>
    </row>
    <row r="105" spans="1:6">
      <c r="A105" t="s">
        <v>647</v>
      </c>
      <c r="B105" t="s">
        <v>637</v>
      </c>
      <c r="C105" t="str">
        <f>IF(E98=1,ENPS!A105,"")</f>
        <v>el lugar</v>
      </c>
      <c r="D105" t="str">
        <f>IF(E100&lt;F99-1,", ","")</f>
        <v/>
      </c>
      <c r="E105" s="70" t="s">
        <v>652</v>
      </c>
      <c r="F105" t="str">
        <f>IF(C105="","",IF(E100=F99,E105,A105))</f>
        <v>el lugar</v>
      </c>
    </row>
    <row r="106" spans="1:6">
      <c r="A106" t="s">
        <v>649</v>
      </c>
      <c r="B106" t="s">
        <v>637</v>
      </c>
      <c r="C106" t="str">
        <f>IF(F98=1,ENPS!A106,"")</f>
        <v>el piso</v>
      </c>
      <c r="D106" t="str">
        <f>IF(F100&lt;F99-1,", ","")</f>
        <v/>
      </c>
      <c r="E106" s="70" t="s">
        <v>653</v>
      </c>
      <c r="F106" t="str">
        <f>IF(C106="","",IF(F100=F99,E106,A106))</f>
        <v xml:space="preserve"> ni el piso</v>
      </c>
    </row>
    <row r="109" spans="1:6">
      <c r="A109" s="102" t="str">
        <f>" sin lograr referir correctamente "&amp;C102&amp;D102&amp;F103&amp;D103&amp;F104&amp;D104&amp;F105&amp;D105&amp;F106&amp;" en el que fue realizada la evaluación."</f>
        <v xml:space="preserve"> sin lograr referir correctamente la ciudad, el barrio, el lugar ni el piso en el que fue realizada la evaluación.</v>
      </c>
    </row>
    <row r="110" spans="1:6">
      <c r="E110" s="63"/>
    </row>
    <row r="111" spans="1:6">
      <c r="A111" s="277" t="str">
        <f>IF(F86+F99&lt;6,"Se mostró alerta","")</f>
        <v/>
      </c>
      <c r="E111" s="63"/>
    </row>
    <row r="112" spans="1:6">
      <c r="A112" s="20" t="s">
        <v>654</v>
      </c>
      <c r="E112" s="63"/>
    </row>
    <row r="113" spans="1:5">
      <c r="A113" s="20" t="e">
        <f>F77</f>
        <v>#REF!</v>
      </c>
      <c r="E113" s="63"/>
    </row>
    <row r="114" spans="1:5">
      <c r="A114" s="20" t="s">
        <v>655</v>
      </c>
      <c r="E114" s="63"/>
    </row>
    <row r="115" spans="1:5">
      <c r="A115" s="20" t="s">
        <v>658</v>
      </c>
      <c r="E115" s="63"/>
    </row>
    <row r="116" spans="1:5">
      <c r="A116" s="20" t="s">
        <v>656</v>
      </c>
      <c r="E116" s="63"/>
    </row>
    <row r="117" spans="1:5">
      <c r="A117" s="20" t="s">
        <v>660</v>
      </c>
      <c r="E117" s="63"/>
    </row>
    <row r="118" spans="1:5">
      <c r="A118" s="20" t="s">
        <v>657</v>
      </c>
      <c r="E118" s="63"/>
    </row>
    <row r="119" spans="1:5">
      <c r="A119" s="20" t="s">
        <v>658</v>
      </c>
      <c r="E119" s="63"/>
    </row>
    <row r="120" spans="1:5">
      <c r="A120" s="20" t="s">
        <v>659</v>
      </c>
      <c r="B120" t="str">
        <f>IF(F87&lt;4," parcialmente","")</f>
        <v/>
      </c>
      <c r="C120" t="str">
        <f>IF(F99&lt;4," parcialmente","")</f>
        <v/>
      </c>
      <c r="E120" s="63"/>
    </row>
    <row r="121" spans="1:5">
      <c r="E121" s="63"/>
    </row>
    <row r="122" spans="1:5">
      <c r="A122" t="str">
        <f>IF(F86+F99=0,A112&amp;A113&amp;A114,"")</f>
        <v/>
      </c>
      <c r="E122" s="63"/>
    </row>
    <row r="123" spans="1:5">
      <c r="A123" t="e">
        <f>A112&amp;A113&amp;A116&amp;A118&amp;B120&amp;A115&amp;A113&amp;A117&amp;A109</f>
        <v>#REF!</v>
      </c>
      <c r="E123" s="63"/>
    </row>
    <row r="124" spans="1:5">
      <c r="A124" t="e">
        <f>A112&amp;A113&amp;A116&amp;A118&amp;C120&amp;A115&amp;A113&amp;A116&amp;A96</f>
        <v>#REF!</v>
      </c>
      <c r="E124" s="63"/>
    </row>
    <row r="125" spans="1:5">
      <c r="A125" t="e">
        <f>"Se mostró"&amp;A119&amp;A113&amp;A116&amp;A96&amp;" Asimismo, se mostró"&amp;A119&amp;A113&amp;A117&amp;A109</f>
        <v>#REF!</v>
      </c>
      <c r="E125" s="63"/>
    </row>
    <row r="126" spans="1:5">
      <c r="E126" s="63"/>
    </row>
    <row r="127" spans="1:5">
      <c r="A127" t="e">
        <f>IF(AND(F86=0,F99=0)=TRUE,A122,IF(AND(F86=0,F99&gt;0)=TRUE,A123,IF(AND(F86&gt;0,F99=0)=TRUE,A124,A125)))</f>
        <v>#REF!</v>
      </c>
      <c r="E127" s="63"/>
    </row>
    <row r="128" spans="1:5">
      <c r="E128" s="63"/>
    </row>
    <row r="129" spans="1:5">
      <c r="E129" s="63"/>
    </row>
    <row r="130" spans="1:5">
      <c r="A130" s="68" t="s">
        <v>612</v>
      </c>
    </row>
    <row r="131" spans="1:5">
      <c r="A131" s="271" t="s">
        <v>613</v>
      </c>
    </row>
    <row r="132" spans="1:5">
      <c r="A132" s="271" t="e">
        <f>E77&amp;" "&amp;C77</f>
        <v>#REF!</v>
      </c>
    </row>
    <row r="133" spans="1:5">
      <c r="A133" t="s">
        <v>614</v>
      </c>
    </row>
    <row r="134" spans="1:5">
      <c r="A134" t="e">
        <f>G2</f>
        <v>#REF!</v>
      </c>
    </row>
    <row r="135" spans="1:5">
      <c r="A135" t="s">
        <v>875</v>
      </c>
    </row>
    <row r="136" spans="1:5">
      <c r="A136" t="e">
        <f>E2</f>
        <v>#REF!</v>
      </c>
    </row>
    <row r="137" spans="1:5">
      <c r="A137" t="s">
        <v>615</v>
      </c>
    </row>
    <row r="138" spans="1:5">
      <c r="A138" s="22" t="e">
        <f>F2</f>
        <v>#REF!</v>
      </c>
    </row>
    <row r="139" spans="1:5">
      <c r="A139" t="s">
        <v>616</v>
      </c>
    </row>
    <row r="140" spans="1:5">
      <c r="A140" s="73" t="e">
        <f>IF(Resumen!#REF!="","",A131&amp;A132&amp;A133&amp;A134&amp;A135&amp;A136&amp;A137&amp;A138&amp;A139)</f>
        <v>#REF!</v>
      </c>
    </row>
    <row r="141" spans="1:5">
      <c r="A141" s="273" t="e">
        <f>IF(Resumen!#REF!="","","Nivel intelectual previo "&amp;ENPS!A134&amp;" ("&amp;ENPS!A138&amp;").")</f>
        <v>#REF!</v>
      </c>
    </row>
    <row r="143" spans="1:5">
      <c r="A143" s="68" t="s">
        <v>617</v>
      </c>
    </row>
    <row r="144" spans="1:5">
      <c r="A144" t="s">
        <v>618</v>
      </c>
    </row>
    <row r="145" spans="1:3">
      <c r="A145" t="e">
        <f>A132</f>
        <v>#REF!</v>
      </c>
    </row>
    <row r="146" spans="1:3">
      <c r="A146" t="s">
        <v>797</v>
      </c>
    </row>
    <row r="147" spans="1:3">
      <c r="A147" t="str">
        <f>G6</f>
        <v/>
      </c>
    </row>
    <row r="148" spans="1:3">
      <c r="A148" t="s">
        <v>624</v>
      </c>
    </row>
    <row r="149" spans="1:3">
      <c r="A149" s="279" t="str">
        <f>E6</f>
        <v/>
      </c>
    </row>
    <row r="150" spans="1:3">
      <c r="A150" t="s">
        <v>619</v>
      </c>
    </row>
    <row r="151" spans="1:3">
      <c r="A151" t="e">
        <f>F77</f>
        <v>#REF!</v>
      </c>
    </row>
    <row r="152" spans="1:3">
      <c r="A152" t="s">
        <v>620</v>
      </c>
    </row>
    <row r="153" spans="1:3">
      <c r="A153" t="str">
        <f>G7</f>
        <v/>
      </c>
    </row>
    <row r="154" spans="1:3">
      <c r="A154" t="s">
        <v>621</v>
      </c>
    </row>
    <row r="155" spans="1:3">
      <c r="A155" s="22" t="str">
        <f>E7</f>
        <v/>
      </c>
    </row>
    <row r="156" spans="1:3">
      <c r="A156" t="str">
        <f>IF(B157=TRUE,B156,") y valores ")</f>
        <v xml:space="preserve"> ) y</v>
      </c>
      <c r="B156" t="s">
        <v>798</v>
      </c>
    </row>
    <row r="157" spans="1:3">
      <c r="A157" t="str">
        <f>IF(B157=TRUE,"",C157)</f>
        <v/>
      </c>
      <c r="B157" t="b">
        <f>EXACT(A153,C157)</f>
        <v>1</v>
      </c>
      <c r="C157" t="str">
        <f>G8</f>
        <v/>
      </c>
    </row>
    <row r="158" spans="1:3">
      <c r="A158" t="s">
        <v>622</v>
      </c>
    </row>
    <row r="159" spans="1:3">
      <c r="A159" s="22" t="str">
        <f>E8</f>
        <v/>
      </c>
    </row>
    <row r="160" spans="1:3">
      <c r="A160" t="s">
        <v>623</v>
      </c>
    </row>
    <row r="161" spans="1:2">
      <c r="A161" s="102" t="str">
        <f>IF(Resumen!B4="","",ENPS!A144&amp;ENPS!A145&amp;ENPS!A146&amp;ENPS!A147&amp;ENPS!A148&amp;ENPS!A149&amp;ENPS!A150&amp;ENPS!A151&amp;ENPS!A152&amp;ENPS!A153&amp;ENPS!A154&amp;ENPS!A155&amp;A156&amp;A157&amp;A158&amp;A159&amp;A160)</f>
        <v/>
      </c>
    </row>
    <row r="162" spans="1:2">
      <c r="A162" s="273" t="str">
        <f>IF(Resumen!B4="","","Nivel intelectual estimativo "&amp;ENPS!A147&amp;ENPS!A148&amp;ENPS!A149&amp;").")</f>
        <v/>
      </c>
    </row>
    <row r="163" spans="1:2">
      <c r="A163" s="102"/>
    </row>
    <row r="164" spans="1:2">
      <c r="A164" s="275" t="s">
        <v>631</v>
      </c>
      <c r="B164" t="str">
        <f>IF(COUNT(Resumen!B4)&gt;0,"AMBOS",IF(ISBLANK(Resumen!B2)=TRUE,"VOCABULARIO","MATRICES"))</f>
        <v>VOCABULARIO</v>
      </c>
    </row>
    <row r="165" spans="1:2">
      <c r="A165" s="102" t="s">
        <v>627</v>
      </c>
    </row>
    <row r="166" spans="1:2">
      <c r="A166" t="s">
        <v>625</v>
      </c>
    </row>
    <row r="167" spans="1:2">
      <c r="A167" t="s">
        <v>630</v>
      </c>
    </row>
    <row r="168" spans="1:2">
      <c r="A168" t="s">
        <v>629</v>
      </c>
    </row>
    <row r="169" spans="1:2">
      <c r="A169" t="s">
        <v>626</v>
      </c>
    </row>
    <row r="170" spans="1:2">
      <c r="A170" t="e">
        <f>A145</f>
        <v>#REF!</v>
      </c>
    </row>
    <row r="171" spans="1:2">
      <c r="A171" t="s">
        <v>628</v>
      </c>
    </row>
    <row r="172" spans="1:2">
      <c r="A172" t="str">
        <f>A153</f>
        <v/>
      </c>
    </row>
    <row r="173" spans="1:2">
      <c r="A173" t="str">
        <f>C157</f>
        <v/>
      </c>
    </row>
    <row r="174" spans="1:2">
      <c r="A174" t="str">
        <f>A155</f>
        <v/>
      </c>
    </row>
    <row r="175" spans="1:2">
      <c r="A175" t="str">
        <f>A159</f>
        <v/>
      </c>
    </row>
    <row r="176" spans="1:2">
      <c r="A176" t="s">
        <v>623</v>
      </c>
    </row>
    <row r="177" spans="1:1">
      <c r="A177" t="e">
        <f>A165&amp;A166&amp;A170&amp;A171&amp;A172&amp;A168&amp;A174&amp;A176</f>
        <v>#REF!</v>
      </c>
    </row>
    <row r="178" spans="1:1">
      <c r="A178" t="e">
        <f>A165&amp;A167&amp;A170&amp;A171&amp;A173&amp;A169&amp;A175&amp;A176</f>
        <v>#REF!</v>
      </c>
    </row>
    <row r="179" spans="1:1">
      <c r="A179" s="73" t="str">
        <f>IF(COUNT(Resumen!B2:B3)=0,"",IF(B164="AMBOS",A161,IF(B164="MATRICES",A177,A178)))</f>
        <v/>
      </c>
    </row>
    <row r="181" spans="1:1">
      <c r="A181" s="276" t="str">
        <f>IF(B164="AMBOS", "*Las pruebas del WAIS administradas no son equivalentes a las proporcionadas por la administración de la totalidad del WAIS.  Las mismas tienen un carácter estimativo y no reemplazan la prueba completa.","")</f>
        <v/>
      </c>
    </row>
    <row r="183" spans="1:1">
      <c r="A183" s="68" t="s">
        <v>570</v>
      </c>
    </row>
    <row r="184" spans="1:1">
      <c r="A184" s="20" t="s">
        <v>672</v>
      </c>
    </row>
    <row r="185" spans="1:1">
      <c r="A185" s="20" t="e">
        <f>I77</f>
        <v>#REF!</v>
      </c>
    </row>
    <row r="186" spans="1:1">
      <c r="A186" s="20" t="s">
        <v>673</v>
      </c>
    </row>
    <row r="187" spans="1:1">
      <c r="A187" s="20" t="e">
        <f>IF(H3="","",IF(H3="normales","por encima de lo esperado","por debajo de lo esperado"))</f>
        <v>#REF!</v>
      </c>
    </row>
    <row r="188" spans="1:1">
      <c r="A188" s="20" t="s">
        <v>842</v>
      </c>
    </row>
    <row r="189" spans="1:1">
      <c r="A189" s="20" t="e">
        <f>E3</f>
        <v>#REF!</v>
      </c>
    </row>
    <row r="190" spans="1:1">
      <c r="A190" s="20" t="s">
        <v>675</v>
      </c>
    </row>
    <row r="191" spans="1:1" ht="31.5">
      <c r="A191" s="302" t="s">
        <v>678</v>
      </c>
    </row>
    <row r="192" spans="1:1">
      <c r="A192" s="20" t="e">
        <f>I77</f>
        <v>#REF!</v>
      </c>
    </row>
    <row r="193" spans="1:1">
      <c r="A193" s="20" t="s">
        <v>679</v>
      </c>
    </row>
    <row r="194" spans="1:1">
      <c r="A194" s="20" t="e">
        <f>IF(G5="","",IF(G5="normales","por encima de lo esperado","por debajo de lo esperado"))</f>
        <v>#REF!</v>
      </c>
    </row>
    <row r="195" spans="1:1">
      <c r="A195" s="20" t="s">
        <v>843</v>
      </c>
    </row>
    <row r="196" spans="1:1">
      <c r="A196" s="303" t="e">
        <f>E5</f>
        <v>#REF!</v>
      </c>
    </row>
    <row r="197" spans="1:1">
      <c r="A197" s="20" t="s">
        <v>676</v>
      </c>
    </row>
    <row r="198" spans="1:1">
      <c r="A198" t="e">
        <f>IF(EXACT(A187,A194)=TRUE," también "," ")</f>
        <v>#REF!</v>
      </c>
    </row>
    <row r="200" spans="1:1">
      <c r="A200" t="e">
        <f>ENPS!A184&amp;ENPS!A185&amp;ENPS!A186&amp;ENPS!A187&amp;ENPS!A188&amp;ENPS!A189&amp;ENPS!A190&amp;" "&amp;ENPS!A191&amp;ENPS!A192&amp;A198&amp;ENPS!A193&amp;ENPS!A194&amp;ENPS!A195&amp;ENPS!A196&amp;ENPS!A197</f>
        <v>#REF!</v>
      </c>
    </row>
    <row r="201" spans="1:1">
      <c r="A201" t="e">
        <f>ENPS!A184&amp;ENPS!A185&amp;ENPS!A186&amp;ENPS!A187&amp;ENPS!A188&amp;ENPS!A189&amp;ENPS!A190</f>
        <v>#REF!</v>
      </c>
    </row>
    <row r="202" spans="1:1">
      <c r="A202" t="e">
        <f>ENPS!A191&amp;ENPS!A192&amp;" "&amp;ENPS!A193&amp;ENPS!A194&amp;ENPS!A195&amp;ENPS!A196&amp;ENPS!A197</f>
        <v>#REF!</v>
      </c>
    </row>
    <row r="203" spans="1:1">
      <c r="A203" s="73" t="str">
        <f>IF(COUNT(Resumen!#REF!)&gt;1,ENPS!A200,IF(COUNT(Resumen!#REF!)=1,ENPS!A201,IF(COUNT(Resumen!#REF!)=1,ENPS!A202,"")))</f>
        <v/>
      </c>
    </row>
    <row r="206" spans="1:1">
      <c r="A206" s="68" t="s">
        <v>680</v>
      </c>
    </row>
    <row r="207" spans="1:1">
      <c r="A207" s="270"/>
    </row>
    <row r="208" spans="1:1">
      <c r="A208" t="s">
        <v>683</v>
      </c>
    </row>
    <row r="209" spans="1:5">
      <c r="A209" t="e">
        <f>J77</f>
        <v>#REF!</v>
      </c>
    </row>
    <row r="210" spans="1:5">
      <c r="A210" t="s">
        <v>684</v>
      </c>
    </row>
    <row r="211" spans="1:5">
      <c r="A211" t="e">
        <f>IF(AND(AND(H19&gt;2,H37&gt;2)=TRUE,OR(H19=4,H37=4)=TRUE)=TRUE,"normales",IF(EXACT(A213,A216)=TRUE,A213,IF(AND(H19&lt;3,H37&lt;3)=TRUE,"descendidos","fluctuantes")))</f>
        <v>#REF!</v>
      </c>
    </row>
    <row r="212" spans="1:5">
      <c r="A212" t="s">
        <v>681</v>
      </c>
    </row>
    <row r="213" spans="1:5">
      <c r="A213" t="e">
        <f>G19</f>
        <v>#REF!</v>
      </c>
    </row>
    <row r="214" spans="1:5">
      <c r="A214" t="s">
        <v>685</v>
      </c>
    </row>
    <row r="215" spans="1:5">
      <c r="A215" t="e">
        <f>IF(EXACT(A213,A216)=TRUE,"así como ","y valores ")</f>
        <v>#REF!</v>
      </c>
    </row>
    <row r="216" spans="1:5">
      <c r="A216" t="e">
        <f>G37</f>
        <v>#REF!</v>
      </c>
      <c r="B216" t="e">
        <f>IF(A215="así como ","",G37)</f>
        <v>#REF!</v>
      </c>
    </row>
    <row r="217" spans="1:5">
      <c r="A217" t="s">
        <v>686</v>
      </c>
    </row>
    <row r="218" spans="1:5">
      <c r="A218" t="e">
        <f>IF(EXACT(A213,A216)=TRUE,A213,IF(AND(H19&gt;2,H37&gt;2)=TRUE,"normales",IF(AND(H19&lt;3,H37&lt;3)=TRUE,"descendidos","variables")))</f>
        <v>#REF!</v>
      </c>
    </row>
    <row r="219" spans="1:5">
      <c r="A219" t="s">
        <v>844</v>
      </c>
    </row>
    <row r="220" spans="1:5">
      <c r="A220" t="e">
        <f>IF(A211="fluctuantes"," un span atencional en ocasiones disminuido",IF(OR(A211="descendidos",A211="bajos",A211="deficitarios")=TRUE,"span atencional disminuido","adecuado span atencional"))</f>
        <v>#REF!</v>
      </c>
    </row>
    <row r="221" spans="1:5">
      <c r="A221" t="s">
        <v>682</v>
      </c>
    </row>
    <row r="223" spans="1:5">
      <c r="A223" t="e">
        <f>A208&amp;A209&amp;A210&amp;A211&amp;A212&amp;A213&amp;A214&amp;A215&amp;B216&amp;A217&amp;A218&amp;A219&amp;A220&amp;A221</f>
        <v>#REF!</v>
      </c>
    </row>
    <row r="224" spans="1:5">
      <c r="A224" t="s">
        <v>687</v>
      </c>
      <c r="B224" t="e">
        <f>OR(A213="",A216="")</f>
        <v>#REF!</v>
      </c>
      <c r="C224" t="e">
        <f>IF(A213=""," (dígitos directos)"," (Trial 1- RAVLT)")</f>
        <v>#REF!</v>
      </c>
      <c r="D224" t="e">
        <f>IF(A213="",A216,A213)</f>
        <v>#REF!</v>
      </c>
      <c r="E224" t="e">
        <f>IF(OR(D224="normales",D224="altos")=TRUE," un adecuado span atencional"," un span atencional disminuido")</f>
        <v>#REF!</v>
      </c>
    </row>
    <row r="225" spans="1:7">
      <c r="A225" t="e">
        <f>A208&amp;A209&amp;" en pruebas que evalúan la amplitud atencional"&amp;C224&amp;" presentó valores "&amp;D224&amp;". De esta manera, frente a la presentación secuencial de estímulos, la cantidad que pueden ser procesados simultáneamente presentó valores "&amp;D224&amp;A219&amp;E224&amp;A221</f>
        <v>#REF!</v>
      </c>
    </row>
    <row r="227" spans="1:7">
      <c r="A227" s="73" t="e">
        <f>IF(AND(F19="",F37="")=TRUE,"",IF(B224=TRUE,A225,A223))</f>
        <v>#REF!</v>
      </c>
    </row>
    <row r="230" spans="1:7">
      <c r="A230" s="68" t="s">
        <v>689</v>
      </c>
    </row>
    <row r="231" spans="1:7" ht="24">
      <c r="A231" s="329" t="s">
        <v>841</v>
      </c>
    </row>
    <row r="232" spans="1:7">
      <c r="A232" t="e">
        <f>IF(AND(A218="normales",A234="normal")=TRUE,"también",IF(AND(A218="altos",A234="alto")=TRUE,"también",IF(AND(A218="bajos",A234="bajo")=TRUE,"también",IF(AND(A218="deficitarios",A234="deficitario")=TRUE,"también",""))))</f>
        <v>#REF!</v>
      </c>
    </row>
    <row r="233" spans="1:7">
      <c r="A233" t="s">
        <v>692</v>
      </c>
    </row>
    <row r="234" spans="1:7">
      <c r="A234" t="e">
        <f>B234</f>
        <v>#REF!</v>
      </c>
      <c r="B234" t="e">
        <f>IF(H38="","",IF(H38=4,"alto",IF(H38=3,"normal",IF(H38=2,"bajo","descendido"))))</f>
        <v>#REF!</v>
      </c>
    </row>
    <row r="235" spans="1:7">
      <c r="A235" t="s">
        <v>690</v>
      </c>
    </row>
    <row r="236" spans="1:7">
      <c r="A236" t="e">
        <f>IF(Resumen!#REF!="","",IF(G38=E236,D236,IF(K16&gt;=3,B236,C236)))</f>
        <v>#REF!</v>
      </c>
      <c r="B236" t="s">
        <v>854</v>
      </c>
      <c r="C236" t="s">
        <v>855</v>
      </c>
      <c r="D236" t="s">
        <v>856</v>
      </c>
      <c r="E236" t="e">
        <f>IF(K16&gt;=3,"normales","bajos")</f>
        <v>#REF!</v>
      </c>
      <c r="G236" t="e">
        <f>IF(Resumen!#REF!="","",IF(ENPS!K16&gt;=3,ENPS!B56,ENPS!C56))</f>
        <v>#REF!</v>
      </c>
    </row>
    <row r="237" spans="1:7">
      <c r="A237" t="s">
        <v>840</v>
      </c>
    </row>
    <row r="238" spans="1:7">
      <c r="A238" t="e">
        <f>IF(ENPS!H56&gt;3,ENPS!I56,IF(ENPS!H56&gt;2,ENPS!J56,ENPS!K56))</f>
        <v>#REF!</v>
      </c>
    </row>
    <row r="239" spans="1:7">
      <c r="A239" t="s">
        <v>691</v>
      </c>
    </row>
    <row r="240" spans="1:7">
      <c r="A240" t="s">
        <v>694</v>
      </c>
    </row>
    <row r="241" spans="1:1">
      <c r="A241" t="e">
        <f>ENPS!G14</f>
        <v>#REF!</v>
      </c>
    </row>
    <row r="242" spans="1:1">
      <c r="A242" t="s">
        <v>695</v>
      </c>
    </row>
    <row r="243" spans="1:1">
      <c r="A243" t="e">
        <f>F77</f>
        <v>#REF!</v>
      </c>
    </row>
    <row r="244" spans="1:1">
      <c r="A244" t="s">
        <v>693</v>
      </c>
    </row>
    <row r="245" spans="1:1">
      <c r="A245" s="22" t="e">
        <f>Resumen!#REF!</f>
        <v>#REF!</v>
      </c>
    </row>
    <row r="246" spans="1:1">
      <c r="A246" s="22" t="s">
        <v>850</v>
      </c>
    </row>
    <row r="247" spans="1:1">
      <c r="A247" s="22" t="e">
        <f>F14</f>
        <v>#REF!</v>
      </c>
    </row>
    <row r="248" spans="1:1">
      <c r="A248" t="s">
        <v>623</v>
      </c>
    </row>
    <row r="250" spans="1:1">
      <c r="A250" t="e">
        <f>A231&amp;A232&amp;A233&amp;A234&amp;A235&amp;A236&amp;A237&amp;A238&amp;A239&amp;A240&amp;A241&amp;A242&amp;A243&amp;A244&amp;A245&amp;A246&amp;A247&amp;A248</f>
        <v>#REF!</v>
      </c>
    </row>
    <row r="251" spans="1:1">
      <c r="A251" t="e">
        <f>A231&amp;A232&amp;A233&amp;A234&amp;A235&amp;A236&amp;A237&amp;A238&amp;A239</f>
        <v>#REF!</v>
      </c>
    </row>
    <row r="253" spans="1:1">
      <c r="A253" s="73" t="e">
        <f>IF(AND(F38="",K16="")=TRUE,"",IF(Resumen!#REF!="",ENPS!A251,ENPS!A250))</f>
        <v>#REF!</v>
      </c>
    </row>
    <row r="255" spans="1:1">
      <c r="A255" s="68" t="s">
        <v>696</v>
      </c>
    </row>
    <row r="257" spans="1:2">
      <c r="A257" s="270"/>
    </row>
    <row r="258" spans="1:2">
      <c r="A258" t="s">
        <v>704</v>
      </c>
    </row>
    <row r="259" spans="1:2">
      <c r="A259" t="e">
        <f>G32</f>
        <v>#REF!</v>
      </c>
    </row>
    <row r="260" spans="1:2">
      <c r="A260" t="s">
        <v>706</v>
      </c>
    </row>
    <row r="261" spans="1:2">
      <c r="A261" t="e">
        <f>IF(B262=TRUE,", así como",", y valores ")</f>
        <v>#REF!</v>
      </c>
    </row>
    <row r="262" spans="1:2">
      <c r="A262" t="e">
        <f>IF(B262=TRUE,"",G33)</f>
        <v>#REF!</v>
      </c>
      <c r="B262" t="e">
        <f>EXACT(G32,G33)</f>
        <v>#REF!</v>
      </c>
    </row>
    <row r="263" spans="1:2">
      <c r="A263" t="s">
        <v>699</v>
      </c>
    </row>
    <row r="264" spans="1:2">
      <c r="A264" t="e">
        <f>IF(ENPS!B57&gt;5,"",IF(ENPS!B57&gt;2,ENPS!C57,ENPS!D57))</f>
        <v>#REF!</v>
      </c>
    </row>
    <row r="265" spans="1:2">
      <c r="A265" t="s">
        <v>701</v>
      </c>
    </row>
    <row r="266" spans="1:2">
      <c r="A266" t="s">
        <v>702</v>
      </c>
    </row>
    <row r="267" spans="1:2">
      <c r="A267" t="s">
        <v>703</v>
      </c>
    </row>
    <row r="268" spans="1:2">
      <c r="A268" t="s">
        <v>682</v>
      </c>
    </row>
    <row r="269" spans="1:2">
      <c r="A269" t="e">
        <f>IF(AND(AND(H32&gt;2,H33&gt;2)=TRUE,COUNT(F32:F33)&gt;1),A268,IF(AND(COUNT(F32:F33)&gt;0,F33="",H32&lt;3)=TRUE,A265,IF(AND(COUNT(F32:F33)&gt;1,H32&gt;2,H33&lt;3)=TRUE,A266,A268)))</f>
        <v>#REF!</v>
      </c>
    </row>
    <row r="271" spans="1:2">
      <c r="A271" t="e">
        <f>IF(AND(AND(H32&gt;2,H33&gt;2)=TRUE,H15&lt;3)=TRUE," Sin embargo, en"," En")</f>
        <v>#REF!</v>
      </c>
    </row>
    <row r="272" spans="1:2">
      <c r="A272" t="s">
        <v>707</v>
      </c>
    </row>
    <row r="273" spans="1:1">
      <c r="A273" t="e">
        <f>I77</f>
        <v>#REF!</v>
      </c>
    </row>
    <row r="274" spans="1:1">
      <c r="A274" t="s">
        <v>673</v>
      </c>
    </row>
    <row r="275" spans="1:1">
      <c r="A275" t="e">
        <f>G15</f>
        <v>#REF!</v>
      </c>
    </row>
    <row r="276" spans="1:1">
      <c r="A276" t="s">
        <v>700</v>
      </c>
    </row>
    <row r="277" spans="1:1">
      <c r="A277" s="22" t="e">
        <f>Resumen!#REF!</f>
        <v>#REF!</v>
      </c>
    </row>
    <row r="278" spans="1:1">
      <c r="A278" s="22" t="s">
        <v>850</v>
      </c>
    </row>
    <row r="279" spans="1:1">
      <c r="A279" s="62" t="e">
        <f>F15</f>
        <v>#REF!</v>
      </c>
    </row>
    <row r="280" spans="1:1">
      <c r="A280" t="s">
        <v>623</v>
      </c>
    </row>
    <row r="282" spans="1:1">
      <c r="A282" t="str">
        <f>IF(COUNT(Resumen!#REF!)&gt;0,A258&amp;A259&amp;A260&amp;".","")</f>
        <v/>
      </c>
    </row>
    <row r="283" spans="1:1">
      <c r="A283" t="str">
        <f>IF(COUNT(Resumen!#REF!)&gt;0,A258&amp;A259&amp;A260&amp;A261&amp;A262&amp;A263&amp;".","")</f>
        <v/>
      </c>
    </row>
    <row r="284" spans="1:1">
      <c r="A284" t="str">
        <f>IF(COUNT(Resumen!#REF!)=2,ENPS!A283,IF(COUNT(Resumen!#REF!)=1,ENPS!A282,""))</f>
        <v/>
      </c>
    </row>
    <row r="285" spans="1:1">
      <c r="A285" t="e">
        <f>IF(Resumen!#REF!="","",A271&amp;A272&amp;A273&amp;A274&amp;A275&amp;A276&amp;A277&amp;A278&amp;A279&amp;A280)</f>
        <v>#REF!</v>
      </c>
    </row>
    <row r="288" spans="1:1">
      <c r="A288" s="73" t="e">
        <f>A284&amp;A285</f>
        <v>#REF!</v>
      </c>
    </row>
    <row r="291" spans="1:7">
      <c r="A291" s="68" t="s">
        <v>576</v>
      </c>
    </row>
    <row r="292" spans="1:7" ht="36">
      <c r="A292" s="270" t="s">
        <v>708</v>
      </c>
    </row>
    <row r="293" spans="1:7">
      <c r="A293" t="e">
        <f>I77</f>
        <v>#REF!</v>
      </c>
    </row>
    <row r="294" spans="1:7">
      <c r="A294" t="s">
        <v>725</v>
      </c>
    </row>
    <row r="295" spans="1:7">
      <c r="A295" t="str">
        <f>IF(E42="","",IF(F42&gt;1,"alto ",IF(F42&gt;=-1,"normal ",IF(F42&gt;-2,"bajo ","deficitario "))))</f>
        <v/>
      </c>
    </row>
    <row r="296" spans="1:7">
      <c r="A296" t="s">
        <v>724</v>
      </c>
      <c r="C296" t="e">
        <f>IF(AND(H39=H40,H40=H41,H41=H42)=TRUE,"IGUAL","NO")</f>
        <v>#REF!</v>
      </c>
    </row>
    <row r="297" spans="1:7">
      <c r="A297" t="s">
        <v>709</v>
      </c>
      <c r="C297" t="e">
        <f>IF(H39=H42,"IGUAL","NO")</f>
        <v>#REF!</v>
      </c>
      <c r="D297" t="e">
        <f>A316</f>
        <v>#REF!</v>
      </c>
      <c r="E297" t="str">
        <f>A305</f>
        <v xml:space="preserve">, aunque obtuvo valores </v>
      </c>
      <c r="F297" t="e">
        <f>C312</f>
        <v>#REF!</v>
      </c>
      <c r="G297" t="e">
        <f>D297&amp;E297&amp;F297</f>
        <v>#REF!</v>
      </c>
    </row>
    <row r="298" spans="1:7">
      <c r="A298" t="s">
        <v>710</v>
      </c>
      <c r="C298" t="e">
        <f>IF(H40=H42,"IGUAL","NO")</f>
        <v>#REF!</v>
      </c>
      <c r="D298" t="e">
        <f>A316</f>
        <v>#REF!</v>
      </c>
      <c r="E298" t="str">
        <f>A305</f>
        <v xml:space="preserve">, aunque obtuvo valores </v>
      </c>
      <c r="F298" t="e">
        <f>C311</f>
        <v>#REF!</v>
      </c>
      <c r="G298" t="e">
        <f t="shared" ref="G298:G301" si="15">D298&amp;E298&amp;F298</f>
        <v>#REF!</v>
      </c>
    </row>
    <row r="299" spans="1:7">
      <c r="A299" t="s">
        <v>711</v>
      </c>
      <c r="C299" t="e">
        <f>IF(H41=H42,"IGUAL","NO")</f>
        <v>#REF!</v>
      </c>
      <c r="D299" t="e">
        <f>A316</f>
        <v>#REF!</v>
      </c>
      <c r="E299" t="str">
        <f>A305</f>
        <v xml:space="preserve">, aunque obtuvo valores </v>
      </c>
      <c r="F299" t="e">
        <f>C310</f>
        <v>#REF!</v>
      </c>
      <c r="G299" t="e">
        <f t="shared" si="15"/>
        <v>#REF!</v>
      </c>
    </row>
    <row r="300" spans="1:7">
      <c r="A300" t="s">
        <v>712</v>
      </c>
      <c r="C300" t="e">
        <f>IF(AND(H39=H40,H40=H42)=TRUE,"IGUAL","NO")</f>
        <v>#REF!</v>
      </c>
      <c r="D300" t="e">
        <f>A316</f>
        <v>#REF!</v>
      </c>
      <c r="E300" t="str">
        <f>A305</f>
        <v xml:space="preserve">, aunque obtuvo valores </v>
      </c>
      <c r="F300" t="e">
        <f>C309</f>
        <v>#REF!</v>
      </c>
      <c r="G300" t="e">
        <f t="shared" si="15"/>
        <v>#REF!</v>
      </c>
    </row>
    <row r="301" spans="1:7">
      <c r="A301" t="s">
        <v>713</v>
      </c>
      <c r="C301" t="e">
        <f>IF(AND(H39=H41,H41=H42)=TRUE,"IGUAL","NO")</f>
        <v>#REF!</v>
      </c>
      <c r="D301" t="e">
        <f>A316</f>
        <v>#REF!</v>
      </c>
      <c r="E301" t="str">
        <f>A305</f>
        <v xml:space="preserve">, aunque obtuvo valores </v>
      </c>
      <c r="F301" t="e">
        <f>C308</f>
        <v>#REF!</v>
      </c>
      <c r="G301" t="e">
        <f t="shared" si="15"/>
        <v>#REF!</v>
      </c>
    </row>
    <row r="302" spans="1:7">
      <c r="A302" t="s">
        <v>714</v>
      </c>
      <c r="C302" t="e">
        <f>IF(AND(H40=H41,H41=H42)=TRUE,"IGUAL","NO")</f>
        <v>#REF!</v>
      </c>
      <c r="D302" t="e">
        <f>A316</f>
        <v>#REF!</v>
      </c>
      <c r="E302" t="str">
        <f>A305</f>
        <v xml:space="preserve">, aunque obtuvo valores </v>
      </c>
      <c r="F302" t="e">
        <f>C307</f>
        <v>#REF!</v>
      </c>
      <c r="G302" t="e">
        <f>D302&amp;E302&amp;F302</f>
        <v>#REF!</v>
      </c>
    </row>
    <row r="304" spans="1:7">
      <c r="A304" s="14" t="s">
        <v>715</v>
      </c>
    </row>
    <row r="305" spans="1:3">
      <c r="A305" t="s">
        <v>723</v>
      </c>
    </row>
    <row r="307" spans="1:3">
      <c r="A307" t="s">
        <v>716</v>
      </c>
      <c r="B307" t="e">
        <f>G39</f>
        <v>#REF!</v>
      </c>
      <c r="C307" t="e">
        <f>B307&amp;A307</f>
        <v>#REF!</v>
      </c>
    </row>
    <row r="308" spans="1:3">
      <c r="A308" t="s">
        <v>717</v>
      </c>
      <c r="B308" t="e">
        <f>G40</f>
        <v>#REF!</v>
      </c>
      <c r="C308" t="e">
        <f t="shared" ref="C308:C313" si="16">B308&amp;A308</f>
        <v>#REF!</v>
      </c>
    </row>
    <row r="309" spans="1:3">
      <c r="A309" t="s">
        <v>718</v>
      </c>
      <c r="B309" t="e">
        <f>G41</f>
        <v>#REF!</v>
      </c>
      <c r="C309" t="e">
        <f t="shared" si="16"/>
        <v>#REF!</v>
      </c>
    </row>
    <row r="310" spans="1:3">
      <c r="A310" t="s">
        <v>719</v>
      </c>
      <c r="B310" t="e">
        <f>B307</f>
        <v>#REF!</v>
      </c>
      <c r="C310" t="e">
        <f t="shared" si="16"/>
        <v>#REF!</v>
      </c>
    </row>
    <row r="311" spans="1:3">
      <c r="A311" t="s">
        <v>720</v>
      </c>
      <c r="B311" t="e">
        <f>B307</f>
        <v>#REF!</v>
      </c>
      <c r="C311" t="e">
        <f t="shared" si="16"/>
        <v>#REF!</v>
      </c>
    </row>
    <row r="312" spans="1:3">
      <c r="A312" t="s">
        <v>721</v>
      </c>
      <c r="B312" t="e">
        <f>B308</f>
        <v>#REF!</v>
      </c>
      <c r="C312" t="e">
        <f t="shared" si="16"/>
        <v>#REF!</v>
      </c>
    </row>
    <row r="313" spans="1:3">
      <c r="A313" t="s">
        <v>722</v>
      </c>
      <c r="B313" t="e">
        <f>B307</f>
        <v>#REF!</v>
      </c>
      <c r="C313" t="e">
        <f t="shared" si="16"/>
        <v>#REF!</v>
      </c>
    </row>
    <row r="314" spans="1:3">
      <c r="A314" t="s">
        <v>682</v>
      </c>
    </row>
    <row r="316" spans="1:3">
      <c r="A316" t="e">
        <f>IF(C296="IGUAL",A296,IF(C301="IGUAL",A301,IF(C300="IGUAL",A300,IF(C302="IGUAL",A302,IF(C297="IGUAL",A297,IF(C298="IGUAL",A298,IF(C299="IGUAL",A299,A304)))))))</f>
        <v>#REF!</v>
      </c>
    </row>
    <row r="317" spans="1:3">
      <c r="A317" t="e">
        <f>IF(C296="IGUAL",A296,IF(C301="IGUAL",G301,IF(C300="IGUAL",G300,IF(C302="IGUAL",G302,IF(C297="IGUAL",G297,IF(C298="IGUAL",G298,IF(C299="IGUAL",G299,A304)))))))</f>
        <v>#REF!</v>
      </c>
    </row>
    <row r="319" spans="1:3">
      <c r="A319" s="73" t="e">
        <f>IF(F42="","",A292&amp;A293&amp;A294&amp;A295&amp;A317&amp;A314)</f>
        <v>#REF!</v>
      </c>
    </row>
    <row r="322" spans="1:2">
      <c r="A322" s="68" t="s">
        <v>742</v>
      </c>
    </row>
    <row r="323" spans="1:2">
      <c r="A323" s="18" t="s">
        <v>726</v>
      </c>
    </row>
    <row r="324" spans="1:2">
      <c r="A324" s="18" t="e">
        <f>I77</f>
        <v>#REF!</v>
      </c>
    </row>
    <row r="325" spans="1:2">
      <c r="A325" s="18" t="s">
        <v>673</v>
      </c>
    </row>
    <row r="326" spans="1:2">
      <c r="A326" s="18" t="e">
        <f>IF(OR(G5="deficitarios",G5="bajos")=TRUE,"por debajo del punto de corte","por encima del punto de corte")</f>
        <v>#REF!</v>
      </c>
    </row>
    <row r="327" spans="1:2">
      <c r="A327" s="18" t="s">
        <v>677</v>
      </c>
    </row>
    <row r="328" spans="1:2">
      <c r="A328" s="304" t="e">
        <f>E5</f>
        <v>#REF!</v>
      </c>
    </row>
    <row r="329" spans="1:2">
      <c r="A329" s="18" t="s">
        <v>727</v>
      </c>
    </row>
    <row r="330" spans="1:2">
      <c r="A330" s="338" t="s">
        <v>913</v>
      </c>
      <c r="B330" s="339" t="e">
        <f>IF(Resumen!#REF!="","",IF(Resumen!#REF!=3,"N","F"))</f>
        <v>#REF!</v>
      </c>
    </row>
    <row r="331" spans="1:2">
      <c r="A331" s="338" t="s">
        <v>914</v>
      </c>
      <c r="B331" s="339" t="e">
        <f>IF(Resumen!#REF!="","",IF(Resumen!#REF!=3,"N","F"))</f>
        <v>#REF!</v>
      </c>
    </row>
    <row r="332" spans="1:2">
      <c r="A332" s="338" t="s">
        <v>915</v>
      </c>
      <c r="B332" s="339" t="e">
        <f>IF(Resumen!#REF!="","",IF(Resumen!#REF!=3,"N","F"))</f>
        <v>#REF!</v>
      </c>
    </row>
    <row r="333" spans="1:2">
      <c r="A333" s="338" t="s">
        <v>916</v>
      </c>
      <c r="B333" s="339" t="e">
        <f>IF(Resumen!#REF!="","",IF(F38&gt;-1,"N","F"))</f>
        <v>#REF!</v>
      </c>
    </row>
    <row r="334" spans="1:2">
      <c r="A334" s="338" t="s">
        <v>917</v>
      </c>
      <c r="B334" s="339" t="e">
        <f>IF(Resumen!#REF!="","",IF(Resumen!#REF!=2,"N","F"))</f>
        <v>#REF!</v>
      </c>
    </row>
    <row r="335" spans="1:2">
      <c r="A335" s="338" t="s">
        <v>918</v>
      </c>
      <c r="B335" s="339" t="e">
        <f>IF(Resumen!#REF!="","",IF(Resumen!#REF!&gt;2,"N","F"))</f>
        <v>#REF!</v>
      </c>
    </row>
    <row r="336" spans="1:2">
      <c r="A336" s="338" t="s">
        <v>919</v>
      </c>
      <c r="B336" s="339" t="e">
        <f>IF(Resumen!#REF!="","",IF(Resumen!#REF!=3,"N","F"))</f>
        <v>#REF!</v>
      </c>
    </row>
    <row r="337" spans="1:8">
      <c r="A337" s="338" t="s">
        <v>920</v>
      </c>
      <c r="B337" s="339" t="e">
        <f>IF(Resumen!#REF!="","",IF(Resumen!#REF!&gt;4,"N","F"))</f>
        <v>#REF!</v>
      </c>
    </row>
    <row r="338" spans="1:8">
      <c r="A338" s="18"/>
    </row>
    <row r="339" spans="1:8">
      <c r="A339" s="18" t="e">
        <f>IF(ENPS!E5&gt;=25,"Así, se observó una adecuada capacidad para","Así, se observaron fallas en la capacidad para ")</f>
        <v>#REF!</v>
      </c>
      <c r="B339" t="e">
        <f>IF(ENPS!E5&gt;=25,"N","F")</f>
        <v>#REF!</v>
      </c>
    </row>
    <row r="340" spans="1:8">
      <c r="A340" s="270" t="s">
        <v>609</v>
      </c>
      <c r="B340" s="62" t="e">
        <f>B330</f>
        <v>#REF!</v>
      </c>
    </row>
    <row r="341" spans="1:8">
      <c r="A341" s="270" t="s">
        <v>610</v>
      </c>
      <c r="B341" s="62" t="e">
        <f>B331</f>
        <v>#REF!</v>
      </c>
    </row>
    <row r="342" spans="1:8" ht="24">
      <c r="A342" s="270" t="s">
        <v>611</v>
      </c>
      <c r="B342" t="e">
        <f>IF(C342=TRUE,B344,"")</f>
        <v>#REF!</v>
      </c>
      <c r="C342" t="e">
        <f>EXACT(B332,B337)</f>
        <v>#REF!</v>
      </c>
      <c r="D342" t="str">
        <f>IF(IFS!C42="X",1,"")</f>
        <v/>
      </c>
      <c r="E342" t="str">
        <f>IF(IFS!D42="X",1,"")</f>
        <v/>
      </c>
      <c r="F342" t="str">
        <f>IF(IFS!E42="X",1,"")</f>
        <v/>
      </c>
      <c r="G342">
        <f>COUNT(D342:F344)</f>
        <v>0</v>
      </c>
    </row>
    <row r="343" spans="1:8">
      <c r="A343" s="270" t="s">
        <v>728</v>
      </c>
      <c r="B343" s="62" t="e">
        <f>B337</f>
        <v>#REF!</v>
      </c>
      <c r="D343" t="str">
        <f>IF(IFS!C43="X",1,"")</f>
        <v/>
      </c>
      <c r="E343" t="str">
        <f>IF(IFS!D43="X",1,"")</f>
        <v/>
      </c>
      <c r="F343" t="str">
        <f>IF(IFS!E43="X",1,"")</f>
        <v/>
      </c>
      <c r="H343" t="e">
        <f>IF(B344=B343,A342,A343)</f>
        <v>#REF!</v>
      </c>
    </row>
    <row r="344" spans="1:8" ht="24">
      <c r="A344" s="270" t="s">
        <v>729</v>
      </c>
      <c r="B344" s="62" t="e">
        <f>B332</f>
        <v>#REF!</v>
      </c>
      <c r="D344" t="str">
        <f>IF(IFS!C44="X",1,"")</f>
        <v/>
      </c>
      <c r="E344" t="str">
        <f>IF(IFS!D44="X",1,"")</f>
        <v/>
      </c>
      <c r="F344" t="str">
        <f>IF(IFS!E44="X",1,"")</f>
        <v/>
      </c>
      <c r="H344" t="e">
        <f>IF(B344=B343,A342,A344)</f>
        <v>#REF!</v>
      </c>
    </row>
    <row r="345" spans="1:8" ht="24">
      <c r="A345" s="270" t="s">
        <v>790</v>
      </c>
      <c r="B345" s="62" t="e">
        <f>B333</f>
        <v>#REF!</v>
      </c>
    </row>
    <row r="346" spans="1:8">
      <c r="A346" s="18" t="s">
        <v>791</v>
      </c>
      <c r="B346" s="62" t="e">
        <f>B336</f>
        <v>#REF!</v>
      </c>
      <c r="D346" s="106" t="str">
        <f>IF(IFS!D34="X",1,"")</f>
        <v/>
      </c>
      <c r="E346" s="106" t="str">
        <f>IF(IFS!E34="X",1,"")</f>
        <v/>
      </c>
      <c r="F346" s="106" t="str">
        <f>IF(IFS!F34="X",1,"")</f>
        <v/>
      </c>
      <c r="G346" s="106">
        <f>COUNT(D346:F348)</f>
        <v>0</v>
      </c>
    </row>
    <row r="347" spans="1:8">
      <c r="D347" s="106" t="str">
        <f>IF(IFS!D35="X",1,"")</f>
        <v/>
      </c>
      <c r="E347" s="106" t="str">
        <f>IF(IFS!E35="X",1,"")</f>
        <v/>
      </c>
      <c r="F347" s="106" t="str">
        <f>IF(IFS!F35="X",1,"")</f>
        <v/>
      </c>
    </row>
    <row r="348" spans="1:8">
      <c r="D348" s="106" t="str">
        <f>IF(IFS!D36="X",1,"")</f>
        <v/>
      </c>
      <c r="E348" s="106" t="str">
        <f>IF(IFS!E36="X",1,"")</f>
        <v/>
      </c>
      <c r="F348" s="106" t="str">
        <f>IF(IFS!F36="X",1,"")</f>
        <v/>
      </c>
    </row>
    <row r="350" spans="1:8" ht="24">
      <c r="A350" s="270" t="e">
        <f>IF(AND(B343=B339,B344=B339)=TRUE,"mantener una serie motora preestablecida, responder frente a instrucciones conflictivas e inhibir respuestas preponderantes en su modalidad verbal y motora",IF(B344=B339,A344,IF(B343=B339,A343,"")))</f>
        <v>#REF!</v>
      </c>
      <c r="B350" t="e">
        <f>IF(AND(B340=B341,B341=B342)=TRUE,"S","N")</f>
        <v>#REF!</v>
      </c>
    </row>
    <row r="351" spans="1:8" ht="36">
      <c r="A351" s="270" t="s">
        <v>732</v>
      </c>
      <c r="B351" t="e">
        <f>IF(B340=B342,"S","N")</f>
        <v>#REF!</v>
      </c>
    </row>
    <row r="352" spans="1:8" ht="24">
      <c r="A352" s="270" t="s">
        <v>733</v>
      </c>
      <c r="B352" t="e">
        <f>IF(B340=B341,"S","N")</f>
        <v>#REF!</v>
      </c>
    </row>
    <row r="353" spans="1:11" ht="36">
      <c r="A353" s="270" t="s">
        <v>734</v>
      </c>
      <c r="B353" t="e">
        <f>IF(B341=B342,"S","N")</f>
        <v>#REF!</v>
      </c>
    </row>
    <row r="355" spans="1:11">
      <c r="A355" t="e">
        <f>IF(B350="S",A350,IF(B351="S",A351,IF(B352="S",A352,A353)))</f>
        <v>#REF!</v>
      </c>
    </row>
    <row r="357" spans="1:11">
      <c r="A357" s="12" t="s">
        <v>735</v>
      </c>
      <c r="C357" s="12" t="s">
        <v>736</v>
      </c>
      <c r="F357" t="s">
        <v>792</v>
      </c>
      <c r="H357" t="s">
        <v>792</v>
      </c>
    </row>
    <row r="358" spans="1:11">
      <c r="A358" t="e">
        <f>IF(B340=B339,A340,"")</f>
        <v>#REF!</v>
      </c>
      <c r="C358" t="e">
        <f>IF(B340=B339,"",A340)</f>
        <v>#REF!</v>
      </c>
      <c r="E358" t="e">
        <f>IF(A358="","",1)</f>
        <v>#REF!</v>
      </c>
      <c r="F358" t="str">
        <f>IF(COUNT(E359:E363)=0,".",IF(COUNT(E359:E363)=1," y ",", "))</f>
        <v>.</v>
      </c>
      <c r="G358" t="e">
        <f>IF(C358="","",1)</f>
        <v>#REF!</v>
      </c>
      <c r="H358" t="str">
        <f>IF(COUNT(G359:G363)=0,".",IF(COUNT(G359:G363)=1," y ",", "))</f>
        <v>.</v>
      </c>
    </row>
    <row r="359" spans="1:11">
      <c r="A359" t="e">
        <f>IF(B341=B339,A341,"")</f>
        <v>#REF!</v>
      </c>
      <c r="C359" t="e">
        <f>IF(B341=B339,"",A341)</f>
        <v>#REF!</v>
      </c>
      <c r="E359" t="e">
        <f t="shared" ref="E359:G363" si="17">IF(A359="","",1)</f>
        <v>#REF!</v>
      </c>
      <c r="F359" t="str">
        <f>IF(COUNT(E360:E363)=0,".",IF(COUNT(E360:E363)=1," y ",", "))</f>
        <v>.</v>
      </c>
      <c r="G359" t="e">
        <f t="shared" ref="G359:G363" si="18">IF(C359="","",1)</f>
        <v>#REF!</v>
      </c>
      <c r="H359" t="str">
        <f>IF(COUNT(G360:G363)=0,".",IF(COUNT(G360:G363)=1," y ",", "))</f>
        <v>.</v>
      </c>
    </row>
    <row r="360" spans="1:11">
      <c r="A360" t="e">
        <f>IF(B342=B339,A342,"")</f>
        <v>#REF!</v>
      </c>
      <c r="C360" t="e">
        <f>IF(AND(B341B342,B342=B339)=TRUE,"",A342)</f>
        <v>#NAME?</v>
      </c>
      <c r="E360" t="e">
        <f t="shared" si="17"/>
        <v>#REF!</v>
      </c>
      <c r="F360" t="str">
        <f>IF(COUNT(E363)=1," y ",".")</f>
        <v>.</v>
      </c>
      <c r="G360" t="e">
        <f t="shared" si="17"/>
        <v>#NAME?</v>
      </c>
      <c r="H360" t="str">
        <f>IF(COUNT(G363)=1," y ",".")</f>
        <v>.</v>
      </c>
    </row>
    <row r="361" spans="1:11">
      <c r="A361" t="e">
        <f>IF(B343=B339,H343,"")</f>
        <v>#REF!</v>
      </c>
      <c r="C361" t="e">
        <f>IF(B343=B339,"",H343)</f>
        <v>#REF!</v>
      </c>
    </row>
    <row r="362" spans="1:11">
      <c r="A362" t="e">
        <f>IF(B344=B339,H344,"")</f>
        <v>#REF!</v>
      </c>
      <c r="C362" t="e">
        <f>IF(B344=B339,"",H344)</f>
        <v>#REF!</v>
      </c>
    </row>
    <row r="363" spans="1:11">
      <c r="A363" t="e">
        <f>IF(B346=B339,A346,"")</f>
        <v>#REF!</v>
      </c>
      <c r="C363" t="e">
        <f>IF(B346=B339,"",A346)</f>
        <v>#REF!</v>
      </c>
      <c r="E363" t="e">
        <f t="shared" si="17"/>
        <v>#REF!</v>
      </c>
      <c r="F363" t="s">
        <v>682</v>
      </c>
      <c r="G363" t="e">
        <f t="shared" si="18"/>
        <v>#REF!</v>
      </c>
      <c r="H363" t="s">
        <v>682</v>
      </c>
    </row>
    <row r="367" spans="1:11">
      <c r="A367" s="102" t="e">
        <f>IF(E5="","",A323&amp;A324&amp;A325&amp;A326&amp;A327&amp;A328&amp;A329&amp;A339)</f>
        <v>#REF!</v>
      </c>
    </row>
    <row r="368" spans="1:11">
      <c r="A368" t="e">
        <f>A358&amp;IF(A358="","",F358)&amp;A359&amp;IF(A359="","",F359)&amp;A360&amp;IF(A360="","",F360)&amp;A363&amp;IF(A363="","",F363)</f>
        <v>#REF!</v>
      </c>
      <c r="C368" t="e">
        <f>C358&amp;C359&amp;C360&amp;C361&amp;C362&amp;C363</f>
        <v>#REF!</v>
      </c>
      <c r="K368" t="e">
        <f>A368</f>
        <v>#REF!</v>
      </c>
    </row>
    <row r="369" spans="1:3">
      <c r="A369" t="e">
        <f>" Por otro lado, se observó una adecuada capacidad para "&amp;C370</f>
        <v>#REF!</v>
      </c>
    </row>
    <row r="370" spans="1:3">
      <c r="C370" t="e">
        <f>C358&amp;C359&amp;C360&amp;C361&amp;C362&amp;C363</f>
        <v>#REF!</v>
      </c>
    </row>
    <row r="371" spans="1:3">
      <c r="A371" s="311" t="e">
        <f>IF(Resumen!#REF!="","",A367&amp;A368&amp;A369)</f>
        <v>#REF!</v>
      </c>
    </row>
    <row r="373" spans="1:3">
      <c r="A373" t="s">
        <v>737</v>
      </c>
    </row>
    <row r="374" spans="1:3">
      <c r="A374" t="e">
        <f>I77</f>
        <v>#REF!</v>
      </c>
    </row>
    <row r="375" spans="1:3">
      <c r="A375" t="s">
        <v>741</v>
      </c>
    </row>
    <row r="376" spans="1:3">
      <c r="A376" t="e">
        <f>G43</f>
        <v>#REF!</v>
      </c>
    </row>
    <row r="377" spans="1:3">
      <c r="A377" t="s">
        <v>682</v>
      </c>
    </row>
    <row r="378" spans="1:3">
      <c r="A378" t="s">
        <v>799</v>
      </c>
    </row>
    <row r="379" spans="1:3">
      <c r="A379" t="e">
        <f>G45</f>
        <v>#REF!</v>
      </c>
    </row>
    <row r="380" spans="1:3">
      <c r="A380" t="s">
        <v>739</v>
      </c>
    </row>
    <row r="381" spans="1:3">
      <c r="A381" s="62" t="e">
        <f>E45</f>
        <v>#REF!</v>
      </c>
    </row>
    <row r="382" spans="1:3">
      <c r="A382" t="s">
        <v>738</v>
      </c>
    </row>
    <row r="383" spans="1:3">
      <c r="A383" t="e">
        <f>IF(E45="","",IF(F45&gt;=-1,ENPS!B59,ENPS!C59))</f>
        <v>#REF!</v>
      </c>
    </row>
    <row r="384" spans="1:3">
      <c r="A384" t="s">
        <v>740</v>
      </c>
    </row>
    <row r="386" spans="1:1">
      <c r="A386" t="e">
        <f>A373&amp;A374&amp;A375&amp;A376&amp;A377</f>
        <v>#REF!</v>
      </c>
    </row>
    <row r="387" spans="1:1">
      <c r="A387" t="e">
        <f>A378&amp;A379&amp;A380&amp;A381&amp;A382&amp;A383&amp;A384</f>
        <v>#REF!</v>
      </c>
    </row>
    <row r="388" spans="1:1">
      <c r="A388" t="e">
        <f>A386&amp;" "&amp;A387</f>
        <v>#REF!</v>
      </c>
    </row>
    <row r="390" spans="1:1">
      <c r="A390" s="311" t="str">
        <f>IF(COUNT(Resumen!#REF!)=0,"",IF(COUNT(Resumen!#REF!)=2,ENPS!A388,IF(Resumen!#REF!="",ENPS!A386,IF(Resumen!#REF!="",ENPS!A387,""))))</f>
        <v/>
      </c>
    </row>
    <row r="392" spans="1:1">
      <c r="A392" s="73" t="e">
        <f>A371&amp;" "&amp;A390</f>
        <v>#REF!</v>
      </c>
    </row>
    <row r="394" spans="1:1">
      <c r="A394" s="68" t="s">
        <v>574</v>
      </c>
    </row>
    <row r="396" spans="1:1">
      <c r="A396" s="306" t="s">
        <v>743</v>
      </c>
    </row>
    <row r="397" spans="1:1">
      <c r="A397" t="e">
        <f>I77</f>
        <v>#REF!</v>
      </c>
    </row>
    <row r="398" spans="1:1">
      <c r="A398" t="s">
        <v>673</v>
      </c>
    </row>
    <row r="399" spans="1:1">
      <c r="A399" t="e">
        <f>G19</f>
        <v>#REF!</v>
      </c>
    </row>
    <row r="400" spans="1:1">
      <c r="A400" t="s">
        <v>747</v>
      </c>
    </row>
    <row r="401" spans="1:3">
      <c r="A401" t="e">
        <f>IF(ENPS!B60&gt;5,ENPS!C60,IF(ENPS!B60&gt;3,ENPS!E60,IF(ENPS!B60&gt;0,ENPS!F60,ENPS!D60)))</f>
        <v>#REF!</v>
      </c>
    </row>
    <row r="402" spans="1:3">
      <c r="A402" t="s">
        <v>746</v>
      </c>
    </row>
    <row r="403" spans="1:3">
      <c r="A403" t="e">
        <f>E77&amp;C77</f>
        <v>#REF!</v>
      </c>
    </row>
    <row r="404" spans="1:3">
      <c r="A404" t="e">
        <f>IF(ENPS!H20&gt;2," retuvo"," no retuvo")</f>
        <v>#REF!</v>
      </c>
    </row>
    <row r="405" spans="1:3">
      <c r="A405" t="e">
        <f>" suficiente información adicional, presentando una curva de aprendizaje "&amp;B405&amp;C405&amp;" a través de los diferentes ensayos. "</f>
        <v>#REF!</v>
      </c>
      <c r="B405" t="e">
        <f>IF(Resumen!#REF!="x",Resumen!#REF!,IF(Resumen!#REF!="x",Resumen!#REF!,IF(Resumen!#REF!="x",Resumen!#REF!,"")))</f>
        <v>#REF!</v>
      </c>
      <c r="C405" t="e">
        <f>IF(F20&gt;-1," y productiva","")</f>
        <v>#REF!</v>
      </c>
    </row>
    <row r="406" spans="1:3">
      <c r="A406" t="s">
        <v>748</v>
      </c>
    </row>
    <row r="407" spans="1:3">
      <c r="A407" t="e">
        <f>G21</f>
        <v>#REF!</v>
      </c>
    </row>
    <row r="408" spans="1:3">
      <c r="A408" s="102" t="e">
        <f>IF(E19-E21&gt;2,", sugiriendo que la información previamente aprendida estaría interfiriendo sobre la capacidad de generar nuevos aprendizajes.",IF(AND(E19-E21&lt;3,H21&gt;2)=TRUE,", sugiriendo que la información previamente aprendida no estaría interfiriendo sobre la capacidad de generar nuevos aprendizajes.","."))</f>
        <v>#REF!</v>
      </c>
    </row>
    <row r="409" spans="1:3">
      <c r="A409" t="s">
        <v>749</v>
      </c>
    </row>
    <row r="410" spans="1:3">
      <c r="A410" t="e">
        <f>J77</f>
        <v>#REF!</v>
      </c>
    </row>
    <row r="411" spans="1:3">
      <c r="A411" t="s">
        <v>753</v>
      </c>
    </row>
    <row r="412" spans="1:3">
      <c r="A412" t="e">
        <f>G22</f>
        <v>#REF!</v>
      </c>
    </row>
    <row r="413" spans="1:3">
      <c r="A413" t="s">
        <v>744</v>
      </c>
    </row>
    <row r="414" spans="1:3">
      <c r="A414" s="22" t="e">
        <f>E22</f>
        <v>#REF!</v>
      </c>
    </row>
    <row r="415" spans="1:3">
      <c r="A415" t="s">
        <v>754</v>
      </c>
    </row>
    <row r="416" spans="1:3">
      <c r="A416" t="e">
        <f>" "&amp;Resumen!#REF!</f>
        <v>#REF!</v>
      </c>
    </row>
    <row r="417" spans="1:1">
      <c r="A417" t="s">
        <v>752</v>
      </c>
    </row>
    <row r="418" spans="1:1">
      <c r="A418" t="s">
        <v>750</v>
      </c>
    </row>
    <row r="419" spans="1:1">
      <c r="A419" t="e">
        <f>I77</f>
        <v>#REF!</v>
      </c>
    </row>
    <row r="420" spans="1:1">
      <c r="A420" t="s">
        <v>741</v>
      </c>
    </row>
    <row r="421" spans="1:1">
      <c r="A421" t="e">
        <f>G23</f>
        <v>#REF!</v>
      </c>
    </row>
    <row r="422" spans="1:1">
      <c r="A422" t="s">
        <v>638</v>
      </c>
    </row>
    <row r="423" spans="1:1">
      <c r="A423" t="e">
        <f>IF(ENPS!H23&gt;2,ENPS!C61,IF(ENPS!H23&gt;1,ENPS!E61,ENPS!D61))</f>
        <v>#REF!</v>
      </c>
    </row>
    <row r="424" spans="1:1">
      <c r="A424" t="s">
        <v>745</v>
      </c>
    </row>
    <row r="425" spans="1:1">
      <c r="A425" s="22" t="e">
        <f>E23</f>
        <v>#REF!</v>
      </c>
    </row>
    <row r="426" spans="1:1">
      <c r="A426" t="s">
        <v>751</v>
      </c>
    </row>
    <row r="428" spans="1:1">
      <c r="A428" t="e">
        <f>IF(Resumen!#REF!="",""," "&amp;A396&amp;A397&amp;A398&amp;A399&amp;A400&amp;A401&amp;A402&amp;A403&amp;A404&amp;A405&amp;A406&amp;A407&amp;A408)</f>
        <v>#REF!</v>
      </c>
    </row>
    <row r="429" spans="1:1">
      <c r="A429" t="e">
        <f>A409&amp;A410&amp;A411&amp;A412</f>
        <v>#REF!</v>
      </c>
    </row>
    <row r="430" spans="1:1">
      <c r="A430" t="e">
        <f>IF(E22=0," sin lograr evocar ninguna de las"&amp;A416&amp;A417,IF(E22&lt;Resumen!#REF!,A413&amp;A414&amp;A415&amp;A416&amp;A417,IF(E22=Resumen!#REF!,A413&amp;" las"&amp;A416&amp;A417,(A413&amp;A414&amp;A415&amp;A417))))</f>
        <v>#REF!</v>
      </c>
    </row>
    <row r="431" spans="1:1">
      <c r="A431" t="e">
        <f>IF(Resumen!#REF!="",""," "&amp;A429&amp;A430)</f>
        <v>#REF!</v>
      </c>
    </row>
    <row r="434" spans="1:3">
      <c r="A434" t="e">
        <f>IF(Resumen!#REF!="",""," "&amp;A418&amp;A419&amp;A420&amp;A421&amp;A422&amp;A423&amp;A424&amp;A425&amp;A426)</f>
        <v>#REF!</v>
      </c>
    </row>
    <row r="436" spans="1:3">
      <c r="A436" s="73" t="e">
        <f>A428&amp;A431&amp;A434</f>
        <v>#REF!</v>
      </c>
    </row>
    <row r="439" spans="1:3">
      <c r="A439" s="68" t="s">
        <v>662</v>
      </c>
      <c r="B439" t="s">
        <v>762</v>
      </c>
    </row>
    <row r="441" spans="1:3" ht="24">
      <c r="A441" s="306" t="s">
        <v>755</v>
      </c>
    </row>
    <row r="442" spans="1:3" ht="24">
      <c r="A442" s="306" t="e">
        <f>IF(AND(G16=G20,G17=G22)=TRUE,"-en donde la información se presenta de forma contextualizada- ","-dependiendo en menor grado de las funciones ejecutivas debido a que la información se presenta de forma contextualizada- ")</f>
        <v>#REF!</v>
      </c>
    </row>
    <row r="443" spans="1:3">
      <c r="A443" t="e">
        <f>E77&amp;C77</f>
        <v>#REF!</v>
      </c>
    </row>
    <row r="444" spans="1:3">
      <c r="A444" t="s">
        <v>673</v>
      </c>
    </row>
    <row r="445" spans="1:3">
      <c r="A445" t="e">
        <f>G16</f>
        <v>#REF!</v>
      </c>
    </row>
    <row r="446" spans="1:3">
      <c r="A446" t="s">
        <v>800</v>
      </c>
    </row>
    <row r="447" spans="1:3">
      <c r="A447" t="e">
        <f>IF(B448=TRUE,", al igual que","  y valores ")</f>
        <v>#REF!</v>
      </c>
    </row>
    <row r="448" spans="1:3">
      <c r="A448" t="e">
        <f>G17</f>
        <v>#REF!</v>
      </c>
      <c r="B448" t="e">
        <f>EXACT(A448,A445)</f>
        <v>#REF!</v>
      </c>
      <c r="C448" t="e">
        <f>IF(A447=", al igual que","",G17)</f>
        <v>#REF!</v>
      </c>
    </row>
    <row r="449" spans="1:2">
      <c r="A449" t="s">
        <v>756</v>
      </c>
    </row>
    <row r="450" spans="1:2">
      <c r="A450" t="e">
        <f>H77</f>
        <v>#REF!</v>
      </c>
    </row>
    <row r="451" spans="1:2">
      <c r="A451" t="e">
        <f>IF(ENPS!G18="normales"," logró"," no logró")</f>
        <v>#REF!</v>
      </c>
    </row>
    <row r="452" spans="1:2">
      <c r="A452" t="s">
        <v>801</v>
      </c>
    </row>
    <row r="453" spans="1:2">
      <c r="A453" t="e">
        <f>ENPS!G18</f>
        <v>#REF!</v>
      </c>
    </row>
    <row r="454" spans="1:2">
      <c r="A454" t="s">
        <v>682</v>
      </c>
    </row>
    <row r="455" spans="1:2">
      <c r="A455" s="73" t="e">
        <f>IF(Resumen!#REF!="","",A441&amp;A442&amp;A443&amp;A444&amp;A445&amp;A446&amp;A447&amp;C448&amp;A449&amp;A450&amp;A451&amp;A452&amp;A453&amp;A454)</f>
        <v>#REF!</v>
      </c>
    </row>
    <row r="458" spans="1:2">
      <c r="A458" s="68" t="s">
        <v>757</v>
      </c>
      <c r="B458" t="s">
        <v>762</v>
      </c>
    </row>
    <row r="460" spans="1:2">
      <c r="A460" s="306" t="s">
        <v>758</v>
      </c>
    </row>
    <row r="461" spans="1:2">
      <c r="A461" t="e">
        <f>J77</f>
        <v>#REF!</v>
      </c>
    </row>
    <row r="462" spans="1:2">
      <c r="A462" t="s">
        <v>760</v>
      </c>
    </row>
    <row r="463" spans="1:2">
      <c r="A463" t="e">
        <f>G35</f>
        <v>#REF!</v>
      </c>
    </row>
    <row r="464" spans="1:2">
      <c r="A464" t="s">
        <v>838</v>
      </c>
    </row>
    <row r="465" spans="1:6">
      <c r="A465" t="s">
        <v>759</v>
      </c>
    </row>
    <row r="466" spans="1:6">
      <c r="A466" t="e">
        <f>E77&amp;C77</f>
        <v>#REF!</v>
      </c>
    </row>
    <row r="467" spans="1:6">
      <c r="A467" t="e">
        <f>IF(ENPS!K23=1,ENPS!C62,ENPS!E62)</f>
        <v>#REF!</v>
      </c>
    </row>
    <row r="468" spans="1:6">
      <c r="A468" t="s">
        <v>682</v>
      </c>
    </row>
    <row r="470" spans="1:6">
      <c r="A470" s="73" t="e">
        <f>IF(Resumen!#REF!="","",A460&amp;A461&amp;A462&amp;A463&amp;A464&amp;A465&amp;A466&amp;" "&amp;A467&amp;A468)</f>
        <v>#REF!</v>
      </c>
    </row>
    <row r="473" spans="1:6">
      <c r="A473" s="68" t="s">
        <v>571</v>
      </c>
      <c r="B473" t="s">
        <v>762</v>
      </c>
    </row>
    <row r="476" spans="1:6">
      <c r="A476" s="308" t="e">
        <f>B77&amp;C77</f>
        <v>#REF!</v>
      </c>
      <c r="B476" t="s">
        <v>895</v>
      </c>
      <c r="C476" t="s">
        <v>896</v>
      </c>
      <c r="D476" t="s">
        <v>582</v>
      </c>
      <c r="E476" t="s">
        <v>901</v>
      </c>
      <c r="F476" t="s">
        <v>900</v>
      </c>
    </row>
    <row r="477" spans="1:6">
      <c r="A477" t="s">
        <v>774</v>
      </c>
      <c r="B477" t="s">
        <v>885</v>
      </c>
      <c r="C477" t="s">
        <v>876</v>
      </c>
      <c r="D477" t="e">
        <f>IF(AND(Resumen!#REF!="",Resumen!#REF!="")=TRUE,"",IF(Resumen!#REF!="x",ENPS!B477,ENPS!C477&amp;", "&amp;Resumen!#REF!))</f>
        <v>#REF!</v>
      </c>
      <c r="E477" s="230" t="e">
        <f>D477&amp;". "&amp;D478&amp;". "&amp;D479</f>
        <v>#REF!</v>
      </c>
      <c r="F477" s="337" t="e">
        <f>IF(AND(Resumen!#REF!="x",Resumen!#REF!="x",Resumen!#REF!="x")=TRUE,ENPS!A477,ENPS!E477)</f>
        <v>#REF!</v>
      </c>
    </row>
    <row r="478" spans="1:6">
      <c r="B478" t="s">
        <v>886</v>
      </c>
      <c r="C478" t="s">
        <v>898</v>
      </c>
      <c r="D478" t="e">
        <f>IF(AND(Resumen!#REF!="",Resumen!#REF!="")=TRUE,"",IF(Resumen!#REF!="x",ENPS!B478,ENPS!C478&amp;", "&amp;Resumen!#REF!))</f>
        <v>#REF!</v>
      </c>
      <c r="E478" s="230"/>
    </row>
    <row r="479" spans="1:6">
      <c r="B479" t="s">
        <v>887</v>
      </c>
      <c r="C479" t="s">
        <v>899</v>
      </c>
      <c r="D479" t="e">
        <f>IF(AND(Resumen!#REF!="",Resumen!#REF!="")=TRUE,"",IF(Resumen!#REF!="x",ENPS!B479,ENPS!C479&amp;", "&amp;Resumen!#REF!))</f>
        <v>#REF!</v>
      </c>
      <c r="E479" s="230"/>
    </row>
    <row r="480" spans="1:6">
      <c r="A480" t="s">
        <v>775</v>
      </c>
      <c r="B480" t="s">
        <v>888</v>
      </c>
      <c r="C480" t="s">
        <v>880</v>
      </c>
      <c r="D480" t="e">
        <f>IF(AND(Resumen!#REF!="",Resumen!#REF!="")=TRUE,"",IF(Resumen!#REF!="x",ENPS!B480,ENPS!C480&amp;", "&amp;Resumen!#REF!))</f>
        <v>#REF!</v>
      </c>
      <c r="E480" s="230" t="e">
        <f>D480&amp;". "&amp;D481</f>
        <v>#REF!</v>
      </c>
      <c r="F480" s="337" t="e">
        <f>IF(AND(Resumen!#REF!="x",Resumen!#REF!="x")=TRUE,ENPS!A480,ENPS!E480)</f>
        <v>#REF!</v>
      </c>
    </row>
    <row r="481" spans="1:6">
      <c r="B481" t="s">
        <v>889</v>
      </c>
      <c r="C481" t="s">
        <v>879</v>
      </c>
      <c r="D481" t="e">
        <f>IF(AND(Resumen!#REF!="",Resumen!#REF!="")=TRUE,"",IF(Resumen!#REF!="x",ENPS!B481,ENPS!C481&amp;", "&amp;Resumen!#REF!))</f>
        <v>#REF!</v>
      </c>
      <c r="E481" s="230"/>
    </row>
    <row r="482" spans="1:6">
      <c r="A482" t="s">
        <v>776</v>
      </c>
      <c r="B482" t="s">
        <v>890</v>
      </c>
      <c r="C482" t="s">
        <v>878</v>
      </c>
      <c r="D482" t="e">
        <f>IF(AND(Resumen!#REF!="",Resumen!#REF!="")=TRUE,"",IF(Resumen!#REF!="x",ENPS!B482,ENPS!C482&amp;", "&amp;Resumen!#REF!))</f>
        <v>#REF!</v>
      </c>
      <c r="E482" s="230" t="e">
        <f>D482&amp;". "&amp;D483&amp;". "&amp;D484</f>
        <v>#REF!</v>
      </c>
      <c r="F482" s="337" t="e">
        <f>IF(AND(Resumen!#REF!="x",Resumen!#REF!="x",Resumen!#REF!="x")=TRUE,ENPS!A482,ENPS!E482)</f>
        <v>#REF!</v>
      </c>
    </row>
    <row r="483" spans="1:6">
      <c r="B483" t="s">
        <v>891</v>
      </c>
      <c r="C483" t="s">
        <v>877</v>
      </c>
      <c r="D483" t="e">
        <f>IF(AND(Resumen!#REF!="",Resumen!#REF!="")=TRUE,"",IF(Resumen!#REF!="x",ENPS!B483,ENPS!C483&amp;", "&amp;Resumen!#REF!))</f>
        <v>#REF!</v>
      </c>
      <c r="E483" s="230"/>
    </row>
    <row r="484" spans="1:6">
      <c r="B484" t="s">
        <v>892</v>
      </c>
      <c r="C484" t="s">
        <v>881</v>
      </c>
      <c r="D484" t="e">
        <f>IF(AND(Resumen!#REF!="",Resumen!#REF!="")=TRUE,"",IF(Resumen!#REF!="x",ENPS!B484,ENPS!C484&amp;", "&amp;Resumen!#REF!))</f>
        <v>#REF!</v>
      </c>
      <c r="E484" s="230"/>
    </row>
    <row r="485" spans="1:6">
      <c r="A485" t="s">
        <v>773</v>
      </c>
      <c r="B485" t="s">
        <v>893</v>
      </c>
      <c r="C485" t="s">
        <v>884</v>
      </c>
      <c r="D485" t="e">
        <f>IF(AND(Resumen!#REF!="",Resumen!#REF!="")=TRUE,"",IF(Resumen!#REF!="x",ENPS!B485,ENPS!C485&amp;", "&amp;Resumen!#REF!))</f>
        <v>#REF!</v>
      </c>
      <c r="E485" s="230" t="e">
        <f>D485&amp;". "&amp;D486</f>
        <v>#REF!</v>
      </c>
      <c r="F485" s="337" t="e">
        <f>IF(AND(Resumen!#REF!="x",Resumen!#REF!="x")=TRUE,ENPS!A485,ENPS!E485)</f>
        <v>#REF!</v>
      </c>
    </row>
    <row r="486" spans="1:6">
      <c r="B486" t="s">
        <v>894</v>
      </c>
      <c r="C486" t="s">
        <v>883</v>
      </c>
      <c r="D486" t="e">
        <f>IF(AND(Resumen!#REF!="",Resumen!#REF!="")=TRUE,"",IF(Resumen!#REF!="x",ENPS!B486,ENPS!C486&amp;", "&amp;Resumen!#REF!))</f>
        <v>#REF!</v>
      </c>
      <c r="E486" s="230"/>
    </row>
    <row r="487" spans="1:6">
      <c r="A487" t="s">
        <v>839</v>
      </c>
      <c r="B487" t="s">
        <v>897</v>
      </c>
      <c r="C487" t="s">
        <v>882</v>
      </c>
      <c r="D487" t="e">
        <f>IF(AND(Resumen!#REF!="",Resumen!#REF!="")=TRUE,"",IF(Resumen!#REF!="x",ENPS!B487,ENPS!C487&amp;", "&amp;Resumen!#REF!))</f>
        <v>#REF!</v>
      </c>
      <c r="E487" s="230" t="e">
        <f>D487</f>
        <v>#REF!</v>
      </c>
      <c r="F487" s="337" t="e">
        <f>E487</f>
        <v>#REF!</v>
      </c>
    </row>
    <row r="489" spans="1:6">
      <c r="A489" t="e">
        <f>A476&amp;F477&amp;F480&amp;F482&amp;F485&amp;F487&amp;" "&amp;Resumen!#REF!</f>
        <v>#REF!</v>
      </c>
    </row>
    <row r="490" spans="1:6">
      <c r="A490" t="e">
        <f>A476&amp;F477&amp;F480&amp;F482&amp;" "&amp;Resumen!#REF!</f>
        <v>#REF!</v>
      </c>
    </row>
    <row r="492" spans="1:6">
      <c r="A492" s="311" t="e">
        <f>IF(Resumen!#REF!="",ENPS!A490,ENPS!A489)</f>
        <v>#REF!</v>
      </c>
    </row>
    <row r="494" spans="1:6">
      <c r="A494" s="309" t="e">
        <f>H77</f>
        <v>#REF!</v>
      </c>
    </row>
    <row r="495" spans="1:6">
      <c r="A495" t="s">
        <v>741</v>
      </c>
    </row>
    <row r="496" spans="1:6">
      <c r="A496" t="str">
        <f>G8</f>
        <v/>
      </c>
    </row>
    <row r="497" spans="1:2">
      <c r="A497" t="s">
        <v>763</v>
      </c>
    </row>
    <row r="498" spans="1:2">
      <c r="A498" s="22" t="str">
        <f>E8</f>
        <v/>
      </c>
    </row>
    <row r="499" spans="1:2">
      <c r="A499" t="s">
        <v>616</v>
      </c>
    </row>
    <row r="501" spans="1:2">
      <c r="A501" s="311" t="str">
        <f>IF(Resumen!B3="","",A494&amp;A495&amp;A496&amp;A497&amp;A498&amp;A499)</f>
        <v/>
      </c>
    </row>
    <row r="503" spans="1:2">
      <c r="A503" t="s">
        <v>777</v>
      </c>
    </row>
    <row r="504" spans="1:2">
      <c r="A504" t="e">
        <f>I77</f>
        <v>#REF!</v>
      </c>
    </row>
    <row r="505" spans="1:2">
      <c r="A505" t="s">
        <v>741</v>
      </c>
    </row>
    <row r="506" spans="1:2">
      <c r="A506" t="e">
        <f>G24</f>
        <v>#REF!</v>
      </c>
      <c r="B506" t="e">
        <f>IF(Resumen!#REF!&gt;8,"normales","bajos")</f>
        <v>#REF!</v>
      </c>
    </row>
    <row r="507" spans="1:2">
      <c r="A507" t="s">
        <v>682</v>
      </c>
      <c r="B507" t="s">
        <v>785</v>
      </c>
    </row>
    <row r="508" spans="1:2">
      <c r="B508" t="e">
        <f>Resumen!#REF!</f>
        <v>#REF!</v>
      </c>
    </row>
    <row r="509" spans="1:2">
      <c r="A509" s="62"/>
      <c r="B509" t="s">
        <v>778</v>
      </c>
    </row>
    <row r="511" spans="1:2">
      <c r="A511" t="e">
        <f>A503&amp;A504&amp;A505&amp;A506&amp;A507</f>
        <v>#REF!</v>
      </c>
    </row>
    <row r="512" spans="1:2">
      <c r="A512" t="e">
        <f>A503&amp;A504&amp;A505&amp;B506&amp;B507&amp;B508&amp;B509</f>
        <v>#REF!</v>
      </c>
    </row>
    <row r="514" spans="1:2">
      <c r="A514" s="311" t="str">
        <f>IF(COUNT(Resumen!#REF!)=1,ENPS!A511,IF(COUNT(Resumen!#REF!)=1,ENPS!A512,""))</f>
        <v/>
      </c>
    </row>
    <row r="516" spans="1:2">
      <c r="A516" t="s">
        <v>780</v>
      </c>
    </row>
    <row r="517" spans="1:2">
      <c r="A517" t="e">
        <f>G26</f>
        <v>#REF!</v>
      </c>
    </row>
    <row r="518" spans="1:2">
      <c r="A518" t="s">
        <v>782</v>
      </c>
    </row>
    <row r="519" spans="1:2">
      <c r="A519" t="s">
        <v>781</v>
      </c>
      <c r="B519" t="s">
        <v>783</v>
      </c>
    </row>
    <row r="520" spans="1:2">
      <c r="A520" t="e">
        <f>IF(G26=G29,"",G29)</f>
        <v>#REF!</v>
      </c>
      <c r="B520" t="e">
        <f>IF(G26=G29,"VERDADERO","FALSO")</f>
        <v>#REF!</v>
      </c>
    </row>
    <row r="521" spans="1:2">
      <c r="A521" t="s">
        <v>784</v>
      </c>
      <c r="B521" t="s">
        <v>779</v>
      </c>
    </row>
    <row r="522" spans="1:2">
      <c r="A522" t="s">
        <v>682</v>
      </c>
    </row>
    <row r="524" spans="1:2">
      <c r="A524" t="e">
        <f>A516&amp;A517&amp;A518&amp;A522</f>
        <v>#REF!</v>
      </c>
    </row>
    <row r="525" spans="1:2">
      <c r="A525" t="e">
        <f>A516&amp;A520&amp;B521&amp;A522</f>
        <v>#REF!</v>
      </c>
    </row>
    <row r="526" spans="1:2">
      <c r="A526" t="e">
        <f>A516&amp;A517&amp;A518&amp;A519&amp;A521&amp;A522</f>
        <v>#REF!</v>
      </c>
    </row>
    <row r="527" spans="1:2">
      <c r="A527" t="e">
        <f>A516&amp;A517&amp;A518&amp;B519&amp;A520&amp;B521&amp;A522</f>
        <v>#REF!</v>
      </c>
    </row>
    <row r="528" spans="1:2">
      <c r="A528" t="e">
        <f>IF(B520="FALSO",A527,A526)</f>
        <v>#REF!</v>
      </c>
    </row>
    <row r="530" spans="1:3">
      <c r="A530" s="311" t="e">
        <f>IF(COUNT(Resumen!#REF!)=2,A528,IF(AND(COUNT(Resumen!#REF!)=1,Resumen!#REF!="")=TRUE,ENPS!A524,IF(AND(COUNT(Resumen!#REF!)=1,Resumen!#REF!="")=TRUE,ENPS!A525,IF(COUNT(Resumen!#REF!)=0,"",""))))</f>
        <v>#REF!</v>
      </c>
    </row>
    <row r="533" spans="1:3">
      <c r="A533" s="73" t="e">
        <f>A492&amp;" "&amp;A501&amp;A514&amp;A530</f>
        <v>#REF!</v>
      </c>
    </row>
    <row r="535" spans="1:3">
      <c r="A535" s="68" t="s">
        <v>764</v>
      </c>
      <c r="B535" t="s">
        <v>762</v>
      </c>
    </row>
    <row r="537" spans="1:3">
      <c r="A537" t="s">
        <v>767</v>
      </c>
      <c r="B537" t="e">
        <f>"Se observaron dificultades en el reconocimiento de formas, letras, colores ni dibujos; "&amp;Resumen!#REF!</f>
        <v>#REF!</v>
      </c>
    </row>
    <row r="538" spans="1:3">
      <c r="A538" s="311" t="e">
        <f>IF(AND(Resumen!#REF!="",Resumen!#REF!="")=TRUE,"",IF(AND(Resumen!#REF!="x",Resumen!#REF!="x")=TRUE,ENPS!A537,ENPS!B537))</f>
        <v>#REF!</v>
      </c>
    </row>
    <row r="540" spans="1:3" ht="48">
      <c r="A540" s="309" t="s">
        <v>768</v>
      </c>
      <c r="B540" s="309" t="s">
        <v>904</v>
      </c>
      <c r="C540" s="337" t="e">
        <f>IF(AND(Resumen!#REF!="",Resumen!#REF!="")=TRUE,"",IF(Resumen!#REF!="x",A540,B540))</f>
        <v>#REF!</v>
      </c>
    </row>
    <row r="541" spans="1:3">
      <c r="A541" s="309"/>
      <c r="B541" s="309"/>
      <c r="C541" s="337"/>
    </row>
    <row r="542" spans="1:3">
      <c r="A542" s="309"/>
      <c r="B542" s="309"/>
      <c r="C542" s="337"/>
    </row>
    <row r="543" spans="1:3">
      <c r="A543" s="309" t="s">
        <v>769</v>
      </c>
      <c r="B543" t="s">
        <v>903</v>
      </c>
      <c r="C543" s="337" t="e">
        <f>IF(Resumen!#REF!="","",IF(Resumen!#REF!&gt;3,A543,B543))</f>
        <v>#REF!</v>
      </c>
    </row>
    <row r="544" spans="1:3">
      <c r="A544" s="309" t="s">
        <v>682</v>
      </c>
    </row>
    <row r="545" spans="1:3">
      <c r="A545" s="309"/>
    </row>
    <row r="546" spans="1:3">
      <c r="A546" t="e">
        <f>" "&amp;C540&amp;C543&amp;A544</f>
        <v>#REF!</v>
      </c>
    </row>
    <row r="547" spans="1:3">
      <c r="A547" t="e">
        <f>" "&amp;C540&amp;A544</f>
        <v>#REF!</v>
      </c>
    </row>
    <row r="548" spans="1:3">
      <c r="A548" t="s">
        <v>788</v>
      </c>
      <c r="B548" t="s">
        <v>902</v>
      </c>
      <c r="C548" t="e">
        <f>IF(Resumen!#REF!="","",IF(Resumen!#REF!&gt;3,A548,B548))</f>
        <v>#REF!</v>
      </c>
    </row>
    <row r="549" spans="1:3">
      <c r="A549" s="311" t="e">
        <f>IF(AND(Resumen!#REF!="x",Resumen!#REF!&gt;3)=TRUE,ENPS!A540&amp;ENPS!A543&amp;".",ENPS!C540&amp;". "&amp;ENPS!C543)</f>
        <v>#REF!</v>
      </c>
    </row>
    <row r="551" spans="1:3">
      <c r="A551" s="309"/>
    </row>
    <row r="552" spans="1:3" ht="24">
      <c r="A552" s="309" t="s">
        <v>845</v>
      </c>
      <c r="B552" t="s">
        <v>905</v>
      </c>
      <c r="C552" t="s">
        <v>906</v>
      </c>
    </row>
    <row r="553" spans="1:3">
      <c r="A553" s="309"/>
    </row>
    <row r="554" spans="1:3">
      <c r="A554" s="311" t="e">
        <f>IF(Resumen!#REF!="","",IF(AND(Resumen!#REF!&gt;0,Resumen!#REF!&gt;1)=TRUE,ENPS!A552,IF(AND(Resumen!#REF!&gt;0,Resumen!#REF!&lt;2)=TRUE,ENPS!B552,ENPS!C552)))</f>
        <v>#REF!</v>
      </c>
    </row>
    <row r="555" spans="1:3">
      <c r="A555" s="309"/>
    </row>
    <row r="556" spans="1:3">
      <c r="A556" t="e">
        <f>IF(ENPS!H34&gt;2,"Se observó una adecuada","Se observaron fallas en la")</f>
        <v>#REF!</v>
      </c>
    </row>
    <row r="557" spans="1:3">
      <c r="A557" t="s">
        <v>765</v>
      </c>
    </row>
    <row r="559" spans="1:3">
      <c r="A559" s="311" t="e">
        <f>IF(Resumen!#REF!="","",A556&amp;A557)</f>
        <v>#REF!</v>
      </c>
    </row>
    <row r="561" spans="1:7">
      <c r="A561" t="s">
        <v>766</v>
      </c>
    </row>
    <row r="562" spans="1:7">
      <c r="A562" t="e">
        <f>I77</f>
        <v>#REF!</v>
      </c>
    </row>
    <row r="563" spans="1:7">
      <c r="A563" t="s">
        <v>725</v>
      </c>
    </row>
    <row r="564" spans="1:7">
      <c r="A564" t="e">
        <f>IF(Resumen!#REF!+Resumen!#REF!+Resumen!#REF!=5,"normal.","bajo")</f>
        <v>#REF!</v>
      </c>
    </row>
    <row r="565" spans="1:7">
      <c r="A565" t="s">
        <v>911</v>
      </c>
      <c r="B565" t="s">
        <v>907</v>
      </c>
      <c r="C565" t="s">
        <v>908</v>
      </c>
      <c r="D565" t="s">
        <v>909</v>
      </c>
      <c r="E565" t="s">
        <v>912</v>
      </c>
      <c r="F565" s="230" t="e">
        <f>IF(Resumen!#REF!+Resumen!#REF!+Resumen!#REF!=5,ENPS!A565,IF(AND(Resumen!#REF!=1,Resumen!#REF!=2,Resumen!#REF!&lt;2)=TRUE,ENPS!B565,IF(AND(Resumen!#REF!=1,Resumen!#REF!&lt;2,Resumen!#REF!=2)=TRUE,ENPS!C565,IF(AND(Resumen!#REF!=1,Resumen!#REF!&lt;2,Resumen!#REF!&lt;2)=TRUE,ENPS!D565,ENPS!A566))))</f>
        <v>#REF!</v>
      </c>
      <c r="G565" s="337" t="e">
        <f>IF(AND(Resumen!#REF!&lt;1,Resumen!#REF!=2,Resumen!#REF!=2)=TRUE,E565,F565)</f>
        <v>#REF!</v>
      </c>
    </row>
    <row r="566" spans="1:7">
      <c r="A566" t="s">
        <v>910</v>
      </c>
    </row>
    <row r="567" spans="1:7">
      <c r="A567" s="311" t="e">
        <f>IF(Resumen!#REF!="","",A561&amp;A562&amp;A563&amp;A564&amp;G565)</f>
        <v>#REF!</v>
      </c>
    </row>
    <row r="569" spans="1:7">
      <c r="A569" t="s">
        <v>770</v>
      </c>
    </row>
    <row r="570" spans="1:7">
      <c r="A570" s="22" t="str">
        <f>E7</f>
        <v/>
      </c>
    </row>
    <row r="571" spans="1:7">
      <c r="A571" t="s">
        <v>786</v>
      </c>
    </row>
    <row r="572" spans="1:7">
      <c r="A572" t="e">
        <f>I77</f>
        <v>#REF!</v>
      </c>
    </row>
    <row r="573" spans="1:7">
      <c r="A573" t="s">
        <v>673</v>
      </c>
    </row>
    <row r="574" spans="1:7">
      <c r="A574" t="str">
        <f>G7</f>
        <v/>
      </c>
    </row>
    <row r="575" spans="1:7">
      <c r="A575" t="str">
        <f>IF(H7&gt;2,", indicando un uso eficiente de la",", indicando dificultades para usar eficientemente")</f>
        <v>, indicando un uso eficiente de la</v>
      </c>
    </row>
    <row r="576" spans="1:7">
      <c r="A576" t="s">
        <v>787</v>
      </c>
    </row>
    <row r="578" spans="1:2">
      <c r="A578" s="311" t="str">
        <f>IF(Resumen!B2="","",A569&amp;A570&amp;A571&amp;A572&amp;A573&amp;A574&amp;A575&amp;A576)</f>
        <v/>
      </c>
    </row>
    <row r="581" spans="1:2">
      <c r="A581" s="73" t="e">
        <f>A538&amp;A549&amp;A554&amp;A559&amp;A567&amp;A578</f>
        <v>#REF!</v>
      </c>
    </row>
    <row r="583" spans="1:2">
      <c r="A583" s="68" t="s">
        <v>847</v>
      </c>
    </row>
    <row r="584" spans="1:2">
      <c r="A584" t="s">
        <v>848</v>
      </c>
      <c r="B584" t="e">
        <f>"Sin embargo, ha de destacarse que el número de años de educación formal "&amp;Datos!Z2&amp;" puede haber influido en la presente evaluación haciendo que las dificultades aparenten una mayor severidad de la que en realidad tienen. Es por esto que se sugiere correlacionar los mismos con el cambio funcional observado en la vida cotidiana "&amp;Datos!Z2&amp;" y re-evaluar en un lapso prudencial para observar la evolución de los síntomas descriptos."</f>
        <v>#REF!</v>
      </c>
    </row>
    <row r="585" spans="1:2">
      <c r="A585" t="s">
        <v>849</v>
      </c>
      <c r="B585" t="e">
        <f>"Cuando se analizan los resultados antes descriptos, ha de tenerse en cuenta el número de años de educación formal "&amp;Datos!Z2&amp;" puede haber influido en la presente evaluación haciendo que las dificultades aparenten una mayor severidad de la que en realidad tienen. "&amp;"Sin embargo es importante destacar que las dificultades observadas exceden a las esperadas para su nivel de educación formal."</f>
        <v>#REF!</v>
      </c>
    </row>
    <row r="587" spans="1:2">
      <c r="A587" t="e">
        <f>IF(Resumen!#REF!="x",ENPS!B585,IF(Resumen!#REF!="x",ENPS!B584,""))</f>
        <v>#REF!</v>
      </c>
    </row>
    <row r="590" spans="1:2">
      <c r="A590" s="68" t="s">
        <v>858</v>
      </c>
    </row>
    <row r="591" spans="1:2">
      <c r="A591" s="12" t="s">
        <v>859</v>
      </c>
      <c r="B591" t="str">
        <f>LOWER(QP!B16&amp;QP!A16&amp;QP!A17&amp;QP!A18&amp;QP!A19&amp;QP!A20)</f>
        <v/>
      </c>
    </row>
    <row r="592" spans="1:2">
      <c r="A592" s="12" t="s">
        <v>860</v>
      </c>
      <c r="B592" t="str">
        <f>LOWER(QP!B21)</f>
        <v/>
      </c>
    </row>
    <row r="594" spans="1:3">
      <c r="A594" s="12" t="s">
        <v>135</v>
      </c>
      <c r="B594">
        <f>IF(QP!B55="Primario incompleto",1,IF(QP!B55="Primario",2,IF(QP!B55="Secundario incompleto",3,IF(QP!B55="Secundario",4,IF(QP!B55="Universitario incompleto",5,IF(QP!B55="Universitario",6,IF(QP!B55="Posgrado",7,8)))))))</f>
        <v>8</v>
      </c>
      <c r="C594">
        <f>QP!B55</f>
        <v>0</v>
      </c>
    </row>
    <row r="595" spans="1:3">
      <c r="A595" s="12" t="s">
        <v>861</v>
      </c>
      <c r="B595" t="str">
        <f>IF(B594&gt;3,"primarios y secundarios","primarios")</f>
        <v>primarios y secundarios</v>
      </c>
    </row>
    <row r="596" spans="1:3">
      <c r="A596" s="12" t="s">
        <v>864</v>
      </c>
      <c r="B596">
        <f>QP!B61</f>
        <v>0</v>
      </c>
      <c r="C596" t="str">
        <f>IF(B596="Normal"," con normal rendimiento",IF(B596="Bajo"," con un rendimiento bajo",IF(B596="Deficiente"," con un rendimiento deficiente","")))</f>
        <v/>
      </c>
    </row>
    <row r="597" spans="1:3">
      <c r="A597" s="12" t="s">
        <v>865</v>
      </c>
      <c r="B597" t="str">
        <f>IF(QP!B59="Sí","requiriendo apoyo escolar"&amp;QP!B60,"")</f>
        <v/>
      </c>
    </row>
    <row r="598" spans="1:3">
      <c r="A598" s="12" t="s">
        <v>866</v>
      </c>
      <c r="B598" t="str">
        <f>IF(QP!B56="Sí","presentando repitencia"&amp;QP!B57,"")</f>
        <v/>
      </c>
    </row>
    <row r="599" spans="1:3">
      <c r="A599" s="12" t="s">
        <v>862</v>
      </c>
    </row>
    <row r="600" spans="1:3">
      <c r="A600" s="12" t="s">
        <v>863</v>
      </c>
      <c r="B600">
        <f>QP!B64</f>
        <v>0</v>
      </c>
      <c r="C600" t="str">
        <f>IF(B600="Sí","Actualmente se desempeña como ","")</f>
        <v/>
      </c>
    </row>
    <row r="602" spans="1:3">
      <c r="A602" s="12" t="s">
        <v>867</v>
      </c>
      <c r="B602" t="str">
        <f>LOWER(QP!B70)&amp;QP!B91</f>
        <v/>
      </c>
    </row>
    <row r="603" spans="1:3">
      <c r="A603" s="12" t="s">
        <v>868</v>
      </c>
      <c r="B603" t="str">
        <f>LOWER(QP!B106)&amp;QP!B126</f>
        <v/>
      </c>
    </row>
    <row r="604" spans="1:3">
      <c r="A604" s="12" t="s">
        <v>869</v>
      </c>
      <c r="B604">
        <f>QP!B94</f>
        <v>0</v>
      </c>
    </row>
    <row r="607" spans="1:3">
      <c r="A607" t="e">
        <f>" Cuando se indaga por síntomas cognitivos a través de un cuestionario neuropsicológico específico, "&amp;Datos!Y2&amp;" refiere "&amp;B591</f>
        <v>#REF!</v>
      </c>
    </row>
    <row r="608" spans="1:3">
      <c r="A608" t="e">
        <f>" Cuando se indaga por síntomas anímicos y conductuales, "&amp;Datos!Y2&amp;" refiere "&amp;ENPS!B592</f>
        <v>#REF!</v>
      </c>
    </row>
    <row r="612" spans="1:1">
      <c r="A612" t="e">
        <f>Datos!X2&amp;" realizó sus estudios "&amp;ENPS!B595&amp;ENPS!C596&amp;B597&amp;B598&amp;"."</f>
        <v>#REF!</v>
      </c>
    </row>
    <row r="613" spans="1:1">
      <c r="A613" t="str">
        <f>IF(B594&gt;7,"Posteriormente cursó estudios universitarios y de doctorado",IF(B594&gt;6,"Posteriormente cursó estudios universitarios y de posgrado",IF(B594&gt;5,"Posteriormente cursó estudios universitarios","")))</f>
        <v>Posteriormente cursó estudios universitarios y de doctorado</v>
      </c>
    </row>
    <row r="614" spans="1:1">
      <c r="A614" t="str">
        <f>C600&amp;LOWER(QP!B65)</f>
        <v/>
      </c>
    </row>
    <row r="616" spans="1:1">
      <c r="A616" t="str">
        <f>"Como antecedentes médicos de relevancia refiere "&amp;B602</f>
        <v xml:space="preserve">Como antecedentes médicos de relevancia refiere </v>
      </c>
    </row>
    <row r="617" spans="1:1">
      <c r="A617" t="str">
        <f>"Como antecedentes familiares refiere "&amp;B603</f>
        <v xml:space="preserve">Como antecedentes familiares refiere </v>
      </c>
    </row>
    <row r="618" spans="1:1">
      <c r="A618" t="str">
        <f>IF(QP!B93="Sí","Actualmente se encuentra medicad"&amp;Datos!V2&amp;" con "&amp;QP!B94,"")</f>
        <v/>
      </c>
    </row>
    <row r="620" spans="1:1">
      <c r="A620" s="73" t="e">
        <f>Resumen!#REF!&amp;ENPS!A607&amp;ENPS!A608</f>
        <v>#REF!</v>
      </c>
    </row>
    <row r="621" spans="1:1">
      <c r="A621" s="73" t="e">
        <f>A612&amp;A613&amp;A614</f>
        <v>#REF!</v>
      </c>
    </row>
    <row r="622" spans="1:1">
      <c r="A622" s="73" t="str">
        <f>A616&amp;A617&amp;A618</f>
        <v xml:space="preserve">Como antecedentes médicos de relevancia refiere Como antecedentes familiares refiere </v>
      </c>
    </row>
    <row r="626" spans="1:1">
      <c r="A626" s="68" t="s">
        <v>874</v>
      </c>
    </row>
    <row r="627" spans="1:1">
      <c r="A627" s="13" t="e">
        <f>Resumen!#REF!</f>
        <v>#REF!</v>
      </c>
    </row>
  </sheetData>
  <phoneticPr fontId="37" type="noConversion"/>
  <hyperlinks>
    <hyperlink ref="L11" r:id="rId1"/>
    <hyperlink ref="M11" r:id="rId2"/>
    <hyperlink ref="N11" r:id="rId3"/>
    <hyperlink ref="O11" r:id="rId4"/>
    <hyperlink ref="P11" r:id="rId5"/>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7"/>
  <sheetViews>
    <sheetView workbookViewId="0">
      <selection activeCell="G5" sqref="G5"/>
    </sheetView>
  </sheetViews>
  <sheetFormatPr baseColWidth="10" defaultRowHeight="15.75"/>
  <cols>
    <col min="1" max="1" width="25.625" bestFit="1" customWidth="1"/>
    <col min="2" max="2" width="16.125" bestFit="1" customWidth="1"/>
    <col min="25" max="25" width="11.5" bestFit="1" customWidth="1"/>
    <col min="26" max="26" width="11.5" customWidth="1"/>
    <col min="29" max="30" width="11.5" bestFit="1" customWidth="1"/>
  </cols>
  <sheetData>
    <row r="1" spans="1:31">
      <c r="A1" s="1" t="s">
        <v>0</v>
      </c>
      <c r="B1" s="2"/>
      <c r="C1" s="2" t="s">
        <v>1</v>
      </c>
      <c r="D1" s="2" t="s">
        <v>2</v>
      </c>
      <c r="E1" s="3" t="s">
        <v>309</v>
      </c>
      <c r="F1" s="3" t="s">
        <v>310</v>
      </c>
      <c r="G1" s="3" t="s">
        <v>198</v>
      </c>
      <c r="H1" s="3" t="s">
        <v>311</v>
      </c>
      <c r="I1" s="10" t="s">
        <v>316</v>
      </c>
      <c r="V1" s="10" t="s">
        <v>312</v>
      </c>
      <c r="W1" s="10" t="s">
        <v>319</v>
      </c>
      <c r="X1" s="10" t="s">
        <v>313</v>
      </c>
      <c r="Y1" s="10" t="s">
        <v>318</v>
      </c>
      <c r="Z1" s="10" t="s">
        <v>320</v>
      </c>
      <c r="AA1" s="10" t="s">
        <v>314</v>
      </c>
      <c r="AB1" s="10" t="s">
        <v>315</v>
      </c>
      <c r="AC1" s="10" t="s">
        <v>321</v>
      </c>
      <c r="AD1" s="10" t="s">
        <v>322</v>
      </c>
      <c r="AE1" s="10" t="s">
        <v>316</v>
      </c>
    </row>
    <row r="2" spans="1:31">
      <c r="A2" s="66" t="str">
        <f>ENPS!A2</f>
        <v>WAT</v>
      </c>
      <c r="B2" s="66"/>
      <c r="C2" s="66" t="str">
        <f>TABLA!C2</f>
        <v>-</v>
      </c>
      <c r="D2" s="66" t="str">
        <f>TABLA!D2</f>
        <v>-</v>
      </c>
      <c r="E2" s="66" t="e">
        <f>TABLA!E2</f>
        <v>#REF!</v>
      </c>
      <c r="F2" s="66"/>
      <c r="G2" s="66"/>
      <c r="H2" s="66"/>
      <c r="I2" t="e">
        <f>AE2</f>
        <v>#REF!</v>
      </c>
      <c r="V2" t="e">
        <f t="shared" ref="V2:V37" si="0">E2-G2</f>
        <v>#REF!</v>
      </c>
      <c r="W2" t="e">
        <f t="shared" ref="W2:W4" si="1">SQRT(V2^2)</f>
        <v>#REF!</v>
      </c>
      <c r="X2">
        <f>F2-H2</f>
        <v>0</v>
      </c>
      <c r="Y2">
        <f>SQRT(X2^2)</f>
        <v>0</v>
      </c>
      <c r="Z2" s="102" t="str">
        <f>IF(Y2&gt;15,"si","no")</f>
        <v>no</v>
      </c>
      <c r="AA2" t="e">
        <f>ENPS!G2</f>
        <v>#REF!</v>
      </c>
      <c r="AB2" t="str">
        <f>IF(H2&gt;115,"alto",IF(H2&gt;84,"normal",IF(H2&gt;70,"bajo",IF(H2&gt;0,"deficitario","ausente"))))</f>
        <v>ausente</v>
      </c>
      <c r="AC2" t="e">
        <f>IF(OR(AA2="ausente",AB2="ausente"),"ausente",EXACT(AA2,AB2))</f>
        <v>#REF!</v>
      </c>
      <c r="AD2" t="e">
        <f t="shared" ref="AD2:AD13" si="2">OR(Z2="si",AC2=FALSE)</f>
        <v>#REF!</v>
      </c>
      <c r="AE2" t="e">
        <f t="shared" ref="AE2" si="3">IF(AND(X2&lt;0,AD2=TRUE),"descendido",IF(AND(X2&gt;0,AD2=TRUE),"mejoró",""))</f>
        <v>#REF!</v>
      </c>
    </row>
    <row r="3" spans="1:31">
      <c r="A3" s="66" t="str">
        <f>ENPS!A3</f>
        <v>ACE</v>
      </c>
      <c r="B3" s="42" t="s">
        <v>48</v>
      </c>
      <c r="C3" s="66">
        <f>TABLA!C3</f>
        <v>0</v>
      </c>
      <c r="D3" s="66">
        <f>TABLA!D3</f>
        <v>0</v>
      </c>
      <c r="E3" s="66" t="e">
        <f>TABLA!E3</f>
        <v>#REF!</v>
      </c>
      <c r="F3" s="66"/>
      <c r="G3" s="43"/>
      <c r="H3" s="44"/>
      <c r="I3" t="e">
        <f t="shared" ref="I3:I37" si="4">AE3</f>
        <v>#REF!</v>
      </c>
      <c r="V3" t="e">
        <f t="shared" si="0"/>
        <v>#REF!</v>
      </c>
      <c r="W3" t="e">
        <f t="shared" si="1"/>
        <v>#REF!</v>
      </c>
      <c r="Z3" s="102" t="e">
        <f>IF(W3&gt;10,"si","no")</f>
        <v>#REF!</v>
      </c>
      <c r="AA3" t="e">
        <f>ENPS!G3</f>
        <v>#REF!</v>
      </c>
      <c r="AB3" t="str">
        <f>IF(G3&gt;85,"normales",IF(G3&gt;0,"bajos","ausente"))</f>
        <v>ausente</v>
      </c>
      <c r="AC3" t="e">
        <f t="shared" ref="AC3:AC37" si="5">IF(OR(AA3="ausente",AB3="ausente"),"ausente",EXACT(AA3,AB3))</f>
        <v>#REF!</v>
      </c>
      <c r="AD3" t="e">
        <f t="shared" si="2"/>
        <v>#REF!</v>
      </c>
      <c r="AE3" t="e">
        <f t="shared" ref="AE3:AE5" si="6">IF(AND(V3&lt;0,AD3=TRUE),"descendido",IF(AND(V3&gt;0,AD3=TRUE),"mejoró",""))</f>
        <v>#REF!</v>
      </c>
    </row>
    <row r="4" spans="1:31">
      <c r="A4" s="66" t="str">
        <f>ENPS!A5</f>
        <v>IFS</v>
      </c>
      <c r="B4" s="42"/>
      <c r="C4" s="66">
        <f>TABLA!C4</f>
        <v>0</v>
      </c>
      <c r="D4" s="66">
        <f>TABLA!D4</f>
        <v>0</v>
      </c>
      <c r="E4" s="66" t="e">
        <f>TABLA!E4</f>
        <v>#REF!</v>
      </c>
      <c r="F4" s="66"/>
      <c r="G4" s="43"/>
      <c r="H4" s="46"/>
      <c r="I4" t="e">
        <f t="shared" si="4"/>
        <v>#REF!</v>
      </c>
      <c r="V4" t="e">
        <f t="shared" si="0"/>
        <v>#REF!</v>
      </c>
      <c r="W4" t="e">
        <f t="shared" si="1"/>
        <v>#REF!</v>
      </c>
      <c r="Z4" s="102" t="e">
        <f>IF(W4&gt;5,"si","no")</f>
        <v>#REF!</v>
      </c>
      <c r="AA4" t="e">
        <f>ENPS!G5</f>
        <v>#REF!</v>
      </c>
      <c r="AB4" t="str">
        <f>IF(G4&gt;85,"normales",IF(G4&gt;0,"bajos","ausente"))</f>
        <v>ausente</v>
      </c>
      <c r="AC4" t="e">
        <f t="shared" si="5"/>
        <v>#REF!</v>
      </c>
      <c r="AD4" t="e">
        <f t="shared" si="2"/>
        <v>#REF!</v>
      </c>
      <c r="AE4" t="e">
        <f t="shared" si="6"/>
        <v>#REF!</v>
      </c>
    </row>
    <row r="5" spans="1:31">
      <c r="A5" s="66" t="str">
        <f>ENPS!A7</f>
        <v>Matrices (WAIS)</v>
      </c>
      <c r="B5" s="42"/>
      <c r="C5" s="66">
        <f>TABLA!C5</f>
        <v>10</v>
      </c>
      <c r="D5" s="66">
        <f>TABLA!D5</f>
        <v>3</v>
      </c>
      <c r="E5" s="66" t="str">
        <f>TABLA!E5</f>
        <v/>
      </c>
      <c r="F5" s="66" t="str">
        <f>TABLA!F5</f>
        <v/>
      </c>
      <c r="G5" s="43"/>
      <c r="H5" s="46"/>
      <c r="I5" t="e">
        <f t="shared" si="4"/>
        <v>#VALUE!</v>
      </c>
      <c r="V5" t="e">
        <f t="shared" si="0"/>
        <v>#VALUE!</v>
      </c>
      <c r="W5" t="e">
        <f t="shared" ref="W5:W13" si="7">SQRT(V5^2)</f>
        <v>#VALUE!</v>
      </c>
      <c r="Z5" t="e">
        <f>IF(W5&gt;3,"si","no")</f>
        <v>#VALUE!</v>
      </c>
      <c r="AA5" t="str">
        <f>ENPS!G7</f>
        <v/>
      </c>
      <c r="AB5" t="str">
        <f t="shared" ref="AB5:AB11" si="8">IF(G5&gt;13,"altos",IF(G5&gt;6,"normales",IF(G5&gt;4,"bajos",IF(G5&gt;0,"deficitarios","ausente"))))</f>
        <v>ausente</v>
      </c>
      <c r="AC5" t="str">
        <f t="shared" si="5"/>
        <v>ausente</v>
      </c>
      <c r="AD5" t="e">
        <f t="shared" si="2"/>
        <v>#VALUE!</v>
      </c>
      <c r="AE5" t="e">
        <f t="shared" si="6"/>
        <v>#VALUE!</v>
      </c>
    </row>
    <row r="6" spans="1:31">
      <c r="A6" s="66" t="str">
        <f>ENPS!A8</f>
        <v>Vocabulario (WAIS)</v>
      </c>
      <c r="B6" s="42"/>
      <c r="C6" s="66">
        <f>TABLA!C6</f>
        <v>10</v>
      </c>
      <c r="D6" s="66">
        <f>TABLA!D6</f>
        <v>3</v>
      </c>
      <c r="E6" s="66" t="str">
        <f>TABLA!E6</f>
        <v/>
      </c>
      <c r="F6" s="66" t="str">
        <f>TABLA!F6</f>
        <v/>
      </c>
      <c r="G6" s="43"/>
      <c r="H6" s="46"/>
      <c r="I6" t="e">
        <f t="shared" si="4"/>
        <v>#VALUE!</v>
      </c>
      <c r="V6" t="e">
        <f t="shared" si="0"/>
        <v>#VALUE!</v>
      </c>
      <c r="W6" t="e">
        <f t="shared" si="7"/>
        <v>#VALUE!</v>
      </c>
      <c r="Z6" t="e">
        <f t="shared" ref="Z6:Z11" si="9">IF(W6&gt;3,"si","no")</f>
        <v>#VALUE!</v>
      </c>
      <c r="AA6" t="str">
        <f>ENPS!G8</f>
        <v/>
      </c>
      <c r="AB6" t="str">
        <f t="shared" si="8"/>
        <v>ausente</v>
      </c>
      <c r="AC6" t="str">
        <f t="shared" si="5"/>
        <v>ausente</v>
      </c>
      <c r="AD6" t="e">
        <f t="shared" si="2"/>
        <v>#VALUE!</v>
      </c>
      <c r="AE6" t="e">
        <f>IF(AND(V6&lt;0,AD6=TRUE),"descendido",IF(AND(V6&gt;0,AD6=TRUE),"mejoró",""))</f>
        <v>#VALUE!</v>
      </c>
    </row>
    <row r="7" spans="1:31">
      <c r="A7" s="66" t="str">
        <f>ENPS!A9</f>
        <v>Aritmética (WAIS)</v>
      </c>
      <c r="B7" s="42"/>
      <c r="C7" s="66">
        <f>TABLA!C7</f>
        <v>10</v>
      </c>
      <c r="D7" s="66">
        <f>TABLA!D7</f>
        <v>3</v>
      </c>
      <c r="E7" s="66" t="e">
        <f>TABLA!E7</f>
        <v>#REF!</v>
      </c>
      <c r="F7" s="66" t="e">
        <f>TABLA!F7</f>
        <v>#REF!</v>
      </c>
      <c r="G7" s="43"/>
      <c r="H7" s="46"/>
      <c r="I7" t="e">
        <f t="shared" si="4"/>
        <v>#REF!</v>
      </c>
      <c r="V7" t="e">
        <f t="shared" si="0"/>
        <v>#REF!</v>
      </c>
      <c r="W7" t="e">
        <f t="shared" si="7"/>
        <v>#REF!</v>
      </c>
      <c r="Z7" t="e">
        <f t="shared" si="9"/>
        <v>#REF!</v>
      </c>
      <c r="AA7" t="e">
        <f>ENPS!G9</f>
        <v>#REF!</v>
      </c>
      <c r="AB7" t="str">
        <f t="shared" si="8"/>
        <v>ausente</v>
      </c>
      <c r="AC7" t="e">
        <f t="shared" si="5"/>
        <v>#REF!</v>
      </c>
      <c r="AD7" t="e">
        <f t="shared" si="2"/>
        <v>#REF!</v>
      </c>
      <c r="AE7" t="e">
        <f t="shared" ref="AE7:AE13" si="10">IF(AND(V7&lt;0,AD7=TRUE),"descendido",IF(AND(V7&gt;0,AD7=TRUE),"mejoró",""))</f>
        <v>#REF!</v>
      </c>
    </row>
    <row r="8" spans="1:31">
      <c r="A8" s="66" t="str">
        <f>ENPS!A11</f>
        <v>Ordenamiento L-N (WAIS)</v>
      </c>
      <c r="B8" s="42"/>
      <c r="C8" s="66">
        <f>TABLA!C8</f>
        <v>10</v>
      </c>
      <c r="D8" s="66">
        <f>TABLA!D8</f>
        <v>3</v>
      </c>
      <c r="E8" s="66" t="e">
        <f>TABLA!E8</f>
        <v>#REF!</v>
      </c>
      <c r="F8" s="66" t="e">
        <f>TABLA!F8</f>
        <v>#REF!</v>
      </c>
      <c r="G8" s="43"/>
      <c r="H8" s="46"/>
      <c r="I8" t="e">
        <f t="shared" si="4"/>
        <v>#REF!</v>
      </c>
      <c r="V8" t="e">
        <f t="shared" si="0"/>
        <v>#REF!</v>
      </c>
      <c r="W8" t="e">
        <f t="shared" si="7"/>
        <v>#REF!</v>
      </c>
      <c r="Z8" t="e">
        <f t="shared" si="9"/>
        <v>#REF!</v>
      </c>
      <c r="AA8" t="e">
        <f>ENPS!G10</f>
        <v>#REF!</v>
      </c>
      <c r="AB8" t="str">
        <f t="shared" si="8"/>
        <v>ausente</v>
      </c>
      <c r="AC8" t="e">
        <f t="shared" si="5"/>
        <v>#REF!</v>
      </c>
      <c r="AD8" t="e">
        <f t="shared" si="2"/>
        <v>#REF!</v>
      </c>
      <c r="AE8" t="e">
        <f t="shared" si="10"/>
        <v>#REF!</v>
      </c>
    </row>
    <row r="9" spans="1:31">
      <c r="A9" s="12" t="s">
        <v>668</v>
      </c>
      <c r="B9" s="42"/>
      <c r="C9" s="66">
        <f>TABLA!C9</f>
        <v>10</v>
      </c>
      <c r="D9" s="66">
        <f>TABLA!D9</f>
        <v>3</v>
      </c>
      <c r="E9" s="66" t="e">
        <f>TABLA!E9</f>
        <v>#REF!</v>
      </c>
      <c r="F9" s="66" t="e">
        <f>TABLA!F9</f>
        <v>#REF!</v>
      </c>
      <c r="G9" s="43"/>
      <c r="H9" s="46"/>
      <c r="I9" t="e">
        <f t="shared" si="4"/>
        <v>#REF!</v>
      </c>
      <c r="V9" t="e">
        <f t="shared" si="0"/>
        <v>#REF!</v>
      </c>
      <c r="W9" t="e">
        <f t="shared" si="7"/>
        <v>#REF!</v>
      </c>
      <c r="Z9" t="e">
        <f t="shared" si="9"/>
        <v>#REF!</v>
      </c>
      <c r="AA9" t="e">
        <f>ENPS!G11</f>
        <v>#REF!</v>
      </c>
      <c r="AB9" t="str">
        <f t="shared" si="8"/>
        <v>ausente</v>
      </c>
      <c r="AC9" t="e">
        <f t="shared" si="5"/>
        <v>#REF!</v>
      </c>
      <c r="AD9" t="e">
        <f t="shared" si="2"/>
        <v>#REF!</v>
      </c>
      <c r="AE9" t="e">
        <f t="shared" si="10"/>
        <v>#REF!</v>
      </c>
    </row>
    <row r="10" spans="1:31">
      <c r="A10" s="66" t="str">
        <f>ENPS!A12</f>
        <v>Búsqueda de Símbolos (WAIS)</v>
      </c>
      <c r="B10" s="42"/>
      <c r="C10" s="66">
        <f>TABLA!C10</f>
        <v>10</v>
      </c>
      <c r="D10" s="66">
        <f>TABLA!D10</f>
        <v>3</v>
      </c>
      <c r="E10" s="66" t="e">
        <f>TABLA!E10</f>
        <v>#REF!</v>
      </c>
      <c r="F10" s="66" t="e">
        <f>TABLA!F10</f>
        <v>#REF!</v>
      </c>
      <c r="G10" s="43"/>
      <c r="H10" s="46"/>
      <c r="I10" t="e">
        <f t="shared" si="4"/>
        <v>#REF!</v>
      </c>
      <c r="V10" t="e">
        <f t="shared" si="0"/>
        <v>#REF!</v>
      </c>
      <c r="W10" t="e">
        <f t="shared" si="7"/>
        <v>#REF!</v>
      </c>
      <c r="Z10" t="e">
        <f t="shared" si="9"/>
        <v>#REF!</v>
      </c>
      <c r="AA10" t="e">
        <f>ENPS!G12</f>
        <v>#REF!</v>
      </c>
      <c r="AB10" t="str">
        <f t="shared" si="8"/>
        <v>ausente</v>
      </c>
      <c r="AC10" t="e">
        <f t="shared" si="5"/>
        <v>#REF!</v>
      </c>
      <c r="AD10" t="e">
        <f t="shared" si="2"/>
        <v>#REF!</v>
      </c>
      <c r="AE10" t="e">
        <f t="shared" si="10"/>
        <v>#REF!</v>
      </c>
    </row>
    <row r="11" spans="1:31">
      <c r="A11" s="66" t="str">
        <f>ENPS!A13</f>
        <v>Dígito-Símbolo (WAIS)</v>
      </c>
      <c r="B11" s="42"/>
      <c r="C11" s="66">
        <f>TABLA!C11</f>
        <v>10</v>
      </c>
      <c r="D11" s="66">
        <f>TABLA!D11</f>
        <v>3</v>
      </c>
      <c r="E11" s="66" t="e">
        <f>TABLA!E11</f>
        <v>#REF!</v>
      </c>
      <c r="F11" s="66" t="e">
        <f>TABLA!F11</f>
        <v>#REF!</v>
      </c>
      <c r="G11" s="43"/>
      <c r="H11" s="46"/>
      <c r="I11" t="e">
        <f t="shared" si="4"/>
        <v>#REF!</v>
      </c>
      <c r="V11" t="e">
        <f t="shared" si="0"/>
        <v>#REF!</v>
      </c>
      <c r="W11" t="e">
        <f t="shared" si="7"/>
        <v>#REF!</v>
      </c>
      <c r="Z11" t="e">
        <f t="shared" si="9"/>
        <v>#REF!</v>
      </c>
      <c r="AA11" t="e">
        <f>ENPS!G13</f>
        <v>#REF!</v>
      </c>
      <c r="AB11" t="str">
        <f t="shared" si="8"/>
        <v>ausente</v>
      </c>
      <c r="AC11" t="e">
        <f t="shared" si="5"/>
        <v>#REF!</v>
      </c>
      <c r="AD11" t="e">
        <f t="shared" si="2"/>
        <v>#REF!</v>
      </c>
      <c r="AE11" t="e">
        <f t="shared" si="10"/>
        <v>#REF!</v>
      </c>
    </row>
    <row r="12" spans="1:31">
      <c r="A12" s="66" t="str">
        <f>ENPS!A14</f>
        <v>Subíndice de Memoria Operativa (WAIS III)</v>
      </c>
      <c r="B12" s="42"/>
      <c r="C12" s="66">
        <f>TABLA!C12</f>
        <v>100</v>
      </c>
      <c r="D12" s="66">
        <f>TABLA!D12</f>
        <v>15</v>
      </c>
      <c r="E12" s="66" t="e">
        <f>TABLA!E12</f>
        <v>#REF!</v>
      </c>
      <c r="F12" s="66" t="e">
        <f>TABLA!F12</f>
        <v>#REF!</v>
      </c>
      <c r="G12" s="43"/>
      <c r="H12" s="46"/>
      <c r="I12" t="e">
        <f t="shared" si="4"/>
        <v>#REF!</v>
      </c>
      <c r="V12" t="e">
        <f t="shared" si="0"/>
        <v>#REF!</v>
      </c>
      <c r="W12" t="e">
        <f t="shared" si="7"/>
        <v>#REF!</v>
      </c>
      <c r="Z12" t="e">
        <f t="shared" ref="Z12" si="11">IF(W12&gt;15,"si","no")</f>
        <v>#REF!</v>
      </c>
      <c r="AA12" t="e">
        <f>ENPS!G14</f>
        <v>#REF!</v>
      </c>
      <c r="AB12" t="str">
        <f>IF(G12&gt;85,"normales",IF(G12&gt;0,"bajos","ausente"))</f>
        <v>ausente</v>
      </c>
      <c r="AC12" t="e">
        <f t="shared" si="5"/>
        <v>#REF!</v>
      </c>
      <c r="AD12" t="e">
        <f t="shared" si="2"/>
        <v>#REF!</v>
      </c>
      <c r="AE12" t="e">
        <f t="shared" si="10"/>
        <v>#REF!</v>
      </c>
    </row>
    <row r="13" spans="1:31">
      <c r="A13" s="66" t="str">
        <f>ENPS!A15</f>
        <v>Subíndice de Velocidad de Procesamiento (WAIS III)</v>
      </c>
      <c r="B13" s="42"/>
      <c r="C13" s="66">
        <f>TABLA!C13</f>
        <v>100</v>
      </c>
      <c r="D13" s="66">
        <f>TABLA!D13</f>
        <v>15</v>
      </c>
      <c r="E13" s="66" t="e">
        <f>TABLA!E13</f>
        <v>#REF!</v>
      </c>
      <c r="F13" s="66" t="e">
        <f>TABLA!F13</f>
        <v>#REF!</v>
      </c>
      <c r="G13" s="43"/>
      <c r="H13" s="46"/>
      <c r="I13" t="e">
        <f t="shared" si="4"/>
        <v>#REF!</v>
      </c>
      <c r="V13" t="e">
        <f t="shared" si="0"/>
        <v>#REF!</v>
      </c>
      <c r="W13" t="e">
        <f t="shared" si="7"/>
        <v>#REF!</v>
      </c>
      <c r="Z13" t="e">
        <f>IF(W13&gt;15,"si","no")</f>
        <v>#REF!</v>
      </c>
      <c r="AA13" t="e">
        <f>ENPS!G15</f>
        <v>#REF!</v>
      </c>
      <c r="AB13" t="str">
        <f>IF(G13&gt;85,"normales",IF(G13&gt;0,"bajos","ausente"))</f>
        <v>ausente</v>
      </c>
      <c r="AC13" t="e">
        <f t="shared" si="5"/>
        <v>#REF!</v>
      </c>
      <c r="AD13" t="e">
        <f t="shared" si="2"/>
        <v>#REF!</v>
      </c>
      <c r="AE13" t="e">
        <f t="shared" si="10"/>
        <v>#REF!</v>
      </c>
    </row>
    <row r="14" spans="1:31">
      <c r="A14" s="66" t="str">
        <f>ENPS!A16</f>
        <v>Memoria de Relatos</v>
      </c>
      <c r="B14" s="7" t="s">
        <v>15</v>
      </c>
      <c r="C14" s="66">
        <f>TABLA!C14</f>
        <v>22.99</v>
      </c>
      <c r="D14" s="66" t="e">
        <f>TABLA!D14</f>
        <v>#REF!</v>
      </c>
      <c r="E14" s="66" t="e">
        <f>TABLA!E14</f>
        <v>#REF!</v>
      </c>
      <c r="F14" s="66" t="e">
        <f>TABLA!F14</f>
        <v>#REF!</v>
      </c>
      <c r="G14" s="50"/>
      <c r="H14" s="49"/>
      <c r="I14" t="e">
        <f t="shared" si="4"/>
        <v>#REF!</v>
      </c>
      <c r="V14" t="e">
        <f t="shared" si="0"/>
        <v>#REF!</v>
      </c>
      <c r="X14" s="62" t="e">
        <f t="shared" ref="X14:X37" si="12">F14-H14</f>
        <v>#REF!</v>
      </c>
      <c r="Y14" s="62" t="e">
        <f>SQRT(X14^2)</f>
        <v>#REF!</v>
      </c>
      <c r="Z14" s="62" t="e">
        <f>IF(Y14&gt;1,"si","no")</f>
        <v>#REF!</v>
      </c>
      <c r="AA14" t="e">
        <f>ENPS!G16</f>
        <v>#REF!</v>
      </c>
      <c r="AB14" t="str">
        <f>IF(ISBLANK(H14),"ausente",IF(H14&gt;1,"altos",IF(H14&gt;=-1,"normales",IF(H14&gt;-2,"bajos","deficitarios"))))</f>
        <v>ausente</v>
      </c>
      <c r="AC14" t="e">
        <f t="shared" si="5"/>
        <v>#REF!</v>
      </c>
      <c r="AD14" t="e">
        <f>OR(Z14="si",AC14=FALSE)</f>
        <v>#REF!</v>
      </c>
      <c r="AE14" t="e">
        <f>IF(AND(X14&lt;0,AD14=TRUE),"descendido",IF(AND(X14&gt;0,AD14=TRUE),"mejoró",""))</f>
        <v>#REF!</v>
      </c>
    </row>
    <row r="15" spans="1:31">
      <c r="A15" s="66"/>
      <c r="B15" s="7" t="s">
        <v>154</v>
      </c>
      <c r="C15" s="66">
        <f>TABLA!C15</f>
        <v>19.84</v>
      </c>
      <c r="D15" s="66" t="e">
        <f>TABLA!D15</f>
        <v>#REF!</v>
      </c>
      <c r="E15" s="66" t="e">
        <f>TABLA!E15</f>
        <v>#REF!</v>
      </c>
      <c r="F15" s="66" t="e">
        <f>TABLA!F15</f>
        <v>#REF!</v>
      </c>
      <c r="G15" s="50"/>
      <c r="H15" s="49"/>
      <c r="I15" t="e">
        <f t="shared" si="4"/>
        <v>#REF!</v>
      </c>
      <c r="V15" t="e">
        <f t="shared" si="0"/>
        <v>#REF!</v>
      </c>
      <c r="X15" t="e">
        <f t="shared" si="12"/>
        <v>#REF!</v>
      </c>
      <c r="Y15" s="62" t="e">
        <f t="shared" ref="Y15:Y37" si="13">SQRT(X15^2)</f>
        <v>#REF!</v>
      </c>
      <c r="Z15" s="62" t="e">
        <f>IF(Y15&gt;1,"si","no")</f>
        <v>#REF!</v>
      </c>
      <c r="AA15" t="e">
        <f>ENPS!G17</f>
        <v>#REF!</v>
      </c>
      <c r="AB15" t="str">
        <f>IF(ISBLANK(H15),"ausente",IF(H15&gt;1,"altos",IF(H15&gt;=-1,"normales",IF(H15&gt;-2,"bajos","deficitarios"))))</f>
        <v>ausente</v>
      </c>
      <c r="AC15" t="e">
        <f t="shared" si="5"/>
        <v>#REF!</v>
      </c>
      <c r="AD15" t="e">
        <f t="shared" ref="AD15:AD37" si="14">OR(Z15="si",AC15=FALSE)</f>
        <v>#REF!</v>
      </c>
      <c r="AE15" t="e">
        <f t="shared" ref="AE15:AE37" si="15">IF(AND(X15&lt;0,AD15=TRUE),"descendido",IF(AND(X15&gt;0,AD15=TRUE),"mejoró",""))</f>
        <v>#REF!</v>
      </c>
    </row>
    <row r="16" spans="1:31">
      <c r="A16" s="66"/>
      <c r="B16" s="7" t="s">
        <v>17</v>
      </c>
      <c r="C16" s="66">
        <f>TABLA!C16</f>
        <v>0</v>
      </c>
      <c r="D16" s="66">
        <f>TABLA!D16</f>
        <v>0</v>
      </c>
      <c r="E16" s="66" t="e">
        <f>TABLA!E16</f>
        <v>#REF!</v>
      </c>
      <c r="F16" s="66"/>
      <c r="G16" s="50"/>
      <c r="H16" s="49"/>
      <c r="I16" t="e">
        <f t="shared" si="4"/>
        <v>#REF!</v>
      </c>
      <c r="V16" t="e">
        <f t="shared" si="0"/>
        <v>#REF!</v>
      </c>
      <c r="X16">
        <f t="shared" si="12"/>
        <v>0</v>
      </c>
      <c r="Y16" s="62">
        <f t="shared" si="13"/>
        <v>0</v>
      </c>
      <c r="Z16" s="62" t="str">
        <f t="shared" ref="Z16:Z37" si="16">IF(Y16&gt;1,"si","no")</f>
        <v>no</v>
      </c>
      <c r="AA16" t="e">
        <f>ENPS!G18</f>
        <v>#REF!</v>
      </c>
      <c r="AB16" t="str">
        <f>IF(ISBLANK(G16),"ausente",IF(G16&gt;13,"normales",IF(G16&gt;0,"bajos","ausente")))</f>
        <v>ausente</v>
      </c>
      <c r="AC16" t="e">
        <f t="shared" si="5"/>
        <v>#REF!</v>
      </c>
      <c r="AD16" t="e">
        <f t="shared" si="14"/>
        <v>#REF!</v>
      </c>
      <c r="AE16" t="e">
        <f t="shared" si="15"/>
        <v>#REF!</v>
      </c>
    </row>
    <row r="17" spans="1:31">
      <c r="A17" s="66" t="str">
        <f>ENPS!A19</f>
        <v>Lista de Rey</v>
      </c>
      <c r="B17" s="7" t="s">
        <v>19</v>
      </c>
      <c r="C17" s="66">
        <f>TABLA!C17</f>
        <v>6.9</v>
      </c>
      <c r="D17" s="66" t="e">
        <f>TABLA!D17</f>
        <v>#REF!</v>
      </c>
      <c r="E17" s="66" t="e">
        <f>TABLA!E17</f>
        <v>#REF!</v>
      </c>
      <c r="F17" s="66" t="e">
        <f>TABLA!F17</f>
        <v>#REF!</v>
      </c>
      <c r="G17" s="50"/>
      <c r="H17" s="49"/>
      <c r="I17" t="e">
        <f t="shared" si="4"/>
        <v>#REF!</v>
      </c>
      <c r="V17" t="e">
        <f t="shared" si="0"/>
        <v>#REF!</v>
      </c>
      <c r="X17" t="e">
        <f t="shared" si="12"/>
        <v>#REF!</v>
      </c>
      <c r="Y17" s="62" t="e">
        <f t="shared" si="13"/>
        <v>#REF!</v>
      </c>
      <c r="Z17" s="62" t="e">
        <f t="shared" si="16"/>
        <v>#REF!</v>
      </c>
      <c r="AA17" t="e">
        <f>ENPS!G19</f>
        <v>#REF!</v>
      </c>
      <c r="AB17" t="str">
        <f t="shared" ref="AB17:AB37" si="17">IF(ISBLANK(H17),"ausente",IF(H17&gt;1,"altos",IF(H17&gt;=-1,"normales",IF(H17&gt;-2,"bajos","deficitarios"))))</f>
        <v>ausente</v>
      </c>
      <c r="AC17" t="e">
        <f t="shared" si="5"/>
        <v>#REF!</v>
      </c>
      <c r="AD17" t="e">
        <f t="shared" si="14"/>
        <v>#REF!</v>
      </c>
      <c r="AE17" t="e">
        <f t="shared" si="15"/>
        <v>#REF!</v>
      </c>
    </row>
    <row r="18" spans="1:31">
      <c r="A18" s="66"/>
      <c r="B18" s="7" t="s">
        <v>15</v>
      </c>
      <c r="C18" s="66">
        <f>TABLA!C18</f>
        <v>53.4</v>
      </c>
      <c r="D18" s="66" t="e">
        <f>TABLA!D18</f>
        <v>#REF!</v>
      </c>
      <c r="E18" s="66" t="e">
        <f>TABLA!E18</f>
        <v>#REF!</v>
      </c>
      <c r="F18" s="66" t="e">
        <f>TABLA!F18</f>
        <v>#REF!</v>
      </c>
      <c r="G18" s="50"/>
      <c r="H18" s="49"/>
      <c r="I18" t="e">
        <f t="shared" si="4"/>
        <v>#REF!</v>
      </c>
      <c r="V18" t="e">
        <f t="shared" si="0"/>
        <v>#REF!</v>
      </c>
      <c r="X18" t="e">
        <f t="shared" si="12"/>
        <v>#REF!</v>
      </c>
      <c r="Y18" s="62" t="e">
        <f t="shared" si="13"/>
        <v>#REF!</v>
      </c>
      <c r="Z18" s="62" t="e">
        <f t="shared" si="16"/>
        <v>#REF!</v>
      </c>
      <c r="AA18" t="e">
        <f>ENPS!G20</f>
        <v>#REF!</v>
      </c>
      <c r="AB18" t="str">
        <f t="shared" si="17"/>
        <v>ausente</v>
      </c>
      <c r="AC18" t="e">
        <f t="shared" si="5"/>
        <v>#REF!</v>
      </c>
      <c r="AD18" t="e">
        <f t="shared" si="14"/>
        <v>#REF!</v>
      </c>
      <c r="AE18" t="e">
        <f t="shared" si="15"/>
        <v>#REF!</v>
      </c>
    </row>
    <row r="19" spans="1:31">
      <c r="A19" s="66"/>
      <c r="B19" s="7" t="s">
        <v>20</v>
      </c>
      <c r="C19" s="66">
        <f>TABLA!C19</f>
        <v>6.9</v>
      </c>
      <c r="D19" s="66" t="e">
        <f>TABLA!D19</f>
        <v>#REF!</v>
      </c>
      <c r="E19" s="66" t="e">
        <f>TABLA!E19</f>
        <v>#REF!</v>
      </c>
      <c r="F19" s="66" t="e">
        <f>TABLA!F19</f>
        <v>#REF!</v>
      </c>
      <c r="G19" s="50"/>
      <c r="H19" s="49"/>
      <c r="I19" t="e">
        <f t="shared" si="4"/>
        <v>#REF!</v>
      </c>
      <c r="V19" t="e">
        <f t="shared" si="0"/>
        <v>#REF!</v>
      </c>
      <c r="X19" t="e">
        <f t="shared" si="12"/>
        <v>#REF!</v>
      </c>
      <c r="Y19" s="62" t="e">
        <f t="shared" si="13"/>
        <v>#REF!</v>
      </c>
      <c r="Z19" s="62" t="e">
        <f t="shared" si="16"/>
        <v>#REF!</v>
      </c>
      <c r="AA19" t="e">
        <f>ENPS!G21</f>
        <v>#REF!</v>
      </c>
      <c r="AB19" t="str">
        <f t="shared" si="17"/>
        <v>ausente</v>
      </c>
      <c r="AC19" t="e">
        <f t="shared" si="5"/>
        <v>#REF!</v>
      </c>
      <c r="AD19" t="e">
        <f t="shared" si="14"/>
        <v>#REF!</v>
      </c>
      <c r="AE19" t="e">
        <f t="shared" si="15"/>
        <v>#REF!</v>
      </c>
    </row>
    <row r="20" spans="1:31">
      <c r="A20" s="66"/>
      <c r="B20" s="7" t="s">
        <v>16</v>
      </c>
      <c r="C20" s="66">
        <f>TABLA!C20</f>
        <v>11.3</v>
      </c>
      <c r="D20" s="66" t="e">
        <f>TABLA!D20</f>
        <v>#REF!</v>
      </c>
      <c r="E20" s="66" t="e">
        <f>TABLA!E20</f>
        <v>#REF!</v>
      </c>
      <c r="F20" s="66" t="e">
        <f>TABLA!F20</f>
        <v>#REF!</v>
      </c>
      <c r="G20" s="50"/>
      <c r="H20" s="49"/>
      <c r="I20" t="e">
        <f t="shared" si="4"/>
        <v>#REF!</v>
      </c>
      <c r="V20" t="e">
        <f t="shared" si="0"/>
        <v>#REF!</v>
      </c>
      <c r="X20" t="e">
        <f t="shared" si="12"/>
        <v>#REF!</v>
      </c>
      <c r="Y20" s="62" t="e">
        <f t="shared" si="13"/>
        <v>#REF!</v>
      </c>
      <c r="Z20" s="62" t="e">
        <f t="shared" si="16"/>
        <v>#REF!</v>
      </c>
      <c r="AA20" t="e">
        <f>ENPS!G22</f>
        <v>#REF!</v>
      </c>
      <c r="AB20" t="str">
        <f t="shared" si="17"/>
        <v>ausente</v>
      </c>
      <c r="AC20" t="e">
        <f t="shared" si="5"/>
        <v>#REF!</v>
      </c>
      <c r="AD20" t="e">
        <f t="shared" si="14"/>
        <v>#REF!</v>
      </c>
      <c r="AE20" t="e">
        <f t="shared" si="15"/>
        <v>#REF!</v>
      </c>
    </row>
    <row r="21" spans="1:31">
      <c r="A21" s="66"/>
      <c r="B21" s="7" t="s">
        <v>17</v>
      </c>
      <c r="C21" s="66">
        <f>TABLA!C21</f>
        <v>14.4</v>
      </c>
      <c r="D21" s="66" t="e">
        <f>TABLA!D21</f>
        <v>#REF!</v>
      </c>
      <c r="E21" s="66" t="e">
        <f>TABLA!E21</f>
        <v>#REF!</v>
      </c>
      <c r="F21" s="66" t="e">
        <f>TABLA!F21</f>
        <v>#REF!</v>
      </c>
      <c r="G21" s="50"/>
      <c r="H21" s="49"/>
      <c r="I21" t="e">
        <f t="shared" si="4"/>
        <v>#REF!</v>
      </c>
      <c r="V21" t="e">
        <f t="shared" si="0"/>
        <v>#REF!</v>
      </c>
      <c r="X21" t="e">
        <f t="shared" si="12"/>
        <v>#REF!</v>
      </c>
      <c r="Y21" s="62" t="e">
        <f t="shared" si="13"/>
        <v>#REF!</v>
      </c>
      <c r="Z21" s="62" t="e">
        <f t="shared" si="16"/>
        <v>#REF!</v>
      </c>
      <c r="AA21" t="e">
        <f>ENPS!G23</f>
        <v>#REF!</v>
      </c>
      <c r="AB21" t="str">
        <f t="shared" si="17"/>
        <v>ausente</v>
      </c>
      <c r="AC21" t="e">
        <f t="shared" si="5"/>
        <v>#REF!</v>
      </c>
      <c r="AD21" t="e">
        <f t="shared" si="14"/>
        <v>#REF!</v>
      </c>
      <c r="AE21" t="e">
        <f t="shared" si="15"/>
        <v>#REF!</v>
      </c>
    </row>
    <row r="22" spans="1:31" ht="16.5" thickBot="1">
      <c r="A22" s="299" t="s">
        <v>667</v>
      </c>
      <c r="B22" s="4"/>
      <c r="C22" s="66">
        <f>TABLA!C22</f>
        <v>0</v>
      </c>
      <c r="D22" s="66">
        <f>TABLA!D22</f>
        <v>0</v>
      </c>
      <c r="E22" s="66" t="e">
        <f>TABLA!E22</f>
        <v>#REF!</v>
      </c>
      <c r="F22" s="66" t="e">
        <f>TABLA!F22</f>
        <v>#REF!</v>
      </c>
      <c r="G22" s="50"/>
      <c r="H22" s="49"/>
      <c r="I22" t="e">
        <f t="shared" si="4"/>
        <v>#REF!</v>
      </c>
      <c r="V22" t="e">
        <f t="shared" si="0"/>
        <v>#REF!</v>
      </c>
      <c r="X22" t="e">
        <f t="shared" si="12"/>
        <v>#REF!</v>
      </c>
      <c r="Y22" s="62" t="e">
        <f t="shared" si="13"/>
        <v>#REF!</v>
      </c>
      <c r="Z22" s="62" t="e">
        <f t="shared" si="16"/>
        <v>#REF!</v>
      </c>
      <c r="AA22" t="e">
        <f>ENPS!G24</f>
        <v>#REF!</v>
      </c>
      <c r="AB22" t="str">
        <f t="shared" si="17"/>
        <v>ausente</v>
      </c>
      <c r="AC22" t="e">
        <f t="shared" si="5"/>
        <v>#REF!</v>
      </c>
      <c r="AD22" t="e">
        <f t="shared" si="14"/>
        <v>#REF!</v>
      </c>
      <c r="AE22" t="e">
        <f t="shared" si="15"/>
        <v>#REF!</v>
      </c>
    </row>
    <row r="23" spans="1:31">
      <c r="A23" s="66" t="str">
        <f>ENPS!A26</f>
        <v>F Verbal Fonológica</v>
      </c>
      <c r="B23" s="7"/>
      <c r="C23" s="66" t="e">
        <f>TABLA!C23</f>
        <v>#REF!</v>
      </c>
      <c r="D23" s="66" t="e">
        <f>TABLA!D23</f>
        <v>#REF!</v>
      </c>
      <c r="E23" s="66" t="e">
        <f>TABLA!E23</f>
        <v>#REF!</v>
      </c>
      <c r="F23" s="66" t="e">
        <f>TABLA!F23</f>
        <v>#REF!</v>
      </c>
      <c r="G23" s="50"/>
      <c r="H23" s="49"/>
      <c r="I23" t="e">
        <f t="shared" si="4"/>
        <v>#REF!</v>
      </c>
      <c r="V23" t="e">
        <f t="shared" si="0"/>
        <v>#REF!</v>
      </c>
      <c r="X23" t="e">
        <f t="shared" si="12"/>
        <v>#REF!</v>
      </c>
      <c r="Y23" s="62" t="e">
        <f t="shared" si="13"/>
        <v>#REF!</v>
      </c>
      <c r="Z23" s="62" t="e">
        <f t="shared" si="16"/>
        <v>#REF!</v>
      </c>
      <c r="AA23" t="e">
        <f>ENPS!G26</f>
        <v>#REF!</v>
      </c>
      <c r="AB23" t="str">
        <f t="shared" si="17"/>
        <v>ausente</v>
      </c>
      <c r="AC23" t="e">
        <f t="shared" si="5"/>
        <v>#REF!</v>
      </c>
      <c r="AD23" t="e">
        <f t="shared" si="14"/>
        <v>#REF!</v>
      </c>
      <c r="AE23" t="e">
        <f t="shared" si="15"/>
        <v>#REF!</v>
      </c>
    </row>
    <row r="24" spans="1:31">
      <c r="A24" s="66" t="str">
        <f>ENPS!A29</f>
        <v>F Verbal Semántica</v>
      </c>
      <c r="B24" s="7"/>
      <c r="C24" s="66" t="e">
        <f>TABLA!C24</f>
        <v>#REF!</v>
      </c>
      <c r="D24" s="66" t="e">
        <f>TABLA!D24</f>
        <v>#REF!</v>
      </c>
      <c r="E24" s="66" t="e">
        <f>TABLA!E24</f>
        <v>#REF!</v>
      </c>
      <c r="F24" s="66" t="e">
        <f>TABLA!F24</f>
        <v>#REF!</v>
      </c>
      <c r="G24" s="50"/>
      <c r="H24" s="49"/>
      <c r="I24" t="e">
        <f t="shared" si="4"/>
        <v>#REF!</v>
      </c>
      <c r="V24" t="e">
        <f t="shared" si="0"/>
        <v>#REF!</v>
      </c>
      <c r="X24" t="e">
        <f t="shared" si="12"/>
        <v>#REF!</v>
      </c>
      <c r="Y24" s="62" t="e">
        <f t="shared" si="13"/>
        <v>#REF!</v>
      </c>
      <c r="Z24" s="62" t="e">
        <f t="shared" si="16"/>
        <v>#REF!</v>
      </c>
      <c r="AA24" t="e">
        <f>ENPS!G29</f>
        <v>#REF!</v>
      </c>
      <c r="AB24" t="str">
        <f t="shared" si="17"/>
        <v>ausente</v>
      </c>
      <c r="AC24" t="e">
        <f t="shared" si="5"/>
        <v>#REF!</v>
      </c>
      <c r="AD24" t="e">
        <f t="shared" si="14"/>
        <v>#REF!</v>
      </c>
      <c r="AE24" t="e">
        <f t="shared" si="15"/>
        <v>#REF!</v>
      </c>
    </row>
    <row r="25" spans="1:31">
      <c r="A25" s="66" t="str">
        <f>ENPS!A32</f>
        <v>Trail Making</v>
      </c>
      <c r="B25" s="7" t="s">
        <v>24</v>
      </c>
      <c r="C25" s="66">
        <f>TABLA!C25</f>
        <v>25.7</v>
      </c>
      <c r="D25" s="66" t="e">
        <f>TABLA!D25</f>
        <v>#REF!</v>
      </c>
      <c r="E25" s="66" t="e">
        <f>TABLA!E25</f>
        <v>#REF!</v>
      </c>
      <c r="F25" s="66" t="e">
        <f>TABLA!F25</f>
        <v>#REF!</v>
      </c>
      <c r="G25" s="50"/>
      <c r="H25" s="49"/>
      <c r="I25" t="e">
        <f t="shared" si="4"/>
        <v>#REF!</v>
      </c>
      <c r="V25" t="e">
        <f t="shared" si="0"/>
        <v>#REF!</v>
      </c>
      <c r="X25" t="e">
        <f t="shared" si="12"/>
        <v>#REF!</v>
      </c>
      <c r="Y25" s="62" t="e">
        <f t="shared" si="13"/>
        <v>#REF!</v>
      </c>
      <c r="Z25" s="62" t="e">
        <f t="shared" si="16"/>
        <v>#REF!</v>
      </c>
      <c r="AA25" t="e">
        <f>ENPS!G32</f>
        <v>#REF!</v>
      </c>
      <c r="AB25" t="str">
        <f t="shared" si="17"/>
        <v>ausente</v>
      </c>
      <c r="AC25" t="e">
        <f t="shared" si="5"/>
        <v>#REF!</v>
      </c>
      <c r="AD25" t="e">
        <f t="shared" si="14"/>
        <v>#REF!</v>
      </c>
      <c r="AE25" t="e">
        <f t="shared" si="15"/>
        <v>#REF!</v>
      </c>
    </row>
    <row r="26" spans="1:31">
      <c r="A26" s="66"/>
      <c r="B26" s="7" t="s">
        <v>25</v>
      </c>
      <c r="C26" s="66">
        <f>TABLA!C26</f>
        <v>49.8</v>
      </c>
      <c r="D26" s="66" t="e">
        <f>TABLA!D26</f>
        <v>#REF!</v>
      </c>
      <c r="E26" s="66" t="e">
        <f>TABLA!E26</f>
        <v>#REF!</v>
      </c>
      <c r="F26" s="66" t="e">
        <f>TABLA!F26</f>
        <v>#REF!</v>
      </c>
      <c r="G26" s="50"/>
      <c r="H26" s="49"/>
      <c r="I26" t="e">
        <f t="shared" si="4"/>
        <v>#REF!</v>
      </c>
      <c r="V26" t="e">
        <f t="shared" si="0"/>
        <v>#REF!</v>
      </c>
      <c r="X26" t="e">
        <f t="shared" si="12"/>
        <v>#REF!</v>
      </c>
      <c r="Y26" s="62" t="e">
        <f t="shared" si="13"/>
        <v>#REF!</v>
      </c>
      <c r="Z26" s="62" t="e">
        <f t="shared" si="16"/>
        <v>#REF!</v>
      </c>
      <c r="AA26" t="e">
        <f>ENPS!G33</f>
        <v>#REF!</v>
      </c>
      <c r="AB26" t="str">
        <f t="shared" si="17"/>
        <v>ausente</v>
      </c>
      <c r="AC26" t="e">
        <f t="shared" si="5"/>
        <v>#REF!</v>
      </c>
      <c r="AD26" t="e">
        <f t="shared" si="14"/>
        <v>#REF!</v>
      </c>
      <c r="AE26" t="e">
        <f t="shared" si="15"/>
        <v>#REF!</v>
      </c>
    </row>
    <row r="27" spans="1:31">
      <c r="A27" s="66" t="str">
        <f>ENPS!A34</f>
        <v>Figura de Rey</v>
      </c>
      <c r="B27" s="7" t="s">
        <v>15</v>
      </c>
      <c r="C27" s="66">
        <f>TABLA!C27</f>
        <v>33.700000000000003</v>
      </c>
      <c r="D27" s="66" t="e">
        <f>TABLA!D27</f>
        <v>#REF!</v>
      </c>
      <c r="E27" s="66" t="e">
        <f>TABLA!E27</f>
        <v>#REF!</v>
      </c>
      <c r="F27" s="66" t="e">
        <f>TABLA!F27</f>
        <v>#REF!</v>
      </c>
      <c r="G27" s="50"/>
      <c r="H27" s="49"/>
      <c r="I27" t="e">
        <f t="shared" si="4"/>
        <v>#REF!</v>
      </c>
      <c r="V27" t="e">
        <f t="shared" si="0"/>
        <v>#REF!</v>
      </c>
      <c r="X27" t="e">
        <f t="shared" si="12"/>
        <v>#REF!</v>
      </c>
      <c r="Y27" s="62" t="e">
        <f t="shared" si="13"/>
        <v>#REF!</v>
      </c>
      <c r="Z27" s="62" t="e">
        <f t="shared" si="16"/>
        <v>#REF!</v>
      </c>
      <c r="AA27" t="e">
        <f>ENPS!G34</f>
        <v>#REF!</v>
      </c>
      <c r="AB27" t="str">
        <f t="shared" si="17"/>
        <v>ausente</v>
      </c>
      <c r="AC27" t="e">
        <f t="shared" si="5"/>
        <v>#REF!</v>
      </c>
      <c r="AD27" t="e">
        <f t="shared" si="14"/>
        <v>#REF!</v>
      </c>
      <c r="AE27" t="e">
        <f t="shared" si="15"/>
        <v>#REF!</v>
      </c>
    </row>
    <row r="28" spans="1:31">
      <c r="A28" s="66"/>
      <c r="B28" s="7" t="s">
        <v>16</v>
      </c>
      <c r="C28" s="66">
        <f>TABLA!C28</f>
        <v>21.8</v>
      </c>
      <c r="D28" s="66" t="e">
        <f>TABLA!D28</f>
        <v>#REF!</v>
      </c>
      <c r="E28" s="66" t="e">
        <f>TABLA!E28</f>
        <v>#REF!</v>
      </c>
      <c r="F28" s="66" t="e">
        <f>TABLA!F28</f>
        <v>#REF!</v>
      </c>
      <c r="G28" s="50"/>
      <c r="H28" s="49"/>
      <c r="I28" t="e">
        <f t="shared" si="4"/>
        <v>#REF!</v>
      </c>
      <c r="V28" t="e">
        <f t="shared" si="0"/>
        <v>#REF!</v>
      </c>
      <c r="X28" t="e">
        <f t="shared" si="12"/>
        <v>#REF!</v>
      </c>
      <c r="Y28" s="62" t="e">
        <f t="shared" si="13"/>
        <v>#REF!</v>
      </c>
      <c r="Z28" s="62" t="e">
        <f t="shared" si="16"/>
        <v>#REF!</v>
      </c>
      <c r="AA28" t="e">
        <f>ENPS!G35</f>
        <v>#REF!</v>
      </c>
      <c r="AB28" t="str">
        <f t="shared" si="17"/>
        <v>ausente</v>
      </c>
      <c r="AC28" t="e">
        <f t="shared" si="5"/>
        <v>#REF!</v>
      </c>
      <c r="AD28" t="e">
        <f t="shared" si="14"/>
        <v>#REF!</v>
      </c>
      <c r="AE28" t="e">
        <f t="shared" si="15"/>
        <v>#REF!</v>
      </c>
    </row>
    <row r="29" spans="1:31">
      <c r="A29" s="66"/>
      <c r="B29" s="7" t="s">
        <v>17</v>
      </c>
      <c r="C29" s="66" t="str">
        <f>TABLA!C29</f>
        <v/>
      </c>
      <c r="D29" s="66" t="str">
        <f>TABLA!D29</f>
        <v/>
      </c>
      <c r="E29" s="66" t="e">
        <f>TABLA!E29</f>
        <v>#REF!</v>
      </c>
      <c r="F29" s="66" t="str">
        <f>TABLA!F29</f>
        <v/>
      </c>
      <c r="G29" s="50"/>
      <c r="H29" s="49"/>
      <c r="I29" t="e">
        <f t="shared" si="4"/>
        <v>#VALUE!</v>
      </c>
      <c r="V29" t="e">
        <f t="shared" si="0"/>
        <v>#REF!</v>
      </c>
      <c r="X29" t="e">
        <f t="shared" si="12"/>
        <v>#VALUE!</v>
      </c>
      <c r="Y29" s="62" t="e">
        <f t="shared" si="13"/>
        <v>#VALUE!</v>
      </c>
      <c r="Z29" s="62" t="e">
        <f t="shared" si="16"/>
        <v>#VALUE!</v>
      </c>
      <c r="AA29" t="e">
        <f>ENPS!G36</f>
        <v>#REF!</v>
      </c>
      <c r="AB29" t="str">
        <f t="shared" si="17"/>
        <v>ausente</v>
      </c>
      <c r="AC29" t="e">
        <f t="shared" si="5"/>
        <v>#REF!</v>
      </c>
      <c r="AD29" t="e">
        <f t="shared" si="14"/>
        <v>#VALUE!</v>
      </c>
      <c r="AE29" t="e">
        <f t="shared" si="15"/>
        <v>#VALUE!</v>
      </c>
    </row>
    <row r="30" spans="1:31">
      <c r="A30" s="66" t="str">
        <f>ENPS!A37</f>
        <v>Digitos-span</v>
      </c>
      <c r="B30" s="7" t="s">
        <v>28</v>
      </c>
      <c r="C30" s="66">
        <f>TABLA!C30</f>
        <v>6.72</v>
      </c>
      <c r="D30" s="66" t="e">
        <f>TABLA!D30</f>
        <v>#REF!</v>
      </c>
      <c r="E30" s="66" t="e">
        <f>TABLA!E30</f>
        <v>#REF!</v>
      </c>
      <c r="F30" s="66" t="e">
        <f>TABLA!F30</f>
        <v>#REF!</v>
      </c>
      <c r="G30" s="50"/>
      <c r="H30" s="49"/>
      <c r="I30" t="e">
        <f t="shared" si="4"/>
        <v>#REF!</v>
      </c>
      <c r="V30" t="e">
        <f t="shared" si="0"/>
        <v>#REF!</v>
      </c>
      <c r="X30" t="e">
        <f t="shared" si="12"/>
        <v>#REF!</v>
      </c>
      <c r="Y30" s="62" t="e">
        <f t="shared" si="13"/>
        <v>#REF!</v>
      </c>
      <c r="Z30" s="62" t="e">
        <f t="shared" si="16"/>
        <v>#REF!</v>
      </c>
      <c r="AA30" t="e">
        <f>ENPS!G37</f>
        <v>#REF!</v>
      </c>
      <c r="AB30" t="str">
        <f t="shared" si="17"/>
        <v>ausente</v>
      </c>
      <c r="AC30" t="e">
        <f t="shared" si="5"/>
        <v>#REF!</v>
      </c>
      <c r="AD30" t="e">
        <f t="shared" si="14"/>
        <v>#REF!</v>
      </c>
      <c r="AE30" t="e">
        <f t="shared" si="15"/>
        <v>#REF!</v>
      </c>
    </row>
    <row r="31" spans="1:31">
      <c r="A31" s="66"/>
      <c r="B31" s="56" t="s">
        <v>29</v>
      </c>
      <c r="C31" s="66">
        <f>TABLA!C31</f>
        <v>4.88</v>
      </c>
      <c r="D31" s="66" t="e">
        <f>TABLA!D31</f>
        <v>#REF!</v>
      </c>
      <c r="E31" s="66" t="e">
        <f>TABLA!E31</f>
        <v>#REF!</v>
      </c>
      <c r="F31" s="66" t="e">
        <f>TABLA!F31</f>
        <v>#REF!</v>
      </c>
      <c r="G31" s="50"/>
      <c r="H31" s="58"/>
      <c r="I31" t="e">
        <f t="shared" si="4"/>
        <v>#REF!</v>
      </c>
      <c r="V31" t="e">
        <f t="shared" si="0"/>
        <v>#REF!</v>
      </c>
      <c r="X31" t="e">
        <f t="shared" si="12"/>
        <v>#REF!</v>
      </c>
      <c r="Y31" s="62" t="e">
        <f t="shared" si="13"/>
        <v>#REF!</v>
      </c>
      <c r="Z31" s="62" t="e">
        <f t="shared" si="16"/>
        <v>#REF!</v>
      </c>
      <c r="AA31" t="e">
        <f>ENPS!G38</f>
        <v>#REF!</v>
      </c>
      <c r="AB31" t="str">
        <f t="shared" si="17"/>
        <v>ausente</v>
      </c>
      <c r="AC31" t="e">
        <f t="shared" si="5"/>
        <v>#REF!</v>
      </c>
      <c r="AD31" t="e">
        <f t="shared" si="14"/>
        <v>#REF!</v>
      </c>
      <c r="AE31" t="e">
        <f t="shared" si="15"/>
        <v>#REF!</v>
      </c>
    </row>
    <row r="32" spans="1:31">
      <c r="A32" s="66" t="str">
        <f>ENPS!A39</f>
        <v xml:space="preserve">Stroop </v>
      </c>
      <c r="B32" s="60" t="s">
        <v>30</v>
      </c>
      <c r="C32" s="66">
        <f>TABLA!C32</f>
        <v>50</v>
      </c>
      <c r="D32" s="66">
        <f>TABLA!D32</f>
        <v>10</v>
      </c>
      <c r="E32" s="66" t="e">
        <f>TABLA!E32</f>
        <v>#REF!</v>
      </c>
      <c r="F32" s="66" t="e">
        <f>TABLA!F32</f>
        <v>#REF!</v>
      </c>
      <c r="G32" s="50"/>
      <c r="H32" s="49"/>
      <c r="I32" t="e">
        <f t="shared" si="4"/>
        <v>#REF!</v>
      </c>
      <c r="V32" t="e">
        <f t="shared" si="0"/>
        <v>#REF!</v>
      </c>
      <c r="X32" t="e">
        <f t="shared" si="12"/>
        <v>#REF!</v>
      </c>
      <c r="Y32" s="62" t="e">
        <f t="shared" si="13"/>
        <v>#REF!</v>
      </c>
      <c r="Z32" s="62" t="e">
        <f t="shared" si="16"/>
        <v>#REF!</v>
      </c>
      <c r="AA32" t="e">
        <f>ENPS!G39</f>
        <v>#REF!</v>
      </c>
      <c r="AB32" t="str">
        <f t="shared" si="17"/>
        <v>ausente</v>
      </c>
      <c r="AC32" t="e">
        <f t="shared" si="5"/>
        <v>#REF!</v>
      </c>
      <c r="AD32" t="e">
        <f t="shared" si="14"/>
        <v>#REF!</v>
      </c>
      <c r="AE32" t="e">
        <f t="shared" si="15"/>
        <v>#REF!</v>
      </c>
    </row>
    <row r="33" spans="1:31">
      <c r="A33" s="66"/>
      <c r="B33" s="60" t="s">
        <v>31</v>
      </c>
      <c r="C33" s="66">
        <f>TABLA!C33</f>
        <v>50</v>
      </c>
      <c r="D33" s="66">
        <f>TABLA!D33</f>
        <v>10</v>
      </c>
      <c r="E33" s="66" t="e">
        <f>TABLA!E33</f>
        <v>#REF!</v>
      </c>
      <c r="F33" s="66" t="e">
        <f>TABLA!F33</f>
        <v>#REF!</v>
      </c>
      <c r="G33" s="50"/>
      <c r="H33" s="49"/>
      <c r="I33" t="e">
        <f t="shared" si="4"/>
        <v>#REF!</v>
      </c>
      <c r="V33" t="e">
        <f t="shared" si="0"/>
        <v>#REF!</v>
      </c>
      <c r="X33" t="e">
        <f t="shared" si="12"/>
        <v>#REF!</v>
      </c>
      <c r="Y33" s="62" t="e">
        <f t="shared" si="13"/>
        <v>#REF!</v>
      </c>
      <c r="Z33" s="62" t="e">
        <f t="shared" si="16"/>
        <v>#REF!</v>
      </c>
      <c r="AA33" t="e">
        <f>ENPS!G40</f>
        <v>#REF!</v>
      </c>
      <c r="AB33" t="str">
        <f t="shared" si="17"/>
        <v>ausente</v>
      </c>
      <c r="AC33" t="e">
        <f t="shared" si="5"/>
        <v>#REF!</v>
      </c>
      <c r="AD33" t="e">
        <f t="shared" si="14"/>
        <v>#REF!</v>
      </c>
      <c r="AE33" t="e">
        <f t="shared" si="15"/>
        <v>#REF!</v>
      </c>
    </row>
    <row r="34" spans="1:31">
      <c r="A34" s="66"/>
      <c r="B34" s="60" t="s">
        <v>32</v>
      </c>
      <c r="C34" s="66">
        <f>TABLA!C34</f>
        <v>50</v>
      </c>
      <c r="D34" s="66">
        <f>TABLA!D34</f>
        <v>10</v>
      </c>
      <c r="E34" s="66" t="e">
        <f>TABLA!E34</f>
        <v>#REF!</v>
      </c>
      <c r="F34" s="66" t="e">
        <f>TABLA!F34</f>
        <v>#REF!</v>
      </c>
      <c r="G34" s="50"/>
      <c r="H34" s="49"/>
      <c r="I34" t="e">
        <f t="shared" si="4"/>
        <v>#REF!</v>
      </c>
      <c r="V34" t="e">
        <f t="shared" si="0"/>
        <v>#REF!</v>
      </c>
      <c r="X34" t="e">
        <f t="shared" si="12"/>
        <v>#REF!</v>
      </c>
      <c r="Y34" s="62" t="e">
        <f t="shared" si="13"/>
        <v>#REF!</v>
      </c>
      <c r="Z34" s="62" t="e">
        <f t="shared" si="16"/>
        <v>#REF!</v>
      </c>
      <c r="AA34" t="e">
        <f>ENPS!G41</f>
        <v>#REF!</v>
      </c>
      <c r="AB34" t="str">
        <f t="shared" si="17"/>
        <v>ausente</v>
      </c>
      <c r="AC34" t="e">
        <f t="shared" si="5"/>
        <v>#REF!</v>
      </c>
      <c r="AD34" t="e">
        <f t="shared" si="14"/>
        <v>#REF!</v>
      </c>
      <c r="AE34" t="e">
        <f t="shared" si="15"/>
        <v>#REF!</v>
      </c>
    </row>
    <row r="35" spans="1:31">
      <c r="A35" s="66"/>
      <c r="B35" s="60" t="s">
        <v>33</v>
      </c>
      <c r="C35" s="66">
        <f>TABLA!C35</f>
        <v>50</v>
      </c>
      <c r="D35" s="66">
        <f>TABLA!D35</f>
        <v>10</v>
      </c>
      <c r="E35" s="66" t="str">
        <f>TABLA!E35</f>
        <v/>
      </c>
      <c r="F35" s="66" t="e">
        <f>TABLA!F35</f>
        <v>#REF!</v>
      </c>
      <c r="G35" s="50"/>
      <c r="H35" s="49"/>
      <c r="I35" t="e">
        <f t="shared" si="4"/>
        <v>#REF!</v>
      </c>
      <c r="V35" t="e">
        <f t="shared" si="0"/>
        <v>#VALUE!</v>
      </c>
      <c r="X35" t="e">
        <f t="shared" si="12"/>
        <v>#REF!</v>
      </c>
      <c r="Y35" s="62" t="e">
        <f t="shared" si="13"/>
        <v>#REF!</v>
      </c>
      <c r="Z35" s="62" t="e">
        <f t="shared" si="16"/>
        <v>#REF!</v>
      </c>
      <c r="AA35" t="str">
        <f>ENPS!G42</f>
        <v/>
      </c>
      <c r="AB35" t="str">
        <f t="shared" si="17"/>
        <v>ausente</v>
      </c>
      <c r="AC35" t="str">
        <f t="shared" si="5"/>
        <v>ausente</v>
      </c>
      <c r="AD35" t="e">
        <f t="shared" si="14"/>
        <v>#REF!</v>
      </c>
      <c r="AE35" t="e">
        <f t="shared" si="15"/>
        <v>#REF!</v>
      </c>
    </row>
    <row r="36" spans="1:31">
      <c r="A36" s="66" t="str">
        <f>ENPS!A43</f>
        <v>Test de Hayling</v>
      </c>
      <c r="B36" s="7"/>
      <c r="C36" s="66" t="e">
        <f>TABLA!C36</f>
        <v>#REF!</v>
      </c>
      <c r="D36" s="66" t="e">
        <f>TABLA!D36</f>
        <v>#REF!</v>
      </c>
      <c r="E36" s="66" t="e">
        <f>TABLA!E36</f>
        <v>#REF!</v>
      </c>
      <c r="F36" s="66" t="e">
        <f>TABLA!F36</f>
        <v>#REF!</v>
      </c>
      <c r="G36" s="50"/>
      <c r="H36" s="49"/>
      <c r="I36" t="e">
        <f t="shared" si="4"/>
        <v>#REF!</v>
      </c>
      <c r="V36" t="e">
        <f t="shared" si="0"/>
        <v>#REF!</v>
      </c>
      <c r="X36" t="e">
        <f t="shared" si="12"/>
        <v>#REF!</v>
      </c>
      <c r="Y36" s="62" t="e">
        <f t="shared" si="13"/>
        <v>#REF!</v>
      </c>
      <c r="Z36" s="62" t="e">
        <f t="shared" si="16"/>
        <v>#REF!</v>
      </c>
      <c r="AA36" t="e">
        <f>ENPS!G43</f>
        <v>#REF!</v>
      </c>
      <c r="AB36" t="str">
        <f t="shared" si="17"/>
        <v>ausente</v>
      </c>
      <c r="AC36" t="e">
        <f t="shared" si="5"/>
        <v>#REF!</v>
      </c>
      <c r="AD36" t="e">
        <f t="shared" si="14"/>
        <v>#REF!</v>
      </c>
      <c r="AE36" t="e">
        <f t="shared" si="15"/>
        <v>#REF!</v>
      </c>
    </row>
    <row r="37" spans="1:31">
      <c r="A37" s="66" t="str">
        <f>ENPS!A45</f>
        <v>WCST</v>
      </c>
      <c r="B37" s="60"/>
      <c r="C37" s="66" t="e">
        <f>TABLA!C37</f>
        <v>#REF!</v>
      </c>
      <c r="D37" s="66" t="e">
        <f>TABLA!D37</f>
        <v>#REF!</v>
      </c>
      <c r="E37" s="66" t="e">
        <f>TABLA!E37</f>
        <v>#REF!</v>
      </c>
      <c r="F37" s="66" t="e">
        <f>TABLA!F37</f>
        <v>#REF!</v>
      </c>
      <c r="G37" s="50"/>
      <c r="H37" s="49"/>
      <c r="I37" t="e">
        <f t="shared" si="4"/>
        <v>#REF!</v>
      </c>
      <c r="V37" t="e">
        <f t="shared" si="0"/>
        <v>#REF!</v>
      </c>
      <c r="X37" t="e">
        <f t="shared" si="12"/>
        <v>#REF!</v>
      </c>
      <c r="Y37" s="62" t="e">
        <f t="shared" si="13"/>
        <v>#REF!</v>
      </c>
      <c r="Z37" s="62" t="e">
        <f t="shared" si="16"/>
        <v>#REF!</v>
      </c>
      <c r="AA37" t="e">
        <f>ENPS!G45</f>
        <v>#REF!</v>
      </c>
      <c r="AB37" t="str">
        <f t="shared" si="17"/>
        <v>ausente</v>
      </c>
      <c r="AC37" t="e">
        <f t="shared" si="5"/>
        <v>#REF!</v>
      </c>
      <c r="AD37" t="e">
        <f t="shared" si="14"/>
        <v>#REF!</v>
      </c>
      <c r="AE37" t="e">
        <f t="shared" si="15"/>
        <v>#REF!</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0" sqref="C10"/>
    </sheetView>
  </sheetViews>
  <sheetFormatPr baseColWidth="10" defaultRowHeight="15.75"/>
  <cols>
    <col min="1" max="1" width="66.5" customWidth="1"/>
    <col min="2" max="2" width="12.375" bestFit="1"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Y2"/>
  <sheetViews>
    <sheetView topLeftCell="Z1" workbookViewId="0">
      <selection activeCell="AA2" sqref="AA2"/>
    </sheetView>
  </sheetViews>
  <sheetFormatPr baseColWidth="10" defaultRowHeight="15.75"/>
  <cols>
    <col min="7" max="7" width="22.5" bestFit="1" customWidth="1"/>
    <col min="8" max="8" width="22.5" customWidth="1"/>
    <col min="110" max="110" width="11.5" bestFit="1" customWidth="1"/>
  </cols>
  <sheetData>
    <row r="1" spans="1:155" ht="16.5" thickBot="1">
      <c r="A1" s="12" t="s">
        <v>59</v>
      </c>
      <c r="B1" s="12" t="s">
        <v>60</v>
      </c>
      <c r="C1" s="12" t="s">
        <v>53</v>
      </c>
      <c r="D1" s="12" t="s">
        <v>54</v>
      </c>
      <c r="E1" s="12" t="s">
        <v>55</v>
      </c>
      <c r="F1" s="12" t="s">
        <v>56</v>
      </c>
      <c r="G1" s="12" t="s">
        <v>57</v>
      </c>
      <c r="H1" s="12" t="s">
        <v>832</v>
      </c>
      <c r="I1" s="12" t="s">
        <v>58</v>
      </c>
      <c r="J1" s="12" t="s">
        <v>61</v>
      </c>
      <c r="K1" s="12" t="s">
        <v>71</v>
      </c>
      <c r="L1" s="12" t="s">
        <v>62</v>
      </c>
      <c r="M1" s="12" t="s">
        <v>870</v>
      </c>
      <c r="N1" s="12" t="s">
        <v>871</v>
      </c>
      <c r="O1" s="12" t="s">
        <v>872</v>
      </c>
      <c r="P1" s="12" t="s">
        <v>873</v>
      </c>
      <c r="Q1" s="9" t="s">
        <v>163</v>
      </c>
      <c r="R1" s="9" t="s">
        <v>164</v>
      </c>
      <c r="S1" s="9" t="s">
        <v>166</v>
      </c>
      <c r="T1" s="9" t="s">
        <v>165</v>
      </c>
      <c r="U1" s="9" t="s">
        <v>167</v>
      </c>
      <c r="V1" s="9" t="s">
        <v>168</v>
      </c>
      <c r="W1" s="9" t="s">
        <v>169</v>
      </c>
      <c r="X1" s="9" t="s">
        <v>170</v>
      </c>
      <c r="Y1" s="9" t="s">
        <v>171</v>
      </c>
      <c r="Z1" s="9" t="s">
        <v>172</v>
      </c>
      <c r="AA1" s="104" t="s">
        <v>42</v>
      </c>
      <c r="AB1" s="104" t="s">
        <v>41</v>
      </c>
      <c r="AC1" s="104" t="s">
        <v>5</v>
      </c>
      <c r="AD1" s="104" t="s">
        <v>802</v>
      </c>
      <c r="AE1" s="104" t="s">
        <v>803</v>
      </c>
      <c r="AF1" s="104" t="s">
        <v>804</v>
      </c>
      <c r="AG1" s="104" t="s">
        <v>805</v>
      </c>
      <c r="AH1" s="104" t="s">
        <v>806</v>
      </c>
      <c r="AI1" s="104" t="s">
        <v>807</v>
      </c>
      <c r="AJ1" s="104" t="s">
        <v>812</v>
      </c>
      <c r="AK1" s="104" t="s">
        <v>808</v>
      </c>
      <c r="AL1" s="104" t="s">
        <v>153</v>
      </c>
      <c r="AM1" s="104" t="s">
        <v>809</v>
      </c>
      <c r="AN1" s="104" t="s">
        <v>810</v>
      </c>
      <c r="AO1" s="104" t="s">
        <v>663</v>
      </c>
      <c r="AP1" s="104" t="s">
        <v>577</v>
      </c>
      <c r="AQ1" s="104" t="s">
        <v>811</v>
      </c>
      <c r="AR1" s="104" t="s">
        <v>35</v>
      </c>
      <c r="AS1" s="104" t="s">
        <v>103</v>
      </c>
      <c r="AT1" s="4" t="s">
        <v>670</v>
      </c>
      <c r="AU1" s="4" t="s">
        <v>669</v>
      </c>
      <c r="AV1" s="4" t="s">
        <v>671</v>
      </c>
      <c r="AW1" s="4" t="s">
        <v>570</v>
      </c>
      <c r="AX1" s="4" t="s">
        <v>688</v>
      </c>
      <c r="AY1" s="4" t="s">
        <v>689</v>
      </c>
      <c r="AZ1" s="4" t="s">
        <v>705</v>
      </c>
      <c r="BA1" s="4" t="s">
        <v>576</v>
      </c>
      <c r="BB1" s="4" t="s">
        <v>789</v>
      </c>
      <c r="BC1" s="4" t="s">
        <v>574</v>
      </c>
      <c r="BD1" s="4" t="s">
        <v>573</v>
      </c>
      <c r="BE1" s="4" t="s">
        <v>761</v>
      </c>
      <c r="BF1" s="310" t="s">
        <v>571</v>
      </c>
      <c r="BG1" s="310" t="s">
        <v>764</v>
      </c>
      <c r="BH1" s="310" t="s">
        <v>846</v>
      </c>
      <c r="BI1" s="310" t="s">
        <v>771</v>
      </c>
      <c r="BJ1" s="310" t="s">
        <v>772</v>
      </c>
      <c r="BK1" s="9" t="s">
        <v>173</v>
      </c>
      <c r="BL1" s="9" t="s">
        <v>244</v>
      </c>
      <c r="BM1" s="9" t="s">
        <v>245</v>
      </c>
      <c r="BN1" s="9" t="s">
        <v>246</v>
      </c>
      <c r="BO1" s="9" t="s">
        <v>247</v>
      </c>
      <c r="BP1" s="9" t="s">
        <v>248</v>
      </c>
      <c r="BQ1" s="9" t="s">
        <v>249</v>
      </c>
      <c r="BR1" s="9" t="s">
        <v>250</v>
      </c>
      <c r="BS1" s="9" t="s">
        <v>251</v>
      </c>
      <c r="BT1" s="9" t="s">
        <v>252</v>
      </c>
      <c r="BU1" s="9" t="s">
        <v>253</v>
      </c>
      <c r="BV1" s="9" t="s">
        <v>254</v>
      </c>
      <c r="BW1" s="9" t="s">
        <v>255</v>
      </c>
      <c r="BX1" s="9" t="s">
        <v>258</v>
      </c>
      <c r="BY1" s="9" t="s">
        <v>256</v>
      </c>
      <c r="BZ1" s="9" t="s">
        <v>257</v>
      </c>
      <c r="CA1" s="9" t="s">
        <v>259</v>
      </c>
      <c r="CB1" s="9" t="s">
        <v>260</v>
      </c>
      <c r="CC1" s="9" t="s">
        <v>261</v>
      </c>
      <c r="CD1" s="9" t="s">
        <v>272</v>
      </c>
      <c r="CE1" s="9" t="s">
        <v>304</v>
      </c>
      <c r="CF1" s="9" t="s">
        <v>262</v>
      </c>
      <c r="CG1" s="9" t="s">
        <v>263</v>
      </c>
      <c r="CH1" s="9" t="s">
        <v>264</v>
      </c>
      <c r="CI1" s="9" t="s">
        <v>265</v>
      </c>
      <c r="CJ1" s="9" t="s">
        <v>266</v>
      </c>
      <c r="CK1" s="9" t="s">
        <v>267</v>
      </c>
      <c r="CL1" s="9" t="s">
        <v>268</v>
      </c>
      <c r="CM1" s="9" t="s">
        <v>269</v>
      </c>
      <c r="CN1" s="9" t="s">
        <v>273</v>
      </c>
      <c r="CO1" s="9" t="s">
        <v>299</v>
      </c>
      <c r="CP1" s="9" t="s">
        <v>270</v>
      </c>
      <c r="CQ1" s="9" t="s">
        <v>274</v>
      </c>
      <c r="CR1" s="9" t="s">
        <v>305</v>
      </c>
      <c r="CS1" s="9" t="s">
        <v>306</v>
      </c>
      <c r="CT1" s="9" t="s">
        <v>271</v>
      </c>
      <c r="CU1" s="9" t="s">
        <v>275</v>
      </c>
      <c r="CV1" s="9" t="s">
        <v>308</v>
      </c>
      <c r="CW1" s="9" t="s">
        <v>276</v>
      </c>
      <c r="CX1" s="9" t="s">
        <v>277</v>
      </c>
      <c r="CY1" s="9" t="s">
        <v>278</v>
      </c>
      <c r="CZ1" s="9" t="s">
        <v>325</v>
      </c>
      <c r="DA1" s="9" t="s">
        <v>323</v>
      </c>
      <c r="DB1" s="9" t="s">
        <v>324</v>
      </c>
      <c r="DC1" s="9" t="s">
        <v>279</v>
      </c>
      <c r="DD1" s="9" t="s">
        <v>280</v>
      </c>
      <c r="DE1" s="9" t="s">
        <v>281</v>
      </c>
      <c r="DF1" s="9" t="s">
        <v>284</v>
      </c>
      <c r="DG1" s="9" t="s">
        <v>282</v>
      </c>
      <c r="DH1" s="9" t="s">
        <v>283</v>
      </c>
      <c r="DI1" s="9" t="s">
        <v>285</v>
      </c>
      <c r="DJ1" s="9" t="s">
        <v>286</v>
      </c>
      <c r="DK1" s="9" t="s">
        <v>287</v>
      </c>
      <c r="DL1" s="9" t="s">
        <v>288</v>
      </c>
      <c r="DM1" s="9" t="s">
        <v>289</v>
      </c>
      <c r="DN1" s="9" t="s">
        <v>290</v>
      </c>
      <c r="DO1" s="9" t="s">
        <v>291</v>
      </c>
      <c r="DP1" s="9" t="s">
        <v>292</v>
      </c>
      <c r="DQ1" s="9" t="s">
        <v>293</v>
      </c>
      <c r="DR1" s="9" t="s">
        <v>294</v>
      </c>
      <c r="DS1" s="9" t="s">
        <v>326</v>
      </c>
      <c r="DT1" s="9" t="s">
        <v>328</v>
      </c>
      <c r="DU1" s="104" t="s">
        <v>237</v>
      </c>
      <c r="DV1" s="104" t="s">
        <v>238</v>
      </c>
      <c r="DW1" s="104" t="s">
        <v>239</v>
      </c>
      <c r="DX1" s="104" t="s">
        <v>240</v>
      </c>
      <c r="DY1" s="104" t="s">
        <v>241</v>
      </c>
      <c r="DZ1" s="104" t="s">
        <v>174</v>
      </c>
      <c r="EA1" s="104" t="s">
        <v>175</v>
      </c>
      <c r="EB1" s="104" t="s">
        <v>329</v>
      </c>
      <c r="EC1" s="104" t="s">
        <v>330</v>
      </c>
      <c r="ED1" s="104" t="s">
        <v>331</v>
      </c>
      <c r="EE1" s="104" t="s">
        <v>332</v>
      </c>
      <c r="EF1" s="104" t="s">
        <v>333</v>
      </c>
      <c r="EG1" s="104" t="s">
        <v>334</v>
      </c>
      <c r="EH1" s="104" t="s">
        <v>335</v>
      </c>
      <c r="EI1" s="104" t="s">
        <v>336</v>
      </c>
      <c r="EJ1" s="104" t="s">
        <v>337</v>
      </c>
      <c r="EK1" s="104" t="s">
        <v>338</v>
      </c>
      <c r="EL1" s="104" t="s">
        <v>347</v>
      </c>
      <c r="EM1" s="104" t="s">
        <v>348</v>
      </c>
      <c r="EN1" s="104" t="s">
        <v>349</v>
      </c>
      <c r="EO1" s="104" t="s">
        <v>350</v>
      </c>
      <c r="EP1" s="104" t="s">
        <v>351</v>
      </c>
      <c r="EQ1" s="104" t="s">
        <v>352</v>
      </c>
      <c r="ER1" s="104" t="s">
        <v>353</v>
      </c>
      <c r="ES1" s="104" t="s">
        <v>354</v>
      </c>
      <c r="ET1" s="104" t="s">
        <v>355</v>
      </c>
      <c r="EU1" s="104" t="s">
        <v>356</v>
      </c>
      <c r="EV1" s="104" t="s">
        <v>357</v>
      </c>
      <c r="EW1" s="104" t="s">
        <v>358</v>
      </c>
      <c r="EX1" s="104" t="s">
        <v>359</v>
      </c>
      <c r="EY1" s="104" t="s">
        <v>360</v>
      </c>
    </row>
    <row r="2" spans="1:155">
      <c r="A2" t="e">
        <f>ENPS!K2</f>
        <v>#REF!</v>
      </c>
      <c r="B2" t="e">
        <f>ENPS!K3</f>
        <v>#REF!</v>
      </c>
      <c r="C2">
        <f>ENPS!K4</f>
        <v>0</v>
      </c>
      <c r="D2" s="13" t="e">
        <f>ENPS!K5</f>
        <v>#REF!</v>
      </c>
      <c r="E2" t="e">
        <f>ENPS!K6</f>
        <v>#REF!</v>
      </c>
      <c r="F2" s="15" t="e">
        <f>ENPS!K7</f>
        <v>#REF!</v>
      </c>
      <c r="G2" s="16" t="e">
        <f>ENPS!K8</f>
        <v>#REF!</v>
      </c>
      <c r="H2" s="229" t="e">
        <f>IF(Resumen!#REF!=1,"Diestr"&amp;Datos!V2,IF(Resumen!#REF!=2,"Zurd"&amp;Datos!V2,""))</f>
        <v>#REF!</v>
      </c>
      <c r="I2" t="e">
        <f>ENPS!K9</f>
        <v>#REF!</v>
      </c>
      <c r="J2" t="e">
        <f>ENPS!K10</f>
        <v>#REF!</v>
      </c>
      <c r="K2" t="e">
        <f>ENPS!K11</f>
        <v>#REF!</v>
      </c>
      <c r="L2" t="e">
        <f>ENPS!K12</f>
        <v>#REF!</v>
      </c>
      <c r="M2" t="e">
        <f>ENPS!A620</f>
        <v>#REF!</v>
      </c>
      <c r="N2" t="e">
        <f>ENPS!A621</f>
        <v>#REF!</v>
      </c>
      <c r="O2" t="str">
        <f>ENPS!A622</f>
        <v xml:space="preserve">Como antecedentes médicos de relevancia refiere Como antecedentes familiares refiere </v>
      </c>
      <c r="P2" s="13" t="e">
        <f>ENPS!A627</f>
        <v>#REF!</v>
      </c>
      <c r="Q2" t="e">
        <f>IF(ENPS!C73=10,"La Sra.",IF(ENPS!C73=5,"El Sr.",""))</f>
        <v>#REF!</v>
      </c>
      <c r="R2" t="e">
        <f>IF(ENPS!C73=10,"La Sra.",IF(ENPS!C73=5,"El Sr.",ENPS!K2))</f>
        <v>#REF!</v>
      </c>
      <c r="S2" t="e">
        <f>IF(ENPS!K13=1,ENPS!K3,"")</f>
        <v>#REF!</v>
      </c>
      <c r="T2" t="e">
        <f>IF(ENPS!C73=10,"de la Sra.",IF(ENPS!C73=5,"del Sr.","de "&amp;ENPS!K2))</f>
        <v>#REF!</v>
      </c>
      <c r="U2" t="e">
        <f>IF(ENPS!C73=10,"la Sra.",IF(ENPS!C73=5,"el Sr.",ENPS!K2))</f>
        <v>#REF!</v>
      </c>
      <c r="V2" t="e">
        <f>IF(ENPS!K14=2,"a","o")</f>
        <v>#REF!</v>
      </c>
      <c r="W2" t="e">
        <f>IF(ENPS!K14=2,"arreglada y vestida","arreglado y vestido")</f>
        <v>#REF!</v>
      </c>
      <c r="X2" t="e">
        <f>IF(ENPS!K14=2,"La paciente","El paciente")</f>
        <v>#REF!</v>
      </c>
      <c r="Y2" t="e">
        <f>IF(ENPS!K14=2,"la paciente","el paciente")</f>
        <v>#REF!</v>
      </c>
      <c r="Z2" t="e">
        <f>IF(ENPS!K14=2,"de la paciente","del paciente")</f>
        <v>#REF!</v>
      </c>
      <c r="AA2" t="e">
        <f>ENPS!A82</f>
        <v>#REF!</v>
      </c>
      <c r="AB2" t="e">
        <f>ENPS!B82</f>
        <v>#REF!</v>
      </c>
      <c r="AC2" t="e">
        <f>ENPS!C82</f>
        <v>#REF!</v>
      </c>
      <c r="AD2" t="str">
        <f>ENPS!D82</f>
        <v/>
      </c>
      <c r="AE2" t="str">
        <f>ENPS!E82</f>
        <v/>
      </c>
      <c r="AF2" t="e">
        <f>ENPS!F82</f>
        <v>#REF!</v>
      </c>
      <c r="AG2" t="e">
        <f>ENPS!G82</f>
        <v>#REF!</v>
      </c>
      <c r="AH2" t="e">
        <f>ENPS!H82</f>
        <v>#REF!</v>
      </c>
      <c r="AI2" t="e">
        <f>ENPS!I82</f>
        <v>#REF!</v>
      </c>
      <c r="AJ2" t="e">
        <f>ENPS!J82</f>
        <v>#REF!</v>
      </c>
      <c r="AK2" t="e">
        <f>ENPS!K82</f>
        <v>#REF!</v>
      </c>
      <c r="AL2" t="e">
        <f>ENPS!L82</f>
        <v>#REF!</v>
      </c>
      <c r="AM2" t="e">
        <f>ENPS!M82</f>
        <v>#REF!</v>
      </c>
      <c r="AN2" t="e">
        <f>ENPS!N82</f>
        <v>#REF!</v>
      </c>
      <c r="AO2" t="e">
        <f>ENPS!O82</f>
        <v>#REF!</v>
      </c>
      <c r="AP2" t="e">
        <f>ENPS!U82</f>
        <v>#REF!</v>
      </c>
      <c r="AQ2" t="e">
        <f>ENPS!V82</f>
        <v>#REF!</v>
      </c>
      <c r="AR2" t="e">
        <f>ENPS!W82</f>
        <v>#REF!</v>
      </c>
      <c r="AS2" t="e">
        <f>ENPS!X82</f>
        <v>#REF!</v>
      </c>
      <c r="AT2" s="13" t="e">
        <f>ENPS!A140</f>
        <v>#REF!</v>
      </c>
      <c r="AU2" s="13" t="str">
        <f>ENPS!A179</f>
        <v/>
      </c>
      <c r="AV2" s="13" t="str">
        <f>ENPS!A181</f>
        <v/>
      </c>
      <c r="AW2" s="13" t="str">
        <f>ENPS!A203</f>
        <v/>
      </c>
      <c r="AX2" s="13" t="e">
        <f>ENPS!A227</f>
        <v>#REF!</v>
      </c>
      <c r="AY2" s="13" t="e">
        <f>ENPS!A253</f>
        <v>#REF!</v>
      </c>
      <c r="AZ2" s="13" t="e">
        <f>ENPS!A288</f>
        <v>#REF!</v>
      </c>
      <c r="BA2" s="13" t="e">
        <f>ENPS!A319</f>
        <v>#REF!</v>
      </c>
      <c r="BB2" s="13" t="e">
        <f>ENPS!A392</f>
        <v>#REF!</v>
      </c>
      <c r="BC2" s="13" t="e">
        <f>ENPS!A436</f>
        <v>#REF!</v>
      </c>
      <c r="BD2" s="13" t="e">
        <f>ENPS!A455</f>
        <v>#REF!</v>
      </c>
      <c r="BE2" s="13" t="e">
        <f>ENPS!A470</f>
        <v>#REF!</v>
      </c>
      <c r="BF2" s="13" t="e">
        <f>ENPS!A533</f>
        <v>#REF!</v>
      </c>
      <c r="BG2" s="13" t="e">
        <f>ENPS!A581</f>
        <v>#REF!</v>
      </c>
      <c r="BK2" t="e">
        <f>IF(Resumen!#REF!="","",ENPS!E78)</f>
        <v>#REF!</v>
      </c>
      <c r="BL2" t="str">
        <f>'FFEE y CogSoc'!B4</f>
        <v>Omitida</v>
      </c>
      <c r="BM2" t="str">
        <f>'FFEE y CogSoc'!B5</f>
        <v>Omitida</v>
      </c>
      <c r="BN2" t="str">
        <f>'FFEE y CogSoc'!B6</f>
        <v>Omitida</v>
      </c>
      <c r="BO2" t="str">
        <f>'FFEE y CogSoc'!B7</f>
        <v>Omitida</v>
      </c>
      <c r="BP2" t="str">
        <f>'FFEE y CogSoc'!B8</f>
        <v>Omitida</v>
      </c>
      <c r="BQ2">
        <f>'FFEE y CogSoc'!C4</f>
        <v>0</v>
      </c>
      <c r="BR2">
        <f>'FFEE y CogSoc'!C5</f>
        <v>0</v>
      </c>
      <c r="BS2">
        <f>'FFEE y CogSoc'!C6</f>
        <v>0</v>
      </c>
      <c r="BT2">
        <f>'FFEE y CogSoc'!C7</f>
        <v>0</v>
      </c>
      <c r="BU2">
        <f>'FFEE y CogSoc'!C8</f>
        <v>0</v>
      </c>
      <c r="BV2">
        <f>'FFEE y CogSoc'!D4</f>
        <v>180</v>
      </c>
      <c r="BW2">
        <f>'FFEE y CogSoc'!D5</f>
        <v>180</v>
      </c>
      <c r="BX2">
        <f>'FFEE y CogSoc'!D6</f>
        <v>180</v>
      </c>
      <c r="BY2">
        <f>'FFEE y CogSoc'!D7</f>
        <v>180</v>
      </c>
      <c r="BZ2">
        <f>'FFEE y CogSoc'!D8</f>
        <v>180</v>
      </c>
      <c r="CA2">
        <f>'FFEE y CogSoc'!B9</f>
        <v>0</v>
      </c>
      <c r="CB2">
        <f>'FFEE y CogSoc'!C9</f>
        <v>0</v>
      </c>
      <c r="CC2">
        <f>'FFEE y CogSoc'!D9</f>
        <v>900</v>
      </c>
      <c r="CD2" t="str">
        <f>IF('FFEE y CogSoc'!E9&gt;1,'FFEE y CogSoc'!A101,IF('FFEE y CogSoc'!E9&gt;=-1,'FFEE y CogSoc'!A101,IF('FFEE y CogSoc'!E9&gt;-1.3,'FFEE y CogSoc'!A99,'FFEE y CogSoc'!A100)))</f>
        <v>presentó dificultades para anticipar, organizar y planificar su tiempo</v>
      </c>
      <c r="CE2" t="str">
        <f>IF('FFEE y CogSoc'!E9&gt;-1.01,'FFEE y CogSoc'!A104,'FFEE y CogSoc'!A103)</f>
        <v>falló en</v>
      </c>
      <c r="CF2" t="str">
        <f>'FFEE y CogSoc'!B11</f>
        <v>Omitida</v>
      </c>
      <c r="CG2">
        <f>'FFEE y CogSoc'!C11</f>
        <v>0</v>
      </c>
      <c r="CH2">
        <f>'FFEE y CogSoc'!D11</f>
        <v>360</v>
      </c>
      <c r="CI2" t="str">
        <f>'FFEE y CogSoc'!B12</f>
        <v>Omitida</v>
      </c>
      <c r="CJ2">
        <f>'FFEE y CogSoc'!C12</f>
        <v>0</v>
      </c>
      <c r="CK2">
        <f>'FFEE y CogSoc'!D12</f>
        <v>720</v>
      </c>
      <c r="CL2">
        <f>'FFEE y CogSoc'!B13</f>
        <v>0</v>
      </c>
      <c r="CM2">
        <f>'FFEE y CogSoc'!E13</f>
        <v>0</v>
      </c>
      <c r="CN2" t="str">
        <f>IF('FFEE y CogSoc'!E13=4,'FFEE y CogSoc'!A106,IF('FFEE y CogSoc'!E13&gt;1,'FFEE y CogSoc'!A107,'FFEE y CogSoc'!A108))</f>
        <v>deficitarios</v>
      </c>
      <c r="CO2" t="str">
        <f>IF('FFEE y CogSoc'!E13=4,'FFEE y CogSoc'!A110,IF('FFEE y CogSoc'!E13&gt;1,'FFEE y CogSoc'!A111,'FFEE y CogSoc'!A112))</f>
        <v>fallas en la</v>
      </c>
      <c r="CP2">
        <f>'FFEE y CogSoc'!B17</f>
        <v>0</v>
      </c>
      <c r="CQ2" t="str">
        <f>IF(CP2&gt;14,"Normal",IF(CP2&gt;8,"Bajo","Deficitario"))</f>
        <v>Deficitario</v>
      </c>
      <c r="CR2" t="str">
        <f>IF(CP2&gt;14,"normales",IF(CP2&gt;8,"bajos","deficitarios"))</f>
        <v>deficitarios</v>
      </c>
      <c r="CS2" t="str">
        <f>IF(CP2&gt;14,'FFEE y CogSoc'!A114,IF(Datos!CP2&gt;12,'FFEE y CogSoc'!A115,'FFEE y CogSoc'!A116))</f>
        <v>fallas en la</v>
      </c>
      <c r="CT2">
        <f>'FFEE y CogSoc'!B20</f>
        <v>0</v>
      </c>
      <c r="CU2" t="str">
        <f>IF(CT2&gt;17,"Normal",IF(CT2&gt;12,"Bajo","Deficitario"))</f>
        <v>Deficitario</v>
      </c>
      <c r="CV2" t="str">
        <f>IF(CT2&gt;17,"normales",IF(CT2&gt;12,"bajos","deficitarios"))</f>
        <v>deficitarios</v>
      </c>
      <c r="CW2">
        <f>'FFEE y CogSoc'!C24</f>
        <v>0</v>
      </c>
      <c r="CX2" s="62">
        <f>'FFEE y CogSoc'!D24</f>
        <v>-8.7999999999999989</v>
      </c>
      <c r="CY2" t="str">
        <f>IF(CX2&gt;-1.01,"Normal",IF(CX2&gt;-2,"Bajo","Deficitario"))</f>
        <v>Deficitario</v>
      </c>
      <c r="CZ2" t="str">
        <f>IF(CX2&gt;-1.01,"normal",IF(CX2&gt;-2,"bajo","deficitario"))</f>
        <v>deficitario</v>
      </c>
      <c r="DA2" t="str">
        <f>'FFEE y CogSoc'!C25</f>
        <v>descendidos</v>
      </c>
      <c r="DB2" t="str">
        <f>IF('FFEE y CogSoc'!E26=TRUE,"y","y valores "&amp;'FFEE y CogSoc'!C26)</f>
        <v>y</v>
      </c>
      <c r="DC2">
        <f>'FFEE y CogSoc'!C35</f>
        <v>0</v>
      </c>
      <c r="DD2" s="62">
        <f>'FFEE y CogSoc'!D35</f>
        <v>-11.454545454545453</v>
      </c>
      <c r="DE2" t="str">
        <f>IF(DD2&gt;-1.01,"Normal",IF(DD2&gt;-2,"Bajo","Deficitario"))</f>
        <v>Deficitario</v>
      </c>
      <c r="DF2" s="14" t="str">
        <f>IF(DD2&gt;-1.01,"normales",IF(DD2&gt;-2,"bajos","deficitarios"))</f>
        <v>deficitarios</v>
      </c>
      <c r="DG2" s="62">
        <f>'FFEE y CogSoc'!C36</f>
        <v>0</v>
      </c>
      <c r="DH2" t="str">
        <f>IF('FFEE y CogSoc'!D36&gt;-1.01,"Normal",IF('FFEE y CogSoc'!D36&gt;-2,"Bajo","Deficitario"))</f>
        <v>Deficitario</v>
      </c>
      <c r="DI2">
        <f>'FFEE y CogSoc'!B39</f>
        <v>0</v>
      </c>
      <c r="DJ2">
        <f>'FFEE y CogSoc'!B40</f>
        <v>0</v>
      </c>
      <c r="DK2">
        <f>'FFEE y CogSoc'!B41</f>
        <v>0</v>
      </c>
      <c r="DL2">
        <f>'FFEE y CogSoc'!B42</f>
        <v>0</v>
      </c>
      <c r="DM2" t="str">
        <f>IF(DI2&gt;84,"normales",IF(DI2&gt;70,"bajos","deficitarios"))</f>
        <v>deficitarios</v>
      </c>
      <c r="DN2">
        <f>'FFEE y CogSoc'!B45</f>
        <v>0</v>
      </c>
      <c r="DO2">
        <f>'FFEE y CogSoc'!B46</f>
        <v>0</v>
      </c>
      <c r="DP2">
        <f>'FFEE y CogSoc'!B47</f>
        <v>0</v>
      </c>
      <c r="DQ2">
        <f>'FFEE y CogSoc'!B48</f>
        <v>0</v>
      </c>
      <c r="DR2" t="str">
        <f>IF(DN2&gt;84,"normales",IF(DN2&gt;70,"bajos","deficitarios"))</f>
        <v>deficitarios</v>
      </c>
      <c r="DS2" t="str">
        <f>IF(DO2&gt;15,'FFEE y CogSoc'!C46,"")</f>
        <v/>
      </c>
      <c r="DT2" t="e">
        <f>WAIS!C17+WAIS!D17</f>
        <v>#VALUE!</v>
      </c>
      <c r="DU2" s="104">
        <f>WAIS!B21</f>
        <v>0</v>
      </c>
      <c r="DV2" s="104">
        <f>WAIS!C21</f>
        <v>0</v>
      </c>
      <c r="DW2" s="104">
        <f>WAIS!D21</f>
        <v>0</v>
      </c>
      <c r="DX2" s="104">
        <f>WAIS!E21</f>
        <v>0</v>
      </c>
      <c r="DY2" s="104">
        <f>WAIS!F21</f>
        <v>0</v>
      </c>
      <c r="DZ2" s="104">
        <f>WAIS!G21</f>
        <v>0</v>
      </c>
      <c r="EA2" s="104">
        <f>WAIS!H21</f>
        <v>0</v>
      </c>
      <c r="EB2" t="str">
        <f>IF(DU2&gt;115,"alto",IF(DU2&gt;84,"normal",IF(DU2&gt;70,"bajo",IF(DU2&gt;0,"deficitario","ausente"))))</f>
        <v>ausente</v>
      </c>
      <c r="EC2" t="str">
        <f t="shared" ref="EC2:EG2" si="0">IF(DV2&gt;115,"alto",IF(DV2&gt;84,"normal",IF(DV2&gt;70,"bajo",IF(DV2&gt;0,"deficitario","ausente"))))</f>
        <v>ausente</v>
      </c>
      <c r="ED2" t="str">
        <f t="shared" si="0"/>
        <v>ausente</v>
      </c>
      <c r="EE2" t="str">
        <f t="shared" si="0"/>
        <v>ausente</v>
      </c>
      <c r="EF2" t="str">
        <f t="shared" si="0"/>
        <v>ausente</v>
      </c>
      <c r="EG2" t="str">
        <f t="shared" si="0"/>
        <v>ausente</v>
      </c>
      <c r="EH2" t="str">
        <f>IF(EA2&gt;115,"alto",IF(EA2&gt;84,"normal",IF(EA2&gt;70,"bajo",IF(EA2&gt;0,"deficitario","ausente"))))</f>
        <v>ausente</v>
      </c>
      <c r="EI2" t="str">
        <f>IF(DU2&lt;85,"por debajo de lo esperable","normales")</f>
        <v>por debajo de lo esperable</v>
      </c>
      <c r="EJ2" t="str">
        <f>IF(WAIS!D27=TRUE,"así como","y valores "&amp;WAIS!D24)</f>
        <v>así como</v>
      </c>
      <c r="EK2" t="str">
        <f>IF(WAIS!I27&gt;2,". Asimismo, el desempeño en la mayoría de los subíndices evaluados denota valores por debajo de lo esperable","")</f>
        <v>. Asimismo, el desempeño en la mayoría de los subíndices evaluados denota valores por debajo de lo esperable</v>
      </c>
      <c r="EL2" t="str">
        <f>IF(WAIS!H29=TRUE,WAIS!F34,"")</f>
        <v/>
      </c>
      <c r="EM2" t="str">
        <f>IF(WAIS!H30=TRUE,WAIS!F34,"")</f>
        <v/>
      </c>
      <c r="EN2" t="str">
        <f>IF(WAIS!H31=TRUE,WAIS!F34,"")</f>
        <v/>
      </c>
      <c r="EO2" t="str">
        <f>IF(WAIS!H32=TRUE,WAIS!F34,"")</f>
        <v/>
      </c>
      <c r="EP2" t="str">
        <f>IF(WAIS!I29=TRUE,WAIS!F35,"")</f>
        <v/>
      </c>
      <c r="EQ2" t="str">
        <f>IF(WAIS!I30=TRUE,WAIS!F35,"")</f>
        <v/>
      </c>
      <c r="ER2" t="str">
        <f>IF(WAIS!I31=TRUE,WAIS!F35,"")</f>
        <v/>
      </c>
      <c r="ES2" t="str">
        <f>IF(WAIS!I32=TRUE,WAIS!F35,"")</f>
        <v/>
      </c>
      <c r="ET2" t="str">
        <f>WAIS!K34</f>
        <v>velocidad de procesamiento</v>
      </c>
      <c r="EU2" t="str">
        <f>WAIS!K35</f>
        <v>IVP</v>
      </c>
      <c r="EV2">
        <f>WAIS!K36</f>
        <v>0</v>
      </c>
      <c r="EW2" t="str">
        <f>WAIS!L34</f>
        <v>velocidad de procesamiento</v>
      </c>
      <c r="EX2" t="str">
        <f>WAIS!L35</f>
        <v>IVP</v>
      </c>
      <c r="EY2">
        <f>WAIS!L36</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1</vt:i4>
      </vt:variant>
    </vt:vector>
  </HeadingPairs>
  <TitlesOfParts>
    <vt:vector size="16" baseType="lpstr">
      <vt:lpstr>ACE</vt:lpstr>
      <vt:lpstr>IFS</vt:lpstr>
      <vt:lpstr>Resumen</vt:lpstr>
      <vt:lpstr>Gráficos</vt:lpstr>
      <vt:lpstr>TABLA</vt:lpstr>
      <vt:lpstr>ENPS</vt:lpstr>
      <vt:lpstr>Reev</vt:lpstr>
      <vt:lpstr>QP</vt:lpstr>
      <vt:lpstr>Datos</vt:lpstr>
      <vt:lpstr>FFEE y CogSoc</vt:lpstr>
      <vt:lpstr>WAIS</vt:lpstr>
      <vt:lpstr>Tablas</vt:lpstr>
      <vt:lpstr>Caso </vt:lpstr>
      <vt:lpstr>WAIStablas</vt:lpstr>
      <vt:lpstr>AUX</vt:lpstr>
      <vt:lpstr>Resumen!Área_de_impresión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Sánchez Rueda</dc:creator>
  <cp:lastModifiedBy>Daniel Sanchez</cp:lastModifiedBy>
  <cp:lastPrinted>2016-11-15T13:50:25Z</cp:lastPrinted>
  <dcterms:created xsi:type="dcterms:W3CDTF">2016-09-08T01:45:16Z</dcterms:created>
  <dcterms:modified xsi:type="dcterms:W3CDTF">2017-01-26T17:36:40Z</dcterms:modified>
</cp:coreProperties>
</file>