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TONY AYALA\Desktop\"/>
    </mc:Choice>
  </mc:AlternateContent>
  <xr:revisionPtr revIDLastSave="0" documentId="13_ncr:1_{3CBD18AE-CA02-4B7B-BBD8-C600C3D3D353}" xr6:coauthVersionLast="47" xr6:coauthVersionMax="47" xr10:uidLastSave="{00000000-0000-0000-0000-000000000000}"/>
  <bookViews>
    <workbookView xWindow="-120" yWindow="-120" windowWidth="29040" windowHeight="15990" activeTab="5" xr2:uid="{13C46BA1-AA3A-440C-89A9-812974A5502F}"/>
  </bookViews>
  <sheets>
    <sheet name="Portada" sheetId="1" r:id="rId1"/>
    <sheet name="Antescedentes" sheetId="7" r:id="rId2"/>
    <sheet name="Actividad" sheetId="3" r:id="rId3"/>
    <sheet name="Datos" sheetId="4" r:id="rId4"/>
    <sheet name="EstadodeResultados" sheetId="10" r:id="rId5"/>
    <sheet name="Metodos" sheetId="5" r:id="rId6"/>
    <sheet name="BalanceGeneral" sheetId="6" r:id="rId7"/>
    <sheet name="PuntoEquilibrio" sheetId="8" r:id="rId8"/>
    <sheet name="Resultados" sheetId="9" r:id="rId9"/>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4" l="1"/>
  <c r="F46" i="4"/>
  <c r="F47" i="4"/>
  <c r="F48" i="4"/>
  <c r="F49" i="4"/>
  <c r="F50" i="4"/>
  <c r="F51" i="4"/>
  <c r="F52" i="4"/>
  <c r="F44" i="4"/>
  <c r="E43" i="4"/>
  <c r="E44" i="4"/>
  <c r="E45" i="4"/>
  <c r="E46" i="4"/>
  <c r="E47" i="4"/>
  <c r="E48" i="4"/>
  <c r="E49" i="4"/>
  <c r="E50" i="4"/>
  <c r="E51" i="4"/>
  <c r="E52" i="4"/>
  <c r="L10" i="8"/>
  <c r="K10" i="8"/>
  <c r="J10" i="8"/>
  <c r="I10" i="8"/>
  <c r="H10" i="8"/>
  <c r="G10" i="8"/>
  <c r="F10" i="8"/>
  <c r="E10" i="8"/>
  <c r="D10" i="8"/>
  <c r="C10" i="8"/>
  <c r="D11" i="5"/>
  <c r="E11" i="5"/>
  <c r="F11" i="5"/>
  <c r="G11" i="5"/>
  <c r="H11" i="5"/>
  <c r="I11" i="5"/>
  <c r="J11" i="5"/>
  <c r="K11" i="5"/>
  <c r="L11" i="5"/>
  <c r="M11" i="5"/>
  <c r="M12" i="5"/>
  <c r="J12" i="5"/>
  <c r="K12" i="5"/>
  <c r="L12" i="5"/>
  <c r="I12" i="5"/>
  <c r="I22" i="5"/>
  <c r="H11" i="10"/>
  <c r="I23" i="5"/>
  <c r="H12" i="10"/>
  <c r="I24" i="5"/>
  <c r="H13" i="10"/>
  <c r="I17" i="5"/>
  <c r="I18" i="5"/>
  <c r="I26" i="5"/>
  <c r="H15" i="10"/>
  <c r="H18" i="10"/>
  <c r="I16" i="5"/>
  <c r="H8" i="10"/>
  <c r="H9" i="10"/>
  <c r="H10" i="10"/>
  <c r="H19" i="10"/>
  <c r="I29" i="5"/>
  <c r="H20" i="10"/>
  <c r="I30" i="5"/>
  <c r="H21" i="10"/>
  <c r="H22" i="10"/>
  <c r="H23" i="10"/>
  <c r="I31" i="5"/>
  <c r="H24" i="10"/>
  <c r="H25" i="10"/>
  <c r="I36" i="5"/>
  <c r="I39" i="5"/>
  <c r="D16" i="5"/>
  <c r="C8" i="10"/>
  <c r="C9" i="10"/>
  <c r="C10" i="10"/>
  <c r="D22" i="5"/>
  <c r="C11" i="10"/>
  <c r="D23" i="5"/>
  <c r="C12" i="10"/>
  <c r="D24" i="5"/>
  <c r="C13" i="10"/>
  <c r="C18" i="10"/>
  <c r="C19" i="10"/>
  <c r="D29" i="5"/>
  <c r="C20" i="10"/>
  <c r="D30" i="5"/>
  <c r="C21" i="10"/>
  <c r="C22" i="10"/>
  <c r="C23" i="10"/>
  <c r="D31" i="5"/>
  <c r="C24" i="10"/>
  <c r="C25" i="10"/>
  <c r="D36" i="5"/>
  <c r="D39" i="5"/>
  <c r="G23" i="6"/>
  <c r="E16" i="5"/>
  <c r="D8" i="10"/>
  <c r="D9" i="10"/>
  <c r="D10" i="10"/>
  <c r="E22" i="5"/>
  <c r="D11" i="10"/>
  <c r="E23" i="5"/>
  <c r="D12" i="10"/>
  <c r="E24" i="5"/>
  <c r="D13" i="10"/>
  <c r="D18" i="10"/>
  <c r="D19" i="10"/>
  <c r="E29" i="5"/>
  <c r="D20" i="10"/>
  <c r="E30" i="5"/>
  <c r="D21" i="10"/>
  <c r="D22" i="10"/>
  <c r="D23" i="10"/>
  <c r="E31" i="5"/>
  <c r="D24" i="10"/>
  <c r="D25" i="10"/>
  <c r="E36" i="5"/>
  <c r="E39" i="5"/>
  <c r="G35" i="6"/>
  <c r="F16" i="5"/>
  <c r="E8" i="10"/>
  <c r="E9" i="10"/>
  <c r="E10" i="10"/>
  <c r="F22" i="5"/>
  <c r="E11" i="10"/>
  <c r="F23" i="5"/>
  <c r="E12" i="10"/>
  <c r="F24" i="5"/>
  <c r="E13" i="10"/>
  <c r="E18" i="10"/>
  <c r="E19" i="10"/>
  <c r="F29" i="5"/>
  <c r="E20" i="10"/>
  <c r="F30" i="5"/>
  <c r="E21" i="10"/>
  <c r="E22" i="10"/>
  <c r="E23" i="10"/>
  <c r="F31" i="5"/>
  <c r="E24" i="10"/>
  <c r="E25" i="10"/>
  <c r="F36" i="5"/>
  <c r="F39" i="5"/>
  <c r="G47" i="6"/>
  <c r="G16" i="5"/>
  <c r="F8" i="10"/>
  <c r="F9" i="10"/>
  <c r="F10" i="10"/>
  <c r="G22" i="5"/>
  <c r="F11" i="10"/>
  <c r="G23" i="5"/>
  <c r="F12" i="10"/>
  <c r="G24" i="5"/>
  <c r="F13" i="10"/>
  <c r="F18" i="10"/>
  <c r="F19" i="10"/>
  <c r="G29" i="5"/>
  <c r="F20" i="10"/>
  <c r="G30" i="5"/>
  <c r="F21" i="10"/>
  <c r="F22" i="10"/>
  <c r="F23" i="10"/>
  <c r="G31" i="5"/>
  <c r="F24" i="10"/>
  <c r="F25" i="10"/>
  <c r="G36" i="5"/>
  <c r="G39" i="5"/>
  <c r="G59" i="6"/>
  <c r="H16" i="5"/>
  <c r="G8" i="10"/>
  <c r="G9" i="10"/>
  <c r="G10" i="10"/>
  <c r="H22" i="5"/>
  <c r="G11" i="10"/>
  <c r="H23" i="5"/>
  <c r="G12" i="10"/>
  <c r="H24" i="5"/>
  <c r="G13" i="10"/>
  <c r="G18" i="10"/>
  <c r="G19" i="10"/>
  <c r="H29" i="5"/>
  <c r="G20" i="10"/>
  <c r="H30" i="5"/>
  <c r="G21" i="10"/>
  <c r="G22" i="10"/>
  <c r="G23" i="10"/>
  <c r="H31" i="5"/>
  <c r="G24" i="10"/>
  <c r="G25" i="10"/>
  <c r="H36" i="5"/>
  <c r="H39" i="5"/>
  <c r="G71" i="6"/>
  <c r="G83" i="6"/>
  <c r="G90" i="6"/>
  <c r="J22" i="5"/>
  <c r="I11" i="10"/>
  <c r="J23" i="5"/>
  <c r="I12" i="10"/>
  <c r="J24" i="5"/>
  <c r="I13" i="10"/>
  <c r="J17" i="5"/>
  <c r="J18" i="5"/>
  <c r="J26" i="5"/>
  <c r="I15" i="10"/>
  <c r="I18" i="10"/>
  <c r="J16" i="5"/>
  <c r="I8" i="10"/>
  <c r="I9" i="10"/>
  <c r="I10" i="10"/>
  <c r="I19" i="10"/>
  <c r="J29" i="5"/>
  <c r="I20" i="10"/>
  <c r="J30" i="5"/>
  <c r="I21" i="10"/>
  <c r="I22" i="10"/>
  <c r="I23" i="10"/>
  <c r="J31" i="5"/>
  <c r="I24" i="10"/>
  <c r="I25" i="10"/>
  <c r="J36" i="5"/>
  <c r="J39" i="5"/>
  <c r="G95" i="6"/>
  <c r="I33" i="4"/>
  <c r="I31" i="4"/>
  <c r="I29" i="4"/>
  <c r="I27" i="4"/>
  <c r="I25" i="4"/>
  <c r="I23" i="4"/>
  <c r="I21" i="4"/>
  <c r="J22" i="4"/>
  <c r="J20" i="4"/>
  <c r="S52" i="4"/>
  <c r="S51" i="4"/>
  <c r="S50" i="4"/>
  <c r="S49" i="4"/>
  <c r="S48" i="4"/>
  <c r="S47" i="4"/>
  <c r="S46" i="4"/>
  <c r="S45" i="4"/>
  <c r="S44" i="4"/>
  <c r="S43" i="4"/>
  <c r="R45" i="4"/>
  <c r="R46" i="4"/>
  <c r="R47" i="4"/>
  <c r="R48" i="4"/>
  <c r="R49" i="4"/>
  <c r="R50" i="4"/>
  <c r="R51" i="4"/>
  <c r="R52" i="4"/>
  <c r="R44" i="4"/>
  <c r="R43" i="4"/>
  <c r="Q44" i="4"/>
  <c r="Q45" i="4"/>
  <c r="Q46" i="4"/>
  <c r="Q47" i="4"/>
  <c r="Q48" i="4"/>
  <c r="Q49" i="4"/>
  <c r="Q50" i="4"/>
  <c r="Q51" i="4"/>
  <c r="Q52" i="4"/>
  <c r="Q43" i="4"/>
  <c r="P45" i="4"/>
  <c r="P46" i="4"/>
  <c r="P47" i="4"/>
  <c r="P48" i="4"/>
  <c r="P49" i="4"/>
  <c r="P50" i="4"/>
  <c r="P51" i="4"/>
  <c r="P52" i="4"/>
  <c r="P44" i="4"/>
  <c r="P43" i="4"/>
  <c r="O45" i="4"/>
  <c r="O46" i="4"/>
  <c r="O47" i="4"/>
  <c r="O48" i="4"/>
  <c r="O49" i="4"/>
  <c r="O50" i="4"/>
  <c r="O51" i="4"/>
  <c r="O52" i="4"/>
  <c r="O44" i="4"/>
  <c r="O43" i="4"/>
  <c r="M45" i="4"/>
  <c r="M46" i="4"/>
  <c r="M47" i="4"/>
  <c r="M48" i="4"/>
  <c r="M49" i="4"/>
  <c r="M50" i="4"/>
  <c r="M51" i="4"/>
  <c r="M52" i="4"/>
  <c r="M44" i="4"/>
  <c r="M43" i="4"/>
  <c r="L44" i="4"/>
  <c r="L45" i="4"/>
  <c r="L46" i="4"/>
  <c r="L47" i="4"/>
  <c r="L48" i="4"/>
  <c r="L49" i="4"/>
  <c r="L50" i="4"/>
  <c r="L51" i="4"/>
  <c r="L52" i="4"/>
  <c r="L43" i="4"/>
  <c r="K45" i="4"/>
  <c r="K46" i="4"/>
  <c r="K47" i="4"/>
  <c r="K48" i="4"/>
  <c r="K49" i="4"/>
  <c r="K50" i="4"/>
  <c r="K51" i="4"/>
  <c r="K52" i="4"/>
  <c r="K44" i="4"/>
  <c r="K43" i="4"/>
  <c r="J44" i="4"/>
  <c r="J45" i="4"/>
  <c r="J46" i="4"/>
  <c r="J47" i="4"/>
  <c r="J48" i="4"/>
  <c r="J49" i="4"/>
  <c r="J50" i="4"/>
  <c r="J51" i="4"/>
  <c r="J52" i="4"/>
  <c r="J43" i="4"/>
  <c r="I45" i="4"/>
  <c r="I46" i="4"/>
  <c r="I47" i="4"/>
  <c r="I48" i="4"/>
  <c r="I49" i="4"/>
  <c r="I50" i="4"/>
  <c r="I51" i="4"/>
  <c r="I52" i="4"/>
  <c r="I44" i="4"/>
  <c r="I43" i="4"/>
  <c r="H52" i="4"/>
  <c r="H51" i="4"/>
  <c r="H50" i="4"/>
  <c r="H49" i="4"/>
  <c r="H48" i="4"/>
  <c r="H47" i="4"/>
  <c r="H46" i="4"/>
  <c r="H45" i="4"/>
  <c r="H44" i="4"/>
  <c r="H43" i="4"/>
  <c r="G45" i="4"/>
  <c r="G46" i="4"/>
  <c r="G47" i="4"/>
  <c r="G48" i="4"/>
  <c r="G49" i="4"/>
  <c r="G50" i="4"/>
  <c r="G51" i="4"/>
  <c r="G52" i="4"/>
  <c r="G44" i="4"/>
  <c r="G43" i="4"/>
  <c r="F43" i="4"/>
  <c r="N52" i="4"/>
  <c r="N51" i="4"/>
  <c r="N50" i="4"/>
  <c r="N49" i="4"/>
  <c r="N48" i="4"/>
  <c r="N47" i="4"/>
  <c r="N46" i="4"/>
  <c r="N45" i="4"/>
  <c r="N44" i="4"/>
  <c r="N43" i="4"/>
  <c r="D13" i="5"/>
  <c r="D14" i="5"/>
  <c r="D15" i="5"/>
  <c r="E14" i="5"/>
  <c r="F14" i="5"/>
  <c r="G14" i="5"/>
  <c r="H14" i="5"/>
  <c r="I14" i="5"/>
  <c r="J14" i="5"/>
  <c r="K14" i="5"/>
  <c r="L14" i="5"/>
  <c r="M14" i="5"/>
  <c r="M16" i="5"/>
  <c r="L8" i="10"/>
  <c r="L9" i="10"/>
  <c r="L10" i="10"/>
  <c r="J26" i="4"/>
  <c r="K26" i="4"/>
  <c r="L26" i="4"/>
  <c r="M26" i="4"/>
  <c r="N26" i="4"/>
  <c r="O26" i="4"/>
  <c r="P26" i="4"/>
  <c r="Q26" i="4"/>
  <c r="R26" i="4"/>
  <c r="S26" i="4"/>
  <c r="M22" i="5"/>
  <c r="L11" i="10"/>
  <c r="K20" i="4"/>
  <c r="L20" i="4"/>
  <c r="M20" i="4"/>
  <c r="N20" i="4"/>
  <c r="O20" i="4"/>
  <c r="P20" i="4"/>
  <c r="Q20" i="4"/>
  <c r="R20" i="4"/>
  <c r="S20" i="4"/>
  <c r="K22" i="4"/>
  <c r="L22" i="4"/>
  <c r="M22" i="4"/>
  <c r="N22" i="4"/>
  <c r="O22" i="4"/>
  <c r="P22" i="4"/>
  <c r="Q22" i="4"/>
  <c r="R22" i="4"/>
  <c r="S22" i="4"/>
  <c r="M23" i="5"/>
  <c r="L12" i="10"/>
  <c r="J24" i="4"/>
  <c r="K24" i="4"/>
  <c r="L24" i="4"/>
  <c r="M24" i="4"/>
  <c r="N24" i="4"/>
  <c r="O24" i="4"/>
  <c r="P24" i="4"/>
  <c r="Q24" i="4"/>
  <c r="R24" i="4"/>
  <c r="S24" i="4"/>
  <c r="M24" i="5"/>
  <c r="L13" i="10"/>
  <c r="D25" i="5"/>
  <c r="E25" i="5"/>
  <c r="F25" i="5"/>
  <c r="G25" i="5"/>
  <c r="H25" i="5"/>
  <c r="I25" i="5"/>
  <c r="J25" i="5"/>
  <c r="K25" i="5"/>
  <c r="L25" i="5"/>
  <c r="M25" i="5"/>
  <c r="L14" i="10"/>
  <c r="M17" i="5"/>
  <c r="M18" i="5"/>
  <c r="M26" i="5"/>
  <c r="L15" i="10"/>
  <c r="M27" i="5"/>
  <c r="L16" i="10"/>
  <c r="M28" i="5"/>
  <c r="L17" i="10"/>
  <c r="L18" i="10"/>
  <c r="L19" i="10"/>
  <c r="J32" i="4"/>
  <c r="K32" i="4"/>
  <c r="L32" i="4"/>
  <c r="M32" i="4"/>
  <c r="N32" i="4"/>
  <c r="O32" i="4"/>
  <c r="P32" i="4"/>
  <c r="Q32" i="4"/>
  <c r="R32" i="4"/>
  <c r="S32" i="4"/>
  <c r="M29" i="5"/>
  <c r="L20" i="10"/>
  <c r="J30" i="4"/>
  <c r="K30" i="4"/>
  <c r="L30" i="4"/>
  <c r="M30" i="4"/>
  <c r="N30" i="4"/>
  <c r="O30" i="4"/>
  <c r="P30" i="4"/>
  <c r="Q30" i="4"/>
  <c r="R30" i="4"/>
  <c r="S30" i="4"/>
  <c r="M30" i="5"/>
  <c r="L21" i="10"/>
  <c r="L22" i="10"/>
  <c r="L23" i="10"/>
  <c r="M31" i="5"/>
  <c r="L24" i="10"/>
  <c r="L25" i="10"/>
  <c r="M36" i="5"/>
  <c r="M37" i="5"/>
  <c r="M39" i="5"/>
  <c r="M49" i="5"/>
  <c r="M59" i="5"/>
  <c r="M60" i="5"/>
  <c r="C14" i="10"/>
  <c r="D26" i="5"/>
  <c r="C15" i="10"/>
  <c r="D27" i="5"/>
  <c r="C16" i="10"/>
  <c r="D28" i="5"/>
  <c r="C17" i="10"/>
  <c r="D37" i="5"/>
  <c r="D49" i="5"/>
  <c r="D59" i="5"/>
  <c r="D60" i="5"/>
  <c r="D61" i="5"/>
  <c r="D14" i="10"/>
  <c r="E27" i="5"/>
  <c r="D16" i="10"/>
  <c r="E28" i="5"/>
  <c r="D17" i="10"/>
  <c r="E37" i="5"/>
  <c r="E49" i="5"/>
  <c r="E59" i="5"/>
  <c r="E60" i="5"/>
  <c r="E61" i="5"/>
  <c r="E14" i="10"/>
  <c r="F27" i="5"/>
  <c r="E16" i="10"/>
  <c r="F28" i="5"/>
  <c r="E17" i="10"/>
  <c r="F37" i="5"/>
  <c r="F49" i="5"/>
  <c r="F59" i="5"/>
  <c r="F60" i="5"/>
  <c r="F61" i="5"/>
  <c r="F14" i="10"/>
  <c r="G27" i="5"/>
  <c r="F16" i="10"/>
  <c r="G28" i="5"/>
  <c r="F17" i="10"/>
  <c r="G37" i="5"/>
  <c r="G49" i="5"/>
  <c r="G59" i="5"/>
  <c r="G60" i="5"/>
  <c r="G61" i="5"/>
  <c r="G14" i="10"/>
  <c r="H27" i="5"/>
  <c r="G16" i="10"/>
  <c r="H28" i="5"/>
  <c r="G17" i="10"/>
  <c r="H37" i="5"/>
  <c r="H49" i="5"/>
  <c r="H59" i="5"/>
  <c r="H60" i="5"/>
  <c r="H61" i="5"/>
  <c r="H14" i="10"/>
  <c r="I27" i="5"/>
  <c r="H16" i="10"/>
  <c r="I28" i="5"/>
  <c r="H17" i="10"/>
  <c r="I37" i="5"/>
  <c r="I49" i="5"/>
  <c r="I59" i="5"/>
  <c r="I60" i="5"/>
  <c r="I61" i="5"/>
  <c r="I14" i="10"/>
  <c r="J27" i="5"/>
  <c r="I16" i="10"/>
  <c r="J28" i="5"/>
  <c r="I17" i="10"/>
  <c r="J37" i="5"/>
  <c r="J49" i="5"/>
  <c r="J59" i="5"/>
  <c r="J60" i="5"/>
  <c r="J61" i="5"/>
  <c r="K16" i="5"/>
  <c r="J8" i="10"/>
  <c r="J9" i="10"/>
  <c r="J10" i="10"/>
  <c r="K22" i="5"/>
  <c r="J11" i="10"/>
  <c r="K23" i="5"/>
  <c r="J12" i="10"/>
  <c r="K24" i="5"/>
  <c r="J13" i="10"/>
  <c r="J14" i="10"/>
  <c r="K17" i="5"/>
  <c r="K18" i="5"/>
  <c r="K26" i="5"/>
  <c r="J15" i="10"/>
  <c r="K27" i="5"/>
  <c r="J16" i="10"/>
  <c r="K28" i="5"/>
  <c r="J17" i="10"/>
  <c r="J18" i="10"/>
  <c r="J19" i="10"/>
  <c r="K29" i="5"/>
  <c r="J20" i="10"/>
  <c r="K30" i="5"/>
  <c r="J21" i="10"/>
  <c r="J22" i="10"/>
  <c r="J23" i="10"/>
  <c r="K31" i="5"/>
  <c r="J24" i="10"/>
  <c r="J25" i="10"/>
  <c r="K36" i="5"/>
  <c r="K37" i="5"/>
  <c r="K39" i="5"/>
  <c r="K49" i="5"/>
  <c r="K59" i="5"/>
  <c r="K60" i="5"/>
  <c r="K61" i="5"/>
  <c r="L16" i="5"/>
  <c r="K8" i="10"/>
  <c r="K9" i="10"/>
  <c r="K10" i="10"/>
  <c r="L22" i="5"/>
  <c r="K11" i="10"/>
  <c r="L23" i="5"/>
  <c r="K12" i="10"/>
  <c r="L24" i="5"/>
  <c r="K13" i="10"/>
  <c r="K14" i="10"/>
  <c r="L17" i="5"/>
  <c r="L18" i="5"/>
  <c r="L26" i="5"/>
  <c r="K15" i="10"/>
  <c r="L27" i="5"/>
  <c r="K16" i="10"/>
  <c r="L28" i="5"/>
  <c r="K17" i="10"/>
  <c r="K18" i="10"/>
  <c r="K19" i="10"/>
  <c r="L29" i="5"/>
  <c r="K20" i="10"/>
  <c r="L30" i="5"/>
  <c r="K21" i="10"/>
  <c r="K22" i="10"/>
  <c r="K23" i="10"/>
  <c r="L31" i="5"/>
  <c r="K24" i="10"/>
  <c r="K25" i="10"/>
  <c r="L36" i="5"/>
  <c r="L37" i="5"/>
  <c r="L39" i="5"/>
  <c r="L49" i="5"/>
  <c r="L59" i="5"/>
  <c r="L60" i="5"/>
  <c r="L61" i="5"/>
  <c r="M61" i="5"/>
  <c r="D9" i="8"/>
  <c r="D8" i="8"/>
  <c r="D12" i="8"/>
  <c r="E9" i="8"/>
  <c r="E8" i="8"/>
  <c r="E12" i="8"/>
  <c r="F9" i="8"/>
  <c r="F8" i="8"/>
  <c r="F12" i="8"/>
  <c r="G9" i="8"/>
  <c r="G8" i="8"/>
  <c r="G12" i="8"/>
  <c r="H9" i="8"/>
  <c r="H8" i="8"/>
  <c r="H12" i="8"/>
  <c r="I9" i="8"/>
  <c r="I8" i="8"/>
  <c r="I12" i="8"/>
  <c r="J9" i="8"/>
  <c r="J8" i="8"/>
  <c r="J12" i="8"/>
  <c r="K9" i="8"/>
  <c r="K8" i="8"/>
  <c r="K12" i="8"/>
  <c r="L9" i="8"/>
  <c r="L8" i="8"/>
  <c r="L12" i="8"/>
  <c r="C9" i="8"/>
  <c r="C8" i="8"/>
  <c r="C12" i="8"/>
  <c r="D11" i="8"/>
  <c r="E11" i="8"/>
  <c r="F11" i="8"/>
  <c r="G11" i="8"/>
  <c r="H11" i="8"/>
  <c r="I11" i="8"/>
  <c r="J11" i="8"/>
  <c r="K11" i="8"/>
  <c r="L11" i="8"/>
  <c r="C11" i="8"/>
  <c r="L14" i="9"/>
  <c r="K14" i="9"/>
  <c r="J14" i="9"/>
  <c r="I14" i="9"/>
  <c r="H14" i="9"/>
  <c r="G14" i="9"/>
  <c r="F14" i="9"/>
  <c r="E14" i="9"/>
  <c r="D14" i="9"/>
  <c r="C14" i="9"/>
  <c r="L13" i="9"/>
  <c r="K13" i="9"/>
  <c r="J13" i="9"/>
  <c r="I13" i="9"/>
  <c r="H13" i="9"/>
  <c r="G13" i="9"/>
  <c r="F13" i="9"/>
  <c r="E13" i="9"/>
  <c r="D13" i="9"/>
  <c r="C13" i="9"/>
  <c r="L26" i="6"/>
  <c r="L38" i="6"/>
  <c r="L50" i="6"/>
  <c r="L62" i="6"/>
  <c r="L74" i="6"/>
  <c r="L86" i="6"/>
  <c r="L98" i="6"/>
  <c r="L110" i="6"/>
  <c r="L122" i="6"/>
  <c r="L134" i="6"/>
  <c r="L138" i="6"/>
  <c r="L12" i="9"/>
  <c r="L126" i="6"/>
  <c r="K12" i="9"/>
  <c r="L114" i="6"/>
  <c r="J12" i="9"/>
  <c r="L102" i="6"/>
  <c r="I12" i="9"/>
  <c r="L90" i="6"/>
  <c r="H12" i="9"/>
  <c r="L78" i="6"/>
  <c r="G12" i="9"/>
  <c r="L66" i="6"/>
  <c r="F12" i="9"/>
  <c r="L54" i="6"/>
  <c r="E12" i="9"/>
  <c r="L42" i="6"/>
  <c r="D12" i="9"/>
  <c r="L30" i="6"/>
  <c r="C12" i="9"/>
  <c r="F4" i="5"/>
  <c r="G25" i="6"/>
  <c r="F5" i="5"/>
  <c r="G26" i="6"/>
  <c r="G27" i="6"/>
  <c r="F6" i="5"/>
  <c r="G16" i="6"/>
  <c r="G28" i="6"/>
  <c r="G29" i="6"/>
  <c r="F7" i="5"/>
  <c r="G11" i="6"/>
  <c r="G30" i="6"/>
  <c r="C11" i="9"/>
  <c r="G37" i="6"/>
  <c r="G38" i="6"/>
  <c r="G39" i="6"/>
  <c r="G40" i="6"/>
  <c r="G41" i="6"/>
  <c r="G42" i="6"/>
  <c r="D11" i="9"/>
  <c r="G49" i="6"/>
  <c r="G50" i="6"/>
  <c r="G51" i="6"/>
  <c r="G52" i="6"/>
  <c r="G53" i="6"/>
  <c r="G54" i="6"/>
  <c r="E11" i="9"/>
  <c r="G61" i="6"/>
  <c r="G62" i="6"/>
  <c r="G63" i="6"/>
  <c r="G64" i="6"/>
  <c r="G65" i="6"/>
  <c r="G66" i="6"/>
  <c r="F11" i="9"/>
  <c r="G73" i="6"/>
  <c r="G74" i="6"/>
  <c r="G75" i="6"/>
  <c r="G76" i="6"/>
  <c r="G77" i="6"/>
  <c r="G78" i="6"/>
  <c r="G11" i="9"/>
  <c r="G85" i="6"/>
  <c r="G86" i="6"/>
  <c r="G87" i="6"/>
  <c r="G88" i="6"/>
  <c r="G89" i="6"/>
  <c r="H11" i="9"/>
  <c r="G97" i="6"/>
  <c r="G98" i="6"/>
  <c r="G99" i="6"/>
  <c r="G100" i="6"/>
  <c r="G101" i="6"/>
  <c r="G102" i="6"/>
  <c r="I11" i="9"/>
  <c r="G109" i="6"/>
  <c r="G110" i="6"/>
  <c r="G111" i="6"/>
  <c r="G112" i="6"/>
  <c r="G113" i="6"/>
  <c r="G107" i="6"/>
  <c r="G114" i="6"/>
  <c r="J11" i="9"/>
  <c r="G133" i="6"/>
  <c r="G134" i="6"/>
  <c r="G135" i="6"/>
  <c r="G124" i="6"/>
  <c r="G136" i="6"/>
  <c r="G137" i="6"/>
  <c r="G119" i="6"/>
  <c r="G131" i="6"/>
  <c r="G138" i="6"/>
  <c r="L11" i="9"/>
  <c r="G121" i="6"/>
  <c r="G122" i="6"/>
  <c r="G123" i="6"/>
  <c r="G125" i="6"/>
  <c r="G126" i="6"/>
  <c r="K11" i="9"/>
  <c r="L10" i="9"/>
  <c r="K10" i="9"/>
  <c r="J10" i="9"/>
  <c r="I10" i="9"/>
  <c r="H10" i="9"/>
  <c r="G10" i="9"/>
  <c r="F10" i="9"/>
  <c r="E10" i="9"/>
  <c r="D10" i="9"/>
  <c r="C10" i="9"/>
  <c r="L9" i="9"/>
  <c r="K9" i="9"/>
  <c r="J9" i="9"/>
  <c r="I9" i="9"/>
  <c r="H9" i="9"/>
  <c r="G9" i="9"/>
  <c r="F9" i="9"/>
  <c r="E9" i="9"/>
  <c r="D9" i="9"/>
  <c r="C9" i="9"/>
  <c r="L8" i="9"/>
  <c r="K8" i="9"/>
  <c r="J8" i="9"/>
  <c r="I8" i="9"/>
  <c r="H8" i="9"/>
  <c r="G8" i="9"/>
  <c r="F8" i="9"/>
  <c r="E8" i="9"/>
  <c r="D8" i="9"/>
  <c r="C8" i="9"/>
  <c r="D32" i="5"/>
  <c r="H26" i="5"/>
  <c r="G15" i="10"/>
  <c r="G26" i="5"/>
  <c r="F15" i="10"/>
  <c r="F26" i="5"/>
  <c r="E15" i="10"/>
  <c r="E26" i="5"/>
  <c r="D15" i="10"/>
  <c r="B24" i="10"/>
  <c r="B21" i="10"/>
  <c r="B20" i="10"/>
  <c r="B17" i="10"/>
  <c r="B16" i="10"/>
  <c r="B15" i="10"/>
  <c r="B14" i="10"/>
  <c r="B13" i="10"/>
  <c r="B12" i="10"/>
  <c r="B11" i="10"/>
  <c r="B8" i="10"/>
  <c r="M43" i="5"/>
  <c r="D80" i="5"/>
  <c r="F8" i="5"/>
  <c r="D83" i="5"/>
  <c r="K79" i="5"/>
  <c r="D72" i="5"/>
  <c r="D89" i="5"/>
  <c r="D98" i="5"/>
  <c r="D101" i="5"/>
  <c r="D102" i="5"/>
  <c r="E72" i="5"/>
  <c r="E89" i="5"/>
  <c r="E98" i="5"/>
  <c r="E101" i="5"/>
  <c r="E102" i="5"/>
  <c r="F72" i="5"/>
  <c r="F89" i="5"/>
  <c r="F98" i="5"/>
  <c r="F101" i="5"/>
  <c r="F102" i="5"/>
  <c r="G72" i="5"/>
  <c r="G89" i="5"/>
  <c r="G98" i="5"/>
  <c r="G101" i="5"/>
  <c r="G102" i="5"/>
  <c r="H72" i="5"/>
  <c r="H89" i="5"/>
  <c r="H98" i="5"/>
  <c r="H101" i="5"/>
  <c r="H102" i="5"/>
  <c r="I72" i="5"/>
  <c r="I89" i="5"/>
  <c r="I98" i="5"/>
  <c r="I101" i="5"/>
  <c r="I102" i="5"/>
  <c r="J72" i="5"/>
  <c r="J89" i="5"/>
  <c r="J98" i="5"/>
  <c r="J101" i="5"/>
  <c r="J102" i="5"/>
  <c r="K72" i="5"/>
  <c r="K89" i="5"/>
  <c r="K98" i="5"/>
  <c r="K101" i="5"/>
  <c r="K102" i="5"/>
  <c r="L72" i="5"/>
  <c r="L89" i="5"/>
  <c r="L98" i="5"/>
  <c r="L101" i="5"/>
  <c r="L102" i="5"/>
  <c r="M72" i="5"/>
  <c r="M89" i="5"/>
  <c r="M98" i="5"/>
  <c r="M101" i="5"/>
  <c r="M102" i="5"/>
  <c r="E106" i="5"/>
  <c r="E109" i="5"/>
  <c r="E110" i="5"/>
  <c r="E112" i="5"/>
  <c r="D109" i="5"/>
  <c r="D99" i="5"/>
  <c r="D100" i="5"/>
  <c r="E99" i="5"/>
  <c r="E100" i="5"/>
  <c r="F99" i="5"/>
  <c r="F100" i="5"/>
  <c r="G99" i="5"/>
  <c r="G100" i="5"/>
  <c r="H99" i="5"/>
  <c r="H100" i="5"/>
  <c r="I99" i="5"/>
  <c r="I100" i="5"/>
  <c r="J99" i="5"/>
  <c r="J100" i="5"/>
  <c r="K99" i="5"/>
  <c r="K100" i="5"/>
  <c r="L99" i="5"/>
  <c r="L100" i="5"/>
  <c r="M99" i="5"/>
  <c r="M100" i="5"/>
  <c r="E105" i="5"/>
  <c r="D111" i="5"/>
  <c r="D112" i="5"/>
  <c r="C109" i="5"/>
  <c r="G110" i="5"/>
  <c r="D114" i="5"/>
  <c r="E114" i="5"/>
  <c r="D118" i="5"/>
  <c r="D119" i="5"/>
  <c r="E118" i="5"/>
  <c r="E119" i="5"/>
  <c r="F118" i="5"/>
  <c r="F119" i="5"/>
  <c r="G118" i="5"/>
  <c r="G119" i="5"/>
  <c r="H118" i="5"/>
  <c r="H119" i="5"/>
  <c r="I118" i="5"/>
  <c r="I119" i="5"/>
  <c r="J118" i="5"/>
  <c r="J119" i="5"/>
  <c r="K118" i="5"/>
  <c r="K119" i="5"/>
  <c r="L118" i="5"/>
  <c r="L119" i="5"/>
  <c r="M118" i="5"/>
  <c r="M119" i="5"/>
  <c r="D121" i="5"/>
  <c r="D122" i="5"/>
  <c r="D120" i="5"/>
  <c r="C111" i="5"/>
  <c r="D106" i="5"/>
  <c r="L18" i="6"/>
  <c r="M90" i="5"/>
  <c r="L90" i="5"/>
  <c r="K90" i="5"/>
  <c r="J90" i="5"/>
  <c r="I90" i="5"/>
  <c r="H90" i="5"/>
  <c r="G90" i="5"/>
  <c r="F90" i="5"/>
  <c r="E90" i="5"/>
  <c r="D90" i="5"/>
  <c r="G14" i="6"/>
  <c r="C36" i="5"/>
  <c r="C15" i="5"/>
  <c r="C14" i="5"/>
  <c r="C13" i="5"/>
  <c r="C11" i="5"/>
  <c r="D7" i="5"/>
  <c r="D6" i="5"/>
  <c r="D5" i="5"/>
  <c r="D4" i="5"/>
  <c r="J34" i="4"/>
  <c r="K34" i="4"/>
  <c r="L34" i="4"/>
  <c r="M34" i="4"/>
  <c r="N34" i="4"/>
  <c r="O34" i="4"/>
  <c r="P34" i="4"/>
  <c r="Q34" i="4"/>
  <c r="R34" i="4"/>
  <c r="S34" i="4"/>
  <c r="J28" i="4"/>
  <c r="K28" i="4"/>
  <c r="L28" i="4"/>
  <c r="M28" i="4"/>
  <c r="N28" i="4"/>
  <c r="O28" i="4"/>
  <c r="P28" i="4"/>
  <c r="Q28" i="4"/>
  <c r="R28" i="4"/>
  <c r="S28" i="4"/>
  <c r="J36" i="4"/>
  <c r="L36" i="4"/>
  <c r="K36" i="4"/>
  <c r="M36" i="4"/>
  <c r="N36" i="4"/>
  <c r="O36" i="4"/>
  <c r="P36" i="4"/>
  <c r="Q36" i="4"/>
  <c r="R36" i="4"/>
  <c r="S36" i="4"/>
  <c r="G13" i="6"/>
  <c r="G18" i="6"/>
  <c r="D17" i="5"/>
  <c r="E17" i="5"/>
  <c r="D44" i="5"/>
  <c r="F17" i="5"/>
  <c r="G17" i="5"/>
  <c r="E32" i="5"/>
  <c r="H17" i="5"/>
  <c r="F32" i="5"/>
  <c r="G32" i="5"/>
  <c r="E43" i="5"/>
  <c r="E50" i="5"/>
  <c r="F43" i="5"/>
  <c r="F50" i="5"/>
  <c r="E51" i="5"/>
  <c r="F73" i="5"/>
  <c r="E73" i="5"/>
  <c r="H32" i="5"/>
  <c r="E91" i="5"/>
  <c r="G43" i="5"/>
  <c r="G50" i="5"/>
  <c r="D73" i="5"/>
  <c r="D63" i="5"/>
  <c r="I32" i="5"/>
  <c r="F91" i="5"/>
  <c r="D91" i="5"/>
  <c r="G73" i="5"/>
  <c r="J32" i="5"/>
  <c r="G91" i="5"/>
  <c r="I43" i="5"/>
  <c r="I50" i="5"/>
  <c r="H43" i="5"/>
  <c r="H50" i="5"/>
  <c r="K32" i="5"/>
  <c r="J43" i="5"/>
  <c r="J50" i="5"/>
  <c r="I73" i="5"/>
  <c r="J73" i="5"/>
  <c r="L32" i="5"/>
  <c r="I91" i="5"/>
  <c r="J91" i="5"/>
  <c r="K43" i="5"/>
  <c r="K50" i="5"/>
  <c r="H73" i="5"/>
  <c r="M32" i="5"/>
  <c r="L43" i="5"/>
  <c r="L50" i="5"/>
  <c r="H91" i="5"/>
  <c r="K73" i="5"/>
  <c r="K91" i="5"/>
  <c r="L73" i="5"/>
  <c r="M50" i="5"/>
  <c r="L91" i="5"/>
  <c r="M73" i="5"/>
  <c r="D75" i="5"/>
  <c r="D76" i="5"/>
  <c r="M91" i="5"/>
  <c r="D93" i="5"/>
  <c r="D10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9C1786-D6FF-4342-AEBC-FD15E30E4819}" keepAlive="1" name="Consulta - Tabla1" description="Conexión a la consulta 'Tabla1' en el libro." type="5" refreshedVersion="0" background="1">
    <dbPr connection="Provider=Microsoft.Mashup.OleDb.1;Data Source=$Workbook$;Location=Tabla1;Extended Properties=&quot;&quot;" command="SELECT * FROM [Tabla1]"/>
  </connection>
</connections>
</file>

<file path=xl/sharedStrings.xml><?xml version="1.0" encoding="utf-8"?>
<sst xmlns="http://schemas.openxmlformats.org/spreadsheetml/2006/main" count="389" uniqueCount="187">
  <si>
    <t>Costos para el proyecto de ampliación de la planta</t>
  </si>
  <si>
    <t>Rubro</t>
  </si>
  <si>
    <t>Valor Inicial (en pesos)</t>
  </si>
  <si>
    <t>Incremento Anual Esperado</t>
  </si>
  <si>
    <t>Costo de materia prima A/unidad</t>
  </si>
  <si>
    <t>Según Inflación</t>
  </si>
  <si>
    <t>Costo de materia prima B/unidad</t>
  </si>
  <si>
    <t>Costo de materiales / unidad</t>
  </si>
  <si>
    <t>Costo de mano de obra /unidad</t>
  </si>
  <si>
    <t>Costo de mantenimiento del equipo/año</t>
  </si>
  <si>
    <t>Gastos administrativos / unidad</t>
  </si>
  <si>
    <t>Gastos de venta / unidad</t>
  </si>
  <si>
    <t>Valor de recuperación del equipo</t>
  </si>
  <si>
    <t>Capital de trabajo requerido</t>
  </si>
  <si>
    <t>Se estima una inflación anual promedio de 8% para los próximos 10 años</t>
  </si>
  <si>
    <t>Nivel de Utilidad en pesos</t>
  </si>
  <si>
    <t>Limite Inferior</t>
  </si>
  <si>
    <t>Limite Superior</t>
  </si>
  <si>
    <t>Cuota Fija en pesos</t>
  </si>
  <si>
    <t>Tasa de impuestos</t>
  </si>
  <si>
    <t>DATOS</t>
  </si>
  <si>
    <t>IMPUESTOS SOBRE LA RENTA</t>
  </si>
  <si>
    <t>VENTAS(Vestidos)</t>
  </si>
  <si>
    <t>Tasa de crecimiento(anual)</t>
  </si>
  <si>
    <t>PRECIO(por unidad)</t>
  </si>
  <si>
    <t>Variación por tipo de cambio(anual)</t>
  </si>
  <si>
    <t>Terreno</t>
  </si>
  <si>
    <t>Construcción de Infraestructura</t>
  </si>
  <si>
    <t>Vida util en años</t>
  </si>
  <si>
    <t>Maquinaria nueva</t>
  </si>
  <si>
    <t>Capacidad de prod. Anual (Vestidos)</t>
  </si>
  <si>
    <t>1</t>
  </si>
  <si>
    <t>2</t>
  </si>
  <si>
    <t>3</t>
  </si>
  <si>
    <t>4</t>
  </si>
  <si>
    <t>5</t>
  </si>
  <si>
    <t>6</t>
  </si>
  <si>
    <t>7</t>
  </si>
  <si>
    <t>8</t>
  </si>
  <si>
    <t>9</t>
  </si>
  <si>
    <t>10</t>
  </si>
  <si>
    <t xml:space="preserve">Costo de materia prima A /unidad </t>
  </si>
  <si>
    <t>Valor de rescate</t>
  </si>
  <si>
    <t>Subcontratar prod. faltante(por vestido)</t>
  </si>
  <si>
    <t>Costo de materia prima B /unidad</t>
  </si>
  <si>
    <t>Costo de Capital (k)</t>
  </si>
  <si>
    <t>Costo de materiales /unidad</t>
  </si>
  <si>
    <t>IVA</t>
  </si>
  <si>
    <t>Costo de mantenimiento /año</t>
  </si>
  <si>
    <t>Gastos administrativos /unidad</t>
  </si>
  <si>
    <t>Gastos de venta /unidad</t>
  </si>
  <si>
    <t>Precio de venta /unidad</t>
  </si>
  <si>
    <t>Costo variable /unidad</t>
  </si>
  <si>
    <t>PRESUPUESTO DE INVERSIÓN</t>
  </si>
  <si>
    <t>INVERSIÓN FIJA, DIFERIDA Y CAPITAL DE TRABAJO</t>
  </si>
  <si>
    <t>Io=</t>
  </si>
  <si>
    <t>PRESUPUESTO DE INGRESOS</t>
  </si>
  <si>
    <t>PERIODO</t>
  </si>
  <si>
    <t>INGRESO POR VENTA</t>
  </si>
  <si>
    <t>Exceso de producción (pares)</t>
  </si>
  <si>
    <t>Subcontratar prod. faltante(por par)</t>
  </si>
  <si>
    <t>PRESUPUESTO DE EGRESOS</t>
  </si>
  <si>
    <t>Costo de mano de obra</t>
  </si>
  <si>
    <t>Costo de materia prima</t>
  </si>
  <si>
    <t>Costo de materiales</t>
  </si>
  <si>
    <t>Costo de mantenimiento</t>
  </si>
  <si>
    <t>Costo de maquila</t>
  </si>
  <si>
    <t>Depreciación de maquinaria</t>
  </si>
  <si>
    <t>Depreciación de infraestructura</t>
  </si>
  <si>
    <t>Gastos de venta</t>
  </si>
  <si>
    <t>Gastos administrativos</t>
  </si>
  <si>
    <t>Impuestos</t>
  </si>
  <si>
    <t>TOTAL DE EGRESOS</t>
  </si>
  <si>
    <t>ESTADO DE RESULTADOS</t>
  </si>
  <si>
    <t>Impuestos sobre venta (IVA)</t>
  </si>
  <si>
    <t>VENTAS NETAS</t>
  </si>
  <si>
    <t>Total de costos</t>
  </si>
  <si>
    <t>UTILIDAD BRUTA</t>
  </si>
  <si>
    <t>Total de gastos</t>
  </si>
  <si>
    <t>UTILIDAD ANTES DE IMPUESTOS</t>
  </si>
  <si>
    <t>UTILIDAD DEL EJERCICIO</t>
  </si>
  <si>
    <t>FLUJO NETO DE EFECTIVO</t>
  </si>
  <si>
    <t>DEPRECIACION TOTAL</t>
  </si>
  <si>
    <t>REINVERSION</t>
  </si>
  <si>
    <t>FLUJO NETO DE EFECTIVO (FNE)</t>
  </si>
  <si>
    <t>SUMA DE FLUJOS DE EFECTIVOS NETOS</t>
  </si>
  <si>
    <t>SUMA</t>
  </si>
  <si>
    <t>Io</t>
  </si>
  <si>
    <t>CAPITAL</t>
  </si>
  <si>
    <t>PERIODO DE RECUPERACION</t>
  </si>
  <si>
    <t>FNE</t>
  </si>
  <si>
    <t>FNE ACUMULADO</t>
  </si>
  <si>
    <t>-</t>
  </si>
  <si>
    <t>RECUPERACION DE INVERSION</t>
  </si>
  <si>
    <t>PERIODO DE RECUPERACIÓN DESCONTADO</t>
  </si>
  <si>
    <t>FLUJO DE EFECTIVO DESCONTADO</t>
  </si>
  <si>
    <t>PRD</t>
  </si>
  <si>
    <t>INDICE DE RENTABILIDAD</t>
  </si>
  <si>
    <t>VP DE FLUJOS</t>
  </si>
  <si>
    <t>TASA DE INTERES</t>
  </si>
  <si>
    <t>SUMA DE VP DE LOS FLUJOS</t>
  </si>
  <si>
    <t>RENDIMIENTO ANUAL PROMEDIO</t>
  </si>
  <si>
    <t>SUMA DE FLUJOS NETOS</t>
  </si>
  <si>
    <t>TIEMPO DE VIDA EN AÑOS</t>
  </si>
  <si>
    <t>FORMULA</t>
  </si>
  <si>
    <t>RAP</t>
  </si>
  <si>
    <t>K</t>
  </si>
  <si>
    <t>(SFN/TiempoVida)/Io</t>
  </si>
  <si>
    <t>(K+1)^n</t>
  </si>
  <si>
    <t>FEN/(1+K)^n</t>
  </si>
  <si>
    <t>VPN</t>
  </si>
  <si>
    <t>Activo Circulante</t>
  </si>
  <si>
    <t>Activo No Circulante</t>
  </si>
  <si>
    <t>TOTAL ACTIVO</t>
  </si>
  <si>
    <t xml:space="preserve">Capital de trabajo requerido </t>
  </si>
  <si>
    <t>Pasivos</t>
  </si>
  <si>
    <t>Capital Contable</t>
  </si>
  <si>
    <t>Capital Social</t>
  </si>
  <si>
    <t>PASIVOS+CAPITAL=</t>
  </si>
  <si>
    <t>PUNTO DE EQUILIBRIO</t>
  </si>
  <si>
    <t>COSTOS VARIABLES</t>
  </si>
  <si>
    <t>VENTAS TOTALES</t>
  </si>
  <si>
    <t>PUNTO DE EQUILIBRIO EN VALOR</t>
  </si>
  <si>
    <t>VALOR PRESENTE NETO</t>
  </si>
  <si>
    <t>TASA INTERNA DE RETORNO</t>
  </si>
  <si>
    <t>(K+1)^n (MAYOR)</t>
  </si>
  <si>
    <t>(K+1)^n (MENOR)</t>
  </si>
  <si>
    <t>FEN/(1+K)^n (MENOR)</t>
  </si>
  <si>
    <t>K Propuesta MAYOR</t>
  </si>
  <si>
    <t>K Propuesta MENOR</t>
  </si>
  <si>
    <t>VPN MAYOR</t>
  </si>
  <si>
    <t>VPN MENOR</t>
  </si>
  <si>
    <t>FNE/(1+K)^n (MAYOR)</t>
  </si>
  <si>
    <t>R%</t>
  </si>
  <si>
    <t>TIR</t>
  </si>
  <si>
    <t>Diferencia de Tasas</t>
  </si>
  <si>
    <t>TASA INTERNA DE RETORNO (COMPROBACION)</t>
  </si>
  <si>
    <t>SI</t>
  </si>
  <si>
    <t>RAP&gt;K</t>
  </si>
  <si>
    <t>ACEPTADO</t>
  </si>
  <si>
    <t>RAP&lt;K</t>
  </si>
  <si>
    <t/>
  </si>
  <si>
    <t>RAP=K</t>
  </si>
  <si>
    <t>RECHAZADO</t>
  </si>
  <si>
    <t>ESTATUS</t>
  </si>
  <si>
    <t>Por cada peso invertido se recuperan 0.23 centavos</t>
  </si>
  <si>
    <t>BALANCE GENERAL DE Textiles Diana S.A de C.V</t>
  </si>
  <si>
    <t>PUNTO DE EQUILIBRIO EN CANTIDAD</t>
  </si>
  <si>
    <t>METODO</t>
  </si>
  <si>
    <t>RESULTADO</t>
  </si>
  <si>
    <t>PERIODO DE
RECUPERACIÓN</t>
  </si>
  <si>
    <t>PERIODO DE RECUPERACION
DESCONTADO</t>
  </si>
  <si>
    <t>INDICE DE 
RENTABILIDAD</t>
  </si>
  <si>
    <t>Por cada peso invertido se 
recuperan 23 centavos</t>
  </si>
  <si>
    <t>RENDIMIENTO ANUAL
PROMEDIO</t>
  </si>
  <si>
    <t>VALOR PRESENTE 
NETO</t>
  </si>
  <si>
    <t>TASA DE INTERES DE
RETORNO</t>
  </si>
  <si>
    <t>Se necesita 1 año con 3 meses y
14 dias para recuperar la inversion</t>
  </si>
  <si>
    <t>el periodo de recuperación de la inversion esta estimado en 2 años con 10 meses y 24 dias</t>
  </si>
  <si>
    <t>Se acepta el proyecto porque el RAP = 48% que es mayor a k=45%</t>
  </si>
  <si>
    <t>Se acepta el proyecto porque el VPN es mayor a 0</t>
  </si>
  <si>
    <t>TIR = 57% que es mayor a K = 45% por tanto el proyecto de inversion es aceptado</t>
  </si>
  <si>
    <t>RESULTADOS</t>
  </si>
  <si>
    <t>VENTAS</t>
  </si>
  <si>
    <t>UTILIDAD/PERDIDA DEL 
EJERCICIO ANTERIOR</t>
  </si>
  <si>
    <t>TOTAL ACTIVOS</t>
  </si>
  <si>
    <t>TOTAL PASIVOS MÁS CAPITAL CONTABLE</t>
  </si>
  <si>
    <t>PUNTO DE EQUILIBRIO POR CANTIDAD</t>
  </si>
  <si>
    <t>COSTOS FIJO</t>
  </si>
  <si>
    <t>Año</t>
  </si>
  <si>
    <t>Unidades</t>
  </si>
  <si>
    <t>Precio</t>
  </si>
  <si>
    <t>COSTOS</t>
  </si>
  <si>
    <t>Gastos</t>
  </si>
  <si>
    <t>Materia prima A / unidad</t>
  </si>
  <si>
    <t>Materia prima A total</t>
  </si>
  <si>
    <t>Materia prima B / unidad</t>
  </si>
  <si>
    <t>Materia prima B total</t>
  </si>
  <si>
    <t>Materiales / unidad</t>
  </si>
  <si>
    <t>Materiales total</t>
  </si>
  <si>
    <t>Mano de obra / unidad</t>
  </si>
  <si>
    <t>Mano de obra total</t>
  </si>
  <si>
    <t>Mantenimiento del equipo por año</t>
  </si>
  <si>
    <t>Administrativos / unidad</t>
  </si>
  <si>
    <t>Administrativos total</t>
  </si>
  <si>
    <t>Venta /unidad</t>
  </si>
  <si>
    <t>Venta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</si>
</sst>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_-&quot;$&quot;* #,##0.00_-;\-&quot;$&quot;* #,##0.00_-;_-&quot;$&quot;* &quot;-&quot;??_-;_-@_-"/>
    <numFmt numFmtId="165" formatCode="&quot;$&quot;#,##0.00"/>
    <numFmt numFmtId="166" formatCode="_-* #,##0.00\ &quot;€&quot;_-;\-* #,##0.00\ &quot;€&quot;_-;_-* &quot;-&quot;??\ &quot;€&quot;_-;_-@_-"/>
    <numFmt numFmtId="167" formatCode="#,##0.0000"/>
    <numFmt numFmtId="168" formatCode="0.0%"/>
    <numFmt numFmtId="169" formatCode="0.0000"/>
    <numFmt numFmtId="170" formatCode="0.000%"/>
    <numFmt numFmtId="171" formatCode="0.00000%"/>
    <numFmt numFmtId="172" formatCode="0.000000"/>
  </numFmts>
  <fonts count="19" x14ac:knownFonts="1">
    <font>
      <sz val="11"/>
      <color theme="1"/>
      <name val="Arial Nova Cond"/>
      <family val="2"/>
      <scheme val="minor"/>
    </font>
    <font>
      <sz val="11"/>
      <color theme="1"/>
      <name val="Arial Nova Cond"/>
      <family val="2"/>
      <scheme val="minor"/>
    </font>
    <font>
      <sz val="11"/>
      <color theme="0"/>
      <name val="Arial Nova Cond"/>
      <family val="2"/>
      <scheme val="minor"/>
    </font>
    <font>
      <b/>
      <sz val="12"/>
      <color theme="1"/>
      <name val="Arial Nova Cond"/>
      <family val="2"/>
      <scheme val="minor"/>
    </font>
    <font>
      <b/>
      <sz val="11"/>
      <color theme="0"/>
      <name val="Arial Nova Cond"/>
      <family val="2"/>
      <scheme val="minor"/>
    </font>
    <font>
      <b/>
      <sz val="11"/>
      <color theme="5" tint="0.79998168889431442"/>
      <name val="Arial Nova Cond"/>
      <family val="2"/>
      <scheme val="minor"/>
    </font>
    <font>
      <sz val="12"/>
      <color theme="1"/>
      <name val="Arial Nova Cond"/>
      <family val="2"/>
      <scheme val="minor"/>
    </font>
    <font>
      <sz val="11"/>
      <color theme="1"/>
      <name val="Century Gothic"/>
      <family val="2"/>
    </font>
    <font>
      <b/>
      <sz val="11"/>
      <color theme="1"/>
      <name val="Arial Nova Cond"/>
      <family val="2"/>
      <scheme val="minor"/>
    </font>
    <font>
      <sz val="12"/>
      <color theme="0"/>
      <name val="Arial Nova Cond"/>
      <family val="2"/>
      <scheme val="minor"/>
    </font>
    <font>
      <b/>
      <sz val="12"/>
      <color theme="0"/>
      <name val="Arial Nova Cond"/>
      <family val="2"/>
      <scheme val="minor"/>
    </font>
    <font>
      <b/>
      <sz val="11"/>
      <color theme="0"/>
      <name val="Century Gothic"/>
      <family val="2"/>
    </font>
    <font>
      <b/>
      <sz val="10"/>
      <color theme="1"/>
      <name val="Arial Nova Cond"/>
      <family val="2"/>
      <scheme val="minor"/>
    </font>
    <font>
      <b/>
      <sz val="18"/>
      <color theme="1"/>
      <name val="Arial Nova Cond"/>
      <family val="2"/>
      <scheme val="minor"/>
    </font>
    <font>
      <b/>
      <sz val="20"/>
      <color theme="1"/>
      <name val="Arial Nova Cond"/>
      <family val="2"/>
      <scheme val="minor"/>
    </font>
    <font>
      <b/>
      <sz val="22"/>
      <color theme="1"/>
      <name val="Arial Nova Cond"/>
      <family val="2"/>
      <scheme val="minor"/>
    </font>
    <font>
      <b/>
      <sz val="12"/>
      <color theme="0"/>
      <name val="Aharoni"/>
      <charset val="177"/>
    </font>
    <font>
      <b/>
      <sz val="14"/>
      <color theme="0"/>
      <name val="Aharoni"/>
      <charset val="177"/>
    </font>
    <font>
      <b/>
      <sz val="11"/>
      <color theme="0"/>
      <name val="Aharoni"/>
      <charset val="177"/>
    </font>
  </fonts>
  <fills count="24">
    <fill>
      <patternFill patternType="none"/>
    </fill>
    <fill>
      <patternFill patternType="gray125"/>
    </fill>
    <fill>
      <patternFill patternType="solid">
        <fgColor auto="1"/>
        <bgColor theme="2"/>
      </patternFill>
    </fill>
    <fill>
      <patternFill patternType="solid">
        <fgColor theme="7"/>
        <bgColor theme="2"/>
      </patternFill>
    </fill>
    <fill>
      <patternFill patternType="lightUp">
        <fgColor theme="2"/>
        <bgColor theme="3" tint="0.59996337778862885"/>
      </patternFill>
    </fill>
    <fill>
      <patternFill patternType="lightUp">
        <fgColor theme="2"/>
        <bgColor theme="4" tint="0.79998168889431442"/>
      </patternFill>
    </fill>
    <fill>
      <patternFill patternType="gray0625">
        <fgColor theme="5" tint="0.79998168889431442"/>
        <bgColor theme="4" tint="0.59996337778862885"/>
      </patternFill>
    </fill>
    <fill>
      <patternFill patternType="gray0625">
        <fgColor theme="9"/>
        <bgColor theme="6" tint="0.39991454817346722"/>
      </patternFill>
    </fill>
    <fill>
      <patternFill patternType="solid">
        <fgColor theme="8" tint="-0.24994659260841701"/>
        <bgColor theme="0"/>
      </patternFill>
    </fill>
    <fill>
      <patternFill patternType="solid">
        <fgColor theme="5" tint="-0.24994659260841701"/>
        <bgColor theme="0"/>
      </patternFill>
    </fill>
    <fill>
      <patternFill patternType="lightUp">
        <fgColor theme="2"/>
        <bgColor theme="0"/>
      </patternFill>
    </fill>
    <fill>
      <patternFill patternType="solid">
        <fgColor theme="9" tint="0.39994506668294322"/>
        <bgColor theme="0"/>
      </patternFill>
    </fill>
    <fill>
      <patternFill patternType="solid">
        <fgColor theme="9" tint="-0.24994659260841701"/>
        <bgColor theme="0"/>
      </patternFill>
    </fill>
    <fill>
      <patternFill patternType="solid">
        <fgColor theme="9" tint="-0.499984740745262"/>
        <bgColor theme="0"/>
      </patternFill>
    </fill>
    <fill>
      <patternFill patternType="solid">
        <fgColor theme="7" tint="-0.24994659260841701"/>
        <bgColor theme="0"/>
      </patternFill>
    </fill>
    <fill>
      <patternFill patternType="solid">
        <fgColor theme="0"/>
        <bgColor theme="0"/>
      </patternFill>
    </fill>
    <fill>
      <patternFill patternType="solid">
        <fgColor rgb="FFFBDCDE"/>
        <bgColor indexed="64"/>
      </patternFill>
    </fill>
    <fill>
      <patternFill patternType="solid">
        <fgColor theme="9" tint="0.79998168889431442"/>
        <bgColor indexed="64"/>
      </patternFill>
    </fill>
    <fill>
      <patternFill patternType="solid">
        <fgColor theme="0"/>
        <bgColor indexed="64"/>
      </patternFill>
    </fill>
    <fill>
      <patternFill patternType="solid">
        <fgColor rgb="FFFBDCDE"/>
        <bgColor theme="0"/>
      </patternFill>
    </fill>
    <fill>
      <patternFill patternType="solid">
        <fgColor rgb="FF5C5C5B"/>
        <bgColor theme="0"/>
      </patternFill>
    </fill>
    <fill>
      <patternFill patternType="solid">
        <fgColor rgb="FF5C5C5B"/>
        <bgColor indexed="64"/>
      </patternFill>
    </fill>
    <fill>
      <patternFill patternType="solid">
        <fgColor theme="1"/>
        <bgColor indexed="64"/>
      </patternFill>
    </fill>
    <fill>
      <patternFill patternType="solid">
        <fgColor theme="7" tint="-0.249977111117893"/>
        <bgColor indexed="64"/>
      </patternFill>
    </fill>
  </fills>
  <borders count="61">
    <border>
      <left/>
      <right/>
      <top/>
      <bottom/>
      <diagonal/>
    </border>
    <border>
      <left style="thick">
        <color theme="3" tint="0.39994506668294322"/>
      </left>
      <right style="thick">
        <color theme="3" tint="0.39994506668294322"/>
      </right>
      <top/>
      <bottom/>
      <diagonal/>
    </border>
    <border>
      <left style="thick">
        <color theme="2" tint="-0.499984740745262"/>
      </left>
      <right style="thick">
        <color theme="2" tint="-0.499984740745262"/>
      </right>
      <top style="thick">
        <color theme="2" tint="-0.499984740745262"/>
      </top>
      <bottom style="thick">
        <color theme="2" tint="-0.499984740745262"/>
      </bottom>
      <diagonal/>
    </border>
    <border>
      <left style="thick">
        <color theme="3" tint="0.39991454817346722"/>
      </left>
      <right style="thick">
        <color theme="3" tint="0.39991454817346722"/>
      </right>
      <top style="thick">
        <color theme="3" tint="0.39991454817346722"/>
      </top>
      <bottom style="thick">
        <color theme="3" tint="0.39991454817346722"/>
      </bottom>
      <diagonal/>
    </border>
    <border>
      <left style="thick">
        <color theme="3" tint="0.39982299264503923"/>
      </left>
      <right style="thick">
        <color theme="3" tint="0.39982299264503923"/>
      </right>
      <top/>
      <bottom style="thick">
        <color theme="3" tint="0.39985351115451523"/>
      </bottom>
      <diagonal/>
    </border>
    <border>
      <left style="thick">
        <color theme="3" tint="0.39985351115451523"/>
      </left>
      <right style="thick">
        <color theme="3" tint="0.39985351115451523"/>
      </right>
      <top style="thick">
        <color theme="3" tint="0.39988402966399123"/>
      </top>
      <bottom/>
      <diagonal/>
    </border>
    <border>
      <left/>
      <right/>
      <top style="thick">
        <color theme="2" tint="-0.499984740745262"/>
      </top>
      <bottom/>
      <diagonal/>
    </border>
    <border>
      <left style="thick">
        <color theme="2" tint="-0.499984740745262"/>
      </left>
      <right/>
      <top style="thick">
        <color theme="2" tint="-0.499984740745262"/>
      </top>
      <bottom/>
      <diagonal/>
    </border>
    <border>
      <left/>
      <right style="thick">
        <color theme="2" tint="-0.499984740745262"/>
      </right>
      <top style="thick">
        <color theme="2" tint="-0.499984740745262"/>
      </top>
      <bottom/>
      <diagonal/>
    </border>
    <border>
      <left/>
      <right/>
      <top style="thick">
        <color theme="2" tint="-0.499984740745262"/>
      </top>
      <bottom style="thick">
        <color theme="2" tint="-0.499984740745262"/>
      </bottom>
      <diagonal/>
    </border>
    <border>
      <left/>
      <right style="thick">
        <color theme="2" tint="-0.499984740745262"/>
      </right>
      <top style="thick">
        <color theme="2" tint="-0.499984740745262"/>
      </top>
      <bottom style="thick">
        <color theme="2" tint="-0.499984740745262"/>
      </bottom>
      <diagonal/>
    </border>
    <border>
      <left style="medium">
        <color rgb="FFD0B083"/>
      </left>
      <right style="medium">
        <color rgb="FFD0B083"/>
      </right>
      <top style="medium">
        <color rgb="FFD0B083"/>
      </top>
      <bottom style="medium">
        <color rgb="FFD0B083"/>
      </bottom>
      <diagonal/>
    </border>
    <border>
      <left/>
      <right style="medium">
        <color rgb="FFD0B083"/>
      </right>
      <top/>
      <bottom style="medium">
        <color rgb="FFD0B083"/>
      </bottom>
      <diagonal/>
    </border>
    <border>
      <left style="medium">
        <color rgb="FFD0B083"/>
      </left>
      <right style="medium">
        <color rgb="FFD0B083"/>
      </right>
      <top/>
      <bottom style="medium">
        <color rgb="FFD0B083"/>
      </bottom>
      <diagonal/>
    </border>
    <border>
      <left style="medium">
        <color rgb="FFD0B083"/>
      </left>
      <right/>
      <top/>
      <bottom style="medium">
        <color rgb="FFD0B083"/>
      </bottom>
      <diagonal/>
    </border>
    <border>
      <left/>
      <right style="medium">
        <color rgb="FFD0B083"/>
      </right>
      <top style="medium">
        <color rgb="FFD0B083"/>
      </top>
      <bottom style="medium">
        <color rgb="FFD0B083"/>
      </bottom>
      <diagonal/>
    </border>
    <border>
      <left style="medium">
        <color rgb="FFD0B083"/>
      </left>
      <right/>
      <top style="medium">
        <color rgb="FFD0B083"/>
      </top>
      <bottom style="medium">
        <color rgb="FFD0B083"/>
      </bottom>
      <diagonal/>
    </border>
    <border>
      <left/>
      <right style="medium">
        <color rgb="FFD0B083"/>
      </right>
      <top style="medium">
        <color rgb="FFD0B083"/>
      </top>
      <bottom/>
      <diagonal/>
    </border>
    <border>
      <left style="medium">
        <color rgb="FFD0B083"/>
      </left>
      <right style="medium">
        <color rgb="FFD0B083"/>
      </right>
      <top style="medium">
        <color rgb="FFD0B083"/>
      </top>
      <bottom/>
      <diagonal/>
    </border>
    <border>
      <left style="medium">
        <color rgb="FFD0B083"/>
      </left>
      <right/>
      <top style="medium">
        <color rgb="FFD0B083"/>
      </top>
      <bottom/>
      <diagonal/>
    </border>
    <border>
      <left/>
      <right/>
      <top/>
      <bottom style="medium">
        <color rgb="FFD0B083"/>
      </bottom>
      <diagonal/>
    </border>
    <border>
      <left/>
      <right/>
      <top style="medium">
        <color rgb="FFD0B083"/>
      </top>
      <bottom style="medium">
        <color rgb="FFD0B083"/>
      </bottom>
      <diagonal/>
    </border>
    <border>
      <left style="medium">
        <color theme="3"/>
      </left>
      <right style="medium">
        <color theme="3"/>
      </right>
      <top style="medium">
        <color theme="3"/>
      </top>
      <bottom style="medium">
        <color theme="3"/>
      </bottom>
      <diagonal/>
    </border>
    <border>
      <left style="medium">
        <color theme="3"/>
      </left>
      <right style="medium">
        <color theme="3"/>
      </right>
      <top/>
      <bottom style="medium">
        <color theme="3"/>
      </bottom>
      <diagonal/>
    </border>
    <border>
      <left style="thick">
        <color theme="9"/>
      </left>
      <right style="thick">
        <color theme="9"/>
      </right>
      <top style="thick">
        <color theme="9"/>
      </top>
      <bottom style="thick">
        <color theme="9"/>
      </bottom>
      <diagonal/>
    </border>
    <border>
      <left style="thin">
        <color indexed="64"/>
      </left>
      <right style="thin">
        <color indexed="64"/>
      </right>
      <top style="thin">
        <color indexed="64"/>
      </top>
      <bottom style="thin">
        <color indexed="64"/>
      </bottom>
      <diagonal/>
    </border>
    <border>
      <left style="thick">
        <color theme="1" tint="0.39997558519241921"/>
      </left>
      <right style="thick">
        <color theme="1" tint="0.39997558519241921"/>
      </right>
      <top style="thick">
        <color theme="1" tint="0.39997558519241921"/>
      </top>
      <bottom style="thick">
        <color theme="1" tint="0.39997558519241921"/>
      </bottom>
      <diagonal/>
    </border>
    <border>
      <left style="thick">
        <color theme="2" tint="-0.499984740745262"/>
      </left>
      <right style="thick">
        <color theme="2" tint="-0.499984740745262"/>
      </right>
      <top style="thick">
        <color theme="2" tint="-0.499984740745262"/>
      </top>
      <bottom/>
      <diagonal/>
    </border>
    <border>
      <left style="thick">
        <color rgb="FFD0B083"/>
      </left>
      <right style="thick">
        <color rgb="FFD0B083"/>
      </right>
      <top style="thick">
        <color rgb="FFD0B083"/>
      </top>
      <bottom style="thick">
        <color rgb="FFD0B083"/>
      </bottom>
      <diagonal/>
    </border>
    <border>
      <left style="thick">
        <color theme="1" tint="0.39997558519241921"/>
      </left>
      <right/>
      <top style="thick">
        <color theme="1" tint="0.39997558519241921"/>
      </top>
      <bottom style="thick">
        <color theme="1" tint="0.3999755851924192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ck">
        <color theme="2" tint="-0.499984740745262"/>
      </left>
      <right/>
      <top style="thick">
        <color theme="2" tint="-0.499984740745262"/>
      </top>
      <bottom style="thick">
        <color theme="2" tint="-0.499984740745262"/>
      </bottom>
      <diagonal/>
    </border>
    <border>
      <left style="thick">
        <color rgb="FFD0B083"/>
      </left>
      <right/>
      <top style="thick">
        <color rgb="FFD0B083"/>
      </top>
      <bottom style="thick">
        <color rgb="FFD0B083"/>
      </bottom>
      <diagonal/>
    </border>
    <border>
      <left/>
      <right/>
      <top style="thick">
        <color rgb="FFD0B083"/>
      </top>
      <bottom style="thick">
        <color rgb="FFD0B083"/>
      </bottom>
      <diagonal/>
    </border>
    <border>
      <left/>
      <right style="thick">
        <color rgb="FFD0B083"/>
      </right>
      <top style="thick">
        <color rgb="FFD0B083"/>
      </top>
      <bottom style="thick">
        <color rgb="FFD0B083"/>
      </bottom>
      <diagonal/>
    </border>
    <border>
      <left style="thick">
        <color theme="1"/>
      </left>
      <right style="thick">
        <color theme="1"/>
      </right>
      <top style="thick">
        <color theme="1"/>
      </top>
      <bottom style="thick">
        <color theme="1"/>
      </bottom>
      <diagonal/>
    </border>
    <border>
      <left style="thick">
        <color rgb="FFFBDCDE"/>
      </left>
      <right style="thick">
        <color rgb="FFFBDCDE"/>
      </right>
      <top style="thick">
        <color rgb="FFFBDCDE"/>
      </top>
      <bottom style="thick">
        <color rgb="FFFBDCDE"/>
      </bottom>
      <diagonal/>
    </border>
    <border>
      <left style="thick">
        <color theme="1"/>
      </left>
      <right/>
      <top style="thick">
        <color theme="1"/>
      </top>
      <bottom style="thick">
        <color theme="1"/>
      </bottom>
      <diagonal/>
    </border>
    <border>
      <left/>
      <right style="thick">
        <color rgb="FFFBDCDE"/>
      </right>
      <top style="thick">
        <color rgb="FFFBDCDE"/>
      </top>
      <bottom style="thick">
        <color rgb="FFFBDCDE"/>
      </bottom>
      <diagonal/>
    </border>
    <border>
      <left style="thick">
        <color rgb="FFFBDCDE"/>
      </left>
      <right/>
      <top style="thick">
        <color rgb="FFFBDCDE"/>
      </top>
      <bottom style="thick">
        <color rgb="FFFBDCDE"/>
      </bottom>
      <diagonal/>
    </border>
    <border>
      <left/>
      <right/>
      <top style="thick">
        <color rgb="FFFBDCDE"/>
      </top>
      <bottom style="thick">
        <color rgb="FFFBDCDE"/>
      </bottom>
      <diagonal/>
    </border>
    <border>
      <left style="thick">
        <color rgb="FFFBDCDE"/>
      </left>
      <right/>
      <top style="thick">
        <color rgb="FFFBDCDE"/>
      </top>
      <bottom/>
      <diagonal/>
    </border>
    <border>
      <left/>
      <right style="thick">
        <color rgb="FFFBDCDE"/>
      </right>
      <top style="thick">
        <color rgb="FFFBDCDE"/>
      </top>
      <bottom/>
      <diagonal/>
    </border>
    <border>
      <left style="thick">
        <color rgb="FFFBDCDE"/>
      </left>
      <right/>
      <top/>
      <bottom style="thick">
        <color rgb="FFFBDCDE"/>
      </bottom>
      <diagonal/>
    </border>
    <border>
      <left/>
      <right/>
      <top/>
      <bottom style="thick">
        <color rgb="FFFBDCDE"/>
      </bottom>
      <diagonal/>
    </border>
    <border>
      <left/>
      <right style="thick">
        <color rgb="FFFBDCDE"/>
      </right>
      <top/>
      <bottom/>
      <diagonal/>
    </border>
    <border>
      <left/>
      <right style="thick">
        <color rgb="FFFBDCDE"/>
      </right>
      <top/>
      <bottom style="thick">
        <color rgb="FFFBDCDE"/>
      </bottom>
      <diagonal/>
    </border>
    <border>
      <left style="thick">
        <color rgb="FFFBDCDE"/>
      </left>
      <right style="thick">
        <color rgb="FFFBDCDE"/>
      </right>
      <top/>
      <bottom/>
      <diagonal/>
    </border>
    <border>
      <left/>
      <right/>
      <top style="thick">
        <color rgb="FFFBDCDE"/>
      </top>
      <bottom/>
      <diagonal/>
    </border>
    <border>
      <left style="thick">
        <color theme="1" tint="0.39997558519241921"/>
      </left>
      <right style="thick">
        <color rgb="FFD0B083"/>
      </right>
      <top style="thick">
        <color theme="1" tint="0.39997558519241921"/>
      </top>
      <bottom/>
      <diagonal/>
    </border>
    <border>
      <left style="thick">
        <color theme="9"/>
      </left>
      <right/>
      <top/>
      <bottom/>
      <diagonal/>
    </border>
    <border>
      <left style="thick">
        <color rgb="FFD0B083"/>
      </left>
      <right style="thick">
        <color rgb="FFD0B083"/>
      </right>
      <top style="thick">
        <color rgb="FFD0B083"/>
      </top>
      <bottom style="thick">
        <color theme="9"/>
      </bottom>
      <diagonal/>
    </border>
    <border>
      <left style="thick">
        <color rgb="FFD0B083"/>
      </left>
      <right style="thick">
        <color rgb="FFD0B083"/>
      </right>
      <top/>
      <bottom style="thick">
        <color rgb="FFD0B083"/>
      </bottom>
      <diagonal/>
    </border>
    <border>
      <left style="thick">
        <color rgb="FFD0B083"/>
      </left>
      <right style="thick">
        <color rgb="FFD0B083"/>
      </right>
      <top style="thick">
        <color theme="2" tint="-0.499984740745262"/>
      </top>
      <bottom style="thick">
        <color rgb="FFD0B083"/>
      </bottom>
      <diagonal/>
    </border>
    <border>
      <left/>
      <right style="thick">
        <color rgb="FFD0B083"/>
      </right>
      <top style="thick">
        <color theme="2"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1">
    <xf numFmtId="0" fontId="0" fillId="0" borderId="0"/>
    <xf numFmtId="3" fontId="1" fillId="2" borderId="1"/>
    <xf numFmtId="3" fontId="1" fillId="3" borderId="1"/>
    <xf numFmtId="3" fontId="1" fillId="4" borderId="1"/>
    <xf numFmtId="3" fontId="1" fillId="5" borderId="1"/>
    <xf numFmtId="3" fontId="4" fillId="6" borderId="1"/>
    <xf numFmtId="3" fontId="2" fillId="7" borderId="1"/>
    <xf numFmtId="3" fontId="2" fillId="8" borderId="1"/>
    <xf numFmtId="3" fontId="5" fillId="9" borderId="1"/>
    <xf numFmtId="3" fontId="3" fillId="10" borderId="2">
      <alignment horizontal="center" wrapText="1"/>
    </xf>
    <xf numFmtId="3" fontId="1" fillId="11" borderId="1"/>
    <xf numFmtId="3" fontId="2" fillId="12" borderId="1"/>
    <xf numFmtId="3" fontId="2" fillId="13" borderId="1"/>
    <xf numFmtId="3" fontId="2" fillId="14" borderId="1"/>
    <xf numFmtId="3" fontId="6" fillId="15" borderId="3">
      <alignment horizontal="center" wrapText="1"/>
    </xf>
    <xf numFmtId="3" fontId="6" fillId="15" borderId="5">
      <alignment horizontal="center" wrapText="1"/>
    </xf>
    <xf numFmtId="3" fontId="6" fillId="15" borderId="4">
      <alignment horizontal="center" wrapText="1"/>
    </xf>
    <xf numFmtId="44"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cellStyleXfs>
  <cellXfs count="191">
    <xf numFmtId="0" fontId="0" fillId="0" borderId="0" xfId="0"/>
    <xf numFmtId="0" fontId="0" fillId="0" borderId="0" xfId="0" applyAlignment="1">
      <alignment horizontal="center" vertical="center"/>
    </xf>
    <xf numFmtId="165" fontId="0" fillId="0" borderId="0" xfId="0" applyNumberFormat="1" applyAlignment="1">
      <alignment horizontal="center" vertical="center"/>
    </xf>
    <xf numFmtId="0" fontId="0" fillId="0" borderId="0" xfId="0" applyAlignment="1">
      <alignment horizontal="left" vertical="center"/>
    </xf>
    <xf numFmtId="3" fontId="6" fillId="15" borderId="3" xfId="14" applyAlignment="1">
      <alignment horizontal="center" vertical="center" wrapText="1"/>
    </xf>
    <xf numFmtId="9" fontId="0" fillId="0" borderId="0" xfId="0" applyNumberFormat="1" applyAlignment="1">
      <alignment horizontal="center" vertical="center"/>
    </xf>
    <xf numFmtId="165" fontId="6" fillId="15" borderId="23" xfId="14" applyNumberFormat="1" applyBorder="1" applyAlignment="1">
      <alignment wrapText="1"/>
    </xf>
    <xf numFmtId="165" fontId="6" fillId="15" borderId="22" xfId="14" applyNumberFormat="1" applyBorder="1" applyAlignment="1">
      <alignment wrapText="1"/>
    </xf>
    <xf numFmtId="3" fontId="6" fillId="15" borderId="4" xfId="16">
      <alignment horizontal="center" wrapText="1"/>
    </xf>
    <xf numFmtId="165" fontId="6" fillId="15" borderId="4" xfId="16" applyNumberFormat="1">
      <alignment horizontal="center" wrapText="1"/>
    </xf>
    <xf numFmtId="4" fontId="6" fillId="15" borderId="4" xfId="16" applyNumberFormat="1">
      <alignment horizontal="center" wrapText="1"/>
    </xf>
    <xf numFmtId="167" fontId="6" fillId="15" borderId="4" xfId="16" applyNumberFormat="1">
      <alignment horizontal="center" wrapText="1"/>
    </xf>
    <xf numFmtId="164" fontId="8" fillId="17" borderId="28" xfId="0" applyNumberFormat="1" applyFont="1" applyFill="1" applyBorder="1"/>
    <xf numFmtId="0" fontId="8" fillId="16" borderId="29" xfId="0" applyFont="1" applyFill="1" applyBorder="1"/>
    <xf numFmtId="164" fontId="8" fillId="16" borderId="28" xfId="0" applyNumberFormat="1" applyFont="1" applyFill="1" applyBorder="1"/>
    <xf numFmtId="164" fontId="0" fillId="16" borderId="28" xfId="0" applyNumberFormat="1" applyFill="1" applyBorder="1"/>
    <xf numFmtId="164" fontId="0" fillId="18" borderId="28" xfId="0" applyNumberFormat="1" applyFill="1" applyBorder="1"/>
    <xf numFmtId="0" fontId="0" fillId="18" borderId="0" xfId="0" applyFill="1"/>
    <xf numFmtId="0" fontId="0" fillId="18" borderId="11" xfId="0" applyFill="1" applyBorder="1" applyAlignment="1">
      <alignment horizontal="center" vertical="center"/>
    </xf>
    <xf numFmtId="0" fontId="0" fillId="18" borderId="0" xfId="0" applyFill="1" applyAlignment="1">
      <alignment horizontal="center" vertical="center"/>
    </xf>
    <xf numFmtId="165" fontId="0" fillId="18" borderId="11" xfId="0" applyNumberFormat="1" applyFill="1" applyBorder="1" applyAlignment="1">
      <alignment horizontal="center" vertical="center"/>
    </xf>
    <xf numFmtId="165" fontId="0" fillId="18" borderId="11" xfId="17" applyNumberFormat="1" applyFont="1" applyFill="1" applyBorder="1" applyAlignment="1">
      <alignment horizontal="center" vertical="center"/>
    </xf>
    <xf numFmtId="10" fontId="0" fillId="18" borderId="11" xfId="18" applyNumberFormat="1" applyFont="1" applyFill="1" applyBorder="1" applyAlignment="1">
      <alignment horizontal="center" vertical="center"/>
    </xf>
    <xf numFmtId="2" fontId="7" fillId="18" borderId="11" xfId="19" applyNumberFormat="1" applyFont="1" applyFill="1" applyBorder="1" applyAlignment="1">
      <alignment horizontal="center" vertical="center"/>
    </xf>
    <xf numFmtId="2" fontId="7" fillId="18" borderId="11" xfId="0" applyNumberFormat="1" applyFont="1" applyFill="1" applyBorder="1" applyAlignment="1">
      <alignment horizontal="center" vertical="center"/>
    </xf>
    <xf numFmtId="2" fontId="7" fillId="18" borderId="20" xfId="19" applyNumberFormat="1" applyFont="1" applyFill="1" applyBorder="1" applyAlignment="1">
      <alignment horizontal="center" vertical="center"/>
    </xf>
    <xf numFmtId="2" fontId="7" fillId="18" borderId="20" xfId="0" applyNumberFormat="1" applyFont="1" applyFill="1" applyBorder="1" applyAlignment="1">
      <alignment horizontal="center" vertical="center"/>
    </xf>
    <xf numFmtId="2" fontId="7" fillId="18" borderId="21" xfId="0" applyNumberFormat="1" applyFont="1" applyFill="1" applyBorder="1" applyAlignment="1">
      <alignment horizontal="center" vertical="center"/>
    </xf>
    <xf numFmtId="2" fontId="7" fillId="18" borderId="16" xfId="19" applyNumberFormat="1" applyFont="1" applyFill="1" applyBorder="1" applyAlignment="1">
      <alignment horizontal="center" vertical="center"/>
    </xf>
    <xf numFmtId="2" fontId="7" fillId="18" borderId="14" xfId="19" applyNumberFormat="1" applyFont="1" applyFill="1" applyBorder="1" applyAlignment="1">
      <alignment horizontal="center" vertical="center"/>
    </xf>
    <xf numFmtId="2" fontId="7" fillId="18" borderId="0" xfId="0" applyNumberFormat="1" applyFont="1" applyFill="1" applyAlignment="1">
      <alignment horizontal="center" vertical="center"/>
    </xf>
    <xf numFmtId="2" fontId="7" fillId="18" borderId="16" xfId="0" applyNumberFormat="1" applyFont="1" applyFill="1" applyBorder="1" applyAlignment="1">
      <alignment horizontal="center" vertical="center"/>
    </xf>
    <xf numFmtId="2" fontId="7" fillId="18" borderId="18" xfId="0" applyNumberFormat="1" applyFont="1" applyFill="1" applyBorder="1" applyAlignment="1">
      <alignment horizontal="center" vertical="center"/>
    </xf>
    <xf numFmtId="2" fontId="7" fillId="18" borderId="19" xfId="0" applyNumberFormat="1" applyFont="1" applyFill="1" applyBorder="1" applyAlignment="1">
      <alignment horizontal="center" vertical="center"/>
    </xf>
    <xf numFmtId="10" fontId="8" fillId="16" borderId="28" xfId="0" applyNumberFormat="1" applyFont="1" applyFill="1" applyBorder="1"/>
    <xf numFmtId="164" fontId="0" fillId="18" borderId="24" xfId="0" applyNumberFormat="1" applyFill="1" applyBorder="1"/>
    <xf numFmtId="164" fontId="0" fillId="18" borderId="25" xfId="0" applyNumberFormat="1" applyFill="1" applyBorder="1"/>
    <xf numFmtId="0" fontId="8" fillId="16" borderId="24" xfId="0" applyFont="1" applyFill="1" applyBorder="1"/>
    <xf numFmtId="164" fontId="8" fillId="16" borderId="24" xfId="0" applyNumberFormat="1" applyFont="1" applyFill="1" applyBorder="1"/>
    <xf numFmtId="165" fontId="3" fillId="19" borderId="4" xfId="16" applyNumberFormat="1" applyFont="1" applyFill="1">
      <alignment horizontal="center" wrapText="1"/>
    </xf>
    <xf numFmtId="0" fontId="2" fillId="21" borderId="24" xfId="0" applyFont="1" applyFill="1" applyBorder="1"/>
    <xf numFmtId="3" fontId="4" fillId="21" borderId="29" xfId="0" applyNumberFormat="1" applyFont="1" applyFill="1" applyBorder="1"/>
    <xf numFmtId="0" fontId="2" fillId="21" borderId="29" xfId="0" applyFont="1" applyFill="1" applyBorder="1"/>
    <xf numFmtId="0" fontId="4" fillId="21" borderId="29" xfId="0" applyFont="1" applyFill="1" applyBorder="1"/>
    <xf numFmtId="0" fontId="2" fillId="21" borderId="26" xfId="0" applyFont="1" applyFill="1" applyBorder="1"/>
    <xf numFmtId="44" fontId="2" fillId="21" borderId="29" xfId="0" applyNumberFormat="1" applyFont="1" applyFill="1" applyBorder="1"/>
    <xf numFmtId="0" fontId="4" fillId="21" borderId="30" xfId="0" applyFont="1" applyFill="1" applyBorder="1" applyAlignment="1">
      <alignment horizontal="center" vertical="center"/>
    </xf>
    <xf numFmtId="0" fontId="4" fillId="21" borderId="31" xfId="0" applyFont="1" applyFill="1" applyBorder="1" applyAlignment="1">
      <alignment horizontal="center" vertical="center"/>
    </xf>
    <xf numFmtId="0" fontId="4" fillId="21" borderId="24" xfId="0" applyFont="1" applyFill="1" applyBorder="1" applyAlignment="1">
      <alignment horizontal="center" vertical="center"/>
    </xf>
    <xf numFmtId="0" fontId="4" fillId="21" borderId="24" xfId="0" applyFont="1" applyFill="1" applyBorder="1"/>
    <xf numFmtId="3" fontId="10" fillId="20" borderId="4" xfId="16" applyFont="1" applyFill="1" applyAlignment="1">
      <alignment horizontal="center" vertical="center" wrapText="1"/>
    </xf>
    <xf numFmtId="3" fontId="10" fillId="20" borderId="4" xfId="16" applyFont="1" applyFill="1" applyAlignment="1">
      <alignment horizontal="left" vertical="center" wrapText="1"/>
    </xf>
    <xf numFmtId="3" fontId="9" fillId="20" borderId="4" xfId="16" applyFont="1" applyFill="1" applyAlignment="1">
      <alignment horizontal="left" vertical="center" wrapText="1"/>
    </xf>
    <xf numFmtId="3" fontId="3" fillId="19" borderId="4" xfId="16" applyFont="1" applyFill="1" applyAlignment="1">
      <alignment horizontal="left" wrapText="1"/>
    </xf>
    <xf numFmtId="165" fontId="3" fillId="19" borderId="22" xfId="14" applyNumberFormat="1" applyFont="1" applyFill="1" applyBorder="1">
      <alignment horizontal="center" wrapText="1"/>
    </xf>
    <xf numFmtId="0" fontId="4" fillId="21" borderId="26" xfId="0" applyFont="1" applyFill="1" applyBorder="1"/>
    <xf numFmtId="3" fontId="2" fillId="21" borderId="29" xfId="0" applyNumberFormat="1" applyFont="1" applyFill="1" applyBorder="1"/>
    <xf numFmtId="3" fontId="3" fillId="10" borderId="2" xfId="9">
      <alignment horizontal="center" wrapText="1"/>
    </xf>
    <xf numFmtId="165" fontId="8" fillId="16" borderId="28" xfId="0" applyNumberFormat="1" applyFont="1" applyFill="1" applyBorder="1"/>
    <xf numFmtId="9" fontId="0" fillId="18" borderId="28" xfId="18" applyNumberFormat="1" applyFont="1" applyFill="1" applyBorder="1"/>
    <xf numFmtId="2" fontId="0" fillId="18" borderId="28" xfId="0" applyNumberFormat="1" applyFill="1" applyBorder="1"/>
    <xf numFmtId="0" fontId="0" fillId="18" borderId="28" xfId="0" applyNumberFormat="1" applyFill="1" applyBorder="1"/>
    <xf numFmtId="9" fontId="8" fillId="16" borderId="28" xfId="18" applyFont="1" applyFill="1" applyBorder="1"/>
    <xf numFmtId="0" fontId="0" fillId="0" borderId="0" xfId="0" applyBorder="1"/>
    <xf numFmtId="0" fontId="0" fillId="0" borderId="46" xfId="0" applyBorder="1"/>
    <xf numFmtId="0" fontId="0" fillId="0" borderId="48" xfId="0" applyBorder="1"/>
    <xf numFmtId="164" fontId="0" fillId="18" borderId="33" xfId="0" applyNumberFormat="1" applyFill="1" applyBorder="1"/>
    <xf numFmtId="164" fontId="0" fillId="18" borderId="35" xfId="0" applyNumberFormat="1" applyFill="1" applyBorder="1"/>
    <xf numFmtId="165" fontId="8" fillId="16" borderId="28" xfId="18" applyNumberFormat="1" applyFont="1" applyFill="1" applyBorder="1"/>
    <xf numFmtId="0" fontId="8" fillId="16" borderId="50" xfId="0" applyFont="1" applyFill="1" applyBorder="1" applyAlignment="1">
      <alignment vertical="center"/>
    </xf>
    <xf numFmtId="2" fontId="0" fillId="18" borderId="28" xfId="20" applyNumberFormat="1" applyFont="1" applyFill="1" applyBorder="1"/>
    <xf numFmtId="169" fontId="0" fillId="18" borderId="28" xfId="20" applyNumberFormat="1" applyFont="1" applyFill="1" applyBorder="1"/>
    <xf numFmtId="168" fontId="3" fillId="10" borderId="32" xfId="18" applyNumberFormat="1" applyFont="1" applyFill="1" applyBorder="1" applyAlignment="1">
      <alignment horizontal="center" wrapText="1"/>
    </xf>
    <xf numFmtId="3" fontId="12" fillId="10" borderId="2" xfId="9" applyFont="1">
      <alignment horizontal="center" wrapText="1"/>
    </xf>
    <xf numFmtId="168" fontId="8" fillId="16" borderId="54" xfId="0" applyNumberFormat="1" applyFont="1" applyFill="1" applyBorder="1" applyAlignment="1">
      <alignment horizontal="center"/>
    </xf>
    <xf numFmtId="0" fontId="0" fillId="16" borderId="0" xfId="0" applyFill="1" applyAlignment="1">
      <alignment horizontal="center" vertical="center"/>
    </xf>
    <xf numFmtId="0" fontId="0" fillId="16" borderId="55" xfId="0" applyFill="1" applyBorder="1" applyAlignment="1">
      <alignment horizontal="center" vertical="center"/>
    </xf>
    <xf numFmtId="0" fontId="0" fillId="16" borderId="28" xfId="0" applyFill="1" applyBorder="1" applyAlignment="1">
      <alignment horizontal="center" vertical="center"/>
    </xf>
    <xf numFmtId="0" fontId="0" fillId="16" borderId="35" xfId="0" applyFill="1" applyBorder="1" applyAlignment="1">
      <alignment horizontal="center" vertical="center"/>
    </xf>
    <xf numFmtId="165" fontId="0" fillId="18" borderId="28" xfId="0" applyNumberFormat="1" applyFill="1" applyBorder="1" applyAlignment="1">
      <alignment horizontal="center" vertical="center"/>
    </xf>
    <xf numFmtId="165" fontId="0" fillId="18" borderId="35" xfId="17" applyNumberFormat="1" applyFont="1" applyFill="1" applyBorder="1" applyAlignment="1">
      <alignment horizontal="center" vertical="center"/>
    </xf>
    <xf numFmtId="9" fontId="0" fillId="18" borderId="28" xfId="18" applyFont="1" applyFill="1" applyBorder="1" applyAlignment="1">
      <alignment horizontal="center" vertical="center"/>
    </xf>
    <xf numFmtId="165" fontId="0" fillId="18" borderId="28" xfId="17" applyNumberFormat="1" applyFont="1" applyFill="1" applyBorder="1" applyAlignment="1">
      <alignment horizontal="center" vertical="center"/>
    </xf>
    <xf numFmtId="10" fontId="6" fillId="15" borderId="3" xfId="14" applyNumberFormat="1" applyAlignment="1">
      <alignment horizontal="center" vertical="center" wrapText="1"/>
    </xf>
    <xf numFmtId="165" fontId="6" fillId="15" borderId="3" xfId="14" applyNumberFormat="1" applyAlignment="1">
      <alignment horizontal="center" vertical="center" wrapText="1"/>
    </xf>
    <xf numFmtId="0" fontId="7" fillId="22" borderId="12" xfId="0" applyFont="1" applyFill="1" applyBorder="1" applyAlignment="1">
      <alignment horizontal="center" vertical="center"/>
    </xf>
    <xf numFmtId="0" fontId="7" fillId="22" borderId="13" xfId="0" applyFont="1" applyFill="1" applyBorder="1" applyAlignment="1">
      <alignment horizontal="center" vertical="center"/>
    </xf>
    <xf numFmtId="0" fontId="7" fillId="22" borderId="14" xfId="0" applyFont="1" applyFill="1" applyBorder="1" applyAlignment="1">
      <alignment horizontal="center" vertical="center"/>
    </xf>
    <xf numFmtId="0" fontId="11" fillId="22" borderId="15" xfId="0" applyFont="1" applyFill="1" applyBorder="1" applyAlignment="1">
      <alignment horizontal="center" vertical="center" wrapText="1"/>
    </xf>
    <xf numFmtId="9" fontId="11" fillId="22" borderId="21" xfId="0" applyNumberFormat="1" applyFont="1" applyFill="1" applyBorder="1" applyAlignment="1">
      <alignment horizontal="center" vertical="center"/>
    </xf>
    <xf numFmtId="0" fontId="11" fillId="22" borderId="21" xfId="0" applyFont="1" applyFill="1" applyBorder="1" applyAlignment="1">
      <alignment horizontal="center" vertical="center" wrapText="1"/>
    </xf>
    <xf numFmtId="9" fontId="11" fillId="22" borderId="15" xfId="0" applyNumberFormat="1" applyFont="1" applyFill="1" applyBorder="1" applyAlignment="1">
      <alignment horizontal="center" vertical="center"/>
    </xf>
    <xf numFmtId="0" fontId="11" fillId="22" borderId="17" xfId="0" applyFont="1" applyFill="1" applyBorder="1" applyAlignment="1">
      <alignment horizontal="center" vertical="center" wrapText="1"/>
    </xf>
    <xf numFmtId="0" fontId="0" fillId="18" borderId="28" xfId="0" applyFill="1" applyBorder="1"/>
    <xf numFmtId="0" fontId="0" fillId="18" borderId="33" xfId="0" applyFill="1" applyBorder="1"/>
    <xf numFmtId="0" fontId="0" fillId="18" borderId="34" xfId="0" applyFill="1" applyBorder="1"/>
    <xf numFmtId="0" fontId="0" fillId="18" borderId="35" xfId="0" applyFill="1" applyBorder="1"/>
    <xf numFmtId="164" fontId="0" fillId="16" borderId="0" xfId="0" applyNumberFormat="1" applyFill="1"/>
    <xf numFmtId="0" fontId="0" fillId="18" borderId="51" xfId="0" applyFill="1" applyBorder="1"/>
    <xf numFmtId="165" fontId="0" fillId="18" borderId="28" xfId="0" applyNumberFormat="1" applyFill="1" applyBorder="1"/>
    <xf numFmtId="164" fontId="0" fillId="18" borderId="52" xfId="0" applyNumberFormat="1" applyFill="1" applyBorder="1"/>
    <xf numFmtId="165" fontId="8" fillId="18" borderId="53" xfId="0" applyNumberFormat="1" applyFont="1" applyFill="1" applyBorder="1"/>
    <xf numFmtId="165" fontId="8" fillId="18" borderId="28" xfId="0" applyNumberFormat="1" applyFont="1" applyFill="1" applyBorder="1"/>
    <xf numFmtId="165" fontId="0" fillId="18" borderId="28" xfId="17" applyNumberFormat="1" applyFont="1" applyFill="1" applyBorder="1"/>
    <xf numFmtId="2" fontId="0" fillId="18" borderId="28" xfId="17" applyNumberFormat="1" applyFont="1" applyFill="1" applyBorder="1"/>
    <xf numFmtId="0" fontId="0" fillId="18" borderId="36" xfId="0" applyFill="1" applyBorder="1"/>
    <xf numFmtId="0" fontId="0" fillId="18" borderId="38" xfId="0" applyFill="1" applyBorder="1" applyAlignment="1">
      <alignment horizontal="left" vertical="center"/>
    </xf>
    <xf numFmtId="0" fontId="0" fillId="18" borderId="37" xfId="0" applyFill="1" applyBorder="1"/>
    <xf numFmtId="165" fontId="0" fillId="18" borderId="37" xfId="0" applyNumberFormat="1" applyFill="1" applyBorder="1"/>
    <xf numFmtId="0" fontId="0" fillId="18" borderId="42" xfId="0" applyFill="1" applyBorder="1"/>
    <xf numFmtId="0" fontId="0" fillId="18" borderId="43" xfId="0" applyFill="1" applyBorder="1"/>
    <xf numFmtId="0" fontId="0" fillId="18" borderId="0" xfId="0" applyFill="1" applyBorder="1"/>
    <xf numFmtId="0" fontId="0" fillId="18" borderId="46" xfId="0" applyFill="1" applyBorder="1"/>
    <xf numFmtId="0" fontId="8" fillId="18" borderId="37" xfId="0" applyFont="1" applyFill="1" applyBorder="1"/>
    <xf numFmtId="0" fontId="0" fillId="18" borderId="44" xfId="0" applyFill="1" applyBorder="1"/>
    <xf numFmtId="0" fontId="0" fillId="18" borderId="47" xfId="0" applyFill="1" applyBorder="1"/>
    <xf numFmtId="165" fontId="8" fillId="18" borderId="37" xfId="0" applyNumberFormat="1" applyFont="1" applyFill="1" applyBorder="1"/>
    <xf numFmtId="0" fontId="0" fillId="18" borderId="49" xfId="0" applyFill="1" applyBorder="1"/>
    <xf numFmtId="165" fontId="0" fillId="18" borderId="46" xfId="0" applyNumberFormat="1" applyFill="1" applyBorder="1"/>
    <xf numFmtId="0" fontId="0" fillId="18" borderId="45" xfId="0" applyFill="1" applyBorder="1"/>
    <xf numFmtId="165" fontId="0" fillId="18" borderId="47" xfId="0" applyNumberFormat="1" applyFill="1" applyBorder="1"/>
    <xf numFmtId="0" fontId="8" fillId="18" borderId="39" xfId="0" applyFont="1" applyFill="1" applyBorder="1"/>
    <xf numFmtId="0" fontId="0" fillId="18" borderId="39" xfId="0" applyFill="1" applyBorder="1"/>
    <xf numFmtId="1" fontId="0" fillId="18" borderId="28" xfId="17" applyNumberFormat="1" applyFont="1" applyFill="1" applyBorder="1"/>
    <xf numFmtId="2" fontId="15" fillId="16" borderId="28" xfId="0" applyNumberFormat="1" applyFont="1" applyFill="1" applyBorder="1"/>
    <xf numFmtId="0" fontId="13" fillId="16" borderId="29" xfId="0" applyFont="1" applyFill="1" applyBorder="1"/>
    <xf numFmtId="0" fontId="14" fillId="16" borderId="29" xfId="0" applyFont="1" applyFill="1" applyBorder="1"/>
    <xf numFmtId="164" fontId="14" fillId="16" borderId="28" xfId="0" applyNumberFormat="1" applyFont="1" applyFill="1" applyBorder="1"/>
    <xf numFmtId="3" fontId="13" fillId="10" borderId="32" xfId="9" applyFont="1" applyBorder="1">
      <alignment horizontal="center" wrapText="1"/>
    </xf>
    <xf numFmtId="0" fontId="13" fillId="16" borderId="28" xfId="0" applyFont="1" applyFill="1" applyBorder="1" applyAlignment="1">
      <alignment horizontal="center"/>
    </xf>
    <xf numFmtId="9" fontId="13" fillId="16" borderId="28" xfId="18" applyFont="1" applyFill="1" applyBorder="1"/>
    <xf numFmtId="172" fontId="13" fillId="16" borderId="28" xfId="0" applyNumberFormat="1" applyFont="1" applyFill="1" applyBorder="1" applyAlignment="1">
      <alignment horizontal="center"/>
    </xf>
    <xf numFmtId="171" fontId="13" fillId="16" borderId="28" xfId="18" applyNumberFormat="1" applyFont="1" applyFill="1" applyBorder="1" applyAlignment="1">
      <alignment horizontal="center"/>
    </xf>
    <xf numFmtId="3" fontId="2" fillId="8" borderId="1" xfId="7" applyAlignment="1">
      <alignment horizontal="center" vertical="center"/>
    </xf>
    <xf numFmtId="3" fontId="1" fillId="5" borderId="1" xfId="4" applyAlignment="1">
      <alignment horizontal="center" vertical="center"/>
    </xf>
    <xf numFmtId="3" fontId="6" fillId="15" borderId="4" xfId="16" applyAlignment="1">
      <alignment horizontal="center" vertical="center" wrapText="1"/>
    </xf>
    <xf numFmtId="3" fontId="2" fillId="7" borderId="1" xfId="6" applyAlignment="1">
      <alignment horizontal="center" vertical="center"/>
    </xf>
    <xf numFmtId="165" fontId="6" fillId="15" borderId="4" xfId="16" applyNumberFormat="1" applyAlignment="1">
      <alignment horizontal="center" vertical="center" wrapText="1"/>
    </xf>
    <xf numFmtId="0" fontId="17" fillId="21" borderId="56" xfId="0" applyFont="1" applyFill="1" applyBorder="1" applyAlignment="1">
      <alignment horizontal="center" vertical="center"/>
    </xf>
    <xf numFmtId="0" fontId="18" fillId="21" borderId="31" xfId="0" applyFont="1" applyFill="1" applyBorder="1" applyAlignment="1">
      <alignment horizontal="center" vertical="center" wrapText="1"/>
    </xf>
    <xf numFmtId="1" fontId="0" fillId="18" borderId="28" xfId="0" applyNumberFormat="1" applyFill="1" applyBorder="1" applyAlignment="1">
      <alignment horizontal="center" vertical="center"/>
    </xf>
    <xf numFmtId="165" fontId="0" fillId="16" borderId="28" xfId="0" applyNumberFormat="1" applyFill="1" applyBorder="1" applyAlignment="1">
      <alignment horizontal="center" vertical="center" wrapText="1"/>
    </xf>
    <xf numFmtId="165" fontId="0" fillId="18" borderId="28" xfId="0" applyNumberFormat="1" applyFill="1" applyBorder="1" applyAlignment="1">
      <alignment horizontal="center" vertical="center" wrapText="1"/>
    </xf>
    <xf numFmtId="165" fontId="2" fillId="23" borderId="28" xfId="0" applyNumberFormat="1" applyFont="1" applyFill="1" applyBorder="1" applyAlignment="1">
      <alignment horizontal="center" vertical="center" wrapText="1"/>
    </xf>
    <xf numFmtId="165" fontId="2" fillId="23" borderId="28" xfId="0" applyNumberFormat="1" applyFont="1" applyFill="1" applyBorder="1" applyAlignment="1">
      <alignment horizontal="center" vertical="center"/>
    </xf>
    <xf numFmtId="3" fontId="3" fillId="10" borderId="2" xfId="9">
      <alignment horizontal="center" wrapText="1"/>
    </xf>
    <xf numFmtId="3" fontId="3" fillId="10" borderId="7" xfId="9" applyBorder="1" applyAlignment="1">
      <alignment horizontal="center" vertical="center" wrapText="1"/>
    </xf>
    <xf numFmtId="3" fontId="3" fillId="10" borderId="6" xfId="9" applyBorder="1" applyAlignment="1">
      <alignment horizontal="center" vertical="center" wrapText="1"/>
    </xf>
    <xf numFmtId="3" fontId="3" fillId="10" borderId="8" xfId="9" applyBorder="1" applyAlignment="1">
      <alignment horizontal="center" vertical="center" wrapText="1"/>
    </xf>
    <xf numFmtId="0" fontId="17" fillId="21" borderId="56" xfId="0" applyFont="1" applyFill="1" applyBorder="1" applyAlignment="1">
      <alignment horizontal="center" vertical="center" wrapText="1"/>
    </xf>
    <xf numFmtId="0" fontId="17" fillId="21" borderId="57" xfId="0" applyFont="1" applyFill="1" applyBorder="1" applyAlignment="1">
      <alignment horizontal="center" vertical="center" wrapText="1"/>
    </xf>
    <xf numFmtId="0" fontId="17" fillId="21" borderId="58" xfId="0" applyFont="1" applyFill="1" applyBorder="1" applyAlignment="1">
      <alignment horizontal="center" vertical="center" wrapText="1"/>
    </xf>
    <xf numFmtId="0" fontId="16" fillId="21" borderId="31" xfId="0" applyFont="1" applyFill="1" applyBorder="1" applyAlignment="1">
      <alignment horizontal="center" vertical="center"/>
    </xf>
    <xf numFmtId="0" fontId="16" fillId="21" borderId="59" xfId="0" applyFont="1" applyFill="1" applyBorder="1" applyAlignment="1">
      <alignment horizontal="center" vertical="center"/>
    </xf>
    <xf numFmtId="0" fontId="16" fillId="21" borderId="60" xfId="0" applyFont="1" applyFill="1" applyBorder="1" applyAlignment="1">
      <alignment horizontal="center" vertical="center"/>
    </xf>
    <xf numFmtId="0" fontId="16" fillId="21" borderId="31" xfId="0" applyFont="1" applyFill="1" applyBorder="1" applyAlignment="1">
      <alignment horizontal="center" vertical="center" wrapText="1"/>
    </xf>
    <xf numFmtId="0" fontId="16" fillId="21" borderId="60" xfId="0" applyFont="1" applyFill="1" applyBorder="1" applyAlignment="1">
      <alignment horizontal="center" vertical="center" wrapText="1"/>
    </xf>
    <xf numFmtId="0" fontId="16" fillId="21" borderId="25" xfId="0" applyFont="1" applyFill="1" applyBorder="1" applyAlignment="1">
      <alignment horizontal="center" vertical="center" wrapText="1"/>
    </xf>
    <xf numFmtId="0" fontId="0" fillId="18" borderId="11" xfId="0" applyFill="1" applyBorder="1" applyAlignment="1">
      <alignment horizontal="center" vertical="center"/>
    </xf>
    <xf numFmtId="3" fontId="3" fillId="10" borderId="7" xfId="9" applyBorder="1" applyAlignment="1">
      <alignment horizontal="center" wrapText="1"/>
    </xf>
    <xf numFmtId="3" fontId="3" fillId="10" borderId="6" xfId="9" applyBorder="1" applyAlignment="1">
      <alignment horizontal="center" wrapText="1"/>
    </xf>
    <xf numFmtId="3" fontId="3" fillId="10" borderId="9" xfId="9" applyBorder="1" applyAlignment="1">
      <alignment horizontal="center" wrapText="1"/>
    </xf>
    <xf numFmtId="3" fontId="3" fillId="10" borderId="10" xfId="9" applyBorder="1" applyAlignment="1">
      <alignment horizontal="center" wrapText="1"/>
    </xf>
    <xf numFmtId="3" fontId="6" fillId="15" borderId="3" xfId="14" applyAlignment="1">
      <alignment horizontal="center" vertical="center" wrapText="1"/>
    </xf>
    <xf numFmtId="3" fontId="3" fillId="10" borderId="2" xfId="9" applyAlignment="1">
      <alignment horizontal="center" wrapText="1"/>
    </xf>
    <xf numFmtId="0" fontId="0" fillId="0" borderId="0" xfId="0"/>
    <xf numFmtId="3" fontId="3" fillId="10" borderId="27" xfId="9" applyBorder="1" applyAlignment="1">
      <alignment horizontal="center" wrapText="1"/>
    </xf>
    <xf numFmtId="3" fontId="3" fillId="10" borderId="32" xfId="9" applyBorder="1" applyAlignment="1">
      <alignment horizontal="center" wrapText="1"/>
    </xf>
    <xf numFmtId="9" fontId="0" fillId="18" borderId="33" xfId="18" applyFont="1" applyFill="1" applyBorder="1" applyAlignment="1">
      <alignment horizontal="center"/>
    </xf>
    <xf numFmtId="9" fontId="0" fillId="18" borderId="34" xfId="18" applyFont="1" applyFill="1" applyBorder="1" applyAlignment="1">
      <alignment horizontal="center"/>
    </xf>
    <xf numFmtId="9" fontId="0" fillId="18" borderId="35" xfId="18" applyFont="1" applyFill="1" applyBorder="1" applyAlignment="1">
      <alignment horizontal="center"/>
    </xf>
    <xf numFmtId="0" fontId="13" fillId="16" borderId="33" xfId="0" applyNumberFormat="1" applyFont="1" applyFill="1" applyBorder="1" applyAlignment="1">
      <alignment horizontal="center" vertical="center"/>
    </xf>
    <xf numFmtId="0" fontId="13" fillId="16" borderId="34" xfId="0" applyNumberFormat="1" applyFont="1" applyFill="1" applyBorder="1" applyAlignment="1">
      <alignment horizontal="center" vertical="center"/>
    </xf>
    <xf numFmtId="0" fontId="13" fillId="16" borderId="35" xfId="0" applyNumberFormat="1" applyFont="1" applyFill="1" applyBorder="1" applyAlignment="1">
      <alignment horizontal="center" vertical="center"/>
    </xf>
    <xf numFmtId="3" fontId="10" fillId="20" borderId="23" xfId="14" applyFont="1" applyFill="1" applyBorder="1" applyAlignment="1">
      <alignment horizontal="center" vertical="center" wrapText="1"/>
    </xf>
    <xf numFmtId="3" fontId="10" fillId="20" borderId="22" xfId="14" applyFont="1" applyFill="1" applyBorder="1" applyAlignment="1">
      <alignment horizontal="center" vertical="center" wrapText="1"/>
    </xf>
    <xf numFmtId="3" fontId="6" fillId="15" borderId="23" xfId="14" applyBorder="1" applyAlignment="1">
      <alignment horizontal="center" wrapText="1"/>
    </xf>
    <xf numFmtId="3" fontId="6" fillId="15" borderId="22" xfId="14" applyBorder="1" applyAlignment="1">
      <alignment horizontal="center" wrapText="1"/>
    </xf>
    <xf numFmtId="3" fontId="3" fillId="19" borderId="22" xfId="14" applyFont="1" applyFill="1" applyBorder="1" applyAlignment="1">
      <alignment horizontal="center" wrapText="1"/>
    </xf>
    <xf numFmtId="3" fontId="3" fillId="10" borderId="2" xfId="9" applyAlignment="1">
      <alignment horizontal="center" vertical="center" wrapText="1"/>
    </xf>
    <xf numFmtId="9" fontId="6" fillId="15" borderId="4" xfId="18" applyFont="1" applyFill="1" applyBorder="1" applyAlignment="1">
      <alignment horizontal="center" wrapText="1"/>
    </xf>
    <xf numFmtId="170" fontId="0" fillId="18" borderId="33" xfId="18" applyNumberFormat="1" applyFont="1" applyFill="1" applyBorder="1" applyAlignment="1">
      <alignment horizontal="center"/>
    </xf>
    <xf numFmtId="170" fontId="0" fillId="18" borderId="34" xfId="18" applyNumberFormat="1" applyFont="1" applyFill="1" applyBorder="1" applyAlignment="1">
      <alignment horizontal="center"/>
    </xf>
    <xf numFmtId="170" fontId="0" fillId="18" borderId="35" xfId="18" applyNumberFormat="1" applyFont="1" applyFill="1" applyBorder="1" applyAlignment="1">
      <alignment horizontal="center"/>
    </xf>
    <xf numFmtId="168" fontId="0" fillId="18" borderId="33" xfId="18" applyNumberFormat="1" applyFont="1" applyFill="1" applyBorder="1" applyAlignment="1">
      <alignment horizontal="center"/>
    </xf>
    <xf numFmtId="168" fontId="0" fillId="18" borderId="34" xfId="18" applyNumberFormat="1" applyFont="1" applyFill="1" applyBorder="1" applyAlignment="1">
      <alignment horizontal="center"/>
    </xf>
    <xf numFmtId="168" fontId="0" fillId="18" borderId="35" xfId="18" applyNumberFormat="1" applyFont="1" applyFill="1" applyBorder="1" applyAlignment="1">
      <alignment horizontal="center"/>
    </xf>
    <xf numFmtId="0" fontId="8" fillId="18" borderId="40" xfId="0" applyFont="1" applyFill="1" applyBorder="1" applyAlignment="1">
      <alignment horizontal="center"/>
    </xf>
    <xf numFmtId="0" fontId="8" fillId="18" borderId="41" xfId="0" applyFont="1" applyFill="1" applyBorder="1" applyAlignment="1">
      <alignment horizontal="center"/>
    </xf>
    <xf numFmtId="0" fontId="8" fillId="18" borderId="39" xfId="0" applyFont="1" applyFill="1" applyBorder="1" applyAlignment="1">
      <alignment horizontal="center"/>
    </xf>
    <xf numFmtId="3" fontId="1" fillId="5" borderId="1" xfId="4" applyAlignment="1">
      <alignment horizontal="center" vertical="center"/>
    </xf>
  </cellXfs>
  <cellStyles count="21">
    <cellStyle name="BordeLimpio" xfId="1" xr:uid="{228E36CA-539A-4E07-B1BA-4001D0C37A41}"/>
    <cellStyle name="CeldaCompleta" xfId="14" xr:uid="{89A084FD-EDA7-4D28-926F-9A8B5D3E3D2A}"/>
    <cellStyle name="Color 1" xfId="2" xr:uid="{55F221C0-5200-4E65-9D00-86F8AA61939D}"/>
    <cellStyle name="Color 2" xfId="3" xr:uid="{E0077029-A321-403C-8509-A56C3C08340D}"/>
    <cellStyle name="Color10" xfId="10" xr:uid="{D30B9A61-2AE2-49D3-BCBF-02521A189CF5}"/>
    <cellStyle name="Color11" xfId="11" xr:uid="{28AB9B2C-28DB-4FA3-848F-738555BD1482}"/>
    <cellStyle name="Color3" xfId="4" xr:uid="{CB02C0FD-D3E7-4A86-BE6F-FFE685998EF7}"/>
    <cellStyle name="Color4" xfId="5" xr:uid="{6DAAC705-7ECB-4F5F-A278-1917B79EB86E}"/>
    <cellStyle name="Color5" xfId="6" xr:uid="{C99C85D2-FFE6-493E-8C23-1FB0991DEB72}"/>
    <cellStyle name="Color6" xfId="7" xr:uid="{D620C5BA-2638-49A7-B49F-9010411C5967}"/>
    <cellStyle name="Color7" xfId="8" xr:uid="{C6A1EE24-3FAB-415C-89F8-7A2535C04ECD}"/>
    <cellStyle name="Color8" xfId="12" xr:uid="{17DA8838-40A2-4EFC-8F9E-F08A86B7E7CB}"/>
    <cellStyle name="Color9" xfId="13" xr:uid="{05D19A5A-433E-4097-993E-F59C432D3292}"/>
    <cellStyle name="Inf" xfId="16" xr:uid="{537CF541-7511-411E-9973-194849B46011}"/>
    <cellStyle name="Millares" xfId="20" builtinId="3"/>
    <cellStyle name="Moneda" xfId="17" builtinId="4"/>
    <cellStyle name="Moneda 2" xfId="19" xr:uid="{2F8120CA-4551-4FF5-AF45-4CD064CCCAE0}"/>
    <cellStyle name="Normal" xfId="0" builtinId="0"/>
    <cellStyle name="Porcentaje" xfId="18" builtinId="5"/>
    <cellStyle name="Sup" xfId="15" xr:uid="{53BA3305-0980-4BD0-9EA0-09E659B54986}"/>
    <cellStyle name="Titulos" xfId="9" xr:uid="{56C93FE0-A99F-4056-8CE3-F2818CD7C944}"/>
  </cellStyles>
  <dxfs count="28">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right style="medium">
          <color rgb="FFD0B083"/>
        </right>
        <top style="medium">
          <color rgb="FFD0B083"/>
        </top>
        <bottom style="medium">
          <color rgb="FFD0B083"/>
        </bottom>
      </border>
    </dxf>
    <dxf>
      <font>
        <b/>
        <i val="0"/>
        <strike val="0"/>
        <condense val="0"/>
        <extend val="0"/>
        <outline val="0"/>
        <shadow val="0"/>
        <u val="none"/>
        <vertAlign val="baseline"/>
        <sz val="11"/>
        <color theme="0"/>
        <name val="Century Gothic"/>
        <family val="2"/>
        <scheme val="none"/>
      </font>
      <fill>
        <patternFill patternType="solid">
          <fgColor indexed="64"/>
          <bgColor theme="1"/>
        </patternFill>
      </fill>
      <alignment horizontal="center" vertical="center" textRotation="0" indent="0" justifyLastLine="0" shrinkToFit="0" readingOrder="0"/>
      <border diagonalUp="0" diagonalDown="0" outline="0">
        <left/>
        <right style="medium">
          <color rgb="FFD0B083"/>
        </right>
        <top style="medium">
          <color rgb="FFD0B083"/>
        </top>
        <bottom style="medium">
          <color rgb="FFD0B083"/>
        </bottom>
      </border>
    </dxf>
    <dxf>
      <border>
        <top style="medium">
          <color rgb="FFD0B083"/>
        </top>
      </border>
    </dxf>
    <dxf>
      <border diagonalUp="0" diagonalDown="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fill>
        <patternFill patternType="none">
          <fgColor indexed="64"/>
          <bgColor indexed="65"/>
        </patternFill>
      </fill>
    </dxf>
    <dxf>
      <border>
        <bottom style="medium">
          <color rgb="FFD0B083"/>
        </bottom>
      </border>
    </dxf>
    <dxf>
      <font>
        <b val="0"/>
        <i val="0"/>
        <strike val="0"/>
        <condense val="0"/>
        <extend val="0"/>
        <outline val="0"/>
        <shadow val="0"/>
        <u val="none"/>
        <vertAlign val="baseline"/>
        <sz val="11"/>
        <color theme="1"/>
        <name val="Century Gothic"/>
        <scheme val="none"/>
      </font>
      <fill>
        <patternFill patternType="solid">
          <fgColor indexed="64"/>
          <bgColor theme="1"/>
        </patternFill>
      </fill>
      <alignment horizontal="center" vertical="center" textRotation="0" wrapText="0" indent="0" justifyLastLine="0" shrinkToFit="0" readingOrder="0"/>
      <border diagonalUp="0" diagonalDown="0" outline="0">
        <left style="medium">
          <color rgb="FFD0B083"/>
        </left>
        <right style="medium">
          <color rgb="FFD0B083"/>
        </right>
        <top/>
        <bottom/>
      </border>
    </dxf>
    <dxf>
      <alignment horizontal="center" vertical="center" textRotation="0" wrapText="0" indent="0" justifyLastLine="0" shrinkToFit="0" readingOrder="0"/>
    </dxf>
    <dxf>
      <numFmt numFmtId="165" formatCode="&quot;$&quot;#,##0.00"/>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ck">
          <color theme="2" tint="-0.499984740745262"/>
        </top>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00"/>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ck">
          <color theme="2" tint="-0.499984740745262"/>
        </top>
      </border>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BDCDE"/>
      <color rgb="FFD0B083"/>
      <color rgb="FF5C5C5B"/>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BalanceGeneral!A1"/><Relationship Id="rId13"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hyperlink" Target="#Resultados!A1"/><Relationship Id="rId17" Type="http://schemas.openxmlformats.org/officeDocument/2006/relationships/image" Target="../media/image10.png"/><Relationship Id="rId2" Type="http://schemas.openxmlformats.org/officeDocument/2006/relationships/hyperlink" Target="#PuntoEquilibrio!A1"/><Relationship Id="rId16" Type="http://schemas.openxmlformats.org/officeDocument/2006/relationships/hyperlink" Target="#EstadodeResultados!A1"/><Relationship Id="rId1" Type="http://schemas.openxmlformats.org/officeDocument/2006/relationships/image" Target="../media/image2.png"/><Relationship Id="rId6" Type="http://schemas.openxmlformats.org/officeDocument/2006/relationships/hyperlink" Target="#Datos!A1"/><Relationship Id="rId11" Type="http://schemas.openxmlformats.org/officeDocument/2006/relationships/image" Target="../media/image7.png"/><Relationship Id="rId5" Type="http://schemas.openxmlformats.org/officeDocument/2006/relationships/image" Target="../media/image4.png"/><Relationship Id="rId15" Type="http://schemas.openxmlformats.org/officeDocument/2006/relationships/image" Target="../media/image9.png"/><Relationship Id="rId10" Type="http://schemas.openxmlformats.org/officeDocument/2006/relationships/hyperlink" Target="#Portada!A1"/><Relationship Id="rId4" Type="http://schemas.openxmlformats.org/officeDocument/2006/relationships/hyperlink" Target="#Antescedentes!A1"/><Relationship Id="rId9" Type="http://schemas.openxmlformats.org/officeDocument/2006/relationships/image" Target="../media/image6.png"/><Relationship Id="rId14" Type="http://schemas.openxmlformats.org/officeDocument/2006/relationships/hyperlink" Target="#Metodos!A1"/></Relationships>
</file>

<file path=xl/drawings/_rels/drawing2.xml.rels><?xml version="1.0" encoding="UTF-8" standalone="yes"?>
<Relationships xmlns="http://schemas.openxmlformats.org/package/2006/relationships"><Relationship Id="rId8" Type="http://schemas.openxmlformats.org/officeDocument/2006/relationships/hyperlink" Target="#Datos!A1"/><Relationship Id="rId13" Type="http://schemas.openxmlformats.org/officeDocument/2006/relationships/image" Target="../media/image15.png"/><Relationship Id="rId18" Type="http://schemas.openxmlformats.org/officeDocument/2006/relationships/hyperlink" Target="#EstadodeResultados!A1"/><Relationship Id="rId3" Type="http://schemas.openxmlformats.org/officeDocument/2006/relationships/image" Target="../media/image13.png"/><Relationship Id="rId7" Type="http://schemas.openxmlformats.org/officeDocument/2006/relationships/image" Target="../media/image14.png"/><Relationship Id="rId12" Type="http://schemas.openxmlformats.org/officeDocument/2006/relationships/hyperlink" Target="#Portada!A1"/><Relationship Id="rId17" Type="http://schemas.openxmlformats.org/officeDocument/2006/relationships/image" Target="../media/image9.png"/><Relationship Id="rId2" Type="http://schemas.openxmlformats.org/officeDocument/2006/relationships/image" Target="../media/image12.png"/><Relationship Id="rId16" Type="http://schemas.openxmlformats.org/officeDocument/2006/relationships/hyperlink" Target="#Metodos!A1"/><Relationship Id="rId1" Type="http://schemas.openxmlformats.org/officeDocument/2006/relationships/image" Target="../media/image11.png"/><Relationship Id="rId6" Type="http://schemas.openxmlformats.org/officeDocument/2006/relationships/hyperlink" Target="#Antescedentes!A1"/><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png"/><Relationship Id="rId10" Type="http://schemas.openxmlformats.org/officeDocument/2006/relationships/hyperlink" Target="#BalanceGeneral!A1"/><Relationship Id="rId19" Type="http://schemas.openxmlformats.org/officeDocument/2006/relationships/image" Target="../media/image10.png"/><Relationship Id="rId4" Type="http://schemas.openxmlformats.org/officeDocument/2006/relationships/hyperlink" Target="#PuntoEquilibrio!A1"/><Relationship Id="rId9" Type="http://schemas.openxmlformats.org/officeDocument/2006/relationships/image" Target="../media/image5.png"/><Relationship Id="rId14" Type="http://schemas.openxmlformats.org/officeDocument/2006/relationships/hyperlink" Target="#Resultados!A1"/></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Metodos!A1"/><Relationship Id="rId3" Type="http://schemas.openxmlformats.org/officeDocument/2006/relationships/hyperlink" Target="#Antescedentes!A1"/><Relationship Id="rId7" Type="http://schemas.openxmlformats.org/officeDocument/2006/relationships/hyperlink" Target="#BalanceGeneral!A1"/><Relationship Id="rId12" Type="http://schemas.openxmlformats.org/officeDocument/2006/relationships/image" Target="../media/image8.png"/><Relationship Id="rId2" Type="http://schemas.openxmlformats.org/officeDocument/2006/relationships/image" Target="../media/image3.png"/><Relationship Id="rId16" Type="http://schemas.openxmlformats.org/officeDocument/2006/relationships/image" Target="../media/image10.png"/><Relationship Id="rId1" Type="http://schemas.openxmlformats.org/officeDocument/2006/relationships/hyperlink" Target="#PuntoEquilibrio!A1"/><Relationship Id="rId6" Type="http://schemas.openxmlformats.org/officeDocument/2006/relationships/image" Target="../media/image5.png"/><Relationship Id="rId11" Type="http://schemas.openxmlformats.org/officeDocument/2006/relationships/hyperlink" Target="#Resultados!A1"/><Relationship Id="rId5" Type="http://schemas.openxmlformats.org/officeDocument/2006/relationships/hyperlink" Target="#Datos!A1"/><Relationship Id="rId15" Type="http://schemas.openxmlformats.org/officeDocument/2006/relationships/hyperlink" Target="#EstadodeResultados!A1"/><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hyperlink" Target="#Portada!A1"/><Relationship Id="rId14"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Metodos!A1"/><Relationship Id="rId3" Type="http://schemas.openxmlformats.org/officeDocument/2006/relationships/hyperlink" Target="#Antescedentes!A1"/><Relationship Id="rId7" Type="http://schemas.openxmlformats.org/officeDocument/2006/relationships/hyperlink" Target="#BalanceGeneral!A1"/><Relationship Id="rId12" Type="http://schemas.openxmlformats.org/officeDocument/2006/relationships/image" Target="../media/image8.png"/><Relationship Id="rId2" Type="http://schemas.openxmlformats.org/officeDocument/2006/relationships/image" Target="../media/image3.png"/><Relationship Id="rId16" Type="http://schemas.openxmlformats.org/officeDocument/2006/relationships/image" Target="../media/image10.png"/><Relationship Id="rId1" Type="http://schemas.openxmlformats.org/officeDocument/2006/relationships/hyperlink" Target="#PuntoEquilibrio!A1"/><Relationship Id="rId6" Type="http://schemas.openxmlformats.org/officeDocument/2006/relationships/image" Target="../media/image16.png"/><Relationship Id="rId11" Type="http://schemas.openxmlformats.org/officeDocument/2006/relationships/hyperlink" Target="#Resultados!A1"/><Relationship Id="rId5" Type="http://schemas.openxmlformats.org/officeDocument/2006/relationships/hyperlink" Target="#Datos!A1"/><Relationship Id="rId15" Type="http://schemas.openxmlformats.org/officeDocument/2006/relationships/hyperlink" Target="#EstadodeResultados!A1"/><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hyperlink" Target="#Portada!A1"/><Relationship Id="rId14"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Metodos!A1"/><Relationship Id="rId3" Type="http://schemas.openxmlformats.org/officeDocument/2006/relationships/hyperlink" Target="#Antescedentes!A1"/><Relationship Id="rId7" Type="http://schemas.openxmlformats.org/officeDocument/2006/relationships/hyperlink" Target="#BalanceGeneral!A1"/><Relationship Id="rId12" Type="http://schemas.openxmlformats.org/officeDocument/2006/relationships/image" Target="../media/image8.png"/><Relationship Id="rId2" Type="http://schemas.openxmlformats.org/officeDocument/2006/relationships/image" Target="../media/image3.png"/><Relationship Id="rId16" Type="http://schemas.openxmlformats.org/officeDocument/2006/relationships/image" Target="../media/image18.png"/><Relationship Id="rId1" Type="http://schemas.openxmlformats.org/officeDocument/2006/relationships/hyperlink" Target="#PuntoEquilibrio!A1"/><Relationship Id="rId6" Type="http://schemas.openxmlformats.org/officeDocument/2006/relationships/image" Target="../media/image5.png"/><Relationship Id="rId11" Type="http://schemas.openxmlformats.org/officeDocument/2006/relationships/hyperlink" Target="#Resultados!A1"/><Relationship Id="rId5" Type="http://schemas.openxmlformats.org/officeDocument/2006/relationships/hyperlink" Target="#Datos!A1"/><Relationship Id="rId15" Type="http://schemas.openxmlformats.org/officeDocument/2006/relationships/hyperlink" Target="#EstadodeResultados!A1"/><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hyperlink" Target="#Portada!A1"/><Relationship Id="rId14"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Metodos!A1"/><Relationship Id="rId3" Type="http://schemas.openxmlformats.org/officeDocument/2006/relationships/hyperlink" Target="#Antescedentes!A1"/><Relationship Id="rId7" Type="http://schemas.openxmlformats.org/officeDocument/2006/relationships/hyperlink" Target="#BalanceGeneral!A1"/><Relationship Id="rId12" Type="http://schemas.openxmlformats.org/officeDocument/2006/relationships/image" Target="../media/image8.png"/><Relationship Id="rId17" Type="http://schemas.openxmlformats.org/officeDocument/2006/relationships/image" Target="../media/image9.png"/><Relationship Id="rId2" Type="http://schemas.openxmlformats.org/officeDocument/2006/relationships/image" Target="../media/image3.png"/><Relationship Id="rId16" Type="http://schemas.openxmlformats.org/officeDocument/2006/relationships/image" Target="../media/image10.png"/><Relationship Id="rId1" Type="http://schemas.openxmlformats.org/officeDocument/2006/relationships/hyperlink" Target="#PuntoEquilibrio!A1"/><Relationship Id="rId6" Type="http://schemas.openxmlformats.org/officeDocument/2006/relationships/image" Target="../media/image5.png"/><Relationship Id="rId11" Type="http://schemas.openxmlformats.org/officeDocument/2006/relationships/hyperlink" Target="#Resultados!A1"/><Relationship Id="rId5" Type="http://schemas.openxmlformats.org/officeDocument/2006/relationships/hyperlink" Target="#Datos!A1"/><Relationship Id="rId15" Type="http://schemas.openxmlformats.org/officeDocument/2006/relationships/hyperlink" Target="#EstadodeResultados!A1"/><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hyperlink" Target="#Portada!A1"/><Relationship Id="rId14" Type="http://schemas.openxmlformats.org/officeDocument/2006/relationships/image" Target="../media/image19.png"/></Relationships>
</file>

<file path=xl/drawings/_rels/drawing7.xml.rels><?xml version="1.0" encoding="UTF-8" standalone="yes"?>
<Relationships xmlns="http://schemas.openxmlformats.org/package/2006/relationships"><Relationship Id="rId8" Type="http://schemas.openxmlformats.org/officeDocument/2006/relationships/image" Target="../media/image27.png"/><Relationship Id="rId13" Type="http://schemas.openxmlformats.org/officeDocument/2006/relationships/image" Target="../media/image3.png"/><Relationship Id="rId18" Type="http://schemas.openxmlformats.org/officeDocument/2006/relationships/hyperlink" Target="#BalanceGeneral!A1"/><Relationship Id="rId26" Type="http://schemas.openxmlformats.org/officeDocument/2006/relationships/hyperlink" Target="#EstadodeResultados!A1"/><Relationship Id="rId3" Type="http://schemas.openxmlformats.org/officeDocument/2006/relationships/image" Target="../media/image22.png"/><Relationship Id="rId21" Type="http://schemas.openxmlformats.org/officeDocument/2006/relationships/image" Target="../media/image15.png"/><Relationship Id="rId7" Type="http://schemas.openxmlformats.org/officeDocument/2006/relationships/image" Target="../media/image26.png"/><Relationship Id="rId12" Type="http://schemas.openxmlformats.org/officeDocument/2006/relationships/hyperlink" Target="#PuntoEquilibrio!A1"/><Relationship Id="rId17" Type="http://schemas.openxmlformats.org/officeDocument/2006/relationships/image" Target="../media/image5.png"/><Relationship Id="rId25" Type="http://schemas.openxmlformats.org/officeDocument/2006/relationships/image" Target="../media/image9.png"/><Relationship Id="rId2" Type="http://schemas.openxmlformats.org/officeDocument/2006/relationships/image" Target="../media/image21.png"/><Relationship Id="rId16" Type="http://schemas.openxmlformats.org/officeDocument/2006/relationships/hyperlink" Target="#Datos!A1"/><Relationship Id="rId20" Type="http://schemas.openxmlformats.org/officeDocument/2006/relationships/hyperlink" Target="#Portada!A1"/><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30.png"/><Relationship Id="rId24" Type="http://schemas.openxmlformats.org/officeDocument/2006/relationships/hyperlink" Target="#Metodos!A1"/><Relationship Id="rId5" Type="http://schemas.openxmlformats.org/officeDocument/2006/relationships/image" Target="../media/image24.png"/><Relationship Id="rId15" Type="http://schemas.openxmlformats.org/officeDocument/2006/relationships/image" Target="../media/image4.png"/><Relationship Id="rId23" Type="http://schemas.openxmlformats.org/officeDocument/2006/relationships/image" Target="../media/image8.png"/><Relationship Id="rId10" Type="http://schemas.openxmlformats.org/officeDocument/2006/relationships/image" Target="../media/image29.png"/><Relationship Id="rId19" Type="http://schemas.openxmlformats.org/officeDocument/2006/relationships/image" Target="../media/image31.png"/><Relationship Id="rId4" Type="http://schemas.openxmlformats.org/officeDocument/2006/relationships/image" Target="../media/image23.png"/><Relationship Id="rId9" Type="http://schemas.openxmlformats.org/officeDocument/2006/relationships/image" Target="../media/image28.png"/><Relationship Id="rId14" Type="http://schemas.openxmlformats.org/officeDocument/2006/relationships/hyperlink" Target="#Antescedentes!A1"/><Relationship Id="rId22" Type="http://schemas.openxmlformats.org/officeDocument/2006/relationships/hyperlink" Target="#Resultados!A1"/><Relationship Id="rId27" Type="http://schemas.openxmlformats.org/officeDocument/2006/relationships/image" Target="../media/image10.png"/></Relationships>
</file>

<file path=xl/drawings/_rels/drawing8.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Metodos!A1"/><Relationship Id="rId3" Type="http://schemas.openxmlformats.org/officeDocument/2006/relationships/hyperlink" Target="#Antescedentes!A1"/><Relationship Id="rId7" Type="http://schemas.openxmlformats.org/officeDocument/2006/relationships/hyperlink" Target="#BalanceGeneral!A1"/><Relationship Id="rId12" Type="http://schemas.openxmlformats.org/officeDocument/2006/relationships/image" Target="../media/image8.png"/><Relationship Id="rId2" Type="http://schemas.openxmlformats.org/officeDocument/2006/relationships/image" Target="../media/image32.png"/><Relationship Id="rId16" Type="http://schemas.openxmlformats.org/officeDocument/2006/relationships/image" Target="../media/image10.png"/><Relationship Id="rId1" Type="http://schemas.openxmlformats.org/officeDocument/2006/relationships/hyperlink" Target="#PuntoEquilibrio!A1"/><Relationship Id="rId6" Type="http://schemas.openxmlformats.org/officeDocument/2006/relationships/image" Target="../media/image5.png"/><Relationship Id="rId11" Type="http://schemas.openxmlformats.org/officeDocument/2006/relationships/hyperlink" Target="#Resultados!A1"/><Relationship Id="rId5" Type="http://schemas.openxmlformats.org/officeDocument/2006/relationships/hyperlink" Target="#Datos!A1"/><Relationship Id="rId15" Type="http://schemas.openxmlformats.org/officeDocument/2006/relationships/hyperlink" Target="#EstadodeResultados!A1"/><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hyperlink" Target="#Portada!A1"/><Relationship Id="rId14" Type="http://schemas.openxmlformats.org/officeDocument/2006/relationships/image" Target="../media/image9.png"/></Relationships>
</file>

<file path=xl/drawings/_rels/drawing9.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Metodos!A1"/><Relationship Id="rId3" Type="http://schemas.openxmlformats.org/officeDocument/2006/relationships/hyperlink" Target="#Antescedentes!A1"/><Relationship Id="rId7" Type="http://schemas.openxmlformats.org/officeDocument/2006/relationships/hyperlink" Target="#BalanceGeneral!A1"/><Relationship Id="rId12" Type="http://schemas.openxmlformats.org/officeDocument/2006/relationships/image" Target="../media/image33.png"/><Relationship Id="rId2" Type="http://schemas.openxmlformats.org/officeDocument/2006/relationships/image" Target="../media/image3.png"/><Relationship Id="rId16" Type="http://schemas.openxmlformats.org/officeDocument/2006/relationships/image" Target="../media/image10.png"/><Relationship Id="rId1" Type="http://schemas.openxmlformats.org/officeDocument/2006/relationships/hyperlink" Target="#PuntoEquilibrio!A1"/><Relationship Id="rId6" Type="http://schemas.openxmlformats.org/officeDocument/2006/relationships/image" Target="../media/image5.png"/><Relationship Id="rId11" Type="http://schemas.openxmlformats.org/officeDocument/2006/relationships/hyperlink" Target="#Resultados!A1"/><Relationship Id="rId5" Type="http://schemas.openxmlformats.org/officeDocument/2006/relationships/hyperlink" Target="#Datos!A1"/><Relationship Id="rId15" Type="http://schemas.openxmlformats.org/officeDocument/2006/relationships/hyperlink" Target="#EstadodeResultados!A1"/><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hyperlink" Target="#Portada!A1"/><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127907</xdr:colOff>
      <xdr:row>5</xdr:row>
      <xdr:rowOff>28575</xdr:rowOff>
    </xdr:from>
    <xdr:to>
      <xdr:col>14</xdr:col>
      <xdr:colOff>95250</xdr:colOff>
      <xdr:row>46</xdr:row>
      <xdr:rowOff>187437</xdr:rowOff>
    </xdr:to>
    <xdr:pic>
      <xdr:nvPicPr>
        <xdr:cNvPr id="11" name="Imagen 10">
          <a:extLst>
            <a:ext uri="{FF2B5EF4-FFF2-40B4-BE49-F238E27FC236}">
              <a16:creationId xmlns:a16="http://schemas.microsoft.com/office/drawing/2014/main" id="{BC1A386E-556A-42A3-A492-A551EE75FE3F}"/>
            </a:ext>
          </a:extLst>
        </xdr:cNvPr>
        <xdr:cNvPicPr>
          <a:picLocks noChangeAspect="1"/>
        </xdr:cNvPicPr>
      </xdr:nvPicPr>
      <xdr:blipFill>
        <a:blip xmlns:r="http://schemas.openxmlformats.org/officeDocument/2006/relationships" r:embed="rId1" cstate="print">
          <a:alphaModFix amt="85000"/>
          <a:extLst>
            <a:ext uri="{28A0092B-C50C-407E-A947-70E740481C1C}">
              <a14:useLocalDpi xmlns:a14="http://schemas.microsoft.com/office/drawing/2010/main" val="0"/>
            </a:ext>
          </a:extLst>
        </a:blip>
        <a:stretch>
          <a:fillRect/>
        </a:stretch>
      </xdr:blipFill>
      <xdr:spPr>
        <a:xfrm>
          <a:off x="966107" y="981075"/>
          <a:ext cx="10863943" cy="7969362"/>
        </a:xfrm>
        <a:prstGeom prst="rect">
          <a:avLst/>
        </a:prstGeom>
      </xdr:spPr>
    </xdr:pic>
    <xdr:clientData/>
  </xdr:twoCellAnchor>
  <xdr:twoCellAnchor editAs="oneCell">
    <xdr:from>
      <xdr:col>10</xdr:col>
      <xdr:colOff>666750</xdr:colOff>
      <xdr:row>1</xdr:row>
      <xdr:rowOff>38101</xdr:rowOff>
    </xdr:from>
    <xdr:to>
      <xdr:col>12</xdr:col>
      <xdr:colOff>635925</xdr:colOff>
      <xdr:row>5</xdr:row>
      <xdr:rowOff>5659</xdr:rowOff>
    </xdr:to>
    <xdr:pic>
      <xdr:nvPicPr>
        <xdr:cNvPr id="3" name="Imagen 2">
          <a:hlinkClick xmlns:r="http://schemas.openxmlformats.org/officeDocument/2006/relationships" r:id="rId2"/>
          <a:extLst>
            <a:ext uri="{FF2B5EF4-FFF2-40B4-BE49-F238E27FC236}">
              <a16:creationId xmlns:a16="http://schemas.microsoft.com/office/drawing/2014/main" id="{D56441DD-7082-4B1E-BE4B-FA8F8C55123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048750" y="228601"/>
          <a:ext cx="1645575" cy="729558"/>
        </a:xfrm>
        <a:prstGeom prst="rect">
          <a:avLst/>
        </a:prstGeom>
      </xdr:spPr>
    </xdr:pic>
    <xdr:clientData/>
  </xdr:twoCellAnchor>
  <xdr:twoCellAnchor editAs="oneCell">
    <xdr:from>
      <xdr:col>2</xdr:col>
      <xdr:colOff>711975</xdr:colOff>
      <xdr:row>1</xdr:row>
      <xdr:rowOff>7126</xdr:rowOff>
    </xdr:from>
    <xdr:to>
      <xdr:col>4</xdr:col>
      <xdr:colOff>681150</xdr:colOff>
      <xdr:row>4</xdr:row>
      <xdr:rowOff>165184</xdr:rowOff>
    </xdr:to>
    <xdr:pic>
      <xdr:nvPicPr>
        <xdr:cNvPr id="5" name="Imagen 4">
          <a:hlinkClick xmlns:r="http://schemas.openxmlformats.org/officeDocument/2006/relationships" r:id="rId4"/>
          <a:extLst>
            <a:ext uri="{FF2B5EF4-FFF2-40B4-BE49-F238E27FC236}">
              <a16:creationId xmlns:a16="http://schemas.microsoft.com/office/drawing/2014/main" id="{91FA19CD-9A3E-494A-AC43-CB09FDEB7B5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88375" y="197626"/>
          <a:ext cx="1645575" cy="729558"/>
        </a:xfrm>
        <a:prstGeom prst="rect">
          <a:avLst/>
        </a:prstGeom>
      </xdr:spPr>
    </xdr:pic>
    <xdr:clientData/>
  </xdr:twoCellAnchor>
  <xdr:twoCellAnchor editAs="oneCell">
    <xdr:from>
      <xdr:col>4</xdr:col>
      <xdr:colOff>728625</xdr:colOff>
      <xdr:row>1</xdr:row>
      <xdr:rowOff>14251</xdr:rowOff>
    </xdr:from>
    <xdr:to>
      <xdr:col>6</xdr:col>
      <xdr:colOff>697800</xdr:colOff>
      <xdr:row>4</xdr:row>
      <xdr:rowOff>172309</xdr:rowOff>
    </xdr:to>
    <xdr:pic>
      <xdr:nvPicPr>
        <xdr:cNvPr id="7" name="Imagen 6">
          <a:hlinkClick xmlns:r="http://schemas.openxmlformats.org/officeDocument/2006/relationships" r:id="rId6"/>
          <a:extLst>
            <a:ext uri="{FF2B5EF4-FFF2-40B4-BE49-F238E27FC236}">
              <a16:creationId xmlns:a16="http://schemas.microsoft.com/office/drawing/2014/main" id="{F19FE5E6-5613-4C1B-AA8D-E3AAB4325D9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81425" y="204751"/>
          <a:ext cx="1645575" cy="729558"/>
        </a:xfrm>
        <a:prstGeom prst="rect">
          <a:avLst/>
        </a:prstGeom>
      </xdr:spPr>
    </xdr:pic>
    <xdr:clientData/>
  </xdr:twoCellAnchor>
  <xdr:twoCellAnchor editAs="oneCell">
    <xdr:from>
      <xdr:col>8</xdr:col>
      <xdr:colOff>659550</xdr:colOff>
      <xdr:row>1</xdr:row>
      <xdr:rowOff>21376</xdr:rowOff>
    </xdr:from>
    <xdr:to>
      <xdr:col>10</xdr:col>
      <xdr:colOff>628725</xdr:colOff>
      <xdr:row>4</xdr:row>
      <xdr:rowOff>179434</xdr:rowOff>
    </xdr:to>
    <xdr:pic>
      <xdr:nvPicPr>
        <xdr:cNvPr id="9" name="Imagen 8">
          <a:hlinkClick xmlns:r="http://schemas.openxmlformats.org/officeDocument/2006/relationships" r:id="rId8"/>
          <a:extLst>
            <a:ext uri="{FF2B5EF4-FFF2-40B4-BE49-F238E27FC236}">
              <a16:creationId xmlns:a16="http://schemas.microsoft.com/office/drawing/2014/main" id="{2843D1CD-C8A9-47B6-887B-F609574667F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365150" y="211876"/>
          <a:ext cx="1645575" cy="729558"/>
        </a:xfrm>
        <a:prstGeom prst="rect">
          <a:avLst/>
        </a:prstGeom>
      </xdr:spPr>
    </xdr:pic>
    <xdr:clientData/>
  </xdr:twoCellAnchor>
  <xdr:twoCellAnchor editAs="oneCell">
    <xdr:from>
      <xdr:col>0</xdr:col>
      <xdr:colOff>714547</xdr:colOff>
      <xdr:row>0</xdr:row>
      <xdr:rowOff>171375</xdr:rowOff>
    </xdr:from>
    <xdr:to>
      <xdr:col>2</xdr:col>
      <xdr:colOff>683228</xdr:colOff>
      <xdr:row>4</xdr:row>
      <xdr:rowOff>138440</xdr:rowOff>
    </xdr:to>
    <xdr:pic>
      <xdr:nvPicPr>
        <xdr:cNvPr id="12" name="Imagen 11">
          <a:hlinkClick xmlns:r="http://schemas.openxmlformats.org/officeDocument/2006/relationships" r:id="rId10"/>
          <a:extLst>
            <a:ext uri="{FF2B5EF4-FFF2-40B4-BE49-F238E27FC236}">
              <a16:creationId xmlns:a16="http://schemas.microsoft.com/office/drawing/2014/main" id="{71BA71F8-D51C-4CB9-94F8-92643CE5AE1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714547" y="171375"/>
          <a:ext cx="1645081" cy="729065"/>
        </a:xfrm>
        <a:prstGeom prst="rect">
          <a:avLst/>
        </a:prstGeom>
      </xdr:spPr>
    </xdr:pic>
    <xdr:clientData/>
  </xdr:twoCellAnchor>
  <xdr:twoCellAnchor editAs="oneCell">
    <xdr:from>
      <xdr:col>14</xdr:col>
      <xdr:colOff>654750</xdr:colOff>
      <xdr:row>1</xdr:row>
      <xdr:rowOff>54676</xdr:rowOff>
    </xdr:from>
    <xdr:to>
      <xdr:col>16</xdr:col>
      <xdr:colOff>623925</xdr:colOff>
      <xdr:row>5</xdr:row>
      <xdr:rowOff>22234</xdr:rowOff>
    </xdr:to>
    <xdr:pic>
      <xdr:nvPicPr>
        <xdr:cNvPr id="14" name="Imagen 13">
          <a:hlinkClick xmlns:r="http://schemas.openxmlformats.org/officeDocument/2006/relationships" r:id="rId12"/>
          <a:extLst>
            <a:ext uri="{FF2B5EF4-FFF2-40B4-BE49-F238E27FC236}">
              <a16:creationId xmlns:a16="http://schemas.microsoft.com/office/drawing/2014/main" id="{F71C137B-3DA6-40C7-9307-58068944BD5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2389550" y="245176"/>
          <a:ext cx="1645575" cy="729558"/>
        </a:xfrm>
        <a:prstGeom prst="rect">
          <a:avLst/>
        </a:prstGeom>
      </xdr:spPr>
    </xdr:pic>
    <xdr:clientData/>
  </xdr:twoCellAnchor>
  <xdr:twoCellAnchor editAs="oneCell">
    <xdr:from>
      <xdr:col>12</xdr:col>
      <xdr:colOff>652350</xdr:colOff>
      <xdr:row>1</xdr:row>
      <xdr:rowOff>42751</xdr:rowOff>
    </xdr:from>
    <xdr:to>
      <xdr:col>14</xdr:col>
      <xdr:colOff>621525</xdr:colOff>
      <xdr:row>5</xdr:row>
      <xdr:rowOff>10309</xdr:rowOff>
    </xdr:to>
    <xdr:pic>
      <xdr:nvPicPr>
        <xdr:cNvPr id="16" name="Imagen 15">
          <a:hlinkClick xmlns:r="http://schemas.openxmlformats.org/officeDocument/2006/relationships" r:id="rId14"/>
          <a:extLst>
            <a:ext uri="{FF2B5EF4-FFF2-40B4-BE49-F238E27FC236}">
              <a16:creationId xmlns:a16="http://schemas.microsoft.com/office/drawing/2014/main" id="{38901A3D-536F-4B9C-BABF-926D6F5671D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710750" y="233251"/>
          <a:ext cx="1645575" cy="729558"/>
        </a:xfrm>
        <a:prstGeom prst="rect">
          <a:avLst/>
        </a:prstGeom>
      </xdr:spPr>
    </xdr:pic>
    <xdr:clientData/>
  </xdr:twoCellAnchor>
  <xdr:twoCellAnchor editAs="oneCell">
    <xdr:from>
      <xdr:col>6</xdr:col>
      <xdr:colOff>678525</xdr:colOff>
      <xdr:row>1</xdr:row>
      <xdr:rowOff>30825</xdr:rowOff>
    </xdr:from>
    <xdr:to>
      <xdr:col>8</xdr:col>
      <xdr:colOff>647700</xdr:colOff>
      <xdr:row>4</xdr:row>
      <xdr:rowOff>188390</xdr:rowOff>
    </xdr:to>
    <xdr:pic>
      <xdr:nvPicPr>
        <xdr:cNvPr id="18" name="Imagen 17">
          <a:hlinkClick xmlns:r="http://schemas.openxmlformats.org/officeDocument/2006/relationships" r:id="rId16"/>
          <a:extLst>
            <a:ext uri="{FF2B5EF4-FFF2-40B4-BE49-F238E27FC236}">
              <a16:creationId xmlns:a16="http://schemas.microsoft.com/office/drawing/2014/main" id="{FA8AD220-A4B5-4CC5-99D1-71150EB796E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707725" y="221325"/>
          <a:ext cx="1645575" cy="7290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38100</xdr:rowOff>
    </xdr:from>
    <xdr:to>
      <xdr:col>21</xdr:col>
      <xdr:colOff>190500</xdr:colOff>
      <xdr:row>103</xdr:row>
      <xdr:rowOff>60900</xdr:rowOff>
    </xdr:to>
    <xdr:pic>
      <xdr:nvPicPr>
        <xdr:cNvPr id="10" name="Imagen 9">
          <a:extLst>
            <a:ext uri="{FF2B5EF4-FFF2-40B4-BE49-F238E27FC236}">
              <a16:creationId xmlns:a16="http://schemas.microsoft.com/office/drawing/2014/main" id="{6F0E0BAE-B097-4570-A607-E1052D5429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371600"/>
          <a:ext cx="17792700" cy="18310800"/>
        </a:xfrm>
        <a:prstGeom prst="rect">
          <a:avLst/>
        </a:prstGeom>
      </xdr:spPr>
    </xdr:pic>
    <xdr:clientData/>
  </xdr:twoCellAnchor>
  <xdr:twoCellAnchor editAs="oneCell">
    <xdr:from>
      <xdr:col>0</xdr:col>
      <xdr:colOff>813954</xdr:colOff>
      <xdr:row>109</xdr:row>
      <xdr:rowOff>49976</xdr:rowOff>
    </xdr:from>
    <xdr:to>
      <xdr:col>10</xdr:col>
      <xdr:colOff>545793</xdr:colOff>
      <xdr:row>143</xdr:row>
      <xdr:rowOff>38749</xdr:rowOff>
    </xdr:to>
    <xdr:pic>
      <xdr:nvPicPr>
        <xdr:cNvPr id="27" name="Imagen 2">
          <a:extLst>
            <a:ext uri="{FF2B5EF4-FFF2-40B4-BE49-F238E27FC236}">
              <a16:creationId xmlns:a16="http://schemas.microsoft.com/office/drawing/2014/main" id="{C53F5CFA-389E-4A43-B6BD-4D9F17DAAED6}"/>
            </a:ext>
          </a:extLst>
        </xdr:cNvPr>
        <xdr:cNvPicPr>
          <a:picLocks noChangeAspect="1"/>
        </xdr:cNvPicPr>
      </xdr:nvPicPr>
      <xdr:blipFill>
        <a:blip xmlns:r="http://schemas.openxmlformats.org/officeDocument/2006/relationships" r:embed="rId2"/>
        <a:stretch>
          <a:fillRect/>
        </a:stretch>
      </xdr:blipFill>
      <xdr:spPr>
        <a:xfrm>
          <a:off x="813954" y="18926794"/>
          <a:ext cx="8113839" cy="6465773"/>
        </a:xfrm>
        <a:prstGeom prst="rect">
          <a:avLst/>
        </a:prstGeom>
      </xdr:spPr>
    </xdr:pic>
    <xdr:clientData/>
  </xdr:twoCellAnchor>
  <xdr:twoCellAnchor editAs="oneCell">
    <xdr:from>
      <xdr:col>12</xdr:col>
      <xdr:colOff>123083</xdr:colOff>
      <xdr:row>109</xdr:row>
      <xdr:rowOff>37235</xdr:rowOff>
    </xdr:from>
    <xdr:to>
      <xdr:col>18</xdr:col>
      <xdr:colOff>689635</xdr:colOff>
      <xdr:row>141</xdr:row>
      <xdr:rowOff>67699</xdr:rowOff>
    </xdr:to>
    <xdr:pic>
      <xdr:nvPicPr>
        <xdr:cNvPr id="2" name="Imagen 1">
          <a:extLst>
            <a:ext uri="{FF2B5EF4-FFF2-40B4-BE49-F238E27FC236}">
              <a16:creationId xmlns:a16="http://schemas.microsoft.com/office/drawing/2014/main" id="{8D746ADD-3CB8-46C4-8EC2-284033D20FBE}"/>
            </a:ext>
          </a:extLst>
        </xdr:cNvPr>
        <xdr:cNvPicPr>
          <a:picLocks noChangeAspect="1"/>
        </xdr:cNvPicPr>
      </xdr:nvPicPr>
      <xdr:blipFill>
        <a:blip xmlns:r="http://schemas.openxmlformats.org/officeDocument/2006/relationships" r:embed="rId3"/>
        <a:stretch>
          <a:fillRect/>
        </a:stretch>
      </xdr:blipFill>
      <xdr:spPr>
        <a:xfrm>
          <a:off x="10098356" y="18914053"/>
          <a:ext cx="5595752" cy="6126464"/>
        </a:xfrm>
        <a:prstGeom prst="rect">
          <a:avLst/>
        </a:prstGeom>
      </xdr:spPr>
    </xdr:pic>
    <xdr:clientData/>
  </xdr:twoCellAnchor>
  <xdr:twoCellAnchor editAs="oneCell">
    <xdr:from>
      <xdr:col>10</xdr:col>
      <xdr:colOff>685875</xdr:colOff>
      <xdr:row>0</xdr:row>
      <xdr:rowOff>57226</xdr:rowOff>
    </xdr:from>
    <xdr:to>
      <xdr:col>12</xdr:col>
      <xdr:colOff>655050</xdr:colOff>
      <xdr:row>4</xdr:row>
      <xdr:rowOff>24784</xdr:rowOff>
    </xdr:to>
    <xdr:pic>
      <xdr:nvPicPr>
        <xdr:cNvPr id="5" name="Imagen 4">
          <a:hlinkClick xmlns:r="http://schemas.openxmlformats.org/officeDocument/2006/relationships" r:id="rId4"/>
          <a:extLst>
            <a:ext uri="{FF2B5EF4-FFF2-40B4-BE49-F238E27FC236}">
              <a16:creationId xmlns:a16="http://schemas.microsoft.com/office/drawing/2014/main" id="{A3E12326-905A-418F-83E3-91FF31864D0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67875" y="57226"/>
          <a:ext cx="1645575" cy="729558"/>
        </a:xfrm>
        <a:prstGeom prst="rect">
          <a:avLst/>
        </a:prstGeom>
      </xdr:spPr>
    </xdr:pic>
    <xdr:clientData/>
  </xdr:twoCellAnchor>
  <xdr:twoCellAnchor editAs="oneCell">
    <xdr:from>
      <xdr:col>2</xdr:col>
      <xdr:colOff>731347</xdr:colOff>
      <xdr:row>0</xdr:row>
      <xdr:rowOff>26251</xdr:rowOff>
    </xdr:from>
    <xdr:to>
      <xdr:col>4</xdr:col>
      <xdr:colOff>700028</xdr:colOff>
      <xdr:row>3</xdr:row>
      <xdr:rowOff>184309</xdr:rowOff>
    </xdr:to>
    <xdr:pic>
      <xdr:nvPicPr>
        <xdr:cNvPr id="6" name="Imagen 5">
          <a:hlinkClick xmlns:r="http://schemas.openxmlformats.org/officeDocument/2006/relationships" r:id="rId6"/>
          <a:extLst>
            <a:ext uri="{FF2B5EF4-FFF2-40B4-BE49-F238E27FC236}">
              <a16:creationId xmlns:a16="http://schemas.microsoft.com/office/drawing/2014/main" id="{5C3B1C08-9F04-4C62-9399-7CE0139FACE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2407747" y="26251"/>
          <a:ext cx="1645081" cy="729558"/>
        </a:xfrm>
        <a:prstGeom prst="rect">
          <a:avLst/>
        </a:prstGeom>
      </xdr:spPr>
    </xdr:pic>
    <xdr:clientData/>
  </xdr:twoCellAnchor>
  <xdr:twoCellAnchor editAs="oneCell">
    <xdr:from>
      <xdr:col>4</xdr:col>
      <xdr:colOff>747750</xdr:colOff>
      <xdr:row>0</xdr:row>
      <xdr:rowOff>33376</xdr:rowOff>
    </xdr:from>
    <xdr:to>
      <xdr:col>6</xdr:col>
      <xdr:colOff>716925</xdr:colOff>
      <xdr:row>4</xdr:row>
      <xdr:rowOff>934</xdr:rowOff>
    </xdr:to>
    <xdr:pic>
      <xdr:nvPicPr>
        <xdr:cNvPr id="7" name="Imagen 6">
          <a:hlinkClick xmlns:r="http://schemas.openxmlformats.org/officeDocument/2006/relationships" r:id="rId8"/>
          <a:extLst>
            <a:ext uri="{FF2B5EF4-FFF2-40B4-BE49-F238E27FC236}">
              <a16:creationId xmlns:a16="http://schemas.microsoft.com/office/drawing/2014/main" id="{D9807C0A-D043-4550-A896-F19AC70540A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100550" y="33376"/>
          <a:ext cx="1645575" cy="729558"/>
        </a:xfrm>
        <a:prstGeom prst="rect">
          <a:avLst/>
        </a:prstGeom>
      </xdr:spPr>
    </xdr:pic>
    <xdr:clientData/>
  </xdr:twoCellAnchor>
  <xdr:twoCellAnchor editAs="oneCell">
    <xdr:from>
      <xdr:col>8</xdr:col>
      <xdr:colOff>678675</xdr:colOff>
      <xdr:row>0</xdr:row>
      <xdr:rowOff>40501</xdr:rowOff>
    </xdr:from>
    <xdr:to>
      <xdr:col>10</xdr:col>
      <xdr:colOff>647850</xdr:colOff>
      <xdr:row>4</xdr:row>
      <xdr:rowOff>8059</xdr:rowOff>
    </xdr:to>
    <xdr:pic>
      <xdr:nvPicPr>
        <xdr:cNvPr id="8" name="Imagen 7">
          <a:hlinkClick xmlns:r="http://schemas.openxmlformats.org/officeDocument/2006/relationships" r:id="rId10"/>
          <a:extLst>
            <a:ext uri="{FF2B5EF4-FFF2-40B4-BE49-F238E27FC236}">
              <a16:creationId xmlns:a16="http://schemas.microsoft.com/office/drawing/2014/main" id="{08BD1228-F69E-4336-AACE-BD8D5073039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384275" y="40501"/>
          <a:ext cx="1645575" cy="729558"/>
        </a:xfrm>
        <a:prstGeom prst="rect">
          <a:avLst/>
        </a:prstGeom>
      </xdr:spPr>
    </xdr:pic>
    <xdr:clientData/>
  </xdr:twoCellAnchor>
  <xdr:twoCellAnchor editAs="oneCell">
    <xdr:from>
      <xdr:col>0</xdr:col>
      <xdr:colOff>733425</xdr:colOff>
      <xdr:row>0</xdr:row>
      <xdr:rowOff>0</xdr:rowOff>
    </xdr:from>
    <xdr:to>
      <xdr:col>2</xdr:col>
      <xdr:colOff>702600</xdr:colOff>
      <xdr:row>3</xdr:row>
      <xdr:rowOff>157565</xdr:rowOff>
    </xdr:to>
    <xdr:pic>
      <xdr:nvPicPr>
        <xdr:cNvPr id="9" name="Imagen 8">
          <a:hlinkClick xmlns:r="http://schemas.openxmlformats.org/officeDocument/2006/relationships" r:id="rId12"/>
          <a:extLst>
            <a:ext uri="{FF2B5EF4-FFF2-40B4-BE49-F238E27FC236}">
              <a16:creationId xmlns:a16="http://schemas.microsoft.com/office/drawing/2014/main" id="{A9225C7F-BB0B-42E8-B54C-65B0BA757FF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33425" y="0"/>
          <a:ext cx="1645575" cy="729065"/>
        </a:xfrm>
        <a:prstGeom prst="rect">
          <a:avLst/>
        </a:prstGeom>
      </xdr:spPr>
    </xdr:pic>
    <xdr:clientData/>
  </xdr:twoCellAnchor>
  <xdr:twoCellAnchor editAs="oneCell">
    <xdr:from>
      <xdr:col>14</xdr:col>
      <xdr:colOff>673875</xdr:colOff>
      <xdr:row>0</xdr:row>
      <xdr:rowOff>73801</xdr:rowOff>
    </xdr:from>
    <xdr:to>
      <xdr:col>16</xdr:col>
      <xdr:colOff>643050</xdr:colOff>
      <xdr:row>4</xdr:row>
      <xdr:rowOff>41359</xdr:rowOff>
    </xdr:to>
    <xdr:pic>
      <xdr:nvPicPr>
        <xdr:cNvPr id="11" name="Imagen 10">
          <a:hlinkClick xmlns:r="http://schemas.openxmlformats.org/officeDocument/2006/relationships" r:id="rId14"/>
          <a:extLst>
            <a:ext uri="{FF2B5EF4-FFF2-40B4-BE49-F238E27FC236}">
              <a16:creationId xmlns:a16="http://schemas.microsoft.com/office/drawing/2014/main" id="{AF507C29-C6BF-4E8F-8E9C-910B4A28A56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2408675" y="73801"/>
          <a:ext cx="1645575" cy="729558"/>
        </a:xfrm>
        <a:prstGeom prst="rect">
          <a:avLst/>
        </a:prstGeom>
      </xdr:spPr>
    </xdr:pic>
    <xdr:clientData/>
  </xdr:twoCellAnchor>
  <xdr:twoCellAnchor editAs="oneCell">
    <xdr:from>
      <xdr:col>12</xdr:col>
      <xdr:colOff>671475</xdr:colOff>
      <xdr:row>0</xdr:row>
      <xdr:rowOff>61876</xdr:rowOff>
    </xdr:from>
    <xdr:to>
      <xdr:col>14</xdr:col>
      <xdr:colOff>640650</xdr:colOff>
      <xdr:row>4</xdr:row>
      <xdr:rowOff>29434</xdr:rowOff>
    </xdr:to>
    <xdr:pic>
      <xdr:nvPicPr>
        <xdr:cNvPr id="12" name="Imagen 11">
          <a:hlinkClick xmlns:r="http://schemas.openxmlformats.org/officeDocument/2006/relationships" r:id="rId16"/>
          <a:extLst>
            <a:ext uri="{FF2B5EF4-FFF2-40B4-BE49-F238E27FC236}">
              <a16:creationId xmlns:a16="http://schemas.microsoft.com/office/drawing/2014/main" id="{47DA4B27-FF04-4CCC-A172-0828AB6922F8}"/>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729875" y="61876"/>
          <a:ext cx="1645575" cy="729558"/>
        </a:xfrm>
        <a:prstGeom prst="rect">
          <a:avLst/>
        </a:prstGeom>
      </xdr:spPr>
    </xdr:pic>
    <xdr:clientData/>
  </xdr:twoCellAnchor>
  <xdr:twoCellAnchor editAs="oneCell">
    <xdr:from>
      <xdr:col>6</xdr:col>
      <xdr:colOff>697650</xdr:colOff>
      <xdr:row>0</xdr:row>
      <xdr:rowOff>49950</xdr:rowOff>
    </xdr:from>
    <xdr:to>
      <xdr:col>8</xdr:col>
      <xdr:colOff>666825</xdr:colOff>
      <xdr:row>4</xdr:row>
      <xdr:rowOff>17015</xdr:rowOff>
    </xdr:to>
    <xdr:pic>
      <xdr:nvPicPr>
        <xdr:cNvPr id="13" name="Imagen 12">
          <a:hlinkClick xmlns:r="http://schemas.openxmlformats.org/officeDocument/2006/relationships" r:id="rId18"/>
          <a:extLst>
            <a:ext uri="{FF2B5EF4-FFF2-40B4-BE49-F238E27FC236}">
              <a16:creationId xmlns:a16="http://schemas.microsoft.com/office/drawing/2014/main" id="{8C8ADC41-B1C4-4CAC-B264-15036E3F577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726850" y="49950"/>
          <a:ext cx="1645575" cy="7290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5</xdr:row>
      <xdr:rowOff>47625</xdr:rowOff>
    </xdr:from>
    <xdr:to>
      <xdr:col>9</xdr:col>
      <xdr:colOff>19050</xdr:colOff>
      <xdr:row>16</xdr:row>
      <xdr:rowOff>0</xdr:rowOff>
    </xdr:to>
    <xdr:sp macro="" textlink="">
      <xdr:nvSpPr>
        <xdr:cNvPr id="2" name="Rectángulo: esquinas diagonales redondeadas 1">
          <a:extLst>
            <a:ext uri="{FF2B5EF4-FFF2-40B4-BE49-F238E27FC236}">
              <a16:creationId xmlns:a16="http://schemas.microsoft.com/office/drawing/2014/main" id="{D5AA4C74-9402-4D04-9D4F-2AB99D9F9079}"/>
            </a:ext>
          </a:extLst>
        </xdr:cNvPr>
        <xdr:cNvSpPr/>
      </xdr:nvSpPr>
      <xdr:spPr>
        <a:xfrm>
          <a:off x="847725" y="1009650"/>
          <a:ext cx="6715125" cy="2085975"/>
        </a:xfrm>
        <a:prstGeom prst="round2DiagRect">
          <a:avLst/>
        </a:prstGeom>
        <a:solidFill>
          <a:schemeClr val="tx1">
            <a:lumMod val="50000"/>
          </a:schemeClr>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lang="es-MX" sz="1100" b="0" i="0">
              <a:solidFill>
                <a:schemeClr val="bg1"/>
              </a:solidFill>
              <a:effectLst/>
              <a:latin typeface="+mn-lt"/>
              <a:ea typeface="+mn-ea"/>
              <a:cs typeface="+mn-cs"/>
            </a:rPr>
            <a:t>Textiles Diana S.A de C.V</a:t>
          </a:r>
        </a:p>
        <a:p>
          <a:pPr algn="l"/>
          <a:endParaRPr lang="es-MX" sz="1100" b="0" i="0">
            <a:solidFill>
              <a:schemeClr val="bg1"/>
            </a:solidFill>
            <a:effectLst/>
            <a:latin typeface="+mn-lt"/>
            <a:ea typeface="+mn-ea"/>
            <a:cs typeface="+mn-cs"/>
          </a:endParaRPr>
        </a:p>
        <a:p>
          <a:pPr algn="l"/>
          <a:r>
            <a:rPr lang="es-MX" sz="1100" b="0" i="0">
              <a:solidFill>
                <a:schemeClr val="bg1"/>
              </a:solidFill>
              <a:effectLst/>
              <a:latin typeface="+mn-lt"/>
              <a:ea typeface="+mn-ea"/>
              <a:cs typeface="+mn-cs"/>
            </a:rPr>
            <a:t>El licenciado Chávez Gerente de proyectos de la empresa Textiles Diana S.A de C.V, localizada en la Ciudad de México, se encontraba en mayo de 2019 en la Feria Textil de Guadalajara para contactar a los proveedores de maquinaria y equipo que requeriría la empresa para el proyecto del lanzamiento de una nueva línea de ropa para damas en el mercado de los Estados Unidos. Al llegar a su hotel encontró un informe que recientemente había enviado la Cámara de la Industria del Vestido sobre la entrada de China a la Organización Mundial de Comercio (OMC) en el año 2020, lo que provocaría un incremento en las exportaciones textiles de México a ese mercado previstas para los próximos cinco años ya que se estima que las ventas pronosticadas se podrían reducir desde un 25 hasta un 50%</a:t>
          </a:r>
          <a:endParaRPr lang="es-MX" sz="1100">
            <a:solidFill>
              <a:schemeClr val="bg1"/>
            </a:solidFill>
          </a:endParaRPr>
        </a:p>
      </xdr:txBody>
    </xdr:sp>
    <xdr:clientData/>
  </xdr:twoCellAnchor>
  <xdr:twoCellAnchor>
    <xdr:from>
      <xdr:col>1</xdr:col>
      <xdr:colOff>9525</xdr:colOff>
      <xdr:row>17</xdr:row>
      <xdr:rowOff>28574</xdr:rowOff>
    </xdr:from>
    <xdr:to>
      <xdr:col>9</xdr:col>
      <xdr:colOff>19050</xdr:colOff>
      <xdr:row>35</xdr:row>
      <xdr:rowOff>85724</xdr:rowOff>
    </xdr:to>
    <xdr:sp macro="" textlink="">
      <xdr:nvSpPr>
        <xdr:cNvPr id="3" name="Rectángulo: esquinas diagonales redondeadas 2">
          <a:extLst>
            <a:ext uri="{FF2B5EF4-FFF2-40B4-BE49-F238E27FC236}">
              <a16:creationId xmlns:a16="http://schemas.microsoft.com/office/drawing/2014/main" id="{45DD470A-7FBF-4B6B-AC02-D2AC7BF18211}"/>
            </a:ext>
          </a:extLst>
        </xdr:cNvPr>
        <xdr:cNvSpPr/>
      </xdr:nvSpPr>
      <xdr:spPr>
        <a:xfrm>
          <a:off x="847725" y="3324224"/>
          <a:ext cx="6715125" cy="3924300"/>
        </a:xfrm>
        <a:prstGeom prst="round2DiagRect">
          <a:avLst/>
        </a:prstGeom>
        <a:solidFill>
          <a:schemeClr val="tx1">
            <a:lumMod val="50000"/>
            <a:alpha val="74902"/>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s-MX" sz="1100" b="0" i="0">
              <a:solidFill>
                <a:schemeClr val="bg1"/>
              </a:solidFill>
              <a:effectLst/>
              <a:latin typeface="+mn-lt"/>
              <a:ea typeface="+mn-ea"/>
              <a:cs typeface="+mn-cs"/>
            </a:rPr>
            <a:t>Antecedentes del nuevo proyecto de inversión.</a:t>
          </a:r>
        </a:p>
        <a:p>
          <a:pPr algn="l"/>
          <a:endParaRPr lang="es-MX" sz="1100" b="0" i="0">
            <a:solidFill>
              <a:schemeClr val="bg1"/>
            </a:solidFill>
            <a:effectLst/>
            <a:latin typeface="+mn-lt"/>
            <a:ea typeface="+mn-ea"/>
            <a:cs typeface="+mn-cs"/>
          </a:endParaRPr>
        </a:p>
        <a:p>
          <a:r>
            <a:rPr lang="es-MX" sz="1100" b="0" i="0">
              <a:solidFill>
                <a:schemeClr val="bg1"/>
              </a:solidFill>
              <a:effectLst/>
              <a:latin typeface="+mn-lt"/>
              <a:ea typeface="+mn-ea"/>
              <a:cs typeface="+mn-cs"/>
            </a:rPr>
            <a:t>A principios del año 2018, el presidente de la compañía considero conveniente exportar sus productos, por lo que solicito a una empresa consultora un estudio de mercado para estimar la demanda potencial de los vestidos para dama en el mercado de los Estados Unidos.</a:t>
          </a:r>
        </a:p>
        <a:p>
          <a:r>
            <a:rPr lang="es-MX" sz="1100" b="0" i="0">
              <a:solidFill>
                <a:schemeClr val="bg1"/>
              </a:solidFill>
              <a:effectLst/>
              <a:latin typeface="+mn-lt"/>
              <a:ea typeface="+mn-ea"/>
              <a:cs typeface="+mn-cs"/>
            </a:rPr>
            <a:t>Según dicho estudio, las ventas pronosticadas para la empresa en el año 2020 podrían ser de 20 000 unidades y se estimaba crecer a una tasa promedio anual del 5% en los siguientes años, de acuerdo con el incremento esperado en las exportaciones de textiles y prendas de vestir de México hacia Estados Unidos, el estudio indicaba que el precio al cual se podría vender dicho producto incluyendo el IVA, seria aproximadamente de $800 pesos en el primer año de operación y que el incremento futuro estaría relacionado con la variación del tipo de cambio de la moneda local con respecto al dólar (se espera que la variación fuera aproximadamente del 5% anual).</a:t>
          </a:r>
        </a:p>
        <a:p>
          <a:r>
            <a:rPr lang="es-MX" sz="1100" b="0" i="0">
              <a:solidFill>
                <a:schemeClr val="bg1"/>
              </a:solidFill>
              <a:effectLst/>
              <a:latin typeface="+mn-lt"/>
              <a:ea typeface="+mn-ea"/>
              <a:cs typeface="+mn-cs"/>
            </a:rPr>
            <a:t>El presidente de la compañía, luego de revisar el estudio con el Gerente de Proyectos, considero conveniente invertir en la ampliación de la planta con el fin de lograr un incremento en la capacidad de producción de la empresa y satisfacer la demanda del mercado de exportaciones. Se esperaba que el proyecto fuera financiado con recursos propios, ya que la nueva inversión se mantendría en el rango de la estructura de capital definida en las políticas de la empresa. Fue entonces cuando al licenciado Chávez se le asigno la responsabilidad de evaluar y en su caso implementar el nuevo proyecto de inversión.</a:t>
          </a:r>
        </a:p>
        <a:p>
          <a:pPr algn="l"/>
          <a:endParaRPr lang="es-MX" sz="1100">
            <a:solidFill>
              <a:schemeClr val="bg1"/>
            </a:solidFill>
          </a:endParaRPr>
        </a:p>
      </xdr:txBody>
    </xdr:sp>
    <xdr:clientData/>
  </xdr:twoCellAnchor>
  <xdr:twoCellAnchor>
    <xdr:from>
      <xdr:col>0</xdr:col>
      <xdr:colOff>828675</xdr:colOff>
      <xdr:row>36</xdr:row>
      <xdr:rowOff>57149</xdr:rowOff>
    </xdr:from>
    <xdr:to>
      <xdr:col>9</xdr:col>
      <xdr:colOff>0</xdr:colOff>
      <xdr:row>54</xdr:row>
      <xdr:rowOff>85724</xdr:rowOff>
    </xdr:to>
    <xdr:sp macro="" textlink="">
      <xdr:nvSpPr>
        <xdr:cNvPr id="4" name="Rectángulo: esquinas diagonales redondeadas 3">
          <a:extLst>
            <a:ext uri="{FF2B5EF4-FFF2-40B4-BE49-F238E27FC236}">
              <a16:creationId xmlns:a16="http://schemas.microsoft.com/office/drawing/2014/main" id="{A683C827-1367-415C-886C-BC33C00A83D6}"/>
            </a:ext>
          </a:extLst>
        </xdr:cNvPr>
        <xdr:cNvSpPr/>
      </xdr:nvSpPr>
      <xdr:spPr>
        <a:xfrm>
          <a:off x="828675" y="7410449"/>
          <a:ext cx="6715125" cy="3457575"/>
        </a:xfrm>
        <a:prstGeom prst="round2DiagRect">
          <a:avLst/>
        </a:prstGeom>
        <a:solidFill>
          <a:schemeClr val="tx1">
            <a:lumMod val="50000"/>
            <a:alpha val="65098"/>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s-MX" sz="1100" b="0" i="0">
              <a:solidFill>
                <a:schemeClr val="bg1"/>
              </a:solidFill>
              <a:effectLst/>
              <a:latin typeface="+mn-lt"/>
              <a:ea typeface="+mn-ea"/>
              <a:cs typeface="+mn-cs"/>
            </a:rPr>
            <a:t>Plan de inversión</a:t>
          </a:r>
        </a:p>
        <a:p>
          <a:pPr algn="l"/>
          <a:r>
            <a:rPr lang="es-MX" sz="1100" b="0" i="0">
              <a:solidFill>
                <a:schemeClr val="bg1"/>
              </a:solidFill>
              <a:effectLst/>
              <a:latin typeface="+mn-lt"/>
              <a:ea typeface="+mn-ea"/>
              <a:cs typeface="+mn-cs"/>
            </a:rPr>
            <a:t>El licenciado Chávez estimo que para iniciar la producción de la nueva línea de ropa se necesitaría realizar en primer lugar una inversión inicial de $ 100 000 pesos para la compra de un terreno y de $ 500 000 pesos para la construcción de la infraestructura y facilidades requeridas para la instalación ( se estimo un tiempo de vida de 30 años). Luego a los tres meses de iniciada la construcción, se requeriría una inversión total de $ 1 000 000 pesos para comprar dos nuevas cortadoras automáticas con una capacidad de producción anual de 25 000 unidades en total; se estima que las cortadoras estarían listas para la producción a fines del 2019. Según experiencias anteriores, la vida útil de estas maquinas seria de cinco años, al final de los cuales tendrían un valor de recuperación de $ 100 000 pesos, por lo que, si el proyecto se extendía mas allá de cinco años, seria necesario comprar maquinaria nueva para poder seguir produciendo. Además, se consideró que la capacidad del equipo no satisfacía la demanda del mercado, se podría subcontratar la producción faltante a un precio de $ 400 pesos por unidad.</a:t>
          </a:r>
        </a:p>
        <a:p>
          <a:r>
            <a:rPr lang="es-MX" sz="1100" b="0" i="0">
              <a:solidFill>
                <a:schemeClr val="bg1"/>
              </a:solidFill>
              <a:effectLst/>
              <a:latin typeface="+mn-lt"/>
              <a:ea typeface="+mn-ea"/>
              <a:cs typeface="+mn-cs"/>
            </a:rPr>
            <a:t>En mayo de 2018, el Gerente de proyectos de la empresa viajo a Guadalajara para asistir a la feria textil y contactar a los proveedores de maquinaria para confecciones. Asimismo, estimo otros datos para los rubros principales del proyecto, los cuales aparecen en las siguientes tablas:</a:t>
          </a:r>
        </a:p>
        <a:p>
          <a:pPr algn="l"/>
          <a:endParaRPr lang="es-MX" sz="1100">
            <a:solidFill>
              <a:schemeClr val="bg1"/>
            </a:solidFill>
          </a:endParaRPr>
        </a:p>
      </xdr:txBody>
    </xdr:sp>
    <xdr:clientData/>
  </xdr:twoCellAnchor>
  <xdr:twoCellAnchor>
    <xdr:from>
      <xdr:col>11</xdr:col>
      <xdr:colOff>38100</xdr:colOff>
      <xdr:row>29</xdr:row>
      <xdr:rowOff>66674</xdr:rowOff>
    </xdr:from>
    <xdr:to>
      <xdr:col>14</xdr:col>
      <xdr:colOff>866775</xdr:colOff>
      <xdr:row>35</xdr:row>
      <xdr:rowOff>180975</xdr:rowOff>
    </xdr:to>
    <xdr:sp macro="" textlink="">
      <xdr:nvSpPr>
        <xdr:cNvPr id="5" name="Rectángulo: esquinas diagonales cortadas 4">
          <a:extLst>
            <a:ext uri="{FF2B5EF4-FFF2-40B4-BE49-F238E27FC236}">
              <a16:creationId xmlns:a16="http://schemas.microsoft.com/office/drawing/2014/main" id="{2CE3F08D-E654-405D-84D5-798E6DA9EF58}"/>
            </a:ext>
          </a:extLst>
        </xdr:cNvPr>
        <xdr:cNvSpPr/>
      </xdr:nvSpPr>
      <xdr:spPr>
        <a:xfrm>
          <a:off x="9258300" y="6086474"/>
          <a:ext cx="6715125" cy="1257301"/>
        </a:xfrm>
        <a:prstGeom prst="snip2DiagRect">
          <a:avLst/>
        </a:prstGeom>
        <a:solidFill>
          <a:srgbClr val="5C5C5B">
            <a:alpha val="74902"/>
          </a:srgb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s-MX" sz="1100" b="0" i="0">
              <a:solidFill>
                <a:schemeClr val="bg1"/>
              </a:solidFill>
              <a:effectLst/>
              <a:latin typeface="+mn-lt"/>
              <a:ea typeface="+mn-ea"/>
              <a:cs typeface="+mn-cs"/>
            </a:rPr>
            <a:t>Futuro del plan de inversión</a:t>
          </a:r>
        </a:p>
        <a:p>
          <a:pPr algn="l"/>
          <a:r>
            <a:rPr lang="es-MX" sz="1100" b="0" i="0">
              <a:solidFill>
                <a:schemeClr val="bg1"/>
              </a:solidFill>
              <a:effectLst/>
              <a:latin typeface="+mn-lt"/>
              <a:ea typeface="+mn-ea"/>
              <a:cs typeface="+mn-cs"/>
            </a:rPr>
            <a:t>Finalmente, luego de leer la información de la Cámara de la Industria del Vestido, el licenciado Chávez empezó a elaborar un análisis de las alternativas sobre continuar o no con el proyecto de ampliación de la planta. La primera opción era continuar con el proyecto, ya que existían algunas posibilidades de exportar los vestidos hacia otros países, y la segunda era no realizar la inversión, debido a que la disminución en las exportaciones que puede provocar el ingreso de China al mercado de Estados Unidos podría afectar la rentabilidad del proyecto.</a:t>
          </a:r>
          <a:endParaRPr lang="es-MX" sz="1100">
            <a:solidFill>
              <a:schemeClr val="bg1"/>
            </a:solidFill>
          </a:endParaRPr>
        </a:p>
      </xdr:txBody>
    </xdr:sp>
    <xdr:clientData/>
  </xdr:twoCellAnchor>
  <xdr:twoCellAnchor>
    <xdr:from>
      <xdr:col>11</xdr:col>
      <xdr:colOff>38100</xdr:colOff>
      <xdr:row>36</xdr:row>
      <xdr:rowOff>180973</xdr:rowOff>
    </xdr:from>
    <xdr:to>
      <xdr:col>14</xdr:col>
      <xdr:colOff>866775</xdr:colOff>
      <xdr:row>47</xdr:row>
      <xdr:rowOff>56028</xdr:rowOff>
    </xdr:to>
    <xdr:sp macro="" textlink="">
      <xdr:nvSpPr>
        <xdr:cNvPr id="6" name="Rectángulo: esquinas diagonales cortadas 5">
          <a:extLst>
            <a:ext uri="{FF2B5EF4-FFF2-40B4-BE49-F238E27FC236}">
              <a16:creationId xmlns:a16="http://schemas.microsoft.com/office/drawing/2014/main" id="{BFFC3F27-9C6C-44DE-A977-4EE8DDBD5DFD}"/>
            </a:ext>
          </a:extLst>
        </xdr:cNvPr>
        <xdr:cNvSpPr/>
      </xdr:nvSpPr>
      <xdr:spPr>
        <a:xfrm>
          <a:off x="9282953" y="7543238"/>
          <a:ext cx="6722969" cy="1970555"/>
        </a:xfrm>
        <a:prstGeom prst="snip2DiagRect">
          <a:avLst/>
        </a:prstGeom>
        <a:solidFill>
          <a:srgbClr val="5C5C5B">
            <a:alpha val="5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s-MX" sz="1100" b="0" i="0">
              <a:solidFill>
                <a:schemeClr val="bg1"/>
              </a:solidFill>
              <a:effectLst/>
              <a:latin typeface="+mn-lt"/>
              <a:ea typeface="+mn-ea"/>
              <a:cs typeface="+mn-cs"/>
            </a:rPr>
            <a:t>Modelo por desarrollar</a:t>
          </a:r>
        </a:p>
        <a:p>
          <a:r>
            <a:rPr lang="es-MX" sz="1100" b="0" i="0">
              <a:solidFill>
                <a:schemeClr val="bg1"/>
              </a:solidFill>
              <a:effectLst/>
              <a:latin typeface="+mn-lt"/>
              <a:ea typeface="+mn-ea"/>
              <a:cs typeface="+mn-cs"/>
            </a:rPr>
            <a:t>Para identificar la mejor opción, el licenciado Chávez decidió utilizar la información disponible para evaluar financieramente el proyecto considerando que el costo de capital (K) es del 45%. El conoce diferentes métodos financieros para evaluar proyectos de inversión, pero en base a su experiencia considera que los más adecuados son: periodo de recuperación, índice de rentabilidad, el valor presente neto y la tasa interna de retorno, y que además pueda calcular el punto de equilibrio.</a:t>
          </a:r>
        </a:p>
        <a:p>
          <a:r>
            <a:rPr lang="es-MX" sz="1100" b="0" i="0">
              <a:solidFill>
                <a:schemeClr val="bg1"/>
              </a:solidFill>
              <a:effectLst/>
              <a:latin typeface="+mn-lt"/>
              <a:ea typeface="+mn-ea"/>
              <a:cs typeface="+mn-cs"/>
            </a:rPr>
            <a:t>El licenciado desea que el modelo financiero le permita proyectar los flujos netos de efectivo que genera el proyecto durante los próximos diez años y evaluar diferentes escenarios.</a:t>
          </a:r>
        </a:p>
        <a:p>
          <a:pPr algn="l"/>
          <a:endParaRPr lang="es-MX" sz="1100">
            <a:solidFill>
              <a:schemeClr val="bg1"/>
            </a:solidFill>
          </a:endParaRPr>
        </a:p>
      </xdr:txBody>
    </xdr:sp>
    <xdr:clientData/>
  </xdr:twoCellAnchor>
  <xdr:twoCellAnchor editAs="oneCell">
    <xdr:from>
      <xdr:col>10</xdr:col>
      <xdr:colOff>752550</xdr:colOff>
      <xdr:row>0</xdr:row>
      <xdr:rowOff>57226</xdr:rowOff>
    </xdr:from>
    <xdr:to>
      <xdr:col>11</xdr:col>
      <xdr:colOff>1559925</xdr:colOff>
      <xdr:row>4</xdr:row>
      <xdr:rowOff>24784</xdr:rowOff>
    </xdr:to>
    <xdr:pic>
      <xdr:nvPicPr>
        <xdr:cNvPr id="15" name="Imagen 14">
          <a:hlinkClick xmlns:r="http://schemas.openxmlformats.org/officeDocument/2006/relationships" r:id="rId1"/>
          <a:extLst>
            <a:ext uri="{FF2B5EF4-FFF2-40B4-BE49-F238E27FC236}">
              <a16:creationId xmlns:a16="http://schemas.microsoft.com/office/drawing/2014/main" id="{C321F576-5CBB-4D63-8CB8-462DBCB28E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34550" y="57226"/>
          <a:ext cx="1645575" cy="729558"/>
        </a:xfrm>
        <a:prstGeom prst="rect">
          <a:avLst/>
        </a:prstGeom>
      </xdr:spPr>
    </xdr:pic>
    <xdr:clientData/>
  </xdr:twoCellAnchor>
  <xdr:twoCellAnchor editAs="oneCell">
    <xdr:from>
      <xdr:col>2</xdr:col>
      <xdr:colOff>797775</xdr:colOff>
      <xdr:row>0</xdr:row>
      <xdr:rowOff>26251</xdr:rowOff>
    </xdr:from>
    <xdr:to>
      <xdr:col>4</xdr:col>
      <xdr:colOff>766950</xdr:colOff>
      <xdr:row>3</xdr:row>
      <xdr:rowOff>184309</xdr:rowOff>
    </xdr:to>
    <xdr:pic>
      <xdr:nvPicPr>
        <xdr:cNvPr id="16" name="Imagen 15">
          <a:hlinkClick xmlns:r="http://schemas.openxmlformats.org/officeDocument/2006/relationships" r:id="rId3"/>
          <a:extLst>
            <a:ext uri="{FF2B5EF4-FFF2-40B4-BE49-F238E27FC236}">
              <a16:creationId xmlns:a16="http://schemas.microsoft.com/office/drawing/2014/main" id="{DCBD568F-DBC0-462A-8366-E4B8E7D83A7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74175" y="26251"/>
          <a:ext cx="1645575" cy="729558"/>
        </a:xfrm>
        <a:prstGeom prst="rect">
          <a:avLst/>
        </a:prstGeom>
      </xdr:spPr>
    </xdr:pic>
    <xdr:clientData/>
  </xdr:twoCellAnchor>
  <xdr:twoCellAnchor editAs="oneCell">
    <xdr:from>
      <xdr:col>4</xdr:col>
      <xdr:colOff>814425</xdr:colOff>
      <xdr:row>0</xdr:row>
      <xdr:rowOff>33376</xdr:rowOff>
    </xdr:from>
    <xdr:to>
      <xdr:col>6</xdr:col>
      <xdr:colOff>783600</xdr:colOff>
      <xdr:row>4</xdr:row>
      <xdr:rowOff>934</xdr:rowOff>
    </xdr:to>
    <xdr:pic>
      <xdr:nvPicPr>
        <xdr:cNvPr id="17" name="Imagen 16">
          <a:hlinkClick xmlns:r="http://schemas.openxmlformats.org/officeDocument/2006/relationships" r:id="rId5"/>
          <a:extLst>
            <a:ext uri="{FF2B5EF4-FFF2-40B4-BE49-F238E27FC236}">
              <a16:creationId xmlns:a16="http://schemas.microsoft.com/office/drawing/2014/main" id="{DB99DBE2-B4DC-4D30-AEAF-7D7B5B2A6A3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167225" y="33376"/>
          <a:ext cx="1645575" cy="729558"/>
        </a:xfrm>
        <a:prstGeom prst="rect">
          <a:avLst/>
        </a:prstGeom>
      </xdr:spPr>
    </xdr:pic>
    <xdr:clientData/>
  </xdr:twoCellAnchor>
  <xdr:twoCellAnchor editAs="oneCell">
    <xdr:from>
      <xdr:col>8</xdr:col>
      <xdr:colOff>745350</xdr:colOff>
      <xdr:row>0</xdr:row>
      <xdr:rowOff>40501</xdr:rowOff>
    </xdr:from>
    <xdr:to>
      <xdr:col>10</xdr:col>
      <xdr:colOff>714525</xdr:colOff>
      <xdr:row>4</xdr:row>
      <xdr:rowOff>8059</xdr:rowOff>
    </xdr:to>
    <xdr:pic>
      <xdr:nvPicPr>
        <xdr:cNvPr id="18" name="Imagen 17">
          <a:hlinkClick xmlns:r="http://schemas.openxmlformats.org/officeDocument/2006/relationships" r:id="rId7"/>
          <a:extLst>
            <a:ext uri="{FF2B5EF4-FFF2-40B4-BE49-F238E27FC236}">
              <a16:creationId xmlns:a16="http://schemas.microsoft.com/office/drawing/2014/main" id="{F64F8CDA-5E84-452A-8AA4-3133634FB16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450950" y="40501"/>
          <a:ext cx="1645575" cy="729558"/>
        </a:xfrm>
        <a:prstGeom prst="rect">
          <a:avLst/>
        </a:prstGeom>
      </xdr:spPr>
    </xdr:pic>
    <xdr:clientData/>
  </xdr:twoCellAnchor>
  <xdr:twoCellAnchor editAs="oneCell">
    <xdr:from>
      <xdr:col>0</xdr:col>
      <xdr:colOff>800100</xdr:colOff>
      <xdr:row>0</xdr:row>
      <xdr:rowOff>0</xdr:rowOff>
    </xdr:from>
    <xdr:to>
      <xdr:col>2</xdr:col>
      <xdr:colOff>769275</xdr:colOff>
      <xdr:row>3</xdr:row>
      <xdr:rowOff>157565</xdr:rowOff>
    </xdr:to>
    <xdr:pic>
      <xdr:nvPicPr>
        <xdr:cNvPr id="19" name="Imagen 18">
          <a:hlinkClick xmlns:r="http://schemas.openxmlformats.org/officeDocument/2006/relationships" r:id="rId9"/>
          <a:extLst>
            <a:ext uri="{FF2B5EF4-FFF2-40B4-BE49-F238E27FC236}">
              <a16:creationId xmlns:a16="http://schemas.microsoft.com/office/drawing/2014/main" id="{76D4F4C0-FA9D-4B0D-9F5F-BD2481B255A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00100" y="0"/>
          <a:ext cx="1645575" cy="729065"/>
        </a:xfrm>
        <a:prstGeom prst="rect">
          <a:avLst/>
        </a:prstGeom>
      </xdr:spPr>
    </xdr:pic>
    <xdr:clientData/>
  </xdr:twoCellAnchor>
  <xdr:twoCellAnchor editAs="oneCell">
    <xdr:from>
      <xdr:col>12</xdr:col>
      <xdr:colOff>826275</xdr:colOff>
      <xdr:row>0</xdr:row>
      <xdr:rowOff>73801</xdr:rowOff>
    </xdr:from>
    <xdr:to>
      <xdr:col>13</xdr:col>
      <xdr:colOff>871650</xdr:colOff>
      <xdr:row>4</xdr:row>
      <xdr:rowOff>41359</xdr:rowOff>
    </xdr:to>
    <xdr:pic>
      <xdr:nvPicPr>
        <xdr:cNvPr id="20" name="Imagen 19">
          <a:hlinkClick xmlns:r="http://schemas.openxmlformats.org/officeDocument/2006/relationships" r:id="rId11"/>
          <a:extLst>
            <a:ext uri="{FF2B5EF4-FFF2-40B4-BE49-F238E27FC236}">
              <a16:creationId xmlns:a16="http://schemas.microsoft.com/office/drawing/2014/main" id="{1988EBDE-7D97-461A-9AA2-D256C965A1D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475350" y="73801"/>
          <a:ext cx="1645575" cy="729558"/>
        </a:xfrm>
        <a:prstGeom prst="rect">
          <a:avLst/>
        </a:prstGeom>
      </xdr:spPr>
    </xdr:pic>
    <xdr:clientData/>
  </xdr:twoCellAnchor>
  <xdr:twoCellAnchor editAs="oneCell">
    <xdr:from>
      <xdr:col>11</xdr:col>
      <xdr:colOff>1576350</xdr:colOff>
      <xdr:row>0</xdr:row>
      <xdr:rowOff>61876</xdr:rowOff>
    </xdr:from>
    <xdr:to>
      <xdr:col>12</xdr:col>
      <xdr:colOff>793050</xdr:colOff>
      <xdr:row>4</xdr:row>
      <xdr:rowOff>29434</xdr:rowOff>
    </xdr:to>
    <xdr:pic>
      <xdr:nvPicPr>
        <xdr:cNvPr id="21" name="Imagen 20">
          <a:hlinkClick xmlns:r="http://schemas.openxmlformats.org/officeDocument/2006/relationships" r:id="rId13"/>
          <a:extLst>
            <a:ext uri="{FF2B5EF4-FFF2-40B4-BE49-F238E27FC236}">
              <a16:creationId xmlns:a16="http://schemas.microsoft.com/office/drawing/2014/main" id="{472F2D4B-BB65-41FE-B3E0-63B575C339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796550" y="61876"/>
          <a:ext cx="1645575" cy="729558"/>
        </a:xfrm>
        <a:prstGeom prst="rect">
          <a:avLst/>
        </a:prstGeom>
      </xdr:spPr>
    </xdr:pic>
    <xdr:clientData/>
  </xdr:twoCellAnchor>
  <xdr:twoCellAnchor editAs="oneCell">
    <xdr:from>
      <xdr:col>6</xdr:col>
      <xdr:colOff>764325</xdr:colOff>
      <xdr:row>0</xdr:row>
      <xdr:rowOff>49950</xdr:rowOff>
    </xdr:from>
    <xdr:to>
      <xdr:col>8</xdr:col>
      <xdr:colOff>733500</xdr:colOff>
      <xdr:row>4</xdr:row>
      <xdr:rowOff>17015</xdr:rowOff>
    </xdr:to>
    <xdr:pic>
      <xdr:nvPicPr>
        <xdr:cNvPr id="22" name="Imagen 21">
          <a:hlinkClick xmlns:r="http://schemas.openxmlformats.org/officeDocument/2006/relationships" r:id="rId15"/>
          <a:extLst>
            <a:ext uri="{FF2B5EF4-FFF2-40B4-BE49-F238E27FC236}">
              <a16:creationId xmlns:a16="http://schemas.microsoft.com/office/drawing/2014/main" id="{6B63309B-BA07-4036-AAAD-BEC7A8CD062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793525" y="49950"/>
          <a:ext cx="1645575" cy="729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692038</xdr:colOff>
      <xdr:row>0</xdr:row>
      <xdr:rowOff>57226</xdr:rowOff>
    </xdr:from>
    <xdr:to>
      <xdr:col>10</xdr:col>
      <xdr:colOff>567083</xdr:colOff>
      <xdr:row>4</xdr:row>
      <xdr:rowOff>24784</xdr:rowOff>
    </xdr:to>
    <xdr:pic>
      <xdr:nvPicPr>
        <xdr:cNvPr id="2" name="Imagen 1">
          <a:hlinkClick xmlns:r="http://schemas.openxmlformats.org/officeDocument/2006/relationships" r:id="rId1"/>
          <a:extLst>
            <a:ext uri="{FF2B5EF4-FFF2-40B4-BE49-F238E27FC236}">
              <a16:creationId xmlns:a16="http://schemas.microsoft.com/office/drawing/2014/main" id="{A2A1C0E1-5EB0-4A89-8932-73F2DA2D59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04126" y="57226"/>
          <a:ext cx="1645575" cy="729558"/>
        </a:xfrm>
        <a:prstGeom prst="rect">
          <a:avLst/>
        </a:prstGeom>
      </xdr:spPr>
    </xdr:pic>
    <xdr:clientData/>
  </xdr:twoCellAnchor>
  <xdr:twoCellAnchor editAs="oneCell">
    <xdr:from>
      <xdr:col>3</xdr:col>
      <xdr:colOff>822427</xdr:colOff>
      <xdr:row>0</xdr:row>
      <xdr:rowOff>26251</xdr:rowOff>
    </xdr:from>
    <xdr:to>
      <xdr:col>5</xdr:col>
      <xdr:colOff>787120</xdr:colOff>
      <xdr:row>3</xdr:row>
      <xdr:rowOff>184309</xdr:rowOff>
    </xdr:to>
    <xdr:pic>
      <xdr:nvPicPr>
        <xdr:cNvPr id="3" name="Imagen 2">
          <a:hlinkClick xmlns:r="http://schemas.openxmlformats.org/officeDocument/2006/relationships" r:id="rId3"/>
          <a:extLst>
            <a:ext uri="{FF2B5EF4-FFF2-40B4-BE49-F238E27FC236}">
              <a16:creationId xmlns:a16="http://schemas.microsoft.com/office/drawing/2014/main" id="{DF0C4D5D-F584-44E8-832F-49F8D23575F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43751" y="26251"/>
          <a:ext cx="1645575" cy="729558"/>
        </a:xfrm>
        <a:prstGeom prst="rect">
          <a:avLst/>
        </a:prstGeom>
      </xdr:spPr>
    </xdr:pic>
    <xdr:clientData/>
  </xdr:twoCellAnchor>
  <xdr:twoCellAnchor editAs="oneCell">
    <xdr:from>
      <xdr:col>5</xdr:col>
      <xdr:colOff>834842</xdr:colOff>
      <xdr:row>0</xdr:row>
      <xdr:rowOff>33376</xdr:rowOff>
    </xdr:from>
    <xdr:to>
      <xdr:col>7</xdr:col>
      <xdr:colOff>642158</xdr:colOff>
      <xdr:row>4</xdr:row>
      <xdr:rowOff>934</xdr:rowOff>
    </xdr:to>
    <xdr:pic>
      <xdr:nvPicPr>
        <xdr:cNvPr id="4" name="Imagen 3">
          <a:hlinkClick xmlns:r="http://schemas.openxmlformats.org/officeDocument/2006/relationships" r:id="rId5"/>
          <a:extLst>
            <a:ext uri="{FF2B5EF4-FFF2-40B4-BE49-F238E27FC236}">
              <a16:creationId xmlns:a16="http://schemas.microsoft.com/office/drawing/2014/main" id="{8C112DB1-2758-4E11-831D-25423469B02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5037048" y="33376"/>
          <a:ext cx="1645081" cy="729558"/>
        </a:xfrm>
        <a:prstGeom prst="rect">
          <a:avLst/>
        </a:prstGeom>
      </xdr:spPr>
    </xdr:pic>
    <xdr:clientData/>
  </xdr:twoCellAnchor>
  <xdr:twoCellAnchor editAs="oneCell">
    <xdr:from>
      <xdr:col>8</xdr:col>
      <xdr:colOff>1440114</xdr:colOff>
      <xdr:row>0</xdr:row>
      <xdr:rowOff>40501</xdr:rowOff>
    </xdr:from>
    <xdr:to>
      <xdr:col>9</xdr:col>
      <xdr:colOff>654013</xdr:colOff>
      <xdr:row>4</xdr:row>
      <xdr:rowOff>8059</xdr:rowOff>
    </xdr:to>
    <xdr:pic>
      <xdr:nvPicPr>
        <xdr:cNvPr id="5" name="Imagen 4">
          <a:hlinkClick xmlns:r="http://schemas.openxmlformats.org/officeDocument/2006/relationships" r:id="rId7"/>
          <a:extLst>
            <a:ext uri="{FF2B5EF4-FFF2-40B4-BE49-F238E27FC236}">
              <a16:creationId xmlns:a16="http://schemas.microsoft.com/office/drawing/2014/main" id="{B766BDF7-1FA4-4C52-9B96-5DA0ED64A4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320526" y="40501"/>
          <a:ext cx="1645575" cy="729558"/>
        </a:xfrm>
        <a:prstGeom prst="rect">
          <a:avLst/>
        </a:prstGeom>
      </xdr:spPr>
    </xdr:pic>
    <xdr:clientData/>
  </xdr:twoCellAnchor>
  <xdr:twoCellAnchor editAs="oneCell">
    <xdr:from>
      <xdr:col>1</xdr:col>
      <xdr:colOff>829235</xdr:colOff>
      <xdr:row>0</xdr:row>
      <xdr:rowOff>0</xdr:rowOff>
    </xdr:from>
    <xdr:to>
      <xdr:col>3</xdr:col>
      <xdr:colOff>793927</xdr:colOff>
      <xdr:row>3</xdr:row>
      <xdr:rowOff>157565</xdr:rowOff>
    </xdr:to>
    <xdr:pic>
      <xdr:nvPicPr>
        <xdr:cNvPr id="6" name="Imagen 5">
          <a:hlinkClick xmlns:r="http://schemas.openxmlformats.org/officeDocument/2006/relationships" r:id="rId9"/>
          <a:extLst>
            <a:ext uri="{FF2B5EF4-FFF2-40B4-BE49-F238E27FC236}">
              <a16:creationId xmlns:a16="http://schemas.microsoft.com/office/drawing/2014/main" id="{5BA9BE18-FB4B-4BC1-9E7F-49EEABB95FB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669676" y="0"/>
          <a:ext cx="1645575" cy="729065"/>
        </a:xfrm>
        <a:prstGeom prst="rect">
          <a:avLst/>
        </a:prstGeom>
      </xdr:spPr>
    </xdr:pic>
    <xdr:clientData/>
  </xdr:twoCellAnchor>
  <xdr:twoCellAnchor editAs="oneCell">
    <xdr:from>
      <xdr:col>11</xdr:col>
      <xdr:colOff>222838</xdr:colOff>
      <xdr:row>0</xdr:row>
      <xdr:rowOff>73801</xdr:rowOff>
    </xdr:from>
    <xdr:to>
      <xdr:col>12</xdr:col>
      <xdr:colOff>848677</xdr:colOff>
      <xdr:row>4</xdr:row>
      <xdr:rowOff>41359</xdr:rowOff>
    </xdr:to>
    <xdr:pic>
      <xdr:nvPicPr>
        <xdr:cNvPr id="7" name="Imagen 6">
          <a:hlinkClick xmlns:r="http://schemas.openxmlformats.org/officeDocument/2006/relationships" r:id="rId11"/>
          <a:extLst>
            <a:ext uri="{FF2B5EF4-FFF2-40B4-BE49-F238E27FC236}">
              <a16:creationId xmlns:a16="http://schemas.microsoft.com/office/drawing/2014/main" id="{18DC907F-C857-419D-806B-A8F11203113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344926" y="73801"/>
          <a:ext cx="1645575" cy="729558"/>
        </a:xfrm>
        <a:prstGeom prst="rect">
          <a:avLst/>
        </a:prstGeom>
      </xdr:spPr>
    </xdr:pic>
    <xdr:clientData/>
  </xdr:twoCellAnchor>
  <xdr:twoCellAnchor editAs="oneCell">
    <xdr:from>
      <xdr:col>10</xdr:col>
      <xdr:colOff>583508</xdr:colOff>
      <xdr:row>0</xdr:row>
      <xdr:rowOff>61876</xdr:rowOff>
    </xdr:from>
    <xdr:to>
      <xdr:col>11</xdr:col>
      <xdr:colOff>189613</xdr:colOff>
      <xdr:row>4</xdr:row>
      <xdr:rowOff>29434</xdr:rowOff>
    </xdr:to>
    <xdr:pic>
      <xdr:nvPicPr>
        <xdr:cNvPr id="8" name="Imagen 7">
          <a:hlinkClick xmlns:r="http://schemas.openxmlformats.org/officeDocument/2006/relationships" r:id="rId13"/>
          <a:extLst>
            <a:ext uri="{FF2B5EF4-FFF2-40B4-BE49-F238E27FC236}">
              <a16:creationId xmlns:a16="http://schemas.microsoft.com/office/drawing/2014/main" id="{FA9BAEF3-3F54-4577-BC41-16C0CD050CD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666126" y="61876"/>
          <a:ext cx="1645575" cy="729558"/>
        </a:xfrm>
        <a:prstGeom prst="rect">
          <a:avLst/>
        </a:prstGeom>
      </xdr:spPr>
    </xdr:pic>
    <xdr:clientData/>
  </xdr:twoCellAnchor>
  <xdr:twoCellAnchor editAs="oneCell">
    <xdr:from>
      <xdr:col>7</xdr:col>
      <xdr:colOff>623130</xdr:colOff>
      <xdr:row>0</xdr:row>
      <xdr:rowOff>49950</xdr:rowOff>
    </xdr:from>
    <xdr:to>
      <xdr:col>8</xdr:col>
      <xdr:colOff>1248970</xdr:colOff>
      <xdr:row>4</xdr:row>
      <xdr:rowOff>17015</xdr:rowOff>
    </xdr:to>
    <xdr:pic>
      <xdr:nvPicPr>
        <xdr:cNvPr id="9" name="Imagen 8">
          <a:hlinkClick xmlns:r="http://schemas.openxmlformats.org/officeDocument/2006/relationships" r:id="rId15"/>
          <a:extLst>
            <a:ext uri="{FF2B5EF4-FFF2-40B4-BE49-F238E27FC236}">
              <a16:creationId xmlns:a16="http://schemas.microsoft.com/office/drawing/2014/main" id="{0E499D23-2E3B-41F3-9722-4BE3456ADB7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663101" y="49950"/>
          <a:ext cx="1645575" cy="7290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466800</xdr:colOff>
      <xdr:row>0</xdr:row>
      <xdr:rowOff>57226</xdr:rowOff>
    </xdr:from>
    <xdr:to>
      <xdr:col>8</xdr:col>
      <xdr:colOff>969375</xdr:colOff>
      <xdr:row>4</xdr:row>
      <xdr:rowOff>24784</xdr:rowOff>
    </xdr:to>
    <xdr:pic>
      <xdr:nvPicPr>
        <xdr:cNvPr id="2" name="Imagen 1">
          <a:hlinkClick xmlns:r="http://schemas.openxmlformats.org/officeDocument/2006/relationships" r:id="rId1"/>
          <a:extLst>
            <a:ext uri="{FF2B5EF4-FFF2-40B4-BE49-F238E27FC236}">
              <a16:creationId xmlns:a16="http://schemas.microsoft.com/office/drawing/2014/main" id="{87E61B89-92B5-446C-A881-2AA9C03941F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48825" y="57226"/>
          <a:ext cx="1645575" cy="729558"/>
        </a:xfrm>
        <a:prstGeom prst="rect">
          <a:avLst/>
        </a:prstGeom>
      </xdr:spPr>
    </xdr:pic>
    <xdr:clientData/>
  </xdr:twoCellAnchor>
  <xdr:twoCellAnchor editAs="oneCell">
    <xdr:from>
      <xdr:col>1</xdr:col>
      <xdr:colOff>1550250</xdr:colOff>
      <xdr:row>0</xdr:row>
      <xdr:rowOff>26251</xdr:rowOff>
    </xdr:from>
    <xdr:to>
      <xdr:col>3</xdr:col>
      <xdr:colOff>24000</xdr:colOff>
      <xdr:row>3</xdr:row>
      <xdr:rowOff>184309</xdr:rowOff>
    </xdr:to>
    <xdr:pic>
      <xdr:nvPicPr>
        <xdr:cNvPr id="3" name="Imagen 2">
          <a:hlinkClick xmlns:r="http://schemas.openxmlformats.org/officeDocument/2006/relationships" r:id="rId3"/>
          <a:extLst>
            <a:ext uri="{FF2B5EF4-FFF2-40B4-BE49-F238E27FC236}">
              <a16:creationId xmlns:a16="http://schemas.microsoft.com/office/drawing/2014/main" id="{8E8FC606-056B-4990-94A7-EF2D7E59650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88450" y="26251"/>
          <a:ext cx="1645575" cy="729558"/>
        </a:xfrm>
        <a:prstGeom prst="rect">
          <a:avLst/>
        </a:prstGeom>
      </xdr:spPr>
    </xdr:pic>
    <xdr:clientData/>
  </xdr:twoCellAnchor>
  <xdr:twoCellAnchor editAs="oneCell">
    <xdr:from>
      <xdr:col>3</xdr:col>
      <xdr:colOff>71475</xdr:colOff>
      <xdr:row>0</xdr:row>
      <xdr:rowOff>33376</xdr:rowOff>
    </xdr:from>
    <xdr:to>
      <xdr:col>4</xdr:col>
      <xdr:colOff>574050</xdr:colOff>
      <xdr:row>4</xdr:row>
      <xdr:rowOff>934</xdr:rowOff>
    </xdr:to>
    <xdr:pic>
      <xdr:nvPicPr>
        <xdr:cNvPr id="4" name="Imagen 3">
          <a:hlinkClick xmlns:r="http://schemas.openxmlformats.org/officeDocument/2006/relationships" r:id="rId5"/>
          <a:extLst>
            <a:ext uri="{FF2B5EF4-FFF2-40B4-BE49-F238E27FC236}">
              <a16:creationId xmlns:a16="http://schemas.microsoft.com/office/drawing/2014/main" id="{472BAD46-3A4E-4A82-8BA3-6B3ACAAF12B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81500" y="33376"/>
          <a:ext cx="1645575" cy="729558"/>
        </a:xfrm>
        <a:prstGeom prst="rect">
          <a:avLst/>
        </a:prstGeom>
      </xdr:spPr>
    </xdr:pic>
    <xdr:clientData/>
  </xdr:twoCellAnchor>
  <xdr:twoCellAnchor editAs="oneCell">
    <xdr:from>
      <xdr:col>5</xdr:col>
      <xdr:colOff>1069200</xdr:colOff>
      <xdr:row>0</xdr:row>
      <xdr:rowOff>40501</xdr:rowOff>
    </xdr:from>
    <xdr:to>
      <xdr:col>7</xdr:col>
      <xdr:colOff>428775</xdr:colOff>
      <xdr:row>4</xdr:row>
      <xdr:rowOff>8059</xdr:rowOff>
    </xdr:to>
    <xdr:pic>
      <xdr:nvPicPr>
        <xdr:cNvPr id="5" name="Imagen 4">
          <a:hlinkClick xmlns:r="http://schemas.openxmlformats.org/officeDocument/2006/relationships" r:id="rId7"/>
          <a:extLst>
            <a:ext uri="{FF2B5EF4-FFF2-40B4-BE49-F238E27FC236}">
              <a16:creationId xmlns:a16="http://schemas.microsoft.com/office/drawing/2014/main" id="{AD735A39-5F42-4F67-A049-789D715C4F7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365225" y="40501"/>
          <a:ext cx="1645575" cy="729558"/>
        </a:xfrm>
        <a:prstGeom prst="rect">
          <a:avLst/>
        </a:prstGeom>
      </xdr:spPr>
    </xdr:pic>
    <xdr:clientData/>
  </xdr:twoCellAnchor>
  <xdr:twoCellAnchor editAs="oneCell">
    <xdr:from>
      <xdr:col>0</xdr:col>
      <xdr:colOff>714375</xdr:colOff>
      <xdr:row>0</xdr:row>
      <xdr:rowOff>0</xdr:rowOff>
    </xdr:from>
    <xdr:to>
      <xdr:col>1</xdr:col>
      <xdr:colOff>1521750</xdr:colOff>
      <xdr:row>3</xdr:row>
      <xdr:rowOff>157565</xdr:rowOff>
    </xdr:to>
    <xdr:pic>
      <xdr:nvPicPr>
        <xdr:cNvPr id="6" name="Imagen 5">
          <a:hlinkClick xmlns:r="http://schemas.openxmlformats.org/officeDocument/2006/relationships" r:id="rId9"/>
          <a:extLst>
            <a:ext uri="{FF2B5EF4-FFF2-40B4-BE49-F238E27FC236}">
              <a16:creationId xmlns:a16="http://schemas.microsoft.com/office/drawing/2014/main" id="{C11A37B7-2D54-418A-89BB-8304031871A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14375" y="0"/>
          <a:ext cx="1645575" cy="729065"/>
        </a:xfrm>
        <a:prstGeom prst="rect">
          <a:avLst/>
        </a:prstGeom>
      </xdr:spPr>
    </xdr:pic>
    <xdr:clientData/>
  </xdr:twoCellAnchor>
  <xdr:twoCellAnchor editAs="oneCell">
    <xdr:from>
      <xdr:col>10</xdr:col>
      <xdr:colOff>378600</xdr:colOff>
      <xdr:row>0</xdr:row>
      <xdr:rowOff>73801</xdr:rowOff>
    </xdr:from>
    <xdr:to>
      <xdr:col>11</xdr:col>
      <xdr:colOff>881175</xdr:colOff>
      <xdr:row>4</xdr:row>
      <xdr:rowOff>41359</xdr:rowOff>
    </xdr:to>
    <xdr:pic>
      <xdr:nvPicPr>
        <xdr:cNvPr id="7" name="Imagen 6">
          <a:hlinkClick xmlns:r="http://schemas.openxmlformats.org/officeDocument/2006/relationships" r:id="rId11"/>
          <a:extLst>
            <a:ext uri="{FF2B5EF4-FFF2-40B4-BE49-F238E27FC236}">
              <a16:creationId xmlns:a16="http://schemas.microsoft.com/office/drawing/2014/main" id="{5A9A12B3-DA11-4853-B40A-7208416B2F9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389625" y="73801"/>
          <a:ext cx="1645575" cy="729558"/>
        </a:xfrm>
        <a:prstGeom prst="rect">
          <a:avLst/>
        </a:prstGeom>
      </xdr:spPr>
    </xdr:pic>
    <xdr:clientData/>
  </xdr:twoCellAnchor>
  <xdr:twoCellAnchor editAs="oneCell">
    <xdr:from>
      <xdr:col>8</xdr:col>
      <xdr:colOff>985800</xdr:colOff>
      <xdr:row>0</xdr:row>
      <xdr:rowOff>61876</xdr:rowOff>
    </xdr:from>
    <xdr:to>
      <xdr:col>10</xdr:col>
      <xdr:colOff>345375</xdr:colOff>
      <xdr:row>4</xdr:row>
      <xdr:rowOff>29434</xdr:rowOff>
    </xdr:to>
    <xdr:pic>
      <xdr:nvPicPr>
        <xdr:cNvPr id="8" name="Imagen 7">
          <a:hlinkClick xmlns:r="http://schemas.openxmlformats.org/officeDocument/2006/relationships" r:id="rId13"/>
          <a:extLst>
            <a:ext uri="{FF2B5EF4-FFF2-40B4-BE49-F238E27FC236}">
              <a16:creationId xmlns:a16="http://schemas.microsoft.com/office/drawing/2014/main" id="{880EA57C-AFD4-4209-B425-E76E1D3C34A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710825" y="61876"/>
          <a:ext cx="1645575" cy="729558"/>
        </a:xfrm>
        <a:prstGeom prst="rect">
          <a:avLst/>
        </a:prstGeom>
      </xdr:spPr>
    </xdr:pic>
    <xdr:clientData/>
  </xdr:twoCellAnchor>
  <xdr:twoCellAnchor editAs="oneCell">
    <xdr:from>
      <xdr:col>4</xdr:col>
      <xdr:colOff>555022</xdr:colOff>
      <xdr:row>0</xdr:row>
      <xdr:rowOff>49950</xdr:rowOff>
    </xdr:from>
    <xdr:to>
      <xdr:col>5</xdr:col>
      <xdr:colOff>1057103</xdr:colOff>
      <xdr:row>4</xdr:row>
      <xdr:rowOff>17015</xdr:rowOff>
    </xdr:to>
    <xdr:pic>
      <xdr:nvPicPr>
        <xdr:cNvPr id="9" name="Imagen 8">
          <a:hlinkClick xmlns:r="http://schemas.openxmlformats.org/officeDocument/2006/relationships" r:id="rId15"/>
          <a:extLst>
            <a:ext uri="{FF2B5EF4-FFF2-40B4-BE49-F238E27FC236}">
              <a16:creationId xmlns:a16="http://schemas.microsoft.com/office/drawing/2014/main" id="{921979DB-ABE8-4B10-BEC6-6DB3CC28789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xdr:blipFill>
      <xdr:spPr>
        <a:xfrm>
          <a:off x="5708047" y="49950"/>
          <a:ext cx="1645081" cy="7290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52</xdr:row>
      <xdr:rowOff>9525</xdr:rowOff>
    </xdr:from>
    <xdr:to>
      <xdr:col>3</xdr:col>
      <xdr:colOff>1114425</xdr:colOff>
      <xdr:row>55</xdr:row>
      <xdr:rowOff>38100</xdr:rowOff>
    </xdr:to>
    <xdr:sp macro="" textlink="">
      <xdr:nvSpPr>
        <xdr:cNvPr id="282" name="Rectángulo: esquinas redondeadas 1">
          <a:extLst>
            <a:ext uri="{FF2B5EF4-FFF2-40B4-BE49-F238E27FC236}">
              <a16:creationId xmlns:a16="http://schemas.microsoft.com/office/drawing/2014/main" id="{08C000E5-ABC3-473D-841F-C1D53A4FA380}"/>
            </a:ext>
          </a:extLst>
        </xdr:cNvPr>
        <xdr:cNvSpPr/>
      </xdr:nvSpPr>
      <xdr:spPr>
        <a:xfrm>
          <a:off x="1676400" y="15430500"/>
          <a:ext cx="4410075" cy="60007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s-MX" sz="1200" b="1"/>
            <a:t>1.29</a:t>
          </a:r>
          <a:r>
            <a:rPr lang="es-MX" sz="1200" b="1" baseline="0"/>
            <a:t> Nos indica que en 1 año con 3 meses y 14 dias aproximadamente se recuperará la inversión inicial</a:t>
          </a:r>
        </a:p>
        <a:p>
          <a:pPr algn="l"/>
          <a:endParaRPr lang="es-MX" sz="1100" b="1"/>
        </a:p>
      </xdr:txBody>
    </xdr:sp>
    <xdr:clientData/>
  </xdr:twoCellAnchor>
  <xdr:twoCellAnchor>
    <xdr:from>
      <xdr:col>2</xdr:col>
      <xdr:colOff>0</xdr:colOff>
      <xdr:row>63</xdr:row>
      <xdr:rowOff>180975</xdr:rowOff>
    </xdr:from>
    <xdr:to>
      <xdr:col>3</xdr:col>
      <xdr:colOff>1114425</xdr:colOff>
      <xdr:row>67</xdr:row>
      <xdr:rowOff>9525</xdr:rowOff>
    </xdr:to>
    <xdr:sp macro="" textlink="">
      <xdr:nvSpPr>
        <xdr:cNvPr id="281" name="Rectángulo: esquinas redondeadas 2">
          <a:extLst>
            <a:ext uri="{FF2B5EF4-FFF2-40B4-BE49-F238E27FC236}">
              <a16:creationId xmlns:a16="http://schemas.microsoft.com/office/drawing/2014/main" id="{BFCA2FC8-C8EC-4234-83BE-A8B5529312EA}"/>
            </a:ext>
          </a:extLst>
        </xdr:cNvPr>
        <xdr:cNvSpPr/>
      </xdr:nvSpPr>
      <xdr:spPr>
        <a:xfrm>
          <a:off x="1676400" y="17849850"/>
          <a:ext cx="4410075" cy="60007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s-MX" sz="1100" b="1"/>
            <a:t>2.90 Nos</a:t>
          </a:r>
          <a:r>
            <a:rPr lang="es-MX" sz="1100" b="1" baseline="0"/>
            <a:t> inidca que el periodo de recuperacion de la inversión esta estimado en 2 años con 10 meses y 24 dias días aproximadamente</a:t>
          </a:r>
        </a:p>
        <a:p>
          <a:pPr algn="l"/>
          <a:endParaRPr lang="es-MX" sz="1100" b="1" baseline="0"/>
        </a:p>
        <a:p>
          <a:pPr algn="l"/>
          <a:endParaRPr lang="es-MX" sz="1100" b="1"/>
        </a:p>
      </xdr:txBody>
    </xdr:sp>
    <xdr:clientData/>
  </xdr:twoCellAnchor>
  <xdr:twoCellAnchor editAs="oneCell">
    <xdr:from>
      <xdr:col>0</xdr:col>
      <xdr:colOff>0</xdr:colOff>
      <xdr:row>16</xdr:row>
      <xdr:rowOff>200101</xdr:rowOff>
    </xdr:from>
    <xdr:to>
      <xdr:col>1</xdr:col>
      <xdr:colOff>807375</xdr:colOff>
      <xdr:row>20</xdr:row>
      <xdr:rowOff>62884</xdr:rowOff>
    </xdr:to>
    <xdr:pic>
      <xdr:nvPicPr>
        <xdr:cNvPr id="4" name="Imagen 3">
          <a:hlinkClick xmlns:r="http://schemas.openxmlformats.org/officeDocument/2006/relationships" r:id="rId1"/>
          <a:extLst>
            <a:ext uri="{FF2B5EF4-FFF2-40B4-BE49-F238E27FC236}">
              <a16:creationId xmlns:a16="http://schemas.microsoft.com/office/drawing/2014/main" id="{084D4557-6658-48AB-A59F-92615D137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619576"/>
          <a:ext cx="1645575" cy="729558"/>
        </a:xfrm>
        <a:prstGeom prst="rect">
          <a:avLst/>
        </a:prstGeom>
      </xdr:spPr>
    </xdr:pic>
    <xdr:clientData/>
  </xdr:twoCellAnchor>
  <xdr:twoCellAnchor editAs="oneCell">
    <xdr:from>
      <xdr:col>0</xdr:col>
      <xdr:colOff>0</xdr:colOff>
      <xdr:row>3</xdr:row>
      <xdr:rowOff>140551</xdr:rowOff>
    </xdr:from>
    <xdr:to>
      <xdr:col>1</xdr:col>
      <xdr:colOff>807375</xdr:colOff>
      <xdr:row>7</xdr:row>
      <xdr:rowOff>22384</xdr:rowOff>
    </xdr:to>
    <xdr:pic>
      <xdr:nvPicPr>
        <xdr:cNvPr id="5" name="Imagen 4">
          <a:hlinkClick xmlns:r="http://schemas.openxmlformats.org/officeDocument/2006/relationships" r:id="rId3"/>
          <a:extLst>
            <a:ext uri="{FF2B5EF4-FFF2-40B4-BE49-F238E27FC236}">
              <a16:creationId xmlns:a16="http://schemas.microsoft.com/office/drawing/2014/main" id="{63163644-8475-438E-96FA-4E6C455134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750151"/>
          <a:ext cx="1645575" cy="729558"/>
        </a:xfrm>
        <a:prstGeom prst="rect">
          <a:avLst/>
        </a:prstGeom>
      </xdr:spPr>
    </xdr:pic>
    <xdr:clientData/>
  </xdr:twoCellAnchor>
  <xdr:twoCellAnchor editAs="oneCell">
    <xdr:from>
      <xdr:col>0</xdr:col>
      <xdr:colOff>0</xdr:colOff>
      <xdr:row>6</xdr:row>
      <xdr:rowOff>204826</xdr:rowOff>
    </xdr:from>
    <xdr:to>
      <xdr:col>1</xdr:col>
      <xdr:colOff>807375</xdr:colOff>
      <xdr:row>10</xdr:row>
      <xdr:rowOff>77134</xdr:rowOff>
    </xdr:to>
    <xdr:pic>
      <xdr:nvPicPr>
        <xdr:cNvPr id="6" name="Imagen 5">
          <a:hlinkClick xmlns:r="http://schemas.openxmlformats.org/officeDocument/2006/relationships" r:id="rId5"/>
          <a:extLst>
            <a:ext uri="{FF2B5EF4-FFF2-40B4-BE49-F238E27FC236}">
              <a16:creationId xmlns:a16="http://schemas.microsoft.com/office/drawing/2014/main" id="{07F59F22-BDFC-45CF-8B79-8619369360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1452601"/>
          <a:ext cx="1645575" cy="729558"/>
        </a:xfrm>
        <a:prstGeom prst="rect">
          <a:avLst/>
        </a:prstGeom>
      </xdr:spPr>
    </xdr:pic>
    <xdr:clientData/>
  </xdr:twoCellAnchor>
  <xdr:twoCellAnchor editAs="oneCell">
    <xdr:from>
      <xdr:col>0</xdr:col>
      <xdr:colOff>0</xdr:colOff>
      <xdr:row>13</xdr:row>
      <xdr:rowOff>154801</xdr:rowOff>
    </xdr:from>
    <xdr:to>
      <xdr:col>1</xdr:col>
      <xdr:colOff>807375</xdr:colOff>
      <xdr:row>17</xdr:row>
      <xdr:rowOff>8059</xdr:rowOff>
    </xdr:to>
    <xdr:pic>
      <xdr:nvPicPr>
        <xdr:cNvPr id="7" name="Imagen 6">
          <a:hlinkClick xmlns:r="http://schemas.openxmlformats.org/officeDocument/2006/relationships" r:id="rId7"/>
          <a:extLst>
            <a:ext uri="{FF2B5EF4-FFF2-40B4-BE49-F238E27FC236}">
              <a16:creationId xmlns:a16="http://schemas.microsoft.com/office/drawing/2014/main" id="{4ADFED77-41D5-44F5-8B71-958F3AFE74E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2917051"/>
          <a:ext cx="1645575" cy="729558"/>
        </a:xfrm>
        <a:prstGeom prst="rect">
          <a:avLst/>
        </a:prstGeom>
      </xdr:spPr>
    </xdr:pic>
    <xdr:clientData/>
  </xdr:twoCellAnchor>
  <xdr:twoCellAnchor editAs="oneCell">
    <xdr:from>
      <xdr:col>0</xdr:col>
      <xdr:colOff>0</xdr:colOff>
      <xdr:row>0</xdr:row>
      <xdr:rowOff>0</xdr:rowOff>
    </xdr:from>
    <xdr:to>
      <xdr:col>1</xdr:col>
      <xdr:colOff>807375</xdr:colOff>
      <xdr:row>3</xdr:row>
      <xdr:rowOff>119465</xdr:rowOff>
    </xdr:to>
    <xdr:pic>
      <xdr:nvPicPr>
        <xdr:cNvPr id="8" name="Imagen 7">
          <a:hlinkClick xmlns:r="http://schemas.openxmlformats.org/officeDocument/2006/relationships" r:id="rId9"/>
          <a:extLst>
            <a:ext uri="{FF2B5EF4-FFF2-40B4-BE49-F238E27FC236}">
              <a16:creationId xmlns:a16="http://schemas.microsoft.com/office/drawing/2014/main" id="{74B0F2BE-AB40-4949-A445-1B3DF42B434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0"/>
          <a:ext cx="1645575" cy="729065"/>
        </a:xfrm>
        <a:prstGeom prst="rect">
          <a:avLst/>
        </a:prstGeom>
      </xdr:spPr>
    </xdr:pic>
    <xdr:clientData/>
  </xdr:twoCellAnchor>
  <xdr:twoCellAnchor editAs="oneCell">
    <xdr:from>
      <xdr:col>0</xdr:col>
      <xdr:colOff>0</xdr:colOff>
      <xdr:row>23</xdr:row>
      <xdr:rowOff>121426</xdr:rowOff>
    </xdr:from>
    <xdr:to>
      <xdr:col>1</xdr:col>
      <xdr:colOff>807375</xdr:colOff>
      <xdr:row>27</xdr:row>
      <xdr:rowOff>12784</xdr:rowOff>
    </xdr:to>
    <xdr:pic>
      <xdr:nvPicPr>
        <xdr:cNvPr id="9" name="Imagen 8">
          <a:hlinkClick xmlns:r="http://schemas.openxmlformats.org/officeDocument/2006/relationships" r:id="rId11"/>
          <a:extLst>
            <a:ext uri="{FF2B5EF4-FFF2-40B4-BE49-F238E27FC236}">
              <a16:creationId xmlns:a16="http://schemas.microsoft.com/office/drawing/2014/main" id="{E1C9B1E7-8D94-432D-896E-A3AB219659B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5036326"/>
          <a:ext cx="1645575" cy="729558"/>
        </a:xfrm>
        <a:prstGeom prst="rect">
          <a:avLst/>
        </a:prstGeom>
      </xdr:spPr>
    </xdr:pic>
    <xdr:clientData/>
  </xdr:twoCellAnchor>
  <xdr:twoCellAnchor editAs="oneCell">
    <xdr:from>
      <xdr:col>0</xdr:col>
      <xdr:colOff>247</xdr:colOff>
      <xdr:row>20</xdr:row>
      <xdr:rowOff>23776</xdr:rowOff>
    </xdr:from>
    <xdr:to>
      <xdr:col>1</xdr:col>
      <xdr:colOff>807128</xdr:colOff>
      <xdr:row>23</xdr:row>
      <xdr:rowOff>124684</xdr:rowOff>
    </xdr:to>
    <xdr:pic>
      <xdr:nvPicPr>
        <xdr:cNvPr id="10" name="Imagen 9">
          <a:hlinkClick xmlns:r="http://schemas.openxmlformats.org/officeDocument/2006/relationships" r:id="rId13"/>
          <a:extLst>
            <a:ext uri="{FF2B5EF4-FFF2-40B4-BE49-F238E27FC236}">
              <a16:creationId xmlns:a16="http://schemas.microsoft.com/office/drawing/2014/main" id="{1F1601D9-3C91-41B9-9E5E-2080650915E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247" y="4310026"/>
          <a:ext cx="1645081" cy="729558"/>
        </a:xfrm>
        <a:prstGeom prst="rect">
          <a:avLst/>
        </a:prstGeom>
      </xdr:spPr>
    </xdr:pic>
    <xdr:clientData/>
  </xdr:twoCellAnchor>
  <xdr:twoCellAnchor editAs="oneCell">
    <xdr:from>
      <xdr:col>0</xdr:col>
      <xdr:colOff>0</xdr:colOff>
      <xdr:row>10</xdr:row>
      <xdr:rowOff>88050</xdr:rowOff>
    </xdr:from>
    <xdr:to>
      <xdr:col>1</xdr:col>
      <xdr:colOff>807375</xdr:colOff>
      <xdr:row>13</xdr:row>
      <xdr:rowOff>159890</xdr:rowOff>
    </xdr:to>
    <xdr:pic>
      <xdr:nvPicPr>
        <xdr:cNvPr id="11" name="Imagen 10">
          <a:hlinkClick xmlns:r="http://schemas.openxmlformats.org/officeDocument/2006/relationships" r:id="rId15"/>
          <a:extLst>
            <a:ext uri="{FF2B5EF4-FFF2-40B4-BE49-F238E27FC236}">
              <a16:creationId xmlns:a16="http://schemas.microsoft.com/office/drawing/2014/main" id="{4E61A87F-7255-4D1D-BE03-8B7446014FE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0" y="2193075"/>
          <a:ext cx="1645575" cy="729065"/>
        </a:xfrm>
        <a:prstGeom prst="rect">
          <a:avLst/>
        </a:prstGeom>
      </xdr:spPr>
    </xdr:pic>
    <xdr:clientData/>
  </xdr:twoCellAnchor>
  <xdr:twoCellAnchor editAs="oneCell">
    <xdr:from>
      <xdr:col>2</xdr:col>
      <xdr:colOff>0</xdr:colOff>
      <xdr:row>126</xdr:row>
      <xdr:rowOff>0</xdr:rowOff>
    </xdr:from>
    <xdr:to>
      <xdr:col>2</xdr:col>
      <xdr:colOff>1645575</xdr:colOff>
      <xdr:row>129</xdr:row>
      <xdr:rowOff>157565</xdr:rowOff>
    </xdr:to>
    <xdr:pic>
      <xdr:nvPicPr>
        <xdr:cNvPr id="13" name="Imagen 12">
          <a:hlinkClick xmlns:r="http://schemas.openxmlformats.org/officeDocument/2006/relationships" r:id="rId9"/>
          <a:extLst>
            <a:ext uri="{FF2B5EF4-FFF2-40B4-BE49-F238E27FC236}">
              <a16:creationId xmlns:a16="http://schemas.microsoft.com/office/drawing/2014/main" id="{BCD56811-9532-4515-ACD4-24FE31EE34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676400" y="27117675"/>
          <a:ext cx="1645575" cy="729065"/>
        </a:xfrm>
        <a:prstGeom prst="rect">
          <a:avLst/>
        </a:prstGeom>
      </xdr:spPr>
    </xdr:pic>
    <xdr:clientData/>
  </xdr:twoCellAnchor>
  <xdr:twoCellAnchor editAs="oneCell">
    <xdr:from>
      <xdr:col>2</xdr:col>
      <xdr:colOff>0</xdr:colOff>
      <xdr:row>130</xdr:row>
      <xdr:rowOff>0</xdr:rowOff>
    </xdr:from>
    <xdr:to>
      <xdr:col>2</xdr:col>
      <xdr:colOff>1645575</xdr:colOff>
      <xdr:row>133</xdr:row>
      <xdr:rowOff>158058</xdr:rowOff>
    </xdr:to>
    <xdr:pic>
      <xdr:nvPicPr>
        <xdr:cNvPr id="14" name="Imagen 13">
          <a:hlinkClick xmlns:r="http://schemas.openxmlformats.org/officeDocument/2006/relationships" r:id="rId13"/>
          <a:extLst>
            <a:ext uri="{FF2B5EF4-FFF2-40B4-BE49-F238E27FC236}">
              <a16:creationId xmlns:a16="http://schemas.microsoft.com/office/drawing/2014/main" id="{6AA6AE0B-D640-4971-8FCC-CDEA1D1312D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676400" y="27879675"/>
          <a:ext cx="1645575" cy="7295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21</xdr:row>
      <xdr:rowOff>204787</xdr:rowOff>
    </xdr:from>
    <xdr:to>
      <xdr:col>1</xdr:col>
      <xdr:colOff>1593224</xdr:colOff>
      <xdr:row>32</xdr:row>
      <xdr:rowOff>91168</xdr:rowOff>
    </xdr:to>
    <xdr:pic>
      <xdr:nvPicPr>
        <xdr:cNvPr id="3" name="Imagen 2">
          <a:extLst>
            <a:ext uri="{FF2B5EF4-FFF2-40B4-BE49-F238E27FC236}">
              <a16:creationId xmlns:a16="http://schemas.microsoft.com/office/drawing/2014/main" id="{9C42F08D-90EC-483F-A2ED-6909E8806A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538662"/>
          <a:ext cx="2426662" cy="2196194"/>
        </a:xfrm>
        <a:prstGeom prst="rect">
          <a:avLst/>
        </a:prstGeom>
      </xdr:spPr>
    </xdr:pic>
    <xdr:clientData/>
  </xdr:twoCellAnchor>
  <xdr:twoCellAnchor editAs="oneCell">
    <xdr:from>
      <xdr:col>0</xdr:col>
      <xdr:colOff>0</xdr:colOff>
      <xdr:row>33</xdr:row>
      <xdr:rowOff>169050</xdr:rowOff>
    </xdr:from>
    <xdr:to>
      <xdr:col>1</xdr:col>
      <xdr:colOff>1617037</xdr:colOff>
      <xdr:row>44</xdr:row>
      <xdr:rowOff>55431</xdr:rowOff>
    </xdr:to>
    <xdr:pic>
      <xdr:nvPicPr>
        <xdr:cNvPr id="5" name="Imagen 4">
          <a:extLst>
            <a:ext uri="{FF2B5EF4-FFF2-40B4-BE49-F238E27FC236}">
              <a16:creationId xmlns:a16="http://schemas.microsoft.com/office/drawing/2014/main" id="{27FDFB33-C3A4-473D-A8AB-7AB19EE14C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7027050"/>
          <a:ext cx="2450475" cy="2196194"/>
        </a:xfrm>
        <a:prstGeom prst="rect">
          <a:avLst/>
        </a:prstGeom>
      </xdr:spPr>
    </xdr:pic>
    <xdr:clientData/>
  </xdr:twoCellAnchor>
  <xdr:twoCellAnchor editAs="oneCell">
    <xdr:from>
      <xdr:col>0</xdr:col>
      <xdr:colOff>0</xdr:colOff>
      <xdr:row>45</xdr:row>
      <xdr:rowOff>123789</xdr:rowOff>
    </xdr:from>
    <xdr:to>
      <xdr:col>1</xdr:col>
      <xdr:colOff>1602749</xdr:colOff>
      <xdr:row>56</xdr:row>
      <xdr:rowOff>18411</xdr:rowOff>
    </xdr:to>
    <xdr:pic>
      <xdr:nvPicPr>
        <xdr:cNvPr id="7" name="Imagen 6">
          <a:extLst>
            <a:ext uri="{FF2B5EF4-FFF2-40B4-BE49-F238E27FC236}">
              <a16:creationId xmlns:a16="http://schemas.microsoft.com/office/drawing/2014/main" id="{34DC877B-3FD0-4F14-8F4E-DCAAFA9CBF4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9505914"/>
          <a:ext cx="2436187" cy="2204435"/>
        </a:xfrm>
        <a:prstGeom prst="rect">
          <a:avLst/>
        </a:prstGeom>
      </xdr:spPr>
    </xdr:pic>
    <xdr:clientData/>
  </xdr:twoCellAnchor>
  <xdr:twoCellAnchor editAs="oneCell">
    <xdr:from>
      <xdr:col>0</xdr:col>
      <xdr:colOff>0</xdr:colOff>
      <xdr:row>57</xdr:row>
      <xdr:rowOff>154725</xdr:rowOff>
    </xdr:from>
    <xdr:to>
      <xdr:col>1</xdr:col>
      <xdr:colOff>1588462</xdr:colOff>
      <xdr:row>68</xdr:row>
      <xdr:rowOff>41106</xdr:rowOff>
    </xdr:to>
    <xdr:pic>
      <xdr:nvPicPr>
        <xdr:cNvPr id="9" name="Imagen 8">
          <a:extLst>
            <a:ext uri="{FF2B5EF4-FFF2-40B4-BE49-F238E27FC236}">
              <a16:creationId xmlns:a16="http://schemas.microsoft.com/office/drawing/2014/main" id="{95891CDE-6744-4D24-BA32-13B0EB1DF02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12060975"/>
          <a:ext cx="2421900" cy="2196194"/>
        </a:xfrm>
        <a:prstGeom prst="rect">
          <a:avLst/>
        </a:prstGeom>
      </xdr:spPr>
    </xdr:pic>
    <xdr:clientData/>
  </xdr:twoCellAnchor>
  <xdr:twoCellAnchor editAs="oneCell">
    <xdr:from>
      <xdr:col>0</xdr:col>
      <xdr:colOff>0</xdr:colOff>
      <xdr:row>69</xdr:row>
      <xdr:rowOff>114226</xdr:rowOff>
    </xdr:from>
    <xdr:to>
      <xdr:col>1</xdr:col>
      <xdr:colOff>1588462</xdr:colOff>
      <xdr:row>79</xdr:row>
      <xdr:rowOff>185061</xdr:rowOff>
    </xdr:to>
    <xdr:pic>
      <xdr:nvPicPr>
        <xdr:cNvPr id="11" name="Imagen 10">
          <a:extLst>
            <a:ext uri="{FF2B5EF4-FFF2-40B4-BE49-F238E27FC236}">
              <a16:creationId xmlns:a16="http://schemas.microsoft.com/office/drawing/2014/main" id="{02EBCC67-4583-421C-8851-0C5EB01EB08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14544601"/>
          <a:ext cx="2421900" cy="2190148"/>
        </a:xfrm>
        <a:prstGeom prst="rect">
          <a:avLst/>
        </a:prstGeom>
      </xdr:spPr>
    </xdr:pic>
    <xdr:clientData/>
  </xdr:twoCellAnchor>
  <xdr:twoCellAnchor editAs="oneCell">
    <xdr:from>
      <xdr:col>0</xdr:col>
      <xdr:colOff>0</xdr:colOff>
      <xdr:row>82</xdr:row>
      <xdr:rowOff>45150</xdr:rowOff>
    </xdr:from>
    <xdr:to>
      <xdr:col>1</xdr:col>
      <xdr:colOff>1593224</xdr:colOff>
      <xdr:row>92</xdr:row>
      <xdr:rowOff>141081</xdr:rowOff>
    </xdr:to>
    <xdr:pic>
      <xdr:nvPicPr>
        <xdr:cNvPr id="13" name="Imagen 12">
          <a:extLst>
            <a:ext uri="{FF2B5EF4-FFF2-40B4-BE49-F238E27FC236}">
              <a16:creationId xmlns:a16="http://schemas.microsoft.com/office/drawing/2014/main" id="{53784B13-25EE-4850-A016-E7CF3E32052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17213963"/>
          <a:ext cx="2426662" cy="2191431"/>
        </a:xfrm>
        <a:prstGeom prst="rect">
          <a:avLst/>
        </a:prstGeom>
      </xdr:spPr>
    </xdr:pic>
    <xdr:clientData/>
  </xdr:twoCellAnchor>
  <xdr:twoCellAnchor editAs="oneCell">
    <xdr:from>
      <xdr:col>0</xdr:col>
      <xdr:colOff>0</xdr:colOff>
      <xdr:row>93</xdr:row>
      <xdr:rowOff>118951</xdr:rowOff>
    </xdr:from>
    <xdr:to>
      <xdr:col>1</xdr:col>
      <xdr:colOff>1588462</xdr:colOff>
      <xdr:row>104</xdr:row>
      <xdr:rowOff>5331</xdr:rowOff>
    </xdr:to>
    <xdr:pic>
      <xdr:nvPicPr>
        <xdr:cNvPr id="15" name="Imagen 14">
          <a:extLst>
            <a:ext uri="{FF2B5EF4-FFF2-40B4-BE49-F238E27FC236}">
              <a16:creationId xmlns:a16="http://schemas.microsoft.com/office/drawing/2014/main" id="{208CB133-D65C-4D4D-90C7-6F03947220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19597576"/>
          <a:ext cx="2421900" cy="2196193"/>
        </a:xfrm>
        <a:prstGeom prst="rect">
          <a:avLst/>
        </a:prstGeom>
      </xdr:spPr>
    </xdr:pic>
    <xdr:clientData/>
  </xdr:twoCellAnchor>
  <xdr:twoCellAnchor editAs="oneCell">
    <xdr:from>
      <xdr:col>0</xdr:col>
      <xdr:colOff>0</xdr:colOff>
      <xdr:row>105</xdr:row>
      <xdr:rowOff>59402</xdr:rowOff>
    </xdr:from>
    <xdr:to>
      <xdr:col>1</xdr:col>
      <xdr:colOff>1593224</xdr:colOff>
      <xdr:row>115</xdr:row>
      <xdr:rowOff>130237</xdr:rowOff>
    </xdr:to>
    <xdr:pic>
      <xdr:nvPicPr>
        <xdr:cNvPr id="17" name="Imagen 16">
          <a:extLst>
            <a:ext uri="{FF2B5EF4-FFF2-40B4-BE49-F238E27FC236}">
              <a16:creationId xmlns:a16="http://schemas.microsoft.com/office/drawing/2014/main" id="{40317CB0-E1AA-476D-8A94-1E61F386F4E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22062152"/>
          <a:ext cx="2426662" cy="2190148"/>
        </a:xfrm>
        <a:prstGeom prst="rect">
          <a:avLst/>
        </a:prstGeom>
      </xdr:spPr>
    </xdr:pic>
    <xdr:clientData/>
  </xdr:twoCellAnchor>
  <xdr:twoCellAnchor editAs="oneCell">
    <xdr:from>
      <xdr:col>0</xdr:col>
      <xdr:colOff>0</xdr:colOff>
      <xdr:row>117</xdr:row>
      <xdr:rowOff>42712</xdr:rowOff>
    </xdr:from>
    <xdr:to>
      <xdr:col>1</xdr:col>
      <xdr:colOff>1593225</xdr:colOff>
      <xdr:row>127</xdr:row>
      <xdr:rowOff>114830</xdr:rowOff>
    </xdr:to>
    <xdr:pic>
      <xdr:nvPicPr>
        <xdr:cNvPr id="19" name="Imagen 18">
          <a:extLst>
            <a:ext uri="{FF2B5EF4-FFF2-40B4-BE49-F238E27FC236}">
              <a16:creationId xmlns:a16="http://schemas.microsoft.com/office/drawing/2014/main" id="{7528F2DF-0F97-48CE-BC1C-9D2CE5B10B3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24569587"/>
          <a:ext cx="2426663" cy="2191431"/>
        </a:xfrm>
        <a:prstGeom prst="rect">
          <a:avLst/>
        </a:prstGeom>
      </xdr:spPr>
    </xdr:pic>
    <xdr:clientData/>
  </xdr:twoCellAnchor>
  <xdr:twoCellAnchor editAs="oneCell">
    <xdr:from>
      <xdr:col>0</xdr:col>
      <xdr:colOff>0</xdr:colOff>
      <xdr:row>128</xdr:row>
      <xdr:rowOff>159376</xdr:rowOff>
    </xdr:from>
    <xdr:to>
      <xdr:col>1</xdr:col>
      <xdr:colOff>1593224</xdr:colOff>
      <xdr:row>139</xdr:row>
      <xdr:rowOff>15899</xdr:rowOff>
    </xdr:to>
    <xdr:pic>
      <xdr:nvPicPr>
        <xdr:cNvPr id="21" name="Imagen 20">
          <a:extLst>
            <a:ext uri="{FF2B5EF4-FFF2-40B4-BE49-F238E27FC236}">
              <a16:creationId xmlns:a16="http://schemas.microsoft.com/office/drawing/2014/main" id="{9B519467-F11E-4969-92A0-6D545EC92FE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26996064"/>
          <a:ext cx="2426662" cy="2190148"/>
        </a:xfrm>
        <a:prstGeom prst="rect">
          <a:avLst/>
        </a:prstGeom>
      </xdr:spPr>
    </xdr:pic>
    <xdr:clientData/>
  </xdr:twoCellAnchor>
  <xdr:twoCellAnchor editAs="oneCell">
    <xdr:from>
      <xdr:col>0</xdr:col>
      <xdr:colOff>0</xdr:colOff>
      <xdr:row>9</xdr:row>
      <xdr:rowOff>171450</xdr:rowOff>
    </xdr:from>
    <xdr:to>
      <xdr:col>1</xdr:col>
      <xdr:colOff>1571625</xdr:colOff>
      <xdr:row>20</xdr:row>
      <xdr:rowOff>37261</xdr:rowOff>
    </xdr:to>
    <xdr:pic>
      <xdr:nvPicPr>
        <xdr:cNvPr id="23" name="Imagen 22">
          <a:extLst>
            <a:ext uri="{FF2B5EF4-FFF2-40B4-BE49-F238E27FC236}">
              <a16:creationId xmlns:a16="http://schemas.microsoft.com/office/drawing/2014/main" id="{3480F686-558B-489C-96A1-7F89CC63512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1971675"/>
          <a:ext cx="2409825" cy="2151811"/>
        </a:xfrm>
        <a:prstGeom prst="rect">
          <a:avLst/>
        </a:prstGeom>
      </xdr:spPr>
    </xdr:pic>
    <xdr:clientData/>
  </xdr:twoCellAnchor>
  <xdr:twoCellAnchor editAs="oneCell">
    <xdr:from>
      <xdr:col>8</xdr:col>
      <xdr:colOff>85800</xdr:colOff>
      <xdr:row>0</xdr:row>
      <xdr:rowOff>57226</xdr:rowOff>
    </xdr:from>
    <xdr:to>
      <xdr:col>9</xdr:col>
      <xdr:colOff>159750</xdr:colOff>
      <xdr:row>4</xdr:row>
      <xdr:rowOff>24784</xdr:rowOff>
    </xdr:to>
    <xdr:pic>
      <xdr:nvPicPr>
        <xdr:cNvPr id="24" name="Imagen 23">
          <a:hlinkClick xmlns:r="http://schemas.openxmlformats.org/officeDocument/2006/relationships" r:id="rId12"/>
          <a:extLst>
            <a:ext uri="{FF2B5EF4-FFF2-40B4-BE49-F238E27FC236}">
              <a16:creationId xmlns:a16="http://schemas.microsoft.com/office/drawing/2014/main" id="{AF30511E-88F3-4FE9-9E39-B0F5E01FBF2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820475" y="57226"/>
          <a:ext cx="1645575" cy="729558"/>
        </a:xfrm>
        <a:prstGeom prst="rect">
          <a:avLst/>
        </a:prstGeom>
      </xdr:spPr>
    </xdr:pic>
    <xdr:clientData/>
  </xdr:twoCellAnchor>
  <xdr:twoCellAnchor editAs="oneCell">
    <xdr:from>
      <xdr:col>2</xdr:col>
      <xdr:colOff>959700</xdr:colOff>
      <xdr:row>0</xdr:row>
      <xdr:rowOff>26251</xdr:rowOff>
    </xdr:from>
    <xdr:to>
      <xdr:col>3</xdr:col>
      <xdr:colOff>1243200</xdr:colOff>
      <xdr:row>3</xdr:row>
      <xdr:rowOff>184309</xdr:rowOff>
    </xdr:to>
    <xdr:pic>
      <xdr:nvPicPr>
        <xdr:cNvPr id="25" name="Imagen 24">
          <a:hlinkClick xmlns:r="http://schemas.openxmlformats.org/officeDocument/2006/relationships" r:id="rId14"/>
          <a:extLst>
            <a:ext uri="{FF2B5EF4-FFF2-40B4-BE49-F238E27FC236}">
              <a16:creationId xmlns:a16="http://schemas.microsoft.com/office/drawing/2014/main" id="{C98AAF89-245B-493F-904E-07A3B327FAC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4160100" y="26251"/>
          <a:ext cx="1645575" cy="729558"/>
        </a:xfrm>
        <a:prstGeom prst="rect">
          <a:avLst/>
        </a:prstGeom>
      </xdr:spPr>
    </xdr:pic>
    <xdr:clientData/>
  </xdr:twoCellAnchor>
  <xdr:twoCellAnchor editAs="oneCell">
    <xdr:from>
      <xdr:col>3</xdr:col>
      <xdr:colOff>1290675</xdr:colOff>
      <xdr:row>0</xdr:row>
      <xdr:rowOff>33376</xdr:rowOff>
    </xdr:from>
    <xdr:to>
      <xdr:col>4</xdr:col>
      <xdr:colOff>1002675</xdr:colOff>
      <xdr:row>4</xdr:row>
      <xdr:rowOff>934</xdr:rowOff>
    </xdr:to>
    <xdr:pic>
      <xdr:nvPicPr>
        <xdr:cNvPr id="26" name="Imagen 25">
          <a:hlinkClick xmlns:r="http://schemas.openxmlformats.org/officeDocument/2006/relationships" r:id="rId16"/>
          <a:extLst>
            <a:ext uri="{FF2B5EF4-FFF2-40B4-BE49-F238E27FC236}">
              <a16:creationId xmlns:a16="http://schemas.microsoft.com/office/drawing/2014/main" id="{DE85868C-F5B9-4248-82F7-D07FDA40AD7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853150" y="33376"/>
          <a:ext cx="1645575" cy="729558"/>
        </a:xfrm>
        <a:prstGeom prst="rect">
          <a:avLst/>
        </a:prstGeom>
      </xdr:spPr>
    </xdr:pic>
    <xdr:clientData/>
  </xdr:twoCellAnchor>
  <xdr:twoCellAnchor editAs="oneCell">
    <xdr:from>
      <xdr:col>6</xdr:col>
      <xdr:colOff>564622</xdr:colOff>
      <xdr:row>0</xdr:row>
      <xdr:rowOff>40501</xdr:rowOff>
    </xdr:from>
    <xdr:to>
      <xdr:col>8</xdr:col>
      <xdr:colOff>47528</xdr:colOff>
      <xdr:row>4</xdr:row>
      <xdr:rowOff>8059</xdr:rowOff>
    </xdr:to>
    <xdr:pic>
      <xdr:nvPicPr>
        <xdr:cNvPr id="27" name="Imagen 26">
          <a:hlinkClick xmlns:r="http://schemas.openxmlformats.org/officeDocument/2006/relationships" r:id="rId18"/>
          <a:extLst>
            <a:ext uri="{FF2B5EF4-FFF2-40B4-BE49-F238E27FC236}">
              <a16:creationId xmlns:a16="http://schemas.microsoft.com/office/drawing/2014/main" id="{702A3900-1E4B-4C1E-8808-559E0D3D345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xdr:blipFill>
      <xdr:spPr>
        <a:xfrm>
          <a:off x="9137122" y="40501"/>
          <a:ext cx="1645081" cy="729558"/>
        </a:xfrm>
        <a:prstGeom prst="rect">
          <a:avLst/>
        </a:prstGeom>
      </xdr:spPr>
    </xdr:pic>
    <xdr:clientData/>
  </xdr:twoCellAnchor>
  <xdr:twoCellAnchor editAs="oneCell">
    <xdr:from>
      <xdr:col>1</xdr:col>
      <xdr:colOff>1647825</xdr:colOff>
      <xdr:row>0</xdr:row>
      <xdr:rowOff>0</xdr:rowOff>
    </xdr:from>
    <xdr:to>
      <xdr:col>2</xdr:col>
      <xdr:colOff>931200</xdr:colOff>
      <xdr:row>3</xdr:row>
      <xdr:rowOff>157565</xdr:rowOff>
    </xdr:to>
    <xdr:pic>
      <xdr:nvPicPr>
        <xdr:cNvPr id="28" name="Imagen 27">
          <a:hlinkClick xmlns:r="http://schemas.openxmlformats.org/officeDocument/2006/relationships" r:id="rId20"/>
          <a:extLst>
            <a:ext uri="{FF2B5EF4-FFF2-40B4-BE49-F238E27FC236}">
              <a16:creationId xmlns:a16="http://schemas.microsoft.com/office/drawing/2014/main" id="{DF31E594-1953-4B11-9EC6-F22C369D957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486025" y="0"/>
          <a:ext cx="1645575" cy="729065"/>
        </a:xfrm>
        <a:prstGeom prst="rect">
          <a:avLst/>
        </a:prstGeom>
      </xdr:spPr>
    </xdr:pic>
    <xdr:clientData/>
  </xdr:twoCellAnchor>
  <xdr:twoCellAnchor editAs="oneCell">
    <xdr:from>
      <xdr:col>10</xdr:col>
      <xdr:colOff>740550</xdr:colOff>
      <xdr:row>0</xdr:row>
      <xdr:rowOff>73801</xdr:rowOff>
    </xdr:from>
    <xdr:to>
      <xdr:col>12</xdr:col>
      <xdr:colOff>157275</xdr:colOff>
      <xdr:row>4</xdr:row>
      <xdr:rowOff>41359</xdr:rowOff>
    </xdr:to>
    <xdr:pic>
      <xdr:nvPicPr>
        <xdr:cNvPr id="29" name="Imagen 28">
          <a:hlinkClick xmlns:r="http://schemas.openxmlformats.org/officeDocument/2006/relationships" r:id="rId22"/>
          <a:extLst>
            <a:ext uri="{FF2B5EF4-FFF2-40B4-BE49-F238E27FC236}">
              <a16:creationId xmlns:a16="http://schemas.microsoft.com/office/drawing/2014/main" id="{B6E6CAED-79F1-4877-88A6-A5DD95BF2AC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4161275" y="73801"/>
          <a:ext cx="1645575" cy="729558"/>
        </a:xfrm>
        <a:prstGeom prst="rect">
          <a:avLst/>
        </a:prstGeom>
      </xdr:spPr>
    </xdr:pic>
    <xdr:clientData/>
  </xdr:twoCellAnchor>
  <xdr:twoCellAnchor editAs="oneCell">
    <xdr:from>
      <xdr:col>9</xdr:col>
      <xdr:colOff>176175</xdr:colOff>
      <xdr:row>0</xdr:row>
      <xdr:rowOff>61876</xdr:rowOff>
    </xdr:from>
    <xdr:to>
      <xdr:col>10</xdr:col>
      <xdr:colOff>707325</xdr:colOff>
      <xdr:row>4</xdr:row>
      <xdr:rowOff>29434</xdr:rowOff>
    </xdr:to>
    <xdr:pic>
      <xdr:nvPicPr>
        <xdr:cNvPr id="30" name="Imagen 29">
          <a:hlinkClick xmlns:r="http://schemas.openxmlformats.org/officeDocument/2006/relationships" r:id="rId24"/>
          <a:extLst>
            <a:ext uri="{FF2B5EF4-FFF2-40B4-BE49-F238E27FC236}">
              <a16:creationId xmlns:a16="http://schemas.microsoft.com/office/drawing/2014/main" id="{D24F612E-7F10-4A53-9EE8-CA61A51DEBE6}"/>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2482475" y="61876"/>
          <a:ext cx="1645575" cy="729558"/>
        </a:xfrm>
        <a:prstGeom prst="rect">
          <a:avLst/>
        </a:prstGeom>
      </xdr:spPr>
    </xdr:pic>
    <xdr:clientData/>
  </xdr:twoCellAnchor>
  <xdr:twoCellAnchor editAs="oneCell">
    <xdr:from>
      <xdr:col>4</xdr:col>
      <xdr:colOff>983400</xdr:colOff>
      <xdr:row>0</xdr:row>
      <xdr:rowOff>49950</xdr:rowOff>
    </xdr:from>
    <xdr:to>
      <xdr:col>6</xdr:col>
      <xdr:colOff>552525</xdr:colOff>
      <xdr:row>4</xdr:row>
      <xdr:rowOff>17015</xdr:rowOff>
    </xdr:to>
    <xdr:pic>
      <xdr:nvPicPr>
        <xdr:cNvPr id="31" name="Imagen 30">
          <a:hlinkClick xmlns:r="http://schemas.openxmlformats.org/officeDocument/2006/relationships" r:id="rId26"/>
          <a:extLst>
            <a:ext uri="{FF2B5EF4-FFF2-40B4-BE49-F238E27FC236}">
              <a16:creationId xmlns:a16="http://schemas.microsoft.com/office/drawing/2014/main" id="{96867328-939D-47D9-A959-88DD992F6BA4}"/>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7479450" y="49950"/>
          <a:ext cx="1645575" cy="7290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219397</xdr:colOff>
      <xdr:row>0</xdr:row>
      <xdr:rowOff>57226</xdr:rowOff>
    </xdr:from>
    <xdr:to>
      <xdr:col>9</xdr:col>
      <xdr:colOff>845303</xdr:colOff>
      <xdr:row>4</xdr:row>
      <xdr:rowOff>24784</xdr:rowOff>
    </xdr:to>
    <xdr:pic>
      <xdr:nvPicPr>
        <xdr:cNvPr id="17" name="Imagen 16">
          <a:hlinkClick xmlns:r="http://schemas.openxmlformats.org/officeDocument/2006/relationships" r:id="rId1"/>
          <a:extLst>
            <a:ext uri="{FF2B5EF4-FFF2-40B4-BE49-F238E27FC236}">
              <a16:creationId xmlns:a16="http://schemas.microsoft.com/office/drawing/2014/main" id="{3A80091C-754A-4955-80ED-C4980D9BEC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9125272" y="57226"/>
          <a:ext cx="1645081" cy="729558"/>
        </a:xfrm>
        <a:prstGeom prst="rect">
          <a:avLst/>
        </a:prstGeom>
      </xdr:spPr>
    </xdr:pic>
    <xdr:clientData/>
  </xdr:twoCellAnchor>
  <xdr:twoCellAnchor editAs="oneCell">
    <xdr:from>
      <xdr:col>1</xdr:col>
      <xdr:colOff>1626450</xdr:colOff>
      <xdr:row>0</xdr:row>
      <xdr:rowOff>26251</xdr:rowOff>
    </xdr:from>
    <xdr:to>
      <xdr:col>2</xdr:col>
      <xdr:colOff>938400</xdr:colOff>
      <xdr:row>3</xdr:row>
      <xdr:rowOff>184309</xdr:rowOff>
    </xdr:to>
    <xdr:pic>
      <xdr:nvPicPr>
        <xdr:cNvPr id="18" name="Imagen 17">
          <a:hlinkClick xmlns:r="http://schemas.openxmlformats.org/officeDocument/2006/relationships" r:id="rId3"/>
          <a:extLst>
            <a:ext uri="{FF2B5EF4-FFF2-40B4-BE49-F238E27FC236}">
              <a16:creationId xmlns:a16="http://schemas.microsoft.com/office/drawing/2014/main" id="{A0490146-7802-487A-863B-15EB3BD2A4A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64650" y="26251"/>
          <a:ext cx="1645575" cy="729558"/>
        </a:xfrm>
        <a:prstGeom prst="rect">
          <a:avLst/>
        </a:prstGeom>
      </xdr:spPr>
    </xdr:pic>
    <xdr:clientData/>
  </xdr:twoCellAnchor>
  <xdr:twoCellAnchor editAs="oneCell">
    <xdr:from>
      <xdr:col>3</xdr:col>
      <xdr:colOff>42900</xdr:colOff>
      <xdr:row>0</xdr:row>
      <xdr:rowOff>33376</xdr:rowOff>
    </xdr:from>
    <xdr:to>
      <xdr:col>4</xdr:col>
      <xdr:colOff>745500</xdr:colOff>
      <xdr:row>4</xdr:row>
      <xdr:rowOff>934</xdr:rowOff>
    </xdr:to>
    <xdr:pic>
      <xdr:nvPicPr>
        <xdr:cNvPr id="19" name="Imagen 18">
          <a:hlinkClick xmlns:r="http://schemas.openxmlformats.org/officeDocument/2006/relationships" r:id="rId5"/>
          <a:extLst>
            <a:ext uri="{FF2B5EF4-FFF2-40B4-BE49-F238E27FC236}">
              <a16:creationId xmlns:a16="http://schemas.microsoft.com/office/drawing/2014/main" id="{A89CC5A5-53BD-4709-A712-1C4043C6CC7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157700" y="33376"/>
          <a:ext cx="1645575" cy="729558"/>
        </a:xfrm>
        <a:prstGeom prst="rect">
          <a:avLst/>
        </a:prstGeom>
      </xdr:spPr>
    </xdr:pic>
    <xdr:clientData/>
  </xdr:twoCellAnchor>
  <xdr:twoCellAnchor editAs="oneCell">
    <xdr:from>
      <xdr:col>6</xdr:col>
      <xdr:colOff>497947</xdr:colOff>
      <xdr:row>0</xdr:row>
      <xdr:rowOff>40610</xdr:rowOff>
    </xdr:from>
    <xdr:to>
      <xdr:col>8</xdr:col>
      <xdr:colOff>104678</xdr:colOff>
      <xdr:row>4</xdr:row>
      <xdr:rowOff>7949</xdr:rowOff>
    </xdr:to>
    <xdr:pic>
      <xdr:nvPicPr>
        <xdr:cNvPr id="20" name="Imagen 19">
          <a:hlinkClick xmlns:r="http://schemas.openxmlformats.org/officeDocument/2006/relationships" r:id="rId7"/>
          <a:extLst>
            <a:ext uri="{FF2B5EF4-FFF2-40B4-BE49-F238E27FC236}">
              <a16:creationId xmlns:a16="http://schemas.microsoft.com/office/drawing/2014/main" id="{1F76E18F-8ECF-4183-AD53-63C55B246A3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7441672" y="40610"/>
          <a:ext cx="1645081" cy="729339"/>
        </a:xfrm>
        <a:prstGeom prst="rect">
          <a:avLst/>
        </a:prstGeom>
      </xdr:spPr>
    </xdr:pic>
    <xdr:clientData/>
  </xdr:twoCellAnchor>
  <xdr:twoCellAnchor editAs="oneCell">
    <xdr:from>
      <xdr:col>0</xdr:col>
      <xdr:colOff>790575</xdr:colOff>
      <xdr:row>0</xdr:row>
      <xdr:rowOff>0</xdr:rowOff>
    </xdr:from>
    <xdr:to>
      <xdr:col>1</xdr:col>
      <xdr:colOff>1597950</xdr:colOff>
      <xdr:row>3</xdr:row>
      <xdr:rowOff>157565</xdr:rowOff>
    </xdr:to>
    <xdr:pic>
      <xdr:nvPicPr>
        <xdr:cNvPr id="21" name="Imagen 20">
          <a:hlinkClick xmlns:r="http://schemas.openxmlformats.org/officeDocument/2006/relationships" r:id="rId9"/>
          <a:extLst>
            <a:ext uri="{FF2B5EF4-FFF2-40B4-BE49-F238E27FC236}">
              <a16:creationId xmlns:a16="http://schemas.microsoft.com/office/drawing/2014/main" id="{5F37CC45-E10C-451C-B39D-FF71A3C38C8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90575" y="0"/>
          <a:ext cx="1645575" cy="729065"/>
        </a:xfrm>
        <a:prstGeom prst="rect">
          <a:avLst/>
        </a:prstGeom>
      </xdr:spPr>
    </xdr:pic>
    <xdr:clientData/>
  </xdr:twoCellAnchor>
  <xdr:twoCellAnchor editAs="oneCell">
    <xdr:from>
      <xdr:col>11</xdr:col>
      <xdr:colOff>502425</xdr:colOff>
      <xdr:row>0</xdr:row>
      <xdr:rowOff>73801</xdr:rowOff>
    </xdr:from>
    <xdr:to>
      <xdr:col>13</xdr:col>
      <xdr:colOff>290625</xdr:colOff>
      <xdr:row>4</xdr:row>
      <xdr:rowOff>41359</xdr:rowOff>
    </xdr:to>
    <xdr:pic>
      <xdr:nvPicPr>
        <xdr:cNvPr id="22" name="Imagen 21">
          <a:hlinkClick xmlns:r="http://schemas.openxmlformats.org/officeDocument/2006/relationships" r:id="rId11"/>
          <a:extLst>
            <a:ext uri="{FF2B5EF4-FFF2-40B4-BE49-F238E27FC236}">
              <a16:creationId xmlns:a16="http://schemas.microsoft.com/office/drawing/2014/main" id="{3F2C0386-FEAC-4B6B-B82A-B337801970C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465825" y="73801"/>
          <a:ext cx="1645575" cy="729558"/>
        </a:xfrm>
        <a:prstGeom prst="rect">
          <a:avLst/>
        </a:prstGeom>
      </xdr:spPr>
    </xdr:pic>
    <xdr:clientData/>
  </xdr:twoCellAnchor>
  <xdr:twoCellAnchor editAs="oneCell">
    <xdr:from>
      <xdr:col>9</xdr:col>
      <xdr:colOff>861975</xdr:colOff>
      <xdr:row>0</xdr:row>
      <xdr:rowOff>61876</xdr:rowOff>
    </xdr:from>
    <xdr:to>
      <xdr:col>11</xdr:col>
      <xdr:colOff>469200</xdr:colOff>
      <xdr:row>4</xdr:row>
      <xdr:rowOff>29434</xdr:rowOff>
    </xdr:to>
    <xdr:pic>
      <xdr:nvPicPr>
        <xdr:cNvPr id="23" name="Imagen 22">
          <a:hlinkClick xmlns:r="http://schemas.openxmlformats.org/officeDocument/2006/relationships" r:id="rId13"/>
          <a:extLst>
            <a:ext uri="{FF2B5EF4-FFF2-40B4-BE49-F238E27FC236}">
              <a16:creationId xmlns:a16="http://schemas.microsoft.com/office/drawing/2014/main" id="{546CCDDE-E124-45CC-978C-941606799C9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787025" y="61876"/>
          <a:ext cx="1645575" cy="729558"/>
        </a:xfrm>
        <a:prstGeom prst="rect">
          <a:avLst/>
        </a:prstGeom>
      </xdr:spPr>
    </xdr:pic>
    <xdr:clientData/>
  </xdr:twoCellAnchor>
  <xdr:twoCellAnchor editAs="oneCell">
    <xdr:from>
      <xdr:col>4</xdr:col>
      <xdr:colOff>726225</xdr:colOff>
      <xdr:row>0</xdr:row>
      <xdr:rowOff>49950</xdr:rowOff>
    </xdr:from>
    <xdr:to>
      <xdr:col>6</xdr:col>
      <xdr:colOff>485850</xdr:colOff>
      <xdr:row>4</xdr:row>
      <xdr:rowOff>17015</xdr:rowOff>
    </xdr:to>
    <xdr:pic>
      <xdr:nvPicPr>
        <xdr:cNvPr id="24" name="Imagen 23">
          <a:hlinkClick xmlns:r="http://schemas.openxmlformats.org/officeDocument/2006/relationships" r:id="rId15"/>
          <a:extLst>
            <a:ext uri="{FF2B5EF4-FFF2-40B4-BE49-F238E27FC236}">
              <a16:creationId xmlns:a16="http://schemas.microsoft.com/office/drawing/2014/main" id="{EE098CEA-46FF-41BB-A6B7-FC10FD8531C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784000" y="49950"/>
          <a:ext cx="1645575" cy="7290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676350</xdr:colOff>
      <xdr:row>0</xdr:row>
      <xdr:rowOff>57226</xdr:rowOff>
    </xdr:from>
    <xdr:to>
      <xdr:col>8</xdr:col>
      <xdr:colOff>283575</xdr:colOff>
      <xdr:row>4</xdr:row>
      <xdr:rowOff>24784</xdr:rowOff>
    </xdr:to>
    <xdr:pic>
      <xdr:nvPicPr>
        <xdr:cNvPr id="4" name="Imagen 3">
          <a:hlinkClick xmlns:r="http://schemas.openxmlformats.org/officeDocument/2006/relationships" r:id="rId1"/>
          <a:extLst>
            <a:ext uri="{FF2B5EF4-FFF2-40B4-BE49-F238E27FC236}">
              <a16:creationId xmlns:a16="http://schemas.microsoft.com/office/drawing/2014/main" id="{68EED0F3-E39A-44A4-AB3E-46F7B10F60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15500" y="57226"/>
          <a:ext cx="1645575" cy="729558"/>
        </a:xfrm>
        <a:prstGeom prst="rect">
          <a:avLst/>
        </a:prstGeom>
      </xdr:spPr>
    </xdr:pic>
    <xdr:clientData/>
  </xdr:twoCellAnchor>
  <xdr:twoCellAnchor editAs="oneCell">
    <xdr:from>
      <xdr:col>1</xdr:col>
      <xdr:colOff>1616925</xdr:colOff>
      <xdr:row>0</xdr:row>
      <xdr:rowOff>26251</xdr:rowOff>
    </xdr:from>
    <xdr:to>
      <xdr:col>2</xdr:col>
      <xdr:colOff>347850</xdr:colOff>
      <xdr:row>3</xdr:row>
      <xdr:rowOff>184309</xdr:rowOff>
    </xdr:to>
    <xdr:pic>
      <xdr:nvPicPr>
        <xdr:cNvPr id="5" name="Imagen 4">
          <a:hlinkClick xmlns:r="http://schemas.openxmlformats.org/officeDocument/2006/relationships" r:id="rId3"/>
          <a:extLst>
            <a:ext uri="{FF2B5EF4-FFF2-40B4-BE49-F238E27FC236}">
              <a16:creationId xmlns:a16="http://schemas.microsoft.com/office/drawing/2014/main" id="{C8A053D8-8B39-4B73-8069-8954FDC49E1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55125" y="26251"/>
          <a:ext cx="1645575" cy="729558"/>
        </a:xfrm>
        <a:prstGeom prst="rect">
          <a:avLst/>
        </a:prstGeom>
      </xdr:spPr>
    </xdr:pic>
    <xdr:clientData/>
  </xdr:twoCellAnchor>
  <xdr:twoCellAnchor editAs="oneCell">
    <xdr:from>
      <xdr:col>2</xdr:col>
      <xdr:colOff>395325</xdr:colOff>
      <xdr:row>0</xdr:row>
      <xdr:rowOff>33376</xdr:rowOff>
    </xdr:from>
    <xdr:to>
      <xdr:col>2</xdr:col>
      <xdr:colOff>2040900</xdr:colOff>
      <xdr:row>4</xdr:row>
      <xdr:rowOff>934</xdr:rowOff>
    </xdr:to>
    <xdr:pic>
      <xdr:nvPicPr>
        <xdr:cNvPr id="6" name="Imagen 5">
          <a:hlinkClick xmlns:r="http://schemas.openxmlformats.org/officeDocument/2006/relationships" r:id="rId5"/>
          <a:extLst>
            <a:ext uri="{FF2B5EF4-FFF2-40B4-BE49-F238E27FC236}">
              <a16:creationId xmlns:a16="http://schemas.microsoft.com/office/drawing/2014/main" id="{FD5EBD35-7F98-4ECA-B531-CBB466A165F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148175" y="33376"/>
          <a:ext cx="1645575" cy="729558"/>
        </a:xfrm>
        <a:prstGeom prst="rect">
          <a:avLst/>
        </a:prstGeom>
      </xdr:spPr>
    </xdr:pic>
    <xdr:clientData/>
  </xdr:twoCellAnchor>
  <xdr:twoCellAnchor editAs="oneCell">
    <xdr:from>
      <xdr:col>4</xdr:col>
      <xdr:colOff>669150</xdr:colOff>
      <xdr:row>0</xdr:row>
      <xdr:rowOff>40501</xdr:rowOff>
    </xdr:from>
    <xdr:to>
      <xdr:col>6</xdr:col>
      <xdr:colOff>428775</xdr:colOff>
      <xdr:row>4</xdr:row>
      <xdr:rowOff>8059</xdr:rowOff>
    </xdr:to>
    <xdr:pic>
      <xdr:nvPicPr>
        <xdr:cNvPr id="7" name="Imagen 6">
          <a:hlinkClick xmlns:r="http://schemas.openxmlformats.org/officeDocument/2006/relationships" r:id="rId7"/>
          <a:extLst>
            <a:ext uri="{FF2B5EF4-FFF2-40B4-BE49-F238E27FC236}">
              <a16:creationId xmlns:a16="http://schemas.microsoft.com/office/drawing/2014/main" id="{64A61D45-F26E-40B8-B3F7-5C044DDD56F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431900" y="40501"/>
          <a:ext cx="1645575" cy="729558"/>
        </a:xfrm>
        <a:prstGeom prst="rect">
          <a:avLst/>
        </a:prstGeom>
      </xdr:spPr>
    </xdr:pic>
    <xdr:clientData/>
  </xdr:twoCellAnchor>
  <xdr:twoCellAnchor editAs="oneCell">
    <xdr:from>
      <xdr:col>0</xdr:col>
      <xdr:colOff>781050</xdr:colOff>
      <xdr:row>0</xdr:row>
      <xdr:rowOff>0</xdr:rowOff>
    </xdr:from>
    <xdr:to>
      <xdr:col>1</xdr:col>
      <xdr:colOff>1588425</xdr:colOff>
      <xdr:row>3</xdr:row>
      <xdr:rowOff>157565</xdr:rowOff>
    </xdr:to>
    <xdr:pic>
      <xdr:nvPicPr>
        <xdr:cNvPr id="8" name="Imagen 7">
          <a:hlinkClick xmlns:r="http://schemas.openxmlformats.org/officeDocument/2006/relationships" r:id="rId9"/>
          <a:extLst>
            <a:ext uri="{FF2B5EF4-FFF2-40B4-BE49-F238E27FC236}">
              <a16:creationId xmlns:a16="http://schemas.microsoft.com/office/drawing/2014/main" id="{1773E2D0-881E-4772-910C-88DE684B40D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1050" y="0"/>
          <a:ext cx="1645575" cy="729065"/>
        </a:xfrm>
        <a:prstGeom prst="rect">
          <a:avLst/>
        </a:prstGeom>
      </xdr:spPr>
    </xdr:pic>
    <xdr:clientData/>
  </xdr:twoCellAnchor>
  <xdr:twoCellAnchor editAs="oneCell">
    <xdr:from>
      <xdr:col>10</xdr:col>
      <xdr:colOff>664597</xdr:colOff>
      <xdr:row>0</xdr:row>
      <xdr:rowOff>73801</xdr:rowOff>
    </xdr:from>
    <xdr:to>
      <xdr:col>12</xdr:col>
      <xdr:colOff>271328</xdr:colOff>
      <xdr:row>4</xdr:row>
      <xdr:rowOff>41359</xdr:rowOff>
    </xdr:to>
    <xdr:pic>
      <xdr:nvPicPr>
        <xdr:cNvPr id="9" name="Imagen 8">
          <a:hlinkClick xmlns:r="http://schemas.openxmlformats.org/officeDocument/2006/relationships" r:id="rId11"/>
          <a:extLst>
            <a:ext uri="{FF2B5EF4-FFF2-40B4-BE49-F238E27FC236}">
              <a16:creationId xmlns:a16="http://schemas.microsoft.com/office/drawing/2014/main" id="{C5EE143F-4230-41AE-A8D5-ABA0492C69F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12456547" y="73801"/>
          <a:ext cx="1645081" cy="729558"/>
        </a:xfrm>
        <a:prstGeom prst="rect">
          <a:avLst/>
        </a:prstGeom>
      </xdr:spPr>
    </xdr:pic>
    <xdr:clientData/>
  </xdr:twoCellAnchor>
  <xdr:twoCellAnchor editAs="oneCell">
    <xdr:from>
      <xdr:col>8</xdr:col>
      <xdr:colOff>661950</xdr:colOff>
      <xdr:row>0</xdr:row>
      <xdr:rowOff>61876</xdr:rowOff>
    </xdr:from>
    <xdr:to>
      <xdr:col>10</xdr:col>
      <xdr:colOff>269175</xdr:colOff>
      <xdr:row>4</xdr:row>
      <xdr:rowOff>29434</xdr:rowOff>
    </xdr:to>
    <xdr:pic>
      <xdr:nvPicPr>
        <xdr:cNvPr id="10" name="Imagen 9">
          <a:hlinkClick xmlns:r="http://schemas.openxmlformats.org/officeDocument/2006/relationships" r:id="rId13"/>
          <a:extLst>
            <a:ext uri="{FF2B5EF4-FFF2-40B4-BE49-F238E27FC236}">
              <a16:creationId xmlns:a16="http://schemas.microsoft.com/office/drawing/2014/main" id="{F7458BA3-4373-4ACA-BD2A-6AC50D344D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777500" y="61876"/>
          <a:ext cx="1645575" cy="729558"/>
        </a:xfrm>
        <a:prstGeom prst="rect">
          <a:avLst/>
        </a:prstGeom>
      </xdr:spPr>
    </xdr:pic>
    <xdr:clientData/>
  </xdr:twoCellAnchor>
  <xdr:twoCellAnchor editAs="oneCell">
    <xdr:from>
      <xdr:col>2</xdr:col>
      <xdr:colOff>2021625</xdr:colOff>
      <xdr:row>0</xdr:row>
      <xdr:rowOff>49950</xdr:rowOff>
    </xdr:from>
    <xdr:to>
      <xdr:col>4</xdr:col>
      <xdr:colOff>552525</xdr:colOff>
      <xdr:row>4</xdr:row>
      <xdr:rowOff>17015</xdr:rowOff>
    </xdr:to>
    <xdr:pic>
      <xdr:nvPicPr>
        <xdr:cNvPr id="11" name="Imagen 10">
          <a:hlinkClick xmlns:r="http://schemas.openxmlformats.org/officeDocument/2006/relationships" r:id="rId15"/>
          <a:extLst>
            <a:ext uri="{FF2B5EF4-FFF2-40B4-BE49-F238E27FC236}">
              <a16:creationId xmlns:a16="http://schemas.microsoft.com/office/drawing/2014/main" id="{79D4EF5B-D76F-468A-9562-93B26120B03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774475" y="49950"/>
          <a:ext cx="1645575" cy="72906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58E857-5E81-4698-9932-84AAA1460AD7}" name="Tabla4" displayName="Tabla4" ref="L7:N16" totalsRowShown="0" headerRowDxfId="27" dataDxfId="26" tableBorderDxfId="25">
  <autoFilter ref="L7:N16" xr:uid="{6758E857-5E81-4698-9932-84AAA1460AD7}"/>
  <tableColumns count="3">
    <tableColumn id="1" xr3:uid="{93B29D22-F1B8-437B-84DB-464F3E4DAC8D}" name="Rubro" dataDxfId="24"/>
    <tableColumn id="2" xr3:uid="{DC21E8E8-1A0F-41EA-B311-ADDB99DE45A6}" name="Valor Inicial (en pesos)" dataDxfId="23"/>
    <tableColumn id="3" xr3:uid="{98D30E11-590A-4DF7-93AF-AEE267F21385}" name="Incremento Anual Esperado" dataDxfId="22"/>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F6D84D-0999-4AC0-9E24-24AF639CF90D}" name="Tabla43" displayName="Tabla43" ref="I7:K16" totalsRowShown="0" headerRowDxfId="21" dataDxfId="20" tableBorderDxfId="19">
  <autoFilter ref="I7:K16" xr:uid="{C7F6D84D-0999-4AC0-9E24-24AF639CF90D}"/>
  <tableColumns count="3">
    <tableColumn id="1" xr3:uid="{0AF11BEE-4D54-4E31-B179-4FEC5BD9F7A0}" name="Rubro" dataDxfId="18"/>
    <tableColumn id="2" xr3:uid="{264F9DCF-9A42-44C5-8F6C-F9D6947780AF}" name="Valor Inicial (en pesos)" dataDxfId="17"/>
    <tableColumn id="3" xr3:uid="{CE825F8C-44D2-421B-A395-34F52355F3BE}" name="Incremento Anual Esperado" dataDxfId="16"/>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21F641-40F5-46BC-9098-D155DB3310DF}" name="Tabla1" displayName="Tabla1" ref="I19:S36" totalsRowShown="0" headerRowDxfId="15" dataDxfId="13" headerRowBorderDxfId="14" tableBorderDxfId="12" totalsRowBorderDxfId="11">
  <autoFilter ref="I19:S36" xr:uid="{9121F641-40F5-46BC-9098-D155DB3310DF}"/>
  <tableColumns count="11">
    <tableColumn id="1" xr3:uid="{B46D780D-5DC9-4AE4-A95D-11CEE5FFF0F4}" name="Rubro" dataDxfId="10"/>
    <tableColumn id="2" xr3:uid="{187D43E9-801A-4E1C-A17E-3F9C49178C70}" name="1" dataDxfId="9" dataCellStyle="Moneda 2"/>
    <tableColumn id="3" xr3:uid="{0785C638-1CD5-4FE3-A5E7-A8C2483E76E0}" name="2" dataDxfId="8"/>
    <tableColumn id="4" xr3:uid="{867DCA44-0FE9-43C4-8E73-65BE4563BE5A}" name="3" dataDxfId="7"/>
    <tableColumn id="5" xr3:uid="{9D90CE00-081D-43A3-B97F-128D86C2D770}" name="4" dataDxfId="6"/>
    <tableColumn id="6" xr3:uid="{33052A4C-7DA2-47B0-8242-6DC057117BE5}" name="5" dataDxfId="5"/>
    <tableColumn id="7" xr3:uid="{43E3272F-403F-430A-8BC2-9A56E1964B29}" name="6" dataDxfId="4"/>
    <tableColumn id="8" xr3:uid="{41EF7802-47DE-4939-A821-8496EBCB2975}" name="7" dataDxfId="3"/>
    <tableColumn id="9" xr3:uid="{E9A7228B-6EC6-48D8-BCA7-8E1486CEEC5E}" name="8" dataDxfId="2"/>
    <tableColumn id="10" xr3:uid="{061B504A-7D41-4701-9E9F-79CE2CA7B330}" name="9" dataDxfId="1"/>
    <tableColumn id="11" xr3:uid="{5C32748E-81AF-4D1A-A65B-215A7F955A37}" name="10" dataDxfId="0"/>
  </tableColumns>
  <tableStyleInfo name="TableStyleLight12" showFirstColumn="0" showLastColumn="0" showRowStripes="1" showColumnStripes="0"/>
</table>
</file>

<file path=xl/theme/theme1.xml><?xml version="1.0" encoding="utf-8"?>
<a:theme xmlns:a="http://schemas.openxmlformats.org/drawingml/2006/main" name="TEMA_MARCA_SINLOGOS">
  <a:themeElements>
    <a:clrScheme name="Marca">
      <a:dk1>
        <a:srgbClr val="383838"/>
      </a:dk1>
      <a:lt1>
        <a:srgbClr val="FFFFFF"/>
      </a:lt1>
      <a:dk2>
        <a:srgbClr val="A3793E"/>
      </a:dk2>
      <a:lt2>
        <a:srgbClr val="E4E5E4"/>
      </a:lt2>
      <a:accent1>
        <a:srgbClr val="383838"/>
      </a:accent1>
      <a:accent2>
        <a:srgbClr val="A87973"/>
      </a:accent2>
      <a:accent3>
        <a:srgbClr val="A3793E"/>
      </a:accent3>
      <a:accent4>
        <a:srgbClr val="DBBFC0"/>
      </a:accent4>
      <a:accent5>
        <a:srgbClr val="5B5B5A"/>
      </a:accent5>
      <a:accent6>
        <a:srgbClr val="C1B283"/>
      </a:accent6>
      <a:hlink>
        <a:srgbClr val="763240"/>
      </a:hlink>
      <a:folHlink>
        <a:srgbClr val="383838"/>
      </a:folHlink>
    </a:clrScheme>
    <a:fontScheme name="Fuentes">
      <a:majorFont>
        <a:latin typeface="Barlow Condensed Black"/>
        <a:ea typeface=""/>
        <a:cs typeface=""/>
      </a:majorFont>
      <a:minorFont>
        <a:latin typeface="Arial Nova Cond"/>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EMA_MARCA_SINLOGOS" id="{35234D6C-9155-4A11-AC5A-49DA139031B9}" vid="{5F6716D4-FC99-467D-805D-FEB440541A61}"/>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image" Target="../media/image1.png"/><Relationship Id="rId1" Type="http://schemas.openxmlformats.org/officeDocument/2006/relationships/drawing" Target="../drawings/drawing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75A3E-EA92-4742-A367-02060675327E}">
  <dimension ref="A1"/>
  <sheetViews>
    <sheetView showGridLines="0" zoomScaleNormal="100" workbookViewId="0"/>
  </sheetViews>
  <sheetFormatPr baseColWidth="10" defaultColWidth="11" defaultRowHeight="15" x14ac:dyDescent="0.25"/>
  <sheetData/>
  <pageMargins left="0.7" right="0.7" top="0.75" bottom="0.75" header="0.3" footer="0.3"/>
  <pageSetup fitToWidth="0" fitToHeight="0" orientation="portrait" horizontalDpi="0" verticalDpi="0"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B2B0-4C70-4609-89EC-10686A73C212}">
  <dimension ref="A1"/>
  <sheetViews>
    <sheetView showGridLines="0" zoomScaleNormal="100" workbookViewId="0"/>
  </sheetViews>
  <sheetFormatPr baseColWidth="10" defaultRowHeight="15" x14ac:dyDescent="0.25"/>
  <sheetData/>
  <pageMargins left="0.7" right="0.7" top="0.75" bottom="0.75" header="0.3" footer="0.3"/>
  <drawing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E3F40-5AB9-43C1-914E-58C9C095106E}">
  <dimension ref="L5:O50"/>
  <sheetViews>
    <sheetView showGridLines="0" zoomScaleNormal="100" workbookViewId="0">
      <selection activeCell="N13" sqref="N13"/>
    </sheetView>
  </sheetViews>
  <sheetFormatPr baseColWidth="10" defaultColWidth="11" defaultRowHeight="15" x14ac:dyDescent="0.25"/>
  <cols>
    <col min="1" max="11" width="11" style="1"/>
    <col min="12" max="12" width="31.875" style="1" bestFit="1" customWidth="1"/>
    <col min="13" max="13" width="21" style="1" customWidth="1"/>
    <col min="14" max="14" width="24.375" style="1" customWidth="1"/>
    <col min="15" max="15" width="15.375" style="1" bestFit="1" customWidth="1"/>
    <col min="16" max="16384" width="11" style="1"/>
  </cols>
  <sheetData>
    <row r="5" spans="12:14" ht="15.75" thickBot="1" x14ac:dyDescent="0.3"/>
    <row r="6" spans="12:14" ht="16.5" thickTop="1" x14ac:dyDescent="0.25">
      <c r="L6" s="146" t="s">
        <v>0</v>
      </c>
      <c r="M6" s="147"/>
      <c r="N6" s="148"/>
    </row>
    <row r="7" spans="12:14" x14ac:dyDescent="0.25">
      <c r="L7" s="1" t="s">
        <v>1</v>
      </c>
      <c r="M7" s="1" t="s">
        <v>2</v>
      </c>
      <c r="N7" s="1" t="s">
        <v>3</v>
      </c>
    </row>
    <row r="8" spans="12:14" x14ac:dyDescent="0.25">
      <c r="L8" s="1" t="s">
        <v>4</v>
      </c>
      <c r="M8" s="2">
        <v>120</v>
      </c>
      <c r="N8" s="1" t="s">
        <v>5</v>
      </c>
    </row>
    <row r="9" spans="12:14" x14ac:dyDescent="0.25">
      <c r="L9" s="1" t="s">
        <v>6</v>
      </c>
      <c r="M9" s="2">
        <v>80</v>
      </c>
      <c r="N9" s="1" t="s">
        <v>5</v>
      </c>
    </row>
    <row r="10" spans="12:14" x14ac:dyDescent="0.25">
      <c r="L10" s="1" t="s">
        <v>7</v>
      </c>
      <c r="M10" s="2">
        <v>50</v>
      </c>
      <c r="N10" s="1" t="s">
        <v>5</v>
      </c>
    </row>
    <row r="11" spans="12:14" x14ac:dyDescent="0.25">
      <c r="L11" s="1" t="s">
        <v>8</v>
      </c>
      <c r="M11" s="2">
        <v>50</v>
      </c>
      <c r="N11" s="1" t="s">
        <v>5</v>
      </c>
    </row>
    <row r="12" spans="12:14" x14ac:dyDescent="0.25">
      <c r="L12" s="1" t="s">
        <v>9</v>
      </c>
      <c r="M12" s="2">
        <v>150000</v>
      </c>
      <c r="N12" s="1" t="s">
        <v>5</v>
      </c>
    </row>
    <row r="13" spans="12:14" x14ac:dyDescent="0.25">
      <c r="L13" s="1" t="s">
        <v>10</v>
      </c>
      <c r="M13" s="2">
        <v>100</v>
      </c>
      <c r="N13" s="1">
        <v>0.05</v>
      </c>
    </row>
    <row r="14" spans="12:14" x14ac:dyDescent="0.25">
      <c r="L14" s="1" t="s">
        <v>11</v>
      </c>
      <c r="M14" s="2">
        <v>200</v>
      </c>
      <c r="N14" s="1">
        <v>0.05</v>
      </c>
    </row>
    <row r="15" spans="12:14" ht="16.5" customHeight="1" x14ac:dyDescent="0.25">
      <c r="L15" s="1" t="s">
        <v>12</v>
      </c>
      <c r="M15" s="2">
        <v>100000</v>
      </c>
    </row>
    <row r="16" spans="12:14" x14ac:dyDescent="0.25">
      <c r="L16" s="1" t="s">
        <v>13</v>
      </c>
      <c r="M16" s="2">
        <v>200000</v>
      </c>
    </row>
    <row r="17" spans="12:15" ht="15.75" thickBot="1" x14ac:dyDescent="0.3"/>
    <row r="18" spans="12:15" ht="48.75" thickTop="1" thickBot="1" x14ac:dyDescent="0.3">
      <c r="L18" s="4" t="s">
        <v>14</v>
      </c>
    </row>
    <row r="19" spans="12:15" ht="16.5" thickTop="1" thickBot="1" x14ac:dyDescent="0.3"/>
    <row r="20" spans="12:15" ht="17.25" thickTop="1" thickBot="1" x14ac:dyDescent="0.3">
      <c r="L20" s="145" t="s">
        <v>15</v>
      </c>
      <c r="M20" s="145"/>
    </row>
    <row r="21" spans="12:15" ht="16.5" thickTop="1" thickBot="1" x14ac:dyDescent="0.3">
      <c r="L21" s="75" t="s">
        <v>16</v>
      </c>
      <c r="M21" s="76" t="s">
        <v>17</v>
      </c>
      <c r="N21" s="77" t="s">
        <v>18</v>
      </c>
      <c r="O21" s="78" t="s">
        <v>19</v>
      </c>
    </row>
    <row r="22" spans="12:15" ht="16.5" thickTop="1" thickBot="1" x14ac:dyDescent="0.3">
      <c r="L22" s="79">
        <v>0</v>
      </c>
      <c r="M22" s="79">
        <v>999</v>
      </c>
      <c r="N22" s="80">
        <v>0</v>
      </c>
      <c r="O22" s="81">
        <v>0.05</v>
      </c>
    </row>
    <row r="23" spans="12:15" ht="16.5" thickTop="1" thickBot="1" x14ac:dyDescent="0.3">
      <c r="L23" s="79">
        <v>1000</v>
      </c>
      <c r="M23" s="79">
        <v>9999</v>
      </c>
      <c r="N23" s="82">
        <v>50</v>
      </c>
      <c r="O23" s="81">
        <v>0.1</v>
      </c>
    </row>
    <row r="24" spans="12:15" ht="16.5" thickTop="1" thickBot="1" x14ac:dyDescent="0.3">
      <c r="L24" s="79">
        <v>10000</v>
      </c>
      <c r="M24" s="79">
        <v>49999</v>
      </c>
      <c r="N24" s="82">
        <v>950</v>
      </c>
      <c r="O24" s="81">
        <v>0.15</v>
      </c>
    </row>
    <row r="25" spans="12:15" ht="16.5" thickTop="1" thickBot="1" x14ac:dyDescent="0.3">
      <c r="L25" s="79">
        <v>50000</v>
      </c>
      <c r="M25" s="79">
        <v>99999</v>
      </c>
      <c r="N25" s="82">
        <v>6950</v>
      </c>
      <c r="O25" s="81">
        <v>0.2</v>
      </c>
    </row>
    <row r="26" spans="12:15" ht="16.5" thickTop="1" thickBot="1" x14ac:dyDescent="0.3">
      <c r="L26" s="79">
        <v>100000</v>
      </c>
      <c r="M26" s="79">
        <v>499999</v>
      </c>
      <c r="N26" s="82">
        <v>16950</v>
      </c>
      <c r="O26" s="81">
        <v>0.25</v>
      </c>
    </row>
    <row r="27" spans="12:15" ht="16.5" thickTop="1" thickBot="1" x14ac:dyDescent="0.3">
      <c r="L27" s="79">
        <v>500000</v>
      </c>
      <c r="M27" s="79">
        <v>999999</v>
      </c>
      <c r="N27" s="82">
        <v>116949</v>
      </c>
      <c r="O27" s="81">
        <v>0.3</v>
      </c>
    </row>
    <row r="28" spans="12:15" ht="16.5" thickTop="1" thickBot="1" x14ac:dyDescent="0.3">
      <c r="L28" s="79">
        <v>1000000</v>
      </c>
      <c r="M28" s="79"/>
      <c r="N28" s="82">
        <v>266949</v>
      </c>
      <c r="O28" s="81">
        <v>0.35</v>
      </c>
    </row>
    <row r="29" spans="12:15" ht="15.75" thickTop="1" x14ac:dyDescent="0.25"/>
    <row r="50" spans="13:13" x14ac:dyDescent="0.25">
      <c r="M50" s="3"/>
    </row>
  </sheetData>
  <mergeCells count="2">
    <mergeCell ref="L20:M20"/>
    <mergeCell ref="L6:N6"/>
  </mergeCells>
  <pageMargins left="0.7" right="0.7" top="0.75" bottom="0.75" header="0.3" footer="0.3"/>
  <pageSetup orientation="portrait" horizontalDpi="0" verticalDpi="0" r:id="rId1"/>
  <drawing r:id="rId2"/>
  <picture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85F52-C2D2-4448-8A68-1302065D2293}">
  <dimension ref="D5:S53"/>
  <sheetViews>
    <sheetView showGridLines="0" topLeftCell="B28" zoomScale="85" zoomScaleNormal="85" workbookViewId="0">
      <selection activeCell="S43" sqref="S43"/>
    </sheetView>
  </sheetViews>
  <sheetFormatPr baseColWidth="10" defaultColWidth="11" defaultRowHeight="15" x14ac:dyDescent="0.25"/>
  <cols>
    <col min="6" max="6" width="13.125" bestFit="1" customWidth="1"/>
    <col min="8" max="8" width="13.375" bestFit="1" customWidth="1"/>
    <col min="9" max="9" width="31.875" bestFit="1" customWidth="1"/>
    <col min="10" max="10" width="23.25" bestFit="1" customWidth="1"/>
    <col min="11" max="11" width="26.75" bestFit="1" customWidth="1"/>
    <col min="12" max="12" width="13.375" bestFit="1" customWidth="1"/>
    <col min="13" max="13" width="12.5" bestFit="1" customWidth="1"/>
    <col min="14" max="14" width="12.625" bestFit="1" customWidth="1"/>
    <col min="15" max="15" width="15.875" bestFit="1" customWidth="1"/>
    <col min="16" max="16" width="15.5" bestFit="1" customWidth="1"/>
    <col min="17" max="17" width="13.375" bestFit="1" customWidth="1"/>
    <col min="18" max="18" width="11.375" bestFit="1" customWidth="1"/>
    <col min="19" max="19" width="13.375" bestFit="1" customWidth="1"/>
  </cols>
  <sheetData>
    <row r="5" spans="4:16" ht="15.75" thickBot="1" x14ac:dyDescent="0.3"/>
    <row r="6" spans="4:16" ht="17.25" thickTop="1" thickBot="1" x14ac:dyDescent="0.3">
      <c r="D6" s="164" t="s">
        <v>20</v>
      </c>
      <c r="E6" s="164"/>
      <c r="F6" s="164"/>
      <c r="G6" s="164"/>
      <c r="I6" s="146" t="s">
        <v>0</v>
      </c>
      <c r="J6" s="147"/>
      <c r="K6" s="148"/>
      <c r="M6" s="159" t="s">
        <v>21</v>
      </c>
      <c r="N6" s="160"/>
      <c r="O6" s="161"/>
      <c r="P6" s="162"/>
    </row>
    <row r="7" spans="4:16" ht="16.5" thickTop="1" thickBot="1" x14ac:dyDescent="0.3">
      <c r="D7" s="17"/>
      <c r="E7" s="17"/>
      <c r="F7" s="17"/>
      <c r="I7" s="1" t="s">
        <v>1</v>
      </c>
      <c r="J7" s="1" t="s">
        <v>2</v>
      </c>
      <c r="K7" s="1" t="s">
        <v>3</v>
      </c>
      <c r="M7" s="158" t="s">
        <v>15</v>
      </c>
      <c r="N7" s="158"/>
      <c r="O7" s="19"/>
      <c r="P7" s="19"/>
    </row>
    <row r="8" spans="4:16" ht="17.25" thickTop="1" thickBot="1" x14ac:dyDescent="0.3">
      <c r="D8" s="163" t="s">
        <v>22</v>
      </c>
      <c r="E8" s="163"/>
      <c r="F8" s="4">
        <v>20000</v>
      </c>
      <c r="I8" s="1" t="s">
        <v>4</v>
      </c>
      <c r="J8" s="2">
        <v>120</v>
      </c>
      <c r="K8" s="5">
        <v>0.08</v>
      </c>
      <c r="M8" s="18" t="s">
        <v>16</v>
      </c>
      <c r="N8" s="18" t="s">
        <v>17</v>
      </c>
      <c r="O8" s="18" t="s">
        <v>18</v>
      </c>
      <c r="P8" s="18" t="s">
        <v>19</v>
      </c>
    </row>
    <row r="9" spans="4:16" ht="35.25" customHeight="1" thickTop="1" thickBot="1" x14ac:dyDescent="0.3">
      <c r="D9" s="163" t="s">
        <v>23</v>
      </c>
      <c r="E9" s="163"/>
      <c r="F9" s="83">
        <v>0.05</v>
      </c>
      <c r="I9" s="1" t="s">
        <v>6</v>
      </c>
      <c r="J9" s="2">
        <v>80</v>
      </c>
      <c r="K9" s="5">
        <v>0.08</v>
      </c>
      <c r="M9" s="20">
        <v>0</v>
      </c>
      <c r="N9" s="20">
        <v>999</v>
      </c>
      <c r="O9" s="21">
        <v>0</v>
      </c>
      <c r="P9" s="22">
        <v>0.05</v>
      </c>
    </row>
    <row r="10" spans="4:16" ht="17.25" customHeight="1" thickTop="1" thickBot="1" x14ac:dyDescent="0.3">
      <c r="D10" s="163" t="s">
        <v>24</v>
      </c>
      <c r="E10" s="163"/>
      <c r="F10" s="84">
        <v>800</v>
      </c>
      <c r="I10" s="1" t="s">
        <v>7</v>
      </c>
      <c r="J10" s="2">
        <v>50</v>
      </c>
      <c r="K10" s="5">
        <v>0.08</v>
      </c>
      <c r="M10" s="20">
        <v>1000</v>
      </c>
      <c r="N10" s="20">
        <v>9999</v>
      </c>
      <c r="O10" s="21">
        <v>50</v>
      </c>
      <c r="P10" s="22">
        <v>0.1</v>
      </c>
    </row>
    <row r="11" spans="4:16" ht="40.5" customHeight="1" thickTop="1" thickBot="1" x14ac:dyDescent="0.3">
      <c r="D11" s="163" t="s">
        <v>25</v>
      </c>
      <c r="E11" s="163"/>
      <c r="F11" s="83">
        <v>0.05</v>
      </c>
      <c r="I11" s="1" t="s">
        <v>8</v>
      </c>
      <c r="J11" s="2">
        <v>50</v>
      </c>
      <c r="K11" s="5">
        <v>0.08</v>
      </c>
      <c r="M11" s="20">
        <v>10000</v>
      </c>
      <c r="N11" s="20">
        <v>49999</v>
      </c>
      <c r="O11" s="21">
        <v>950</v>
      </c>
      <c r="P11" s="22">
        <v>0.15</v>
      </c>
    </row>
    <row r="12" spans="4:16" ht="16.5" customHeight="1" thickTop="1" thickBot="1" x14ac:dyDescent="0.3">
      <c r="D12" s="165"/>
      <c r="E12" s="165"/>
      <c r="I12" s="1" t="s">
        <v>9</v>
      </c>
      <c r="J12" s="2">
        <v>150000</v>
      </c>
      <c r="K12" s="5">
        <v>0.08</v>
      </c>
      <c r="M12" s="20">
        <v>50000</v>
      </c>
      <c r="N12" s="20">
        <v>99999</v>
      </c>
      <c r="O12" s="21">
        <v>6950</v>
      </c>
      <c r="P12" s="22">
        <v>0.2</v>
      </c>
    </row>
    <row r="13" spans="4:16" ht="17.25" customHeight="1" thickTop="1" thickBot="1" x14ac:dyDescent="0.3">
      <c r="D13" s="163" t="s">
        <v>26</v>
      </c>
      <c r="E13" s="163"/>
      <c r="F13" s="84">
        <v>100000</v>
      </c>
      <c r="I13" s="1" t="s">
        <v>10</v>
      </c>
      <c r="J13" s="2">
        <v>100</v>
      </c>
      <c r="K13" s="5">
        <v>0.05</v>
      </c>
      <c r="M13" s="20">
        <v>100000</v>
      </c>
      <c r="N13" s="20">
        <v>499999</v>
      </c>
      <c r="O13" s="21">
        <v>16950</v>
      </c>
      <c r="P13" s="22">
        <v>0.25</v>
      </c>
    </row>
    <row r="14" spans="4:16" ht="16.5" customHeight="1" thickTop="1" thickBot="1" x14ac:dyDescent="0.3">
      <c r="I14" s="1" t="s">
        <v>11</v>
      </c>
      <c r="J14" s="2">
        <v>200</v>
      </c>
      <c r="K14" s="5">
        <v>0.05</v>
      </c>
      <c r="M14" s="20">
        <v>500000</v>
      </c>
      <c r="N14" s="20">
        <v>999999</v>
      </c>
      <c r="O14" s="21">
        <v>116949</v>
      </c>
      <c r="P14" s="22">
        <v>0.3</v>
      </c>
    </row>
    <row r="15" spans="4:16" ht="33.75" customHeight="1" thickTop="1" thickBot="1" x14ac:dyDescent="0.3">
      <c r="D15" s="163" t="s">
        <v>27</v>
      </c>
      <c r="E15" s="163"/>
      <c r="F15" s="84">
        <v>500000</v>
      </c>
      <c r="I15" s="1" t="s">
        <v>12</v>
      </c>
      <c r="J15" s="2">
        <v>100000</v>
      </c>
      <c r="M15" s="20">
        <v>1000000</v>
      </c>
      <c r="N15" s="20"/>
      <c r="O15" s="21">
        <v>266949</v>
      </c>
      <c r="P15" s="22">
        <v>0.35</v>
      </c>
    </row>
    <row r="16" spans="4:16" ht="17.25" customHeight="1" thickTop="1" thickBot="1" x14ac:dyDescent="0.3">
      <c r="D16" s="163" t="s">
        <v>28</v>
      </c>
      <c r="E16" s="163"/>
      <c r="F16" s="4">
        <v>30</v>
      </c>
      <c r="I16" s="1" t="s">
        <v>13</v>
      </c>
      <c r="J16" s="2">
        <v>200000</v>
      </c>
    </row>
    <row r="17" spans="4:19" ht="16.5" customHeight="1" thickTop="1" thickBot="1" x14ac:dyDescent="0.3">
      <c r="D17" s="165"/>
      <c r="E17" s="165"/>
    </row>
    <row r="18" spans="4:19" ht="17.25" thickTop="1" thickBot="1" x14ac:dyDescent="0.3">
      <c r="D18" s="163" t="s">
        <v>29</v>
      </c>
      <c r="E18" s="163"/>
      <c r="F18" s="84">
        <v>1000000</v>
      </c>
    </row>
    <row r="19" spans="4:19" ht="36.75" customHeight="1" thickTop="1" thickBot="1" x14ac:dyDescent="0.3">
      <c r="D19" s="163" t="s">
        <v>30</v>
      </c>
      <c r="E19" s="163"/>
      <c r="F19" s="4">
        <v>25000</v>
      </c>
      <c r="I19" s="85" t="s">
        <v>1</v>
      </c>
      <c r="J19" s="86" t="s">
        <v>31</v>
      </c>
      <c r="K19" s="86" t="s">
        <v>32</v>
      </c>
      <c r="L19" s="86" t="s">
        <v>33</v>
      </c>
      <c r="M19" s="86" t="s">
        <v>34</v>
      </c>
      <c r="N19" s="86" t="s">
        <v>35</v>
      </c>
      <c r="O19" s="86" t="s">
        <v>36</v>
      </c>
      <c r="P19" s="86" t="s">
        <v>37</v>
      </c>
      <c r="Q19" s="86" t="s">
        <v>38</v>
      </c>
      <c r="R19" s="86" t="s">
        <v>39</v>
      </c>
      <c r="S19" s="87" t="s">
        <v>40</v>
      </c>
    </row>
    <row r="20" spans="4:19" ht="30" thickTop="1" thickBot="1" x14ac:dyDescent="0.3">
      <c r="D20" s="163" t="s">
        <v>28</v>
      </c>
      <c r="E20" s="163"/>
      <c r="F20" s="4">
        <v>5</v>
      </c>
      <c r="I20" s="88" t="s">
        <v>41</v>
      </c>
      <c r="J20" s="23">
        <f>J8</f>
        <v>120</v>
      </c>
      <c r="K20" s="24">
        <f>J20+(J20*$I$21)</f>
        <v>129.6</v>
      </c>
      <c r="L20" s="24">
        <f t="shared" ref="L20:S20" si="0">K20+(K20*$I$21)</f>
        <v>139.96799999999999</v>
      </c>
      <c r="M20" s="24">
        <f t="shared" si="0"/>
        <v>151.16543999999999</v>
      </c>
      <c r="N20" s="24">
        <f t="shared" si="0"/>
        <v>163.2586752</v>
      </c>
      <c r="O20" s="24">
        <f t="shared" si="0"/>
        <v>176.31936921599998</v>
      </c>
      <c r="P20" s="24">
        <f t="shared" si="0"/>
        <v>190.42491875328</v>
      </c>
      <c r="Q20" s="24">
        <f t="shared" si="0"/>
        <v>205.65891225354238</v>
      </c>
      <c r="R20" s="24">
        <f t="shared" si="0"/>
        <v>222.11162523382578</v>
      </c>
      <c r="S20" s="24">
        <f t="shared" si="0"/>
        <v>239.88055525253185</v>
      </c>
    </row>
    <row r="21" spans="4:19" ht="18" thickTop="1" thickBot="1" x14ac:dyDescent="0.3">
      <c r="D21" s="163" t="s">
        <v>42</v>
      </c>
      <c r="E21" s="163"/>
      <c r="F21" s="84">
        <v>100000</v>
      </c>
      <c r="I21" s="89">
        <f>K8</f>
        <v>0.08</v>
      </c>
      <c r="J21" s="25"/>
      <c r="K21" s="26"/>
      <c r="L21" s="27"/>
      <c r="M21" s="27"/>
      <c r="N21" s="27"/>
      <c r="O21" s="27"/>
      <c r="P21" s="26"/>
      <c r="Q21" s="27"/>
      <c r="R21" s="27"/>
      <c r="S21" s="27"/>
    </row>
    <row r="22" spans="4:19" ht="34.5" customHeight="1" thickTop="1" thickBot="1" x14ac:dyDescent="0.3">
      <c r="D22" s="163" t="s">
        <v>43</v>
      </c>
      <c r="E22" s="163"/>
      <c r="F22" s="84">
        <v>400</v>
      </c>
      <c r="I22" s="90" t="s">
        <v>44</v>
      </c>
      <c r="J22" s="28">
        <f>J9</f>
        <v>80</v>
      </c>
      <c r="K22" s="24">
        <f>J22+(J22*$I$23)</f>
        <v>86.4</v>
      </c>
      <c r="L22" s="24">
        <f t="shared" ref="L22:S22" si="1">K22+(K22*$I$23)</f>
        <v>93.312000000000012</v>
      </c>
      <c r="M22" s="24">
        <f t="shared" si="1"/>
        <v>100.77696000000002</v>
      </c>
      <c r="N22" s="24">
        <f t="shared" si="1"/>
        <v>108.83911680000001</v>
      </c>
      <c r="O22" s="24">
        <f t="shared" si="1"/>
        <v>117.54624614400001</v>
      </c>
      <c r="P22" s="24">
        <f t="shared" si="1"/>
        <v>126.94994583552001</v>
      </c>
      <c r="Q22" s="24">
        <f t="shared" si="1"/>
        <v>137.10594150236162</v>
      </c>
      <c r="R22" s="24">
        <f t="shared" si="1"/>
        <v>148.07441682255055</v>
      </c>
      <c r="S22" s="24">
        <f t="shared" si="1"/>
        <v>159.92037016835459</v>
      </c>
    </row>
    <row r="23" spans="4:19" ht="18" thickTop="1" thickBot="1" x14ac:dyDescent="0.3">
      <c r="I23" s="91">
        <f>K9</f>
        <v>0.08</v>
      </c>
      <c r="J23" s="29"/>
      <c r="K23" s="30"/>
      <c r="L23" s="27"/>
      <c r="M23" s="27"/>
      <c r="N23" s="27"/>
      <c r="O23" s="27"/>
      <c r="P23" s="27"/>
      <c r="Q23" s="27"/>
      <c r="R23" s="27"/>
      <c r="S23" s="30"/>
    </row>
    <row r="24" spans="4:19" ht="18" thickTop="1" thickBot="1" x14ac:dyDescent="0.3">
      <c r="D24" s="163" t="s">
        <v>45</v>
      </c>
      <c r="E24" s="163"/>
      <c r="F24" s="83">
        <v>0.45</v>
      </c>
      <c r="I24" s="88" t="s">
        <v>46</v>
      </c>
      <c r="J24" s="23">
        <f>J10</f>
        <v>50</v>
      </c>
      <c r="K24" s="24">
        <f>J24+(J24*$I$25)</f>
        <v>54</v>
      </c>
      <c r="L24" s="24">
        <f t="shared" ref="L24:S24" si="2">K24+(K24*$I$25)</f>
        <v>58.32</v>
      </c>
      <c r="M24" s="24">
        <f t="shared" si="2"/>
        <v>62.985599999999998</v>
      </c>
      <c r="N24" s="24">
        <f t="shared" si="2"/>
        <v>68.024447999999992</v>
      </c>
      <c r="O24" s="24">
        <f t="shared" si="2"/>
        <v>73.466403839999998</v>
      </c>
      <c r="P24" s="24">
        <f t="shared" si="2"/>
        <v>79.343716147199999</v>
      </c>
      <c r="Q24" s="24">
        <f t="shared" si="2"/>
        <v>85.691213438975993</v>
      </c>
      <c r="R24" s="24">
        <f t="shared" si="2"/>
        <v>92.546510514094066</v>
      </c>
      <c r="S24" s="24">
        <f t="shared" si="2"/>
        <v>99.95023135522159</v>
      </c>
    </row>
    <row r="25" spans="4:19" ht="18" thickTop="1" thickBot="1" x14ac:dyDescent="0.3">
      <c r="I25" s="91">
        <f>K10</f>
        <v>0.08</v>
      </c>
      <c r="J25" s="23"/>
      <c r="K25" s="24"/>
      <c r="L25" s="24"/>
      <c r="M25" s="24"/>
      <c r="N25" s="24"/>
      <c r="O25" s="24"/>
      <c r="P25" s="24"/>
      <c r="Q25" s="24"/>
      <c r="R25" s="24"/>
      <c r="S25" s="31"/>
    </row>
    <row r="26" spans="4:19" ht="18" thickTop="1" thickBot="1" x14ac:dyDescent="0.3">
      <c r="D26" s="163" t="s">
        <v>47</v>
      </c>
      <c r="E26" s="163"/>
      <c r="F26" s="83">
        <v>0.16</v>
      </c>
      <c r="I26" s="88" t="s">
        <v>8</v>
      </c>
      <c r="J26" s="23">
        <f>J11</f>
        <v>50</v>
      </c>
      <c r="K26" s="24">
        <f>J26+(J26*$I$27)</f>
        <v>54</v>
      </c>
      <c r="L26" s="24">
        <f t="shared" ref="L26:S26" si="3">K26+(K26*$I$27)</f>
        <v>58.32</v>
      </c>
      <c r="M26" s="24">
        <f t="shared" si="3"/>
        <v>62.985599999999998</v>
      </c>
      <c r="N26" s="24">
        <f t="shared" si="3"/>
        <v>68.024447999999992</v>
      </c>
      <c r="O26" s="24">
        <f t="shared" si="3"/>
        <v>73.466403839999998</v>
      </c>
      <c r="P26" s="24">
        <f t="shared" si="3"/>
        <v>79.343716147199999</v>
      </c>
      <c r="Q26" s="24">
        <f t="shared" si="3"/>
        <v>85.691213438975993</v>
      </c>
      <c r="R26" s="24">
        <f t="shared" si="3"/>
        <v>92.546510514094066</v>
      </c>
      <c r="S26" s="31">
        <f t="shared" si="3"/>
        <v>99.95023135522159</v>
      </c>
    </row>
    <row r="27" spans="4:19" ht="18" thickTop="1" thickBot="1" x14ac:dyDescent="0.3">
      <c r="I27" s="91">
        <f>K11</f>
        <v>0.08</v>
      </c>
      <c r="J27" s="23"/>
      <c r="K27" s="24"/>
      <c r="L27" s="24"/>
      <c r="M27" s="24"/>
      <c r="N27" s="24"/>
      <c r="O27" s="24"/>
      <c r="P27" s="24"/>
      <c r="Q27" s="24"/>
      <c r="R27" s="24"/>
      <c r="S27" s="31"/>
    </row>
    <row r="28" spans="4:19" ht="17.25" thickBot="1" x14ac:dyDescent="0.3">
      <c r="I28" s="88" t="s">
        <v>48</v>
      </c>
      <c r="J28" s="23">
        <f>J12</f>
        <v>150000</v>
      </c>
      <c r="K28" s="24">
        <f>J28+(J28*$I$29)</f>
        <v>162000</v>
      </c>
      <c r="L28" s="24">
        <f t="shared" ref="L28:S28" si="4">K28+(K28*$I$29)</f>
        <v>174960</v>
      </c>
      <c r="M28" s="24">
        <f t="shared" si="4"/>
        <v>188956.79999999999</v>
      </c>
      <c r="N28" s="24">
        <f t="shared" si="4"/>
        <v>204073.34399999998</v>
      </c>
      <c r="O28" s="24">
        <f t="shared" si="4"/>
        <v>220399.21151999998</v>
      </c>
      <c r="P28" s="24">
        <f t="shared" si="4"/>
        <v>238031.14844159997</v>
      </c>
      <c r="Q28" s="24">
        <f t="shared" si="4"/>
        <v>257073.64031692798</v>
      </c>
      <c r="R28" s="24">
        <f t="shared" si="4"/>
        <v>277639.5315422822</v>
      </c>
      <c r="S28" s="31">
        <f t="shared" si="4"/>
        <v>299850.69406566478</v>
      </c>
    </row>
    <row r="29" spans="4:19" ht="17.25" thickBot="1" x14ac:dyDescent="0.3">
      <c r="I29" s="91">
        <f>K12</f>
        <v>0.08</v>
      </c>
      <c r="J29" s="23"/>
      <c r="K29" s="24"/>
      <c r="L29" s="24"/>
      <c r="M29" s="24"/>
      <c r="N29" s="24"/>
      <c r="O29" s="24"/>
      <c r="P29" s="24"/>
      <c r="Q29" s="24"/>
      <c r="R29" s="24"/>
      <c r="S29" s="31"/>
    </row>
    <row r="30" spans="4:19" ht="17.25" thickBot="1" x14ac:dyDescent="0.3">
      <c r="I30" s="88" t="s">
        <v>49</v>
      </c>
      <c r="J30" s="23">
        <f>J13</f>
        <v>100</v>
      </c>
      <c r="K30" s="24">
        <f>J30+(J30*$I$31)</f>
        <v>105</v>
      </c>
      <c r="L30" s="24">
        <f t="shared" ref="L30:S30" si="5">K30+(K30*$I$31)</f>
        <v>110.25</v>
      </c>
      <c r="M30" s="24">
        <f t="shared" si="5"/>
        <v>115.7625</v>
      </c>
      <c r="N30" s="24">
        <f t="shared" si="5"/>
        <v>121.550625</v>
      </c>
      <c r="O30" s="24">
        <f t="shared" si="5"/>
        <v>127.62815624999999</v>
      </c>
      <c r="P30" s="24">
        <f t="shared" si="5"/>
        <v>134.00956406249998</v>
      </c>
      <c r="Q30" s="24">
        <f t="shared" si="5"/>
        <v>140.71004226562496</v>
      </c>
      <c r="R30" s="24">
        <f t="shared" si="5"/>
        <v>147.7455443789062</v>
      </c>
      <c r="S30" s="31">
        <f t="shared" si="5"/>
        <v>155.13282159785152</v>
      </c>
    </row>
    <row r="31" spans="4:19" ht="17.25" thickBot="1" x14ac:dyDescent="0.3">
      <c r="I31" s="91">
        <f>K13</f>
        <v>0.05</v>
      </c>
      <c r="J31" s="23"/>
      <c r="K31" s="24"/>
      <c r="L31" s="24"/>
      <c r="M31" s="24"/>
      <c r="N31" s="24"/>
      <c r="O31" s="24"/>
      <c r="P31" s="24"/>
      <c r="Q31" s="24"/>
      <c r="R31" s="24"/>
      <c r="S31" s="31"/>
    </row>
    <row r="32" spans="4:19" ht="17.25" thickBot="1" x14ac:dyDescent="0.3">
      <c r="I32" s="88" t="s">
        <v>50</v>
      </c>
      <c r="J32" s="23">
        <f>J14</f>
        <v>200</v>
      </c>
      <c r="K32" s="24">
        <f>J32+(J32*$I$33)</f>
        <v>210</v>
      </c>
      <c r="L32" s="24">
        <f t="shared" ref="L32:S32" si="6">K32+(K32*$I$33)</f>
        <v>220.5</v>
      </c>
      <c r="M32" s="24">
        <f t="shared" si="6"/>
        <v>231.52500000000001</v>
      </c>
      <c r="N32" s="24">
        <f t="shared" si="6"/>
        <v>243.10124999999999</v>
      </c>
      <c r="O32" s="24">
        <f t="shared" si="6"/>
        <v>255.25631249999998</v>
      </c>
      <c r="P32" s="24">
        <f t="shared" si="6"/>
        <v>268.01912812499995</v>
      </c>
      <c r="Q32" s="24">
        <f t="shared" si="6"/>
        <v>281.42008453124993</v>
      </c>
      <c r="R32" s="24">
        <f t="shared" si="6"/>
        <v>295.49108875781241</v>
      </c>
      <c r="S32" s="31">
        <f t="shared" si="6"/>
        <v>310.26564319570303</v>
      </c>
    </row>
    <row r="33" spans="4:19" ht="17.25" thickBot="1" x14ac:dyDescent="0.3">
      <c r="I33" s="91">
        <f>K14</f>
        <v>0.05</v>
      </c>
      <c r="J33" s="23"/>
      <c r="K33" s="24"/>
      <c r="L33" s="24"/>
      <c r="M33" s="24"/>
      <c r="N33" s="24"/>
      <c r="O33" s="24"/>
      <c r="P33" s="24"/>
      <c r="Q33" s="24"/>
      <c r="R33" s="24"/>
      <c r="S33" s="31"/>
    </row>
    <row r="34" spans="4:19" ht="17.25" thickBot="1" x14ac:dyDescent="0.3">
      <c r="I34" s="88" t="s">
        <v>51</v>
      </c>
      <c r="J34" s="23">
        <f>F10</f>
        <v>800</v>
      </c>
      <c r="K34" s="24">
        <f>J34+(J34*$I$35)</f>
        <v>840</v>
      </c>
      <c r="L34" s="24">
        <f t="shared" ref="L34:S34" si="7">K34+(K34*$I$35)</f>
        <v>882</v>
      </c>
      <c r="M34" s="24">
        <f t="shared" si="7"/>
        <v>926.1</v>
      </c>
      <c r="N34" s="24">
        <f t="shared" si="7"/>
        <v>972.40499999999997</v>
      </c>
      <c r="O34" s="24">
        <f t="shared" si="7"/>
        <v>1021.0252499999999</v>
      </c>
      <c r="P34" s="24">
        <f t="shared" si="7"/>
        <v>1072.0765124999998</v>
      </c>
      <c r="Q34" s="24">
        <f t="shared" si="7"/>
        <v>1125.6803381249997</v>
      </c>
      <c r="R34" s="24">
        <f t="shared" si="7"/>
        <v>1181.9643550312496</v>
      </c>
      <c r="S34" s="31">
        <f t="shared" si="7"/>
        <v>1241.0625727828121</v>
      </c>
    </row>
    <row r="35" spans="4:19" ht="17.25" thickBot="1" x14ac:dyDescent="0.3">
      <c r="I35" s="91">
        <v>0.05</v>
      </c>
      <c r="J35" s="23"/>
      <c r="K35" s="24"/>
      <c r="L35" s="24"/>
      <c r="M35" s="24"/>
      <c r="N35" s="24"/>
      <c r="O35" s="24"/>
      <c r="P35" s="24"/>
      <c r="Q35" s="24"/>
      <c r="R35" s="24"/>
      <c r="S35" s="31"/>
    </row>
    <row r="36" spans="4:19" ht="16.5" x14ac:dyDescent="0.25">
      <c r="I36" s="92" t="s">
        <v>52</v>
      </c>
      <c r="J36" s="32">
        <f t="shared" ref="J36:K36" si="8">J20+J22+J24+J26</f>
        <v>300</v>
      </c>
      <c r="K36" s="32">
        <f t="shared" si="8"/>
        <v>324</v>
      </c>
      <c r="L36" s="32">
        <f t="shared" ref="L36:S36" si="9">L20+L22+L24+L26</f>
        <v>349.92</v>
      </c>
      <c r="M36" s="32">
        <f t="shared" si="9"/>
        <v>377.91359999999997</v>
      </c>
      <c r="N36" s="32">
        <f t="shared" si="9"/>
        <v>408.14668800000004</v>
      </c>
      <c r="O36" s="32">
        <f t="shared" si="9"/>
        <v>440.79842303999999</v>
      </c>
      <c r="P36" s="32">
        <f t="shared" si="9"/>
        <v>476.06229688319996</v>
      </c>
      <c r="Q36" s="32">
        <f t="shared" si="9"/>
        <v>514.14728063385598</v>
      </c>
      <c r="R36" s="32">
        <f t="shared" si="9"/>
        <v>555.27906308456443</v>
      </c>
      <c r="S36" s="33">
        <f t="shared" si="9"/>
        <v>599.70138813132962</v>
      </c>
    </row>
    <row r="41" spans="4:19" ht="18.75" x14ac:dyDescent="0.25">
      <c r="D41" s="152" t="s">
        <v>169</v>
      </c>
      <c r="E41" s="152" t="s">
        <v>170</v>
      </c>
      <c r="F41" s="155" t="s">
        <v>171</v>
      </c>
      <c r="G41" s="157" t="s">
        <v>172</v>
      </c>
      <c r="H41" s="157"/>
      <c r="I41" s="157"/>
      <c r="J41" s="157"/>
      <c r="K41" s="157"/>
      <c r="L41" s="157"/>
      <c r="M41" s="157"/>
      <c r="N41" s="157"/>
      <c r="O41" s="157"/>
      <c r="P41" s="149" t="s">
        <v>173</v>
      </c>
      <c r="Q41" s="150"/>
      <c r="R41" s="150"/>
      <c r="S41" s="151"/>
    </row>
    <row r="42" spans="4:19" ht="45.75" thickBot="1" x14ac:dyDescent="0.3">
      <c r="D42" s="153"/>
      <c r="E42" s="154"/>
      <c r="F42" s="156"/>
      <c r="G42" s="139" t="s">
        <v>174</v>
      </c>
      <c r="H42" s="139" t="s">
        <v>175</v>
      </c>
      <c r="I42" s="139" t="s">
        <v>176</v>
      </c>
      <c r="J42" s="139" t="s">
        <v>177</v>
      </c>
      <c r="K42" s="139" t="s">
        <v>178</v>
      </c>
      <c r="L42" s="139" t="s">
        <v>179</v>
      </c>
      <c r="M42" s="139" t="s">
        <v>180</v>
      </c>
      <c r="N42" s="139" t="s">
        <v>181</v>
      </c>
      <c r="O42" s="139" t="s">
        <v>182</v>
      </c>
      <c r="P42" s="139" t="s">
        <v>183</v>
      </c>
      <c r="Q42" s="139" t="s">
        <v>184</v>
      </c>
      <c r="R42" s="139" t="s">
        <v>185</v>
      </c>
      <c r="S42" s="139" t="s">
        <v>186</v>
      </c>
    </row>
    <row r="43" spans="4:19" ht="20.25" thickTop="1" thickBot="1" x14ac:dyDescent="0.3">
      <c r="D43" s="138">
        <v>1</v>
      </c>
      <c r="E43" s="140">
        <f>F8</f>
        <v>20000</v>
      </c>
      <c r="F43" s="142">
        <f>F10</f>
        <v>800</v>
      </c>
      <c r="G43" s="141">
        <f>J8</f>
        <v>120</v>
      </c>
      <c r="H43" s="143">
        <f>G43*E43</f>
        <v>2400000</v>
      </c>
      <c r="I43" s="141">
        <f>J9</f>
        <v>80</v>
      </c>
      <c r="J43" s="143">
        <f>I43*E43</f>
        <v>1600000</v>
      </c>
      <c r="K43" s="141">
        <f>J10</f>
        <v>50</v>
      </c>
      <c r="L43" s="143">
        <f>K43*E43</f>
        <v>1000000</v>
      </c>
      <c r="M43" s="141">
        <f>J11</f>
        <v>50</v>
      </c>
      <c r="N43" s="143">
        <f t="shared" ref="N43:N52" si="10">M43*E43</f>
        <v>1000000</v>
      </c>
      <c r="O43" s="142">
        <f>J12</f>
        <v>150000</v>
      </c>
      <c r="P43" s="141">
        <f>J13</f>
        <v>100</v>
      </c>
      <c r="Q43" s="143">
        <f>P43*E43</f>
        <v>2000000</v>
      </c>
      <c r="R43" s="141">
        <f>J14</f>
        <v>200</v>
      </c>
      <c r="S43" s="143">
        <f>R43*E43</f>
        <v>4000000</v>
      </c>
    </row>
    <row r="44" spans="4:19" ht="20.25" thickTop="1" thickBot="1" x14ac:dyDescent="0.3">
      <c r="D44" s="138">
        <v>2</v>
      </c>
      <c r="E44" s="140">
        <f>(E43*F$9)+E43</f>
        <v>21000</v>
      </c>
      <c r="F44" s="142">
        <f>(F43*F$11)+F43</f>
        <v>840</v>
      </c>
      <c r="G44" s="141">
        <f>(G43*K$8)+G43</f>
        <v>129.6</v>
      </c>
      <c r="H44" s="143">
        <f t="shared" ref="H44:H52" si="11">G44*E44</f>
        <v>2721600</v>
      </c>
      <c r="I44" s="141">
        <f>(I43*K$9)+I43</f>
        <v>86.4</v>
      </c>
      <c r="J44" s="143">
        <f t="shared" ref="J44:J52" si="12">I44*E44</f>
        <v>1814400.0000000002</v>
      </c>
      <c r="K44" s="141">
        <f>(K43*K$10)+K43</f>
        <v>54</v>
      </c>
      <c r="L44" s="143">
        <f t="shared" ref="L44:L52" si="13">K44*E44</f>
        <v>1134000</v>
      </c>
      <c r="M44" s="141">
        <f>M43+(M43*K$11)</f>
        <v>54</v>
      </c>
      <c r="N44" s="143">
        <f t="shared" si="10"/>
        <v>1134000</v>
      </c>
      <c r="O44" s="142">
        <f>O43+(O43*K$12)</f>
        <v>162000</v>
      </c>
      <c r="P44" s="141">
        <f>P43+(P43*K$13)</f>
        <v>105</v>
      </c>
      <c r="Q44" s="143">
        <f t="shared" ref="Q44:Q52" si="14">P44*E44</f>
        <v>2205000</v>
      </c>
      <c r="R44" s="141">
        <f>R43+(R43*K$14)</f>
        <v>210</v>
      </c>
      <c r="S44" s="143">
        <f t="shared" ref="S44:S52" si="15">R44*E44</f>
        <v>4410000</v>
      </c>
    </row>
    <row r="45" spans="4:19" ht="20.25" thickTop="1" thickBot="1" x14ac:dyDescent="0.3">
      <c r="D45" s="138">
        <v>3</v>
      </c>
      <c r="E45" s="140">
        <f t="shared" ref="E45:E52" si="16">(E44*F$9)+E44</f>
        <v>22050</v>
      </c>
      <c r="F45" s="142">
        <f t="shared" ref="F45:F52" si="17">(F44*F$11)+F44</f>
        <v>882</v>
      </c>
      <c r="G45" s="141">
        <f t="shared" ref="G45:G52" si="18">(G44*K$8)+G44</f>
        <v>139.96799999999999</v>
      </c>
      <c r="H45" s="143">
        <f t="shared" si="11"/>
        <v>3086294.4</v>
      </c>
      <c r="I45" s="141">
        <f t="shared" ref="I45:I52" si="19">(I44*K$9)+I44</f>
        <v>93.312000000000012</v>
      </c>
      <c r="J45" s="143">
        <f t="shared" si="12"/>
        <v>2057529.6000000003</v>
      </c>
      <c r="K45" s="141">
        <f t="shared" ref="K45:K52" si="20">(K44*K$10)+K44</f>
        <v>58.32</v>
      </c>
      <c r="L45" s="143">
        <f t="shared" si="13"/>
        <v>1285956</v>
      </c>
      <c r="M45" s="141">
        <f t="shared" ref="M45:M52" si="21">M44+(M44*K$11)</f>
        <v>58.32</v>
      </c>
      <c r="N45" s="143">
        <f t="shared" si="10"/>
        <v>1285956</v>
      </c>
      <c r="O45" s="142">
        <f t="shared" ref="O45:O52" si="22">O44+(O44*K$12)</f>
        <v>174960</v>
      </c>
      <c r="P45" s="141">
        <f t="shared" ref="P45:P52" si="23">P44+(P44*K$13)</f>
        <v>110.25</v>
      </c>
      <c r="Q45" s="143">
        <f t="shared" si="14"/>
        <v>2431012.5</v>
      </c>
      <c r="R45" s="141">
        <f t="shared" ref="R45:R52" si="24">R44+(R44*K$14)</f>
        <v>220.5</v>
      </c>
      <c r="S45" s="143">
        <f t="shared" si="15"/>
        <v>4862025</v>
      </c>
    </row>
    <row r="46" spans="4:19" ht="20.25" thickTop="1" thickBot="1" x14ac:dyDescent="0.3">
      <c r="D46" s="138">
        <v>4</v>
      </c>
      <c r="E46" s="140">
        <f t="shared" si="16"/>
        <v>23152.5</v>
      </c>
      <c r="F46" s="142">
        <f t="shared" si="17"/>
        <v>926.1</v>
      </c>
      <c r="G46" s="141">
        <f t="shared" si="18"/>
        <v>151.16543999999999</v>
      </c>
      <c r="H46" s="143">
        <f t="shared" si="11"/>
        <v>3499857.8495999998</v>
      </c>
      <c r="I46" s="141">
        <f t="shared" si="19"/>
        <v>100.77696000000002</v>
      </c>
      <c r="J46" s="143">
        <f t="shared" si="12"/>
        <v>2333238.5664000004</v>
      </c>
      <c r="K46" s="141">
        <f t="shared" si="20"/>
        <v>62.985599999999998</v>
      </c>
      <c r="L46" s="143">
        <f t="shared" si="13"/>
        <v>1458274.1040000001</v>
      </c>
      <c r="M46" s="141">
        <f t="shared" si="21"/>
        <v>62.985599999999998</v>
      </c>
      <c r="N46" s="143">
        <f t="shared" si="10"/>
        <v>1458274.1040000001</v>
      </c>
      <c r="O46" s="142">
        <f t="shared" si="22"/>
        <v>188956.79999999999</v>
      </c>
      <c r="P46" s="141">
        <f t="shared" si="23"/>
        <v>115.7625</v>
      </c>
      <c r="Q46" s="143">
        <f t="shared" si="14"/>
        <v>2680191.28125</v>
      </c>
      <c r="R46" s="141">
        <f t="shared" si="24"/>
        <v>231.52500000000001</v>
      </c>
      <c r="S46" s="143">
        <f t="shared" si="15"/>
        <v>5360382.5625</v>
      </c>
    </row>
    <row r="47" spans="4:19" ht="20.25" thickTop="1" thickBot="1" x14ac:dyDescent="0.3">
      <c r="D47" s="138">
        <v>5</v>
      </c>
      <c r="E47" s="140">
        <f t="shared" si="16"/>
        <v>24310.125</v>
      </c>
      <c r="F47" s="142">
        <f t="shared" si="17"/>
        <v>972.40499999999997</v>
      </c>
      <c r="G47" s="141">
        <f t="shared" si="18"/>
        <v>163.2586752</v>
      </c>
      <c r="H47" s="143">
        <f t="shared" si="11"/>
        <v>3968838.8014464001</v>
      </c>
      <c r="I47" s="141">
        <f t="shared" si="19"/>
        <v>108.83911680000001</v>
      </c>
      <c r="J47" s="143">
        <f t="shared" si="12"/>
        <v>2645892.5342976004</v>
      </c>
      <c r="K47" s="141">
        <f t="shared" si="20"/>
        <v>68.024447999999992</v>
      </c>
      <c r="L47" s="143">
        <f t="shared" si="13"/>
        <v>1653682.8339359998</v>
      </c>
      <c r="M47" s="141">
        <f t="shared" si="21"/>
        <v>68.024447999999992</v>
      </c>
      <c r="N47" s="143">
        <f t="shared" si="10"/>
        <v>1653682.8339359998</v>
      </c>
      <c r="O47" s="142">
        <f t="shared" si="22"/>
        <v>204073.34399999998</v>
      </c>
      <c r="P47" s="141">
        <f t="shared" si="23"/>
        <v>121.550625</v>
      </c>
      <c r="Q47" s="143">
        <f t="shared" si="14"/>
        <v>2954910.8875781251</v>
      </c>
      <c r="R47" s="141">
        <f t="shared" si="24"/>
        <v>243.10124999999999</v>
      </c>
      <c r="S47" s="143">
        <f t="shared" si="15"/>
        <v>5909821.7751562502</v>
      </c>
    </row>
    <row r="48" spans="4:19" ht="20.25" thickTop="1" thickBot="1" x14ac:dyDescent="0.3">
      <c r="D48" s="138">
        <v>6</v>
      </c>
      <c r="E48" s="140">
        <f t="shared" si="16"/>
        <v>25525.631249999999</v>
      </c>
      <c r="F48" s="142">
        <f t="shared" si="17"/>
        <v>1021.0252499999999</v>
      </c>
      <c r="G48" s="141">
        <f t="shared" si="18"/>
        <v>176.31936921599998</v>
      </c>
      <c r="H48" s="143">
        <f t="shared" si="11"/>
        <v>4500663.2008402171</v>
      </c>
      <c r="I48" s="141">
        <f t="shared" si="19"/>
        <v>117.54624614400001</v>
      </c>
      <c r="J48" s="143">
        <f t="shared" si="12"/>
        <v>3000442.1338934787</v>
      </c>
      <c r="K48" s="141">
        <f t="shared" si="20"/>
        <v>73.466403839999998</v>
      </c>
      <c r="L48" s="143">
        <f t="shared" si="13"/>
        <v>1875276.3336834239</v>
      </c>
      <c r="M48" s="141">
        <f t="shared" si="21"/>
        <v>73.466403839999998</v>
      </c>
      <c r="N48" s="143">
        <f t="shared" si="10"/>
        <v>1875276.3336834239</v>
      </c>
      <c r="O48" s="142">
        <f t="shared" si="22"/>
        <v>220399.21151999998</v>
      </c>
      <c r="P48" s="141">
        <f t="shared" si="23"/>
        <v>127.62815624999999</v>
      </c>
      <c r="Q48" s="143">
        <f t="shared" si="14"/>
        <v>3257789.2535548825</v>
      </c>
      <c r="R48" s="141">
        <f t="shared" si="24"/>
        <v>255.25631249999998</v>
      </c>
      <c r="S48" s="143">
        <f t="shared" si="15"/>
        <v>6515578.507109765</v>
      </c>
    </row>
    <row r="49" spans="4:19" ht="20.25" thickTop="1" thickBot="1" x14ac:dyDescent="0.3">
      <c r="D49" s="138">
        <v>7</v>
      </c>
      <c r="E49" s="140">
        <f t="shared" si="16"/>
        <v>26801.912812499999</v>
      </c>
      <c r="F49" s="142">
        <f t="shared" si="17"/>
        <v>1072.0765124999998</v>
      </c>
      <c r="G49" s="141">
        <f t="shared" si="18"/>
        <v>190.42491875328</v>
      </c>
      <c r="H49" s="143">
        <f t="shared" si="11"/>
        <v>5103752.0697528068</v>
      </c>
      <c r="I49" s="141">
        <f t="shared" si="19"/>
        <v>126.94994583552001</v>
      </c>
      <c r="J49" s="143">
        <f t="shared" si="12"/>
        <v>3402501.3798352047</v>
      </c>
      <c r="K49" s="141">
        <f t="shared" si="20"/>
        <v>79.343716147199999</v>
      </c>
      <c r="L49" s="143">
        <f t="shared" si="13"/>
        <v>2126563.3623970025</v>
      </c>
      <c r="M49" s="141">
        <f t="shared" si="21"/>
        <v>79.343716147199999</v>
      </c>
      <c r="N49" s="143">
        <f t="shared" si="10"/>
        <v>2126563.3623970025</v>
      </c>
      <c r="O49" s="142">
        <f t="shared" si="22"/>
        <v>238031.14844159997</v>
      </c>
      <c r="P49" s="141">
        <f t="shared" si="23"/>
        <v>134.00956406249998</v>
      </c>
      <c r="Q49" s="143">
        <f t="shared" si="14"/>
        <v>3591712.6520442576</v>
      </c>
      <c r="R49" s="141">
        <f t="shared" si="24"/>
        <v>268.01912812499995</v>
      </c>
      <c r="S49" s="143">
        <f t="shared" si="15"/>
        <v>7183425.3040885152</v>
      </c>
    </row>
    <row r="50" spans="4:19" ht="20.25" thickTop="1" thickBot="1" x14ac:dyDescent="0.3">
      <c r="D50" s="138">
        <v>8</v>
      </c>
      <c r="E50" s="140">
        <f t="shared" si="16"/>
        <v>28142.008453125</v>
      </c>
      <c r="F50" s="142">
        <f t="shared" si="17"/>
        <v>1125.6803381249997</v>
      </c>
      <c r="G50" s="141">
        <f t="shared" si="18"/>
        <v>205.65891225354238</v>
      </c>
      <c r="H50" s="143">
        <f t="shared" si="11"/>
        <v>5787654.8470996823</v>
      </c>
      <c r="I50" s="141">
        <f t="shared" si="19"/>
        <v>137.10594150236162</v>
      </c>
      <c r="J50" s="143">
        <f t="shared" si="12"/>
        <v>3858436.5647331225</v>
      </c>
      <c r="K50" s="141">
        <f t="shared" si="20"/>
        <v>85.691213438975993</v>
      </c>
      <c r="L50" s="143">
        <f t="shared" si="13"/>
        <v>2411522.852958201</v>
      </c>
      <c r="M50" s="141">
        <f t="shared" si="21"/>
        <v>85.691213438975993</v>
      </c>
      <c r="N50" s="143">
        <f t="shared" si="10"/>
        <v>2411522.852958201</v>
      </c>
      <c r="O50" s="142">
        <f t="shared" si="22"/>
        <v>257073.64031692798</v>
      </c>
      <c r="P50" s="141">
        <f t="shared" si="23"/>
        <v>140.71004226562496</v>
      </c>
      <c r="Q50" s="143">
        <f t="shared" si="14"/>
        <v>3959863.1988787935</v>
      </c>
      <c r="R50" s="141">
        <f t="shared" si="24"/>
        <v>281.42008453124993</v>
      </c>
      <c r="S50" s="143">
        <f t="shared" si="15"/>
        <v>7919726.397757587</v>
      </c>
    </row>
    <row r="51" spans="4:19" ht="20.25" thickTop="1" thickBot="1" x14ac:dyDescent="0.3">
      <c r="D51" s="138">
        <v>9</v>
      </c>
      <c r="E51" s="140">
        <f t="shared" si="16"/>
        <v>29549.10887578125</v>
      </c>
      <c r="F51" s="142">
        <f t="shared" si="17"/>
        <v>1181.9643550312496</v>
      </c>
      <c r="G51" s="141">
        <f t="shared" si="18"/>
        <v>222.11162523382578</v>
      </c>
      <c r="H51" s="143">
        <f t="shared" si="11"/>
        <v>6563200.5966110397</v>
      </c>
      <c r="I51" s="141">
        <f t="shared" si="19"/>
        <v>148.07441682255055</v>
      </c>
      <c r="J51" s="143">
        <f t="shared" si="12"/>
        <v>4375467.0644073607</v>
      </c>
      <c r="K51" s="141">
        <f t="shared" si="20"/>
        <v>92.546510514094066</v>
      </c>
      <c r="L51" s="143">
        <f t="shared" si="13"/>
        <v>2734666.9152545999</v>
      </c>
      <c r="M51" s="141">
        <f t="shared" si="21"/>
        <v>92.546510514094066</v>
      </c>
      <c r="N51" s="143">
        <f t="shared" si="10"/>
        <v>2734666.9152545999</v>
      </c>
      <c r="O51" s="142">
        <f t="shared" si="22"/>
        <v>277639.5315422822</v>
      </c>
      <c r="P51" s="141">
        <f t="shared" si="23"/>
        <v>147.7455443789062</v>
      </c>
      <c r="Q51" s="143">
        <f t="shared" si="14"/>
        <v>4365749.1767638698</v>
      </c>
      <c r="R51" s="141">
        <f t="shared" si="24"/>
        <v>295.49108875781241</v>
      </c>
      <c r="S51" s="143">
        <f t="shared" si="15"/>
        <v>8731498.3535277396</v>
      </c>
    </row>
    <row r="52" spans="4:19" ht="20.25" thickTop="1" thickBot="1" x14ac:dyDescent="0.3">
      <c r="D52" s="138">
        <v>10</v>
      </c>
      <c r="E52" s="140">
        <f t="shared" si="16"/>
        <v>31026.564319570312</v>
      </c>
      <c r="F52" s="142">
        <f t="shared" si="17"/>
        <v>1241.0625727828121</v>
      </c>
      <c r="G52" s="141">
        <f t="shared" si="18"/>
        <v>239.88055525253185</v>
      </c>
      <c r="H52" s="143">
        <f t="shared" si="11"/>
        <v>7442669.4765569195</v>
      </c>
      <c r="I52" s="141">
        <f t="shared" si="19"/>
        <v>159.92037016835459</v>
      </c>
      <c r="J52" s="143">
        <f t="shared" si="12"/>
        <v>4961779.6510379473</v>
      </c>
      <c r="K52" s="141">
        <f t="shared" si="20"/>
        <v>99.95023135522159</v>
      </c>
      <c r="L52" s="143">
        <f t="shared" si="13"/>
        <v>3101112.281898716</v>
      </c>
      <c r="M52" s="141">
        <f t="shared" si="21"/>
        <v>99.95023135522159</v>
      </c>
      <c r="N52" s="144">
        <f t="shared" si="10"/>
        <v>3101112.281898716</v>
      </c>
      <c r="O52" s="142">
        <f t="shared" si="22"/>
        <v>299850.69406566478</v>
      </c>
      <c r="P52" s="141">
        <f t="shared" si="23"/>
        <v>155.13282159785152</v>
      </c>
      <c r="Q52" s="143">
        <f t="shared" si="14"/>
        <v>4813238.4673821665</v>
      </c>
      <c r="R52" s="141">
        <f t="shared" si="24"/>
        <v>310.26564319570303</v>
      </c>
      <c r="S52" s="143">
        <f t="shared" si="15"/>
        <v>9626476.9347643331</v>
      </c>
    </row>
    <row r="53" spans="4:19" ht="15.75" thickTop="1" x14ac:dyDescent="0.25"/>
  </sheetData>
  <mergeCells count="25">
    <mergeCell ref="D22:E22"/>
    <mergeCell ref="D24:E24"/>
    <mergeCell ref="D26:E26"/>
    <mergeCell ref="D13:E13"/>
    <mergeCell ref="D15:E15"/>
    <mergeCell ref="D16:E16"/>
    <mergeCell ref="D17:E17"/>
    <mergeCell ref="D18:E18"/>
    <mergeCell ref="D19:E19"/>
    <mergeCell ref="M7:N7"/>
    <mergeCell ref="M6:P6"/>
    <mergeCell ref="I6:K6"/>
    <mergeCell ref="D20:E20"/>
    <mergeCell ref="D21:E21"/>
    <mergeCell ref="D6:G6"/>
    <mergeCell ref="D8:E8"/>
    <mergeCell ref="D9:E9"/>
    <mergeCell ref="D10:E10"/>
    <mergeCell ref="D11:E11"/>
    <mergeCell ref="D12:E12"/>
    <mergeCell ref="P41:S41"/>
    <mergeCell ref="D41:D42"/>
    <mergeCell ref="E41:E42"/>
    <mergeCell ref="F41:F42"/>
    <mergeCell ref="G41:O41"/>
  </mergeCells>
  <pageMargins left="0.7" right="0.7" top="0.75" bottom="0.75" header="0.3" footer="0.3"/>
  <drawing r:id="rId1"/>
  <picture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DC0DE-3575-4FB4-88C1-8CC450469DD2}">
  <dimension ref="B5:L26"/>
  <sheetViews>
    <sheetView showGridLines="0" workbookViewId="0">
      <selection activeCell="C8" sqref="C8"/>
    </sheetView>
  </sheetViews>
  <sheetFormatPr baseColWidth="10" defaultRowHeight="15" x14ac:dyDescent="0.25"/>
  <cols>
    <col min="2" max="2" width="26.625" bestFit="1" customWidth="1"/>
    <col min="3" max="12" width="15" bestFit="1" customWidth="1"/>
  </cols>
  <sheetData>
    <row r="5" spans="2:12" ht="15.75" thickBot="1" x14ac:dyDescent="0.3"/>
    <row r="6" spans="2:12" ht="17.25" thickTop="1" thickBot="1" x14ac:dyDescent="0.3">
      <c r="B6" s="166" t="s">
        <v>73</v>
      </c>
      <c r="C6" s="164"/>
      <c r="D6" s="164"/>
      <c r="E6" s="164"/>
      <c r="F6" s="164"/>
      <c r="G6" s="164"/>
      <c r="H6" s="164"/>
      <c r="I6" s="164"/>
      <c r="J6" s="164"/>
      <c r="K6" s="164"/>
      <c r="L6" s="164"/>
    </row>
    <row r="7" spans="2:12" ht="16.5" thickTop="1" thickBot="1" x14ac:dyDescent="0.3">
      <c r="B7" s="44"/>
      <c r="C7" s="46">
        <v>1</v>
      </c>
      <c r="D7" s="47">
        <v>2</v>
      </c>
      <c r="E7" s="47">
        <v>3</v>
      </c>
      <c r="F7" s="47">
        <v>4</v>
      </c>
      <c r="G7" s="47">
        <v>5</v>
      </c>
      <c r="H7" s="47">
        <v>6</v>
      </c>
      <c r="I7" s="47">
        <v>7</v>
      </c>
      <c r="J7" s="47">
        <v>8</v>
      </c>
      <c r="K7" s="47">
        <v>9</v>
      </c>
      <c r="L7" s="47">
        <v>10</v>
      </c>
    </row>
    <row r="8" spans="2:12" ht="16.5" thickTop="1" thickBot="1" x14ac:dyDescent="0.3">
      <c r="B8" s="41" t="str">
        <f>Metodos!C16</f>
        <v>INGRESO POR VENTA</v>
      </c>
      <c r="C8" s="16">
        <f>Metodos!D16</f>
        <v>16000000</v>
      </c>
      <c r="D8" s="16">
        <f>Metodos!E16</f>
        <v>17640000</v>
      </c>
      <c r="E8" s="16">
        <f>Metodos!F16</f>
        <v>19448100</v>
      </c>
      <c r="F8" s="16">
        <f>Metodos!G16</f>
        <v>21441530.25</v>
      </c>
      <c r="G8" s="16">
        <f>Metodos!H16</f>
        <v>23639287.100625001</v>
      </c>
      <c r="H8" s="16">
        <f>Metodos!I16</f>
        <v>26062314.02843906</v>
      </c>
      <c r="I8" s="16">
        <f>Metodos!J16</f>
        <v>28733701.216354061</v>
      </c>
      <c r="J8" s="16">
        <f>Metodos!K16</f>
        <v>31678905.591030348</v>
      </c>
      <c r="K8" s="16">
        <f>Metodos!L16</f>
        <v>34925993.414110959</v>
      </c>
      <c r="L8" s="16">
        <f>Metodos!M16</f>
        <v>38505907.739057332</v>
      </c>
    </row>
    <row r="9" spans="2:12" ht="16.5" thickTop="1" thickBot="1" x14ac:dyDescent="0.3">
      <c r="B9" s="42" t="s">
        <v>74</v>
      </c>
      <c r="C9" s="16">
        <f>C8-(C8/(1+Datos!$F26))</f>
        <v>2206896.5517241377</v>
      </c>
      <c r="D9" s="16">
        <f>D8-(D8/(1+Datos!$F26))</f>
        <v>2433103.4482758604</v>
      </c>
      <c r="E9" s="16">
        <f>E8-(E8/(1+Datos!$F26))</f>
        <v>2682496.5517241359</v>
      </c>
      <c r="F9" s="16">
        <f>F8-(F8/(1+Datos!$F26))</f>
        <v>2957452.4482758604</v>
      </c>
      <c r="G9" s="16">
        <f>G8-(G8/(1+Datos!$F26))</f>
        <v>3260591.3242241368</v>
      </c>
      <c r="H9" s="16">
        <f>H8-(H8/(1+Datos!$F26))</f>
        <v>3594801.9349571094</v>
      </c>
      <c r="I9" s="16">
        <f>I8-(I8/(1+Datos!$F26))</f>
        <v>3963269.1332902126</v>
      </c>
      <c r="J9" s="16">
        <f>J8-(J8/(1+Datos!$F26))</f>
        <v>4369504.2194524594</v>
      </c>
      <c r="K9" s="16">
        <f>K8-(K8/(1+Datos!$F26))</f>
        <v>4817378.401946336</v>
      </c>
      <c r="L9" s="16">
        <f>L8-(L8/(1+Datos!$F26))</f>
        <v>5311159.688145835</v>
      </c>
    </row>
    <row r="10" spans="2:12" ht="16.5" thickTop="1" thickBot="1" x14ac:dyDescent="0.3">
      <c r="B10" s="13" t="s">
        <v>75</v>
      </c>
      <c r="C10" s="14">
        <f t="shared" ref="C10:L10" si="0">C8-C9</f>
        <v>13793103.448275862</v>
      </c>
      <c r="D10" s="14">
        <f t="shared" si="0"/>
        <v>15206896.55172414</v>
      </c>
      <c r="E10" s="14">
        <f t="shared" si="0"/>
        <v>16765603.448275864</v>
      </c>
      <c r="F10" s="14">
        <f t="shared" si="0"/>
        <v>18484077.80172414</v>
      </c>
      <c r="G10" s="14">
        <f t="shared" si="0"/>
        <v>20378695.776400864</v>
      </c>
      <c r="H10" s="14">
        <f t="shared" si="0"/>
        <v>22467512.09348195</v>
      </c>
      <c r="I10" s="14">
        <f t="shared" si="0"/>
        <v>24770432.083063848</v>
      </c>
      <c r="J10" s="14">
        <f t="shared" si="0"/>
        <v>27309401.371577889</v>
      </c>
      <c r="K10" s="14">
        <f t="shared" si="0"/>
        <v>30108615.012164623</v>
      </c>
      <c r="L10" s="14">
        <f t="shared" si="0"/>
        <v>33194748.050911497</v>
      </c>
    </row>
    <row r="11" spans="2:12" ht="16.5" thickTop="1" thickBot="1" x14ac:dyDescent="0.3">
      <c r="B11" s="42" t="str">
        <f>Metodos!C22</f>
        <v>Costo de mano de obra</v>
      </c>
      <c r="C11" s="16">
        <f>Metodos!D22</f>
        <v>1000000</v>
      </c>
      <c r="D11" s="16">
        <f>Metodos!E22</f>
        <v>1134000</v>
      </c>
      <c r="E11" s="16">
        <f>Metodos!F22</f>
        <v>1285956</v>
      </c>
      <c r="F11" s="16">
        <f>Metodos!G22</f>
        <v>1458274.1040000001</v>
      </c>
      <c r="G11" s="16">
        <f>Metodos!H22</f>
        <v>1653682.8339359998</v>
      </c>
      <c r="H11" s="16">
        <f>Metodos!I22</f>
        <v>1875276.3336834239</v>
      </c>
      <c r="I11" s="16">
        <f>Metodos!J22</f>
        <v>2126563.3623970025</v>
      </c>
      <c r="J11" s="16">
        <f>Metodos!K22</f>
        <v>2411522.852958201</v>
      </c>
      <c r="K11" s="16">
        <f>Metodos!L22</f>
        <v>2734666.9152545999</v>
      </c>
      <c r="L11" s="16">
        <f>Metodos!M22</f>
        <v>3101112.281898716</v>
      </c>
    </row>
    <row r="12" spans="2:12" ht="16.5" thickTop="1" thickBot="1" x14ac:dyDescent="0.3">
      <c r="B12" s="42" t="str">
        <f>Metodos!C23</f>
        <v>Costo de materia prima</v>
      </c>
      <c r="C12" s="16">
        <f>Metodos!D23</f>
        <v>4000000</v>
      </c>
      <c r="D12" s="16">
        <f>Metodos!E23</f>
        <v>4536000</v>
      </c>
      <c r="E12" s="16">
        <f>Metodos!F23</f>
        <v>5143824</v>
      </c>
      <c r="F12" s="16">
        <f>Metodos!G23</f>
        <v>5833096.4160000002</v>
      </c>
      <c r="G12" s="16">
        <f>Metodos!H23</f>
        <v>6614731.335744001</v>
      </c>
      <c r="H12" s="16">
        <f>Metodos!I23</f>
        <v>7501105.3347336957</v>
      </c>
      <c r="I12" s="16">
        <f>Metodos!J23</f>
        <v>8506253.4495880101</v>
      </c>
      <c r="J12" s="16">
        <f>Metodos!K23</f>
        <v>9646091.4118328057</v>
      </c>
      <c r="K12" s="16">
        <f>Metodos!L23</f>
        <v>10938667.661018401</v>
      </c>
      <c r="L12" s="16">
        <f>Metodos!M23</f>
        <v>12404449.127594866</v>
      </c>
    </row>
    <row r="13" spans="2:12" ht="16.5" thickTop="1" thickBot="1" x14ac:dyDescent="0.3">
      <c r="B13" s="42" t="str">
        <f>Metodos!C24</f>
        <v>Costo de materiales</v>
      </c>
      <c r="C13" s="16">
        <f>Metodos!D24</f>
        <v>1000000</v>
      </c>
      <c r="D13" s="16">
        <f>Metodos!E24</f>
        <v>1134000</v>
      </c>
      <c r="E13" s="16">
        <f>Metodos!F24</f>
        <v>1285956</v>
      </c>
      <c r="F13" s="16">
        <f>Metodos!G24</f>
        <v>1458274.1040000001</v>
      </c>
      <c r="G13" s="16">
        <f>Metodos!H24</f>
        <v>1653682.8339359998</v>
      </c>
      <c r="H13" s="16">
        <f>Metodos!I24</f>
        <v>1875276.3336834239</v>
      </c>
      <c r="I13" s="16">
        <f>Metodos!J24</f>
        <v>2126563.3623970025</v>
      </c>
      <c r="J13" s="16">
        <f>Metodos!K24</f>
        <v>2411522.852958201</v>
      </c>
      <c r="K13" s="16">
        <f>Metodos!L24</f>
        <v>2734666.9152545999</v>
      </c>
      <c r="L13" s="16">
        <f>Metodos!M24</f>
        <v>3101112.281898716</v>
      </c>
    </row>
    <row r="14" spans="2:12" ht="16.5" thickTop="1" thickBot="1" x14ac:dyDescent="0.3">
      <c r="B14" s="42" t="str">
        <f>Metodos!C25</f>
        <v>Costo de mantenimiento</v>
      </c>
      <c r="C14" s="16">
        <f>Metodos!D25</f>
        <v>150000</v>
      </c>
      <c r="D14" s="16">
        <f>Metodos!E25</f>
        <v>162000</v>
      </c>
      <c r="E14" s="16">
        <f>Metodos!F25</f>
        <v>174960</v>
      </c>
      <c r="F14" s="16">
        <f>Metodos!G25</f>
        <v>188956.79999999999</v>
      </c>
      <c r="G14" s="16">
        <f>Metodos!H25</f>
        <v>204073.34399999998</v>
      </c>
      <c r="H14" s="16">
        <f>Metodos!I25</f>
        <v>220399.21151999998</v>
      </c>
      <c r="I14" s="16">
        <f>Metodos!J25</f>
        <v>238031.14844159997</v>
      </c>
      <c r="J14" s="16">
        <f>Metodos!K25</f>
        <v>257073.64031692798</v>
      </c>
      <c r="K14" s="16">
        <f>Metodos!L25</f>
        <v>277639.5315422822</v>
      </c>
      <c r="L14" s="16">
        <f>Metodos!M25</f>
        <v>299850.69406566478</v>
      </c>
    </row>
    <row r="15" spans="2:12" ht="16.5" thickTop="1" thickBot="1" x14ac:dyDescent="0.3">
      <c r="B15" s="42" t="str">
        <f>Metodos!C26</f>
        <v>Costo de maquila</v>
      </c>
      <c r="C15" s="16">
        <f>Metodos!D26</f>
        <v>0</v>
      </c>
      <c r="D15" s="16">
        <f>Metodos!E26</f>
        <v>0</v>
      </c>
      <c r="E15" s="16">
        <f>Metodos!F26</f>
        <v>0</v>
      </c>
      <c r="F15" s="16">
        <f>Metodos!G26</f>
        <v>0</v>
      </c>
      <c r="G15" s="16">
        <f>Metodos!H26</f>
        <v>0</v>
      </c>
      <c r="H15" s="16">
        <f>Metodos!I26</f>
        <v>210252.49999999942</v>
      </c>
      <c r="I15" s="16">
        <f>Metodos!J26</f>
        <v>720765.12499999953</v>
      </c>
      <c r="J15" s="16">
        <f>Metodos!K26</f>
        <v>1256803.3812499999</v>
      </c>
      <c r="K15" s="16">
        <f>Metodos!L26</f>
        <v>1819643.5503125002</v>
      </c>
      <c r="L15" s="16">
        <f>Metodos!M26</f>
        <v>2410625.727828125</v>
      </c>
    </row>
    <row r="16" spans="2:12" ht="16.5" thickTop="1" thickBot="1" x14ac:dyDescent="0.3">
      <c r="B16" s="42" t="str">
        <f>Metodos!C27</f>
        <v>Depreciación de maquinaria</v>
      </c>
      <c r="C16" s="16">
        <f>Metodos!D27</f>
        <v>180000</v>
      </c>
      <c r="D16" s="16">
        <f>Metodos!E27</f>
        <v>180000</v>
      </c>
      <c r="E16" s="16">
        <f>Metodos!F27</f>
        <v>180000</v>
      </c>
      <c r="F16" s="16">
        <f>Metodos!G27</f>
        <v>180000</v>
      </c>
      <c r="G16" s="16">
        <f>Metodos!H27</f>
        <v>180000</v>
      </c>
      <c r="H16" s="16">
        <f>Metodos!I27</f>
        <v>180000</v>
      </c>
      <c r="I16" s="16">
        <f>Metodos!J27</f>
        <v>180000</v>
      </c>
      <c r="J16" s="16">
        <f>Metodos!K27</f>
        <v>180000</v>
      </c>
      <c r="K16" s="16">
        <f>Metodos!L27</f>
        <v>180000</v>
      </c>
      <c r="L16" s="16">
        <f>Metodos!M27</f>
        <v>180000</v>
      </c>
    </row>
    <row r="17" spans="2:12" ht="16.5" thickTop="1" thickBot="1" x14ac:dyDescent="0.3">
      <c r="B17" s="42" t="str">
        <f>Metodos!C28</f>
        <v>Depreciación de infraestructura</v>
      </c>
      <c r="C17" s="16">
        <f>Metodos!D28</f>
        <v>16666.666666666668</v>
      </c>
      <c r="D17" s="16">
        <f>Metodos!E28</f>
        <v>16666.666666666668</v>
      </c>
      <c r="E17" s="16">
        <f>Metodos!F28</f>
        <v>16666.666666666668</v>
      </c>
      <c r="F17" s="16">
        <f>Metodos!G28</f>
        <v>16666.666666666668</v>
      </c>
      <c r="G17" s="16">
        <f>Metodos!H28</f>
        <v>16666.666666666668</v>
      </c>
      <c r="H17" s="16">
        <f>Metodos!I28</f>
        <v>16666.666666666668</v>
      </c>
      <c r="I17" s="16">
        <f>Metodos!J28</f>
        <v>16666.666666666668</v>
      </c>
      <c r="J17" s="16">
        <f>Metodos!K28</f>
        <v>16666.666666666668</v>
      </c>
      <c r="K17" s="16">
        <f>Metodos!L28</f>
        <v>16666.666666666668</v>
      </c>
      <c r="L17" s="16">
        <f>Metodos!M28</f>
        <v>16666.666666666668</v>
      </c>
    </row>
    <row r="18" spans="2:12" ht="16.5" thickTop="1" thickBot="1" x14ac:dyDescent="0.3">
      <c r="B18" s="13" t="s">
        <v>76</v>
      </c>
      <c r="C18" s="14">
        <f t="shared" ref="C18:L18" si="1">SUM(C11:C17)</f>
        <v>6346666.666666667</v>
      </c>
      <c r="D18" s="14">
        <f t="shared" si="1"/>
        <v>7162666.666666667</v>
      </c>
      <c r="E18" s="14">
        <f t="shared" si="1"/>
        <v>8087362.666666667</v>
      </c>
      <c r="F18" s="14">
        <f t="shared" si="1"/>
        <v>9135268.0906666666</v>
      </c>
      <c r="G18" s="14">
        <f t="shared" si="1"/>
        <v>10322837.014282668</v>
      </c>
      <c r="H18" s="14">
        <f t="shared" si="1"/>
        <v>11878976.38028721</v>
      </c>
      <c r="I18" s="14">
        <f t="shared" si="1"/>
        <v>13914843.11449028</v>
      </c>
      <c r="J18" s="14">
        <f t="shared" si="1"/>
        <v>16179680.8059828</v>
      </c>
      <c r="K18" s="14">
        <f t="shared" si="1"/>
        <v>18701951.240049053</v>
      </c>
      <c r="L18" s="14">
        <f t="shared" si="1"/>
        <v>21513816.779952757</v>
      </c>
    </row>
    <row r="19" spans="2:12" ht="16.5" thickTop="1" thickBot="1" x14ac:dyDescent="0.3">
      <c r="B19" s="13" t="s">
        <v>77</v>
      </c>
      <c r="C19" s="14">
        <f t="shared" ref="C19:L19" si="2">C10-C18</f>
        <v>7446436.7816091953</v>
      </c>
      <c r="D19" s="14">
        <f t="shared" si="2"/>
        <v>8044229.8850574726</v>
      </c>
      <c r="E19" s="14">
        <f t="shared" si="2"/>
        <v>8678240.7816091962</v>
      </c>
      <c r="F19" s="14">
        <f t="shared" si="2"/>
        <v>9348809.711057473</v>
      </c>
      <c r="G19" s="14">
        <f t="shared" si="2"/>
        <v>10055858.762118196</v>
      </c>
      <c r="H19" s="14">
        <f t="shared" si="2"/>
        <v>10588535.713194741</v>
      </c>
      <c r="I19" s="14">
        <f t="shared" si="2"/>
        <v>10855588.968573568</v>
      </c>
      <c r="J19" s="14">
        <f t="shared" si="2"/>
        <v>11129720.565595089</v>
      </c>
      <c r="K19" s="14">
        <f t="shared" si="2"/>
        <v>11406663.77211557</v>
      </c>
      <c r="L19" s="14">
        <f t="shared" si="2"/>
        <v>11680931.27095874</v>
      </c>
    </row>
    <row r="20" spans="2:12" ht="16.5" thickTop="1" thickBot="1" x14ac:dyDescent="0.3">
      <c r="B20" s="42" t="str">
        <f>Metodos!C29</f>
        <v>Gastos de venta</v>
      </c>
      <c r="C20" s="16">
        <f>Metodos!D29</f>
        <v>4000000</v>
      </c>
      <c r="D20" s="16">
        <f>Metodos!E29</f>
        <v>4410000</v>
      </c>
      <c r="E20" s="16">
        <f>Metodos!F29</f>
        <v>4862025</v>
      </c>
      <c r="F20" s="16">
        <f>Metodos!G29</f>
        <v>5360382.5625</v>
      </c>
      <c r="G20" s="16">
        <f>Metodos!H29</f>
        <v>5909821.7751562502</v>
      </c>
      <c r="H20" s="16">
        <f>Metodos!I29</f>
        <v>6515578.507109765</v>
      </c>
      <c r="I20" s="16">
        <f>Metodos!J29</f>
        <v>7183425.3040885152</v>
      </c>
      <c r="J20" s="16">
        <f>Metodos!K29</f>
        <v>7919726.397757587</v>
      </c>
      <c r="K20" s="16">
        <f>Metodos!L29</f>
        <v>8731498.3535277396</v>
      </c>
      <c r="L20" s="16">
        <f>Metodos!M29</f>
        <v>9626476.9347643331</v>
      </c>
    </row>
    <row r="21" spans="2:12" ht="16.5" thickTop="1" thickBot="1" x14ac:dyDescent="0.3">
      <c r="B21" s="42" t="str">
        <f>Metodos!C30</f>
        <v>Gastos administrativos</v>
      </c>
      <c r="C21" s="16">
        <f>Metodos!D30</f>
        <v>2000000</v>
      </c>
      <c r="D21" s="16">
        <f>Metodos!E30</f>
        <v>2205000</v>
      </c>
      <c r="E21" s="16">
        <f>Metodos!F30</f>
        <v>2431012.5</v>
      </c>
      <c r="F21" s="16">
        <f>Metodos!G30</f>
        <v>2680191.28125</v>
      </c>
      <c r="G21" s="16">
        <f>Metodos!H30</f>
        <v>2954910.8875781251</v>
      </c>
      <c r="H21" s="16">
        <f>Metodos!I30</f>
        <v>3257789.2535548825</v>
      </c>
      <c r="I21" s="16">
        <f>Metodos!J30</f>
        <v>3591712.6520442576</v>
      </c>
      <c r="J21" s="16">
        <f>Metodos!K30</f>
        <v>3959863.1988787935</v>
      </c>
      <c r="K21" s="16">
        <f>Metodos!L30</f>
        <v>4365749.1767638698</v>
      </c>
      <c r="L21" s="16">
        <f>Metodos!M30</f>
        <v>4813238.4673821665</v>
      </c>
    </row>
    <row r="22" spans="2:12" ht="16.5" thickTop="1" thickBot="1" x14ac:dyDescent="0.3">
      <c r="B22" s="43" t="s">
        <v>78</v>
      </c>
      <c r="C22" s="12">
        <f t="shared" ref="C22:L22" si="3">SUM(C20:C21)</f>
        <v>6000000</v>
      </c>
      <c r="D22" s="12">
        <f t="shared" si="3"/>
        <v>6615000</v>
      </c>
      <c r="E22" s="12">
        <f t="shared" si="3"/>
        <v>7293037.5</v>
      </c>
      <c r="F22" s="12">
        <f t="shared" si="3"/>
        <v>8040573.84375</v>
      </c>
      <c r="G22" s="12">
        <f t="shared" si="3"/>
        <v>8864732.6627343744</v>
      </c>
      <c r="H22" s="12">
        <f t="shared" si="3"/>
        <v>9773367.7606646474</v>
      </c>
      <c r="I22" s="12">
        <f t="shared" si="3"/>
        <v>10775137.956132773</v>
      </c>
      <c r="J22" s="12">
        <f t="shared" si="3"/>
        <v>11879589.596636381</v>
      </c>
      <c r="K22" s="12">
        <f t="shared" si="3"/>
        <v>13097247.530291609</v>
      </c>
      <c r="L22" s="12">
        <f t="shared" si="3"/>
        <v>14439715.4021465</v>
      </c>
    </row>
    <row r="23" spans="2:12" ht="16.5" thickTop="1" thickBot="1" x14ac:dyDescent="0.3">
      <c r="B23" s="13" t="s">
        <v>79</v>
      </c>
      <c r="C23" s="14">
        <f t="shared" ref="C23:L23" si="4">C19-C22</f>
        <v>1446436.7816091953</v>
      </c>
      <c r="D23" s="14">
        <f t="shared" si="4"/>
        <v>1429229.8850574726</v>
      </c>
      <c r="E23" s="14">
        <f t="shared" si="4"/>
        <v>1385203.2816091962</v>
      </c>
      <c r="F23" s="14">
        <f t="shared" si="4"/>
        <v>1308235.867307473</v>
      </c>
      <c r="G23" s="14">
        <f t="shared" si="4"/>
        <v>1191126.0993838217</v>
      </c>
      <c r="H23" s="14">
        <f t="shared" si="4"/>
        <v>815167.95253009349</v>
      </c>
      <c r="I23" s="14">
        <f t="shared" si="4"/>
        <v>80451.012440795079</v>
      </c>
      <c r="J23" s="14">
        <f t="shared" si="4"/>
        <v>-749869.03104129247</v>
      </c>
      <c r="K23" s="14">
        <f t="shared" si="4"/>
        <v>-1690583.7581760399</v>
      </c>
      <c r="L23" s="14">
        <f t="shared" si="4"/>
        <v>-2758784.1311877593</v>
      </c>
    </row>
    <row r="24" spans="2:12" ht="16.5" thickTop="1" thickBot="1" x14ac:dyDescent="0.3">
      <c r="B24" s="42" t="str">
        <f>Metodos!C31</f>
        <v>Impuestos</v>
      </c>
      <c r="C24" s="16">
        <f>Metodos!D31</f>
        <v>506252.87356321834</v>
      </c>
      <c r="D24" s="16">
        <f>Metodos!E31</f>
        <v>500230.45977011538</v>
      </c>
      <c r="E24" s="16">
        <f>Metodos!F31</f>
        <v>484821.14856321865</v>
      </c>
      <c r="F24" s="16">
        <f>Metodos!G31</f>
        <v>457882.55355761549</v>
      </c>
      <c r="G24" s="16">
        <f>Metodos!H31</f>
        <v>416894.1347843376</v>
      </c>
      <c r="H24" s="16">
        <f>Metodos!I31</f>
        <v>244550.38575902802</v>
      </c>
      <c r="I24" s="16">
        <f>Metodos!J31</f>
        <v>24135.303732238663</v>
      </c>
      <c r="J24" s="16">
        <f>Metodos!K31</f>
        <v>-224960.7093123876</v>
      </c>
      <c r="K24" s="16">
        <f>Metodos!L31</f>
        <v>-507175.12745281192</v>
      </c>
      <c r="L24" s="16">
        <f>Metodos!M31</f>
        <v>-827635.2393563278</v>
      </c>
    </row>
    <row r="25" spans="2:12" ht="16.5" thickTop="1" thickBot="1" x14ac:dyDescent="0.3">
      <c r="B25" s="13" t="s">
        <v>80</v>
      </c>
      <c r="C25" s="15">
        <f t="shared" ref="C25:L25" si="5">C23-C24</f>
        <v>940183.90804597689</v>
      </c>
      <c r="D25" s="15">
        <f t="shared" si="5"/>
        <v>928999.4252873573</v>
      </c>
      <c r="E25" s="15">
        <f t="shared" si="5"/>
        <v>900382.13304597756</v>
      </c>
      <c r="F25" s="15">
        <f t="shared" si="5"/>
        <v>850353.31374985748</v>
      </c>
      <c r="G25" s="15">
        <f t="shared" si="5"/>
        <v>774231.96459948411</v>
      </c>
      <c r="H25" s="15">
        <f t="shared" si="5"/>
        <v>570617.56677106547</v>
      </c>
      <c r="I25" s="15">
        <f t="shared" si="5"/>
        <v>56315.708708556413</v>
      </c>
      <c r="J25" s="15">
        <f t="shared" si="5"/>
        <v>-524908.32172890485</v>
      </c>
      <c r="K25" s="15">
        <f t="shared" si="5"/>
        <v>-1183408.630723228</v>
      </c>
      <c r="L25" s="15">
        <f t="shared" si="5"/>
        <v>-1931148.8918314315</v>
      </c>
    </row>
    <row r="26" spans="2:12" ht="15.75" thickTop="1" x14ac:dyDescent="0.25"/>
  </sheetData>
  <mergeCells count="1">
    <mergeCell ref="B6:L6"/>
  </mergeCells>
  <pageMargins left="0.7" right="0.7" top="0.75" bottom="0.75" header="0.3" footer="0.3"/>
  <drawing r:id="rId1"/>
  <pictur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975A-9C7E-46D9-873B-616E517B0EAE}">
  <dimension ref="C2:M123"/>
  <sheetViews>
    <sheetView showGridLines="0" tabSelected="1" workbookViewId="0">
      <selection activeCell="E16" sqref="E16"/>
    </sheetView>
  </sheetViews>
  <sheetFormatPr baseColWidth="10" defaultColWidth="11" defaultRowHeight="15" x14ac:dyDescent="0.25"/>
  <cols>
    <col min="3" max="3" width="43.25" bestFit="1" customWidth="1"/>
    <col min="4" max="4" width="20.125" bestFit="1" customWidth="1"/>
    <col min="5" max="5" width="18.75" bestFit="1" customWidth="1"/>
    <col min="6" max="13" width="15" bestFit="1" customWidth="1"/>
  </cols>
  <sheetData>
    <row r="2" spans="3:13" ht="15.75" thickBot="1" x14ac:dyDescent="0.3"/>
    <row r="3" spans="3:13" ht="17.25" thickTop="1" thickBot="1" x14ac:dyDescent="0.3">
      <c r="C3" s="164" t="s">
        <v>53</v>
      </c>
      <c r="D3" s="164"/>
      <c r="E3" s="164"/>
      <c r="F3" s="164"/>
      <c r="G3" s="164"/>
      <c r="H3" s="164"/>
      <c r="I3" s="164"/>
      <c r="J3" s="164"/>
      <c r="K3" s="164"/>
      <c r="L3" s="164"/>
      <c r="M3" s="164"/>
    </row>
    <row r="4" spans="3:13" ht="17.25" thickTop="1" thickBot="1" x14ac:dyDescent="0.3">
      <c r="C4" s="174" t="s">
        <v>54</v>
      </c>
      <c r="D4" s="176" t="str">
        <f>Datos!D13</f>
        <v>Terreno</v>
      </c>
      <c r="E4" s="176"/>
      <c r="F4" s="6">
        <f>Datos!F13</f>
        <v>100000</v>
      </c>
    </row>
    <row r="5" spans="3:13" ht="16.5" thickBot="1" x14ac:dyDescent="0.3">
      <c r="C5" s="175"/>
      <c r="D5" s="177" t="str">
        <f>Datos!D15</f>
        <v>Construcción de Infraestructura</v>
      </c>
      <c r="E5" s="177"/>
      <c r="F5" s="7">
        <f>Datos!F15</f>
        <v>500000</v>
      </c>
    </row>
    <row r="6" spans="3:13" ht="16.5" thickBot="1" x14ac:dyDescent="0.3">
      <c r="C6" s="175"/>
      <c r="D6" s="177" t="str">
        <f>Datos!D18</f>
        <v>Maquinaria nueva</v>
      </c>
      <c r="E6" s="177"/>
      <c r="F6" s="7">
        <f>Datos!F18</f>
        <v>1000000</v>
      </c>
    </row>
    <row r="7" spans="3:13" ht="16.5" thickBot="1" x14ac:dyDescent="0.3">
      <c r="C7" s="175"/>
      <c r="D7" s="177" t="str">
        <f>Datos!I16</f>
        <v>Capital de trabajo requerido</v>
      </c>
      <c r="E7" s="177"/>
      <c r="F7" s="7">
        <f>Datos!J16</f>
        <v>200000</v>
      </c>
    </row>
    <row r="8" spans="3:13" ht="16.5" thickBot="1" x14ac:dyDescent="0.3">
      <c r="C8" s="175"/>
      <c r="D8" s="178" t="s">
        <v>55</v>
      </c>
      <c r="E8" s="178"/>
      <c r="F8" s="54">
        <f>SUM(F4:F7)</f>
        <v>1800000</v>
      </c>
    </row>
    <row r="9" spans="3:13" ht="17.25" thickTop="1" thickBot="1" x14ac:dyDescent="0.3">
      <c r="C9" s="164" t="s">
        <v>56</v>
      </c>
      <c r="D9" s="164"/>
      <c r="E9" s="164"/>
      <c r="F9" s="164"/>
      <c r="G9" s="164"/>
      <c r="H9" s="164"/>
      <c r="I9" s="164"/>
      <c r="J9" s="164"/>
      <c r="K9" s="164"/>
      <c r="L9" s="164"/>
      <c r="M9" s="164"/>
    </row>
    <row r="10" spans="3:13" ht="17.25" thickTop="1" thickBot="1" x14ac:dyDescent="0.3">
      <c r="C10" s="51" t="s">
        <v>57</v>
      </c>
      <c r="D10" s="50">
        <v>1</v>
      </c>
      <c r="E10" s="50">
        <v>2</v>
      </c>
      <c r="F10" s="50">
        <v>3</v>
      </c>
      <c r="G10" s="50">
        <v>4</v>
      </c>
      <c r="H10" s="50">
        <v>5</v>
      </c>
      <c r="I10" s="50">
        <v>6</v>
      </c>
      <c r="J10" s="50">
        <v>7</v>
      </c>
      <c r="K10" s="50">
        <v>8</v>
      </c>
      <c r="L10" s="50">
        <v>9</v>
      </c>
      <c r="M10" s="50">
        <v>10</v>
      </c>
    </row>
    <row r="11" spans="3:13" ht="17.25" thickTop="1" thickBot="1" x14ac:dyDescent="0.3">
      <c r="C11" s="52" t="str">
        <f>Datos!D8</f>
        <v>VENTAS(Vestidos)</v>
      </c>
      <c r="D11" s="10">
        <f>Datos!F8</f>
        <v>20000</v>
      </c>
      <c r="E11" s="10">
        <f>D11+(D11*D13)</f>
        <v>21000</v>
      </c>
      <c r="F11" s="10">
        <f>E11+(E11*D13)</f>
        <v>22050</v>
      </c>
      <c r="G11" s="10">
        <f>F11+(F11*D13)</f>
        <v>23152.5</v>
      </c>
      <c r="H11" s="10">
        <f>G11+(G11*D13)</f>
        <v>24310.125</v>
      </c>
      <c r="I11" s="10">
        <f>H11+(H11*D13)</f>
        <v>25525.631249999999</v>
      </c>
      <c r="J11" s="10">
        <f>I11+(I11*D13)</f>
        <v>26801.912812499999</v>
      </c>
      <c r="K11" s="10">
        <f>J11+(J11*D13)</f>
        <v>28142.008453125</v>
      </c>
      <c r="L11" s="10">
        <f>K11+(K11*D13)</f>
        <v>29549.10887578125</v>
      </c>
      <c r="M11" s="10">
        <f>L11+(L11*D13)</f>
        <v>31026.564319570312</v>
      </c>
    </row>
    <row r="12" spans="3:13" ht="17.25" thickTop="1" thickBot="1" x14ac:dyDescent="0.3">
      <c r="C12" s="52"/>
      <c r="D12" s="10"/>
      <c r="E12" s="10"/>
      <c r="F12" s="10"/>
      <c r="G12" s="10"/>
      <c r="H12" s="10"/>
      <c r="I12" s="10">
        <f>I11</f>
        <v>25525.631249999999</v>
      </c>
      <c r="J12" s="10">
        <f t="shared" ref="J12:L12" si="0">J11</f>
        <v>26801.912812499999</v>
      </c>
      <c r="K12" s="10">
        <f t="shared" si="0"/>
        <v>28142.008453125</v>
      </c>
      <c r="L12" s="10">
        <f t="shared" si="0"/>
        <v>29549.10887578125</v>
      </c>
      <c r="M12" s="10">
        <f>M11</f>
        <v>31026.564319570312</v>
      </c>
    </row>
    <row r="13" spans="3:13" ht="17.25" thickTop="1" thickBot="1" x14ac:dyDescent="0.3">
      <c r="C13" s="52" t="str">
        <f>Datos!D9</f>
        <v>Tasa de crecimiento(anual)</v>
      </c>
      <c r="D13" s="180">
        <f>Datos!F9</f>
        <v>0.05</v>
      </c>
      <c r="E13" s="180"/>
      <c r="F13" s="180"/>
      <c r="G13" s="180"/>
      <c r="H13" s="180"/>
      <c r="I13" s="180"/>
      <c r="J13" s="180"/>
      <c r="K13" s="180"/>
      <c r="L13" s="180"/>
      <c r="M13" s="180"/>
    </row>
    <row r="14" spans="3:13" ht="17.25" thickTop="1" thickBot="1" x14ac:dyDescent="0.3">
      <c r="C14" s="52" t="str">
        <f>Datos!D10</f>
        <v>PRECIO(por unidad)</v>
      </c>
      <c r="D14" s="9">
        <f>Datos!F10</f>
        <v>800</v>
      </c>
      <c r="E14" s="9">
        <f>D14+(D14*D15)</f>
        <v>840</v>
      </c>
      <c r="F14" s="9">
        <f>E14+(E14*D15)</f>
        <v>882</v>
      </c>
      <c r="G14" s="9">
        <f>F14+(F14*D15)</f>
        <v>926.1</v>
      </c>
      <c r="H14" s="9">
        <f>G14+(G14*D15)</f>
        <v>972.40499999999997</v>
      </c>
      <c r="I14" s="9">
        <f>H14+(H14*D15)</f>
        <v>1021.0252499999999</v>
      </c>
      <c r="J14" s="9">
        <f>I14+(I14*D15)</f>
        <v>1072.0765124999998</v>
      </c>
      <c r="K14" s="9">
        <f>J14+(J14*D15)</f>
        <v>1125.6803381249997</v>
      </c>
      <c r="L14" s="9">
        <f>K14+(K14*D15)</f>
        <v>1181.9643550312496</v>
      </c>
      <c r="M14" s="9">
        <f>L14+(L14*D15)</f>
        <v>1241.0625727828121</v>
      </c>
    </row>
    <row r="15" spans="3:13" ht="17.25" thickTop="1" thickBot="1" x14ac:dyDescent="0.3">
      <c r="C15" s="52" t="str">
        <f>Datos!D11</f>
        <v>Variación por tipo de cambio(anual)</v>
      </c>
      <c r="D15" s="180">
        <f>Datos!F9</f>
        <v>0.05</v>
      </c>
      <c r="E15" s="180"/>
      <c r="F15" s="180"/>
      <c r="G15" s="180"/>
      <c r="H15" s="180"/>
      <c r="I15" s="180"/>
      <c r="J15" s="180"/>
      <c r="K15" s="180"/>
      <c r="L15" s="180"/>
      <c r="M15" s="180"/>
    </row>
    <row r="16" spans="3:13" ht="17.25" thickTop="1" thickBot="1" x14ac:dyDescent="0.3">
      <c r="C16" s="53" t="s">
        <v>58</v>
      </c>
      <c r="D16" s="39">
        <f t="shared" ref="D16:M16" si="1">D11*D14</f>
        <v>16000000</v>
      </c>
      <c r="E16" s="39">
        <f t="shared" si="1"/>
        <v>17640000</v>
      </c>
      <c r="F16" s="39">
        <f t="shared" si="1"/>
        <v>19448100</v>
      </c>
      <c r="G16" s="39">
        <f t="shared" si="1"/>
        <v>21441530.25</v>
      </c>
      <c r="H16" s="39">
        <f t="shared" si="1"/>
        <v>23639287.100625001</v>
      </c>
      <c r="I16" s="39">
        <f t="shared" si="1"/>
        <v>26062314.02843906</v>
      </c>
      <c r="J16" s="39">
        <f t="shared" si="1"/>
        <v>28733701.216354061</v>
      </c>
      <c r="K16" s="39">
        <f t="shared" si="1"/>
        <v>31678905.591030348</v>
      </c>
      <c r="L16" s="39">
        <f t="shared" si="1"/>
        <v>34925993.414110959</v>
      </c>
      <c r="M16" s="39">
        <f t="shared" si="1"/>
        <v>38505907.739057332</v>
      </c>
    </row>
    <row r="17" spans="3:13" ht="17.25" thickTop="1" thickBot="1" x14ac:dyDescent="0.3">
      <c r="C17" s="52" t="s">
        <v>59</v>
      </c>
      <c r="D17" s="8">
        <f t="shared" ref="D17:M17" si="2">IF((D11-25000)&gt;0,(D11-25000),0)</f>
        <v>0</v>
      </c>
      <c r="E17" s="11">
        <f t="shared" si="2"/>
        <v>0</v>
      </c>
      <c r="F17" s="11">
        <f t="shared" si="2"/>
        <v>0</v>
      </c>
      <c r="G17" s="11">
        <f t="shared" si="2"/>
        <v>0</v>
      </c>
      <c r="H17" s="11">
        <f t="shared" si="2"/>
        <v>0</v>
      </c>
      <c r="I17" s="11">
        <f t="shared" si="2"/>
        <v>525.63124999999854</v>
      </c>
      <c r="J17" s="11">
        <f t="shared" si="2"/>
        <v>1801.9128124999988</v>
      </c>
      <c r="K17" s="11">
        <f t="shared" si="2"/>
        <v>3142.0084531249995</v>
      </c>
      <c r="L17" s="11">
        <f t="shared" si="2"/>
        <v>4549.1088757812504</v>
      </c>
      <c r="M17" s="11">
        <f t="shared" si="2"/>
        <v>6026.5643195703124</v>
      </c>
    </row>
    <row r="18" spans="3:13" ht="17.25" thickTop="1" thickBot="1" x14ac:dyDescent="0.3">
      <c r="C18" s="52" t="s">
        <v>60</v>
      </c>
      <c r="D18" s="9">
        <v>0</v>
      </c>
      <c r="E18" s="9">
        <v>0</v>
      </c>
      <c r="F18" s="9">
        <v>0</v>
      </c>
      <c r="G18" s="9">
        <v>0</v>
      </c>
      <c r="H18" s="9">
        <v>0</v>
      </c>
      <c r="I18" s="9">
        <f>I17*Datos!$F22</f>
        <v>210252.49999999942</v>
      </c>
      <c r="J18" s="9">
        <f>J17*Datos!$F22</f>
        <v>720765.12499999953</v>
      </c>
      <c r="K18" s="9">
        <f>K17*Datos!$F22</f>
        <v>1256803.3812499999</v>
      </c>
      <c r="L18" s="9">
        <f>L17*Datos!$F22</f>
        <v>1819643.5503125002</v>
      </c>
      <c r="M18" s="9">
        <f>M17*Datos!$F22</f>
        <v>2410625.727828125</v>
      </c>
    </row>
    <row r="19" spans="3:13" ht="16.5" thickTop="1" thickBot="1" x14ac:dyDescent="0.3"/>
    <row r="20" spans="3:13" ht="17.25" thickTop="1" thickBot="1" x14ac:dyDescent="0.3">
      <c r="C20" s="164" t="s">
        <v>61</v>
      </c>
      <c r="D20" s="164"/>
      <c r="E20" s="164"/>
      <c r="F20" s="164"/>
      <c r="G20" s="164"/>
      <c r="H20" s="164"/>
      <c r="I20" s="164"/>
      <c r="J20" s="164"/>
      <c r="K20" s="164"/>
      <c r="L20" s="164"/>
      <c r="M20" s="164"/>
    </row>
    <row r="21" spans="3:13" ht="16.5" thickTop="1" thickBot="1" x14ac:dyDescent="0.3">
      <c r="C21" s="49" t="s">
        <v>57</v>
      </c>
      <c r="D21" s="48">
        <v>1</v>
      </c>
      <c r="E21" s="48">
        <v>2</v>
      </c>
      <c r="F21" s="48">
        <v>3</v>
      </c>
      <c r="G21" s="48">
        <v>4</v>
      </c>
      <c r="H21" s="48">
        <v>5</v>
      </c>
      <c r="I21" s="48">
        <v>6</v>
      </c>
      <c r="J21" s="48">
        <v>7</v>
      </c>
      <c r="K21" s="48">
        <v>8</v>
      </c>
      <c r="L21" s="48">
        <v>9</v>
      </c>
      <c r="M21" s="48">
        <v>10</v>
      </c>
    </row>
    <row r="22" spans="3:13" ht="16.5" thickTop="1" thickBot="1" x14ac:dyDescent="0.3">
      <c r="C22" s="40" t="s">
        <v>62</v>
      </c>
      <c r="D22" s="35">
        <f>D11*Datos!J26</f>
        <v>1000000</v>
      </c>
      <c r="E22" s="35">
        <f>E11*Datos!K26</f>
        <v>1134000</v>
      </c>
      <c r="F22" s="35">
        <f>F11*Datos!L26</f>
        <v>1285956</v>
      </c>
      <c r="G22" s="35">
        <f>G11*Datos!M26</f>
        <v>1458274.1040000001</v>
      </c>
      <c r="H22" s="35">
        <f>H11*Datos!N26</f>
        <v>1653682.8339359998</v>
      </c>
      <c r="I22" s="35">
        <f>I12*Datos!O26</f>
        <v>1875276.3336834239</v>
      </c>
      <c r="J22" s="35">
        <f>J12*Datos!P26</f>
        <v>2126563.3623970025</v>
      </c>
      <c r="K22" s="35">
        <f>K12*Datos!Q26</f>
        <v>2411522.852958201</v>
      </c>
      <c r="L22" s="35">
        <f>L12*Datos!R26</f>
        <v>2734666.9152545999</v>
      </c>
      <c r="M22" s="35">
        <f>M12*Datos!S26</f>
        <v>3101112.281898716</v>
      </c>
    </row>
    <row r="23" spans="3:13" ht="16.5" thickTop="1" thickBot="1" x14ac:dyDescent="0.3">
      <c r="C23" s="40" t="s">
        <v>63</v>
      </c>
      <c r="D23" s="35">
        <f>D11*(Datos!J20+Datos!J22)</f>
        <v>4000000</v>
      </c>
      <c r="E23" s="35">
        <f>E11*(Datos!K20+Datos!K22)</f>
        <v>4536000</v>
      </c>
      <c r="F23" s="35">
        <f>F11*(Datos!L20+Datos!L22)</f>
        <v>5143824</v>
      </c>
      <c r="G23" s="35">
        <f>G11*(Datos!M20+Datos!M22)</f>
        <v>5833096.4160000002</v>
      </c>
      <c r="H23" s="35">
        <f>H11*(Datos!N20+Datos!N22)</f>
        <v>6614731.335744001</v>
      </c>
      <c r="I23" s="35">
        <f>I12*(Datos!O20+Datos!O22)</f>
        <v>7501105.3347336957</v>
      </c>
      <c r="J23" s="35">
        <f>J12*(Datos!P20+Datos!P22)</f>
        <v>8506253.4495880101</v>
      </c>
      <c r="K23" s="35">
        <f>K12*(Datos!Q20+Datos!Q22)</f>
        <v>9646091.4118328057</v>
      </c>
      <c r="L23" s="35">
        <f>L12*(Datos!R20+Datos!R22)</f>
        <v>10938667.661018401</v>
      </c>
      <c r="M23" s="35">
        <f>M12*(Datos!S20+Datos!S22)</f>
        <v>12404449.127594866</v>
      </c>
    </row>
    <row r="24" spans="3:13" ht="16.5" thickTop="1" thickBot="1" x14ac:dyDescent="0.3">
      <c r="C24" s="40" t="s">
        <v>64</v>
      </c>
      <c r="D24" s="35">
        <f>D11*(Tabla1[[#This Row],[1]])</f>
        <v>1000000</v>
      </c>
      <c r="E24" s="35">
        <f>E11*(Tabla1[[#This Row],[2]])</f>
        <v>1134000</v>
      </c>
      <c r="F24" s="35">
        <f>F11*(Tabla1[[#This Row],[3]])</f>
        <v>1285956</v>
      </c>
      <c r="G24" s="35">
        <f>G11*(Tabla1[[#This Row],[4]])</f>
        <v>1458274.1040000001</v>
      </c>
      <c r="H24" s="35">
        <f>H11*(Tabla1[[#This Row],[5]])</f>
        <v>1653682.8339359998</v>
      </c>
      <c r="I24" s="35">
        <f>I12*(Tabla1[[#This Row],[6]])</f>
        <v>1875276.3336834239</v>
      </c>
      <c r="J24" s="35">
        <f>J12*(Tabla1[[#This Row],[7]])</f>
        <v>2126563.3623970025</v>
      </c>
      <c r="K24" s="35">
        <f>K12*(Tabla1[[#This Row],[8]])</f>
        <v>2411522.852958201</v>
      </c>
      <c r="L24" s="35">
        <f>L12*(Tabla1[[#This Row],[9]])</f>
        <v>2734666.9152545999</v>
      </c>
      <c r="M24" s="35">
        <f>M12*(Tabla1[[#This Row],[10]])</f>
        <v>3101112.281898716</v>
      </c>
    </row>
    <row r="25" spans="3:13" ht="16.5" thickTop="1" thickBot="1" x14ac:dyDescent="0.3">
      <c r="C25" s="40" t="s">
        <v>65</v>
      </c>
      <c r="D25" s="35">
        <f>Datos!J12</f>
        <v>150000</v>
      </c>
      <c r="E25" s="35">
        <f>D25+(D25*Datos!$K12)</f>
        <v>162000</v>
      </c>
      <c r="F25" s="35">
        <f>E25+(E25*Datos!$K12)</f>
        <v>174960</v>
      </c>
      <c r="G25" s="35">
        <f>F25+(F25*Datos!$K12)</f>
        <v>188956.79999999999</v>
      </c>
      <c r="H25" s="35">
        <f>G25+(G25*Datos!$K12)</f>
        <v>204073.34399999998</v>
      </c>
      <c r="I25" s="35">
        <f>H25+(H25*Datos!$K12)</f>
        <v>220399.21151999998</v>
      </c>
      <c r="J25" s="35">
        <f>I25+(I25*Datos!$K12)</f>
        <v>238031.14844159997</v>
      </c>
      <c r="K25" s="35">
        <f>J25+(J25*Datos!$K12)</f>
        <v>257073.64031692798</v>
      </c>
      <c r="L25" s="35">
        <f>K25+(K25*Datos!$K12)</f>
        <v>277639.5315422822</v>
      </c>
      <c r="M25" s="35">
        <f>L25+(L25*Datos!$K12)</f>
        <v>299850.69406566478</v>
      </c>
    </row>
    <row r="26" spans="3:13" ht="16.5" thickTop="1" thickBot="1" x14ac:dyDescent="0.3">
      <c r="C26" s="40" t="s">
        <v>66</v>
      </c>
      <c r="D26" s="35">
        <f>D19</f>
        <v>0</v>
      </c>
      <c r="E26" s="35">
        <f t="shared" ref="E26:H26" si="3">E19</f>
        <v>0</v>
      </c>
      <c r="F26" s="35">
        <f t="shared" si="3"/>
        <v>0</v>
      </c>
      <c r="G26" s="35">
        <f t="shared" si="3"/>
        <v>0</v>
      </c>
      <c r="H26" s="35">
        <f t="shared" si="3"/>
        <v>0</v>
      </c>
      <c r="I26" s="35">
        <f>I18</f>
        <v>210252.49999999942</v>
      </c>
      <c r="J26" s="35">
        <f t="shared" ref="J26:M26" si="4">J18</f>
        <v>720765.12499999953</v>
      </c>
      <c r="K26" s="35">
        <f t="shared" si="4"/>
        <v>1256803.3812499999</v>
      </c>
      <c r="L26" s="35">
        <f t="shared" si="4"/>
        <v>1819643.5503125002</v>
      </c>
      <c r="M26" s="35">
        <f t="shared" si="4"/>
        <v>2410625.727828125</v>
      </c>
    </row>
    <row r="27" spans="3:13" ht="16.5" thickTop="1" thickBot="1" x14ac:dyDescent="0.3">
      <c r="C27" s="40" t="s">
        <v>67</v>
      </c>
      <c r="D27" s="35">
        <f>(Datos!$F18-Datos!$F21)/Datos!$F20</f>
        <v>180000</v>
      </c>
      <c r="E27" s="35">
        <f>(Datos!$F18-Datos!$F21)/Datos!$F20</f>
        <v>180000</v>
      </c>
      <c r="F27" s="35">
        <f>(Datos!$F18-Datos!$F21)/Datos!$F20</f>
        <v>180000</v>
      </c>
      <c r="G27" s="35">
        <f>(Datos!$F18-Datos!$F21)/Datos!$F20</f>
        <v>180000</v>
      </c>
      <c r="H27" s="35">
        <f>(Datos!$F18-Datos!$F21)/Datos!$F20</f>
        <v>180000</v>
      </c>
      <c r="I27" s="35">
        <f>(Datos!$F18-Datos!$F21)/Datos!$F20</f>
        <v>180000</v>
      </c>
      <c r="J27" s="35">
        <f>(Datos!$F18-Datos!$F21)/Datos!$F20</f>
        <v>180000</v>
      </c>
      <c r="K27" s="35">
        <f>(Datos!$F18-Datos!$F21)/Datos!$F20</f>
        <v>180000</v>
      </c>
      <c r="L27" s="35">
        <f>(Datos!$F18-Datos!$F21)/Datos!$F20</f>
        <v>180000</v>
      </c>
      <c r="M27" s="35">
        <f>(Datos!$F18-Datos!$F21)/Datos!$F20</f>
        <v>180000</v>
      </c>
    </row>
    <row r="28" spans="3:13" ht="16.5" thickTop="1" thickBot="1" x14ac:dyDescent="0.3">
      <c r="C28" s="40" t="s">
        <v>68</v>
      </c>
      <c r="D28" s="35">
        <f>Datos!$F15/Datos!$F16</f>
        <v>16666.666666666668</v>
      </c>
      <c r="E28" s="35">
        <f>Datos!$F15/Datos!$F16</f>
        <v>16666.666666666668</v>
      </c>
      <c r="F28" s="35">
        <f>Datos!$F15/Datos!$F16</f>
        <v>16666.666666666668</v>
      </c>
      <c r="G28" s="35">
        <f>Datos!$F15/Datos!$F16</f>
        <v>16666.666666666668</v>
      </c>
      <c r="H28" s="35">
        <f>Datos!$F15/Datos!$F16</f>
        <v>16666.666666666668</v>
      </c>
      <c r="I28" s="35">
        <f>Datos!$F15/Datos!$F16</f>
        <v>16666.666666666668</v>
      </c>
      <c r="J28" s="35">
        <f>Datos!$F15/Datos!$F16</f>
        <v>16666.666666666668</v>
      </c>
      <c r="K28" s="35">
        <f>Datos!$F15/Datos!$F16</f>
        <v>16666.666666666668</v>
      </c>
      <c r="L28" s="35">
        <f>Datos!$F15/Datos!$F16</f>
        <v>16666.666666666668</v>
      </c>
      <c r="M28" s="35">
        <f>Datos!$F15/Datos!$F16</f>
        <v>16666.666666666668</v>
      </c>
    </row>
    <row r="29" spans="3:13" ht="16.5" thickTop="1" thickBot="1" x14ac:dyDescent="0.3">
      <c r="C29" s="40" t="s">
        <v>69</v>
      </c>
      <c r="D29" s="35">
        <f>D11*Datos!J32</f>
        <v>4000000</v>
      </c>
      <c r="E29" s="35">
        <f>E11*Datos!K32</f>
        <v>4410000</v>
      </c>
      <c r="F29" s="35">
        <f>F11*Datos!L32</f>
        <v>4862025</v>
      </c>
      <c r="G29" s="35">
        <f>G11*Datos!M32</f>
        <v>5360382.5625</v>
      </c>
      <c r="H29" s="35">
        <f>H11*Datos!N32</f>
        <v>5909821.7751562502</v>
      </c>
      <c r="I29" s="35">
        <f>I11*Datos!O32</f>
        <v>6515578.507109765</v>
      </c>
      <c r="J29" s="35">
        <f>J11*Datos!P32</f>
        <v>7183425.3040885152</v>
      </c>
      <c r="K29" s="35">
        <f>K11*Datos!Q32</f>
        <v>7919726.397757587</v>
      </c>
      <c r="L29" s="35">
        <f>L11*Datos!R32</f>
        <v>8731498.3535277396</v>
      </c>
      <c r="M29" s="35">
        <f>M11*Datos!S32</f>
        <v>9626476.9347643331</v>
      </c>
    </row>
    <row r="30" spans="3:13" ht="16.5" thickTop="1" thickBot="1" x14ac:dyDescent="0.3">
      <c r="C30" s="40" t="s">
        <v>70</v>
      </c>
      <c r="D30" s="35">
        <f>D11*Tabla1[[#This Row],[1]]</f>
        <v>2000000</v>
      </c>
      <c r="E30" s="35">
        <f>E11*Tabla1[[#This Row],[2]]</f>
        <v>2205000</v>
      </c>
      <c r="F30" s="35">
        <f>F11*Tabla1[[#This Row],[3]]</f>
        <v>2431012.5</v>
      </c>
      <c r="G30" s="35">
        <f>G11*Tabla1[[#This Row],[4]]</f>
        <v>2680191.28125</v>
      </c>
      <c r="H30" s="35">
        <f>H11*Tabla1[[#This Row],[5]]</f>
        <v>2954910.8875781251</v>
      </c>
      <c r="I30" s="35">
        <f>I11*Tabla1[[#This Row],[6]]</f>
        <v>3257789.2535548825</v>
      </c>
      <c r="J30" s="35">
        <f>J11*Tabla1[[#This Row],[7]]</f>
        <v>3591712.6520442576</v>
      </c>
      <c r="K30" s="35">
        <f>K11*Tabla1[[#This Row],[8]]</f>
        <v>3959863.1988787935</v>
      </c>
      <c r="L30" s="35">
        <f>L11*Tabla1[[#This Row],[9]]</f>
        <v>4365749.1767638698</v>
      </c>
      <c r="M30" s="35">
        <f>M11*Tabla1[[#This Row],[10]]</f>
        <v>4813238.4673821665</v>
      </c>
    </row>
    <row r="31" spans="3:13" ht="16.5" thickTop="1" thickBot="1" x14ac:dyDescent="0.3">
      <c r="C31" s="40" t="s">
        <v>71</v>
      </c>
      <c r="D31" s="35">
        <f>(((D16-(D16-(D16/(1+Datos!$F26))))-(SUM(D22:D28)))-(SUM(D29:D30)))*Datos!$P15</f>
        <v>506252.87356321834</v>
      </c>
      <c r="E31" s="35">
        <f>(((E16-(E16-(E16/(1+Datos!$F26))))-(SUM(E22:E28)))-(SUM(E29:E30)))*Datos!$P15</f>
        <v>500230.45977011538</v>
      </c>
      <c r="F31" s="35">
        <f>(((F16-(F16-(F16/(1+Datos!$F26))))-(SUM(F22:F28)))-(SUM(F29:F30)))*Datos!$P15</f>
        <v>484821.14856321865</v>
      </c>
      <c r="G31" s="35">
        <f>(((G16-(G16-(G16/(1+Datos!$F26))))-(SUM(G22:G28)))-(SUM(G29:G30)))*Datos!$P15</f>
        <v>457882.55355761549</v>
      </c>
      <c r="H31" s="35">
        <f>(((H16-(H16-(H16/(1+Datos!$F26))))-(SUM(H22:H28)))-(SUM(H29:H30)))*Datos!$P15</f>
        <v>416894.1347843376</v>
      </c>
      <c r="I31" s="36">
        <f>(((I16/1.16)-SUM(I22:I28))-I29-I30)*Datos!$P14</f>
        <v>244550.38575902802</v>
      </c>
      <c r="J31" s="36">
        <f>(((J16/1.16)-SUM(J22:J28))-J29-J30)*Datos!$P14</f>
        <v>24135.303732238663</v>
      </c>
      <c r="K31" s="36">
        <f>(((K16/1.16)-SUM(K22:K28))-K29-K30)*Datos!$P14</f>
        <v>-224960.7093123876</v>
      </c>
      <c r="L31" s="36">
        <f>(((L16/1.16)-SUM(L22:L28))-L29-L30)*Datos!$P14</f>
        <v>-507175.12745281192</v>
      </c>
      <c r="M31" s="36">
        <f>(((M16/1.16)-SUM(M22:M28))-M29-M30)*Datos!$P14</f>
        <v>-827635.2393563278</v>
      </c>
    </row>
    <row r="32" spans="3:13" ht="16.5" thickTop="1" thickBot="1" x14ac:dyDescent="0.3">
      <c r="C32" s="37" t="s">
        <v>72</v>
      </c>
      <c r="D32" s="38">
        <f>SUM($D22:$D31)</f>
        <v>12852919.540229887</v>
      </c>
      <c r="E32" s="38">
        <f t="shared" ref="E32:M32" si="5">SUM(E22:E31)</f>
        <v>14277897.126436783</v>
      </c>
      <c r="F32" s="38">
        <f t="shared" si="5"/>
        <v>15865221.315229887</v>
      </c>
      <c r="G32" s="38">
        <f t="shared" si="5"/>
        <v>17633724.487974282</v>
      </c>
      <c r="H32" s="38">
        <f t="shared" si="5"/>
        <v>19604463.811801381</v>
      </c>
      <c r="I32" s="38">
        <f t="shared" si="5"/>
        <v>21896894.526710887</v>
      </c>
      <c r="J32" s="38">
        <f t="shared" si="5"/>
        <v>24714116.374355294</v>
      </c>
      <c r="K32" s="38">
        <f t="shared" si="5"/>
        <v>27834309.693306796</v>
      </c>
      <c r="L32" s="38">
        <f t="shared" si="5"/>
        <v>31292023.642887849</v>
      </c>
      <c r="M32" s="38">
        <f t="shared" si="5"/>
        <v>35125896.942742929</v>
      </c>
    </row>
    <row r="33" spans="3:13" ht="16.5" thickTop="1" thickBot="1" x14ac:dyDescent="0.3"/>
    <row r="34" spans="3:13" ht="17.25" thickTop="1" thickBot="1" x14ac:dyDescent="0.3">
      <c r="C34" s="164" t="s">
        <v>81</v>
      </c>
      <c r="D34" s="164"/>
      <c r="E34" s="164"/>
      <c r="F34" s="164"/>
      <c r="G34" s="164"/>
      <c r="H34" s="164"/>
      <c r="I34" s="164"/>
      <c r="J34" s="164"/>
      <c r="K34" s="164"/>
      <c r="L34" s="164"/>
      <c r="M34" s="164"/>
    </row>
    <row r="35" spans="3:13" ht="16.5" thickTop="1" thickBot="1" x14ac:dyDescent="0.3">
      <c r="C35" s="44"/>
      <c r="D35" s="46">
        <v>1</v>
      </c>
      <c r="E35" s="47">
        <v>2</v>
      </c>
      <c r="F35" s="47">
        <v>3</v>
      </c>
      <c r="G35" s="47">
        <v>4</v>
      </c>
      <c r="H35" s="47">
        <v>5</v>
      </c>
      <c r="I35" s="47">
        <v>6</v>
      </c>
      <c r="J35" s="47">
        <v>7</v>
      </c>
      <c r="K35" s="47">
        <v>8</v>
      </c>
      <c r="L35" s="47">
        <v>9</v>
      </c>
      <c r="M35" s="47">
        <v>10</v>
      </c>
    </row>
    <row r="36" spans="3:13" ht="16.5" thickTop="1" thickBot="1" x14ac:dyDescent="0.3">
      <c r="C36" s="56" t="str">
        <f>EstadodeResultados!B25</f>
        <v>UTILIDAD DEL EJERCICIO</v>
      </c>
      <c r="D36" s="16">
        <f>EstadodeResultados!C25</f>
        <v>940183.90804597689</v>
      </c>
      <c r="E36" s="16">
        <f>EstadodeResultados!D25</f>
        <v>928999.4252873573</v>
      </c>
      <c r="F36" s="16">
        <f>EstadodeResultados!E25</f>
        <v>900382.13304597756</v>
      </c>
      <c r="G36" s="16">
        <f>EstadodeResultados!F25</f>
        <v>850353.31374985748</v>
      </c>
      <c r="H36" s="16">
        <f>EstadodeResultados!G25</f>
        <v>774231.96459948411</v>
      </c>
      <c r="I36" s="16">
        <f>EstadodeResultados!H25</f>
        <v>570617.56677106547</v>
      </c>
      <c r="J36" s="16">
        <f>EstadodeResultados!I25</f>
        <v>56315.708708556413</v>
      </c>
      <c r="K36" s="16">
        <f>EstadodeResultados!J25</f>
        <v>-524908.32172890485</v>
      </c>
      <c r="L36" s="16">
        <f>EstadodeResultados!K25</f>
        <v>-1183408.630723228</v>
      </c>
      <c r="M36" s="16">
        <f>EstadodeResultados!L25</f>
        <v>-1931148.8918314315</v>
      </c>
    </row>
    <row r="37" spans="3:13" ht="16.5" thickTop="1" thickBot="1" x14ac:dyDescent="0.3">
      <c r="C37" s="45" t="s">
        <v>82</v>
      </c>
      <c r="D37" s="16">
        <f t="shared" ref="D37:M37" si="6">SUM(D27:D28)</f>
        <v>196666.66666666666</v>
      </c>
      <c r="E37" s="16">
        <f t="shared" si="6"/>
        <v>196666.66666666666</v>
      </c>
      <c r="F37" s="16">
        <f t="shared" si="6"/>
        <v>196666.66666666666</v>
      </c>
      <c r="G37" s="16">
        <f t="shared" si="6"/>
        <v>196666.66666666666</v>
      </c>
      <c r="H37" s="16">
        <f t="shared" si="6"/>
        <v>196666.66666666666</v>
      </c>
      <c r="I37" s="16">
        <f t="shared" si="6"/>
        <v>196666.66666666666</v>
      </c>
      <c r="J37" s="16">
        <f t="shared" si="6"/>
        <v>196666.66666666666</v>
      </c>
      <c r="K37" s="16">
        <f t="shared" si="6"/>
        <v>196666.66666666666</v>
      </c>
      <c r="L37" s="16">
        <f t="shared" si="6"/>
        <v>196666.66666666666</v>
      </c>
      <c r="M37" s="16">
        <f t="shared" si="6"/>
        <v>196666.66666666666</v>
      </c>
    </row>
    <row r="38" spans="3:13" ht="16.5" thickTop="1" thickBot="1" x14ac:dyDescent="0.3">
      <c r="C38" s="43" t="s">
        <v>83</v>
      </c>
      <c r="D38" s="12"/>
      <c r="E38" s="12"/>
      <c r="F38" s="12"/>
      <c r="G38" s="12"/>
      <c r="H38" s="12"/>
      <c r="I38" s="16">
        <v>900000</v>
      </c>
      <c r="J38" s="12"/>
      <c r="K38" s="12"/>
      <c r="L38" s="12"/>
      <c r="M38" s="12"/>
    </row>
    <row r="39" spans="3:13" ht="16.5" thickTop="1" thickBot="1" x14ac:dyDescent="0.3">
      <c r="C39" s="13" t="s">
        <v>84</v>
      </c>
      <c r="D39" s="14">
        <f>SUM(D36:D38)</f>
        <v>1136850.5747126436</v>
      </c>
      <c r="E39" s="14">
        <f t="shared" ref="E39:M39" si="7">SUM(E36:E38)</f>
        <v>1125666.091954024</v>
      </c>
      <c r="F39" s="14">
        <f t="shared" si="7"/>
        <v>1097048.7997126442</v>
      </c>
      <c r="G39" s="14">
        <f t="shared" si="7"/>
        <v>1047019.9804165241</v>
      </c>
      <c r="H39" s="14">
        <f t="shared" si="7"/>
        <v>970898.63126615074</v>
      </c>
      <c r="I39" s="14">
        <f>SUM(I36:I37)-I38</f>
        <v>-132715.76656226791</v>
      </c>
      <c r="J39" s="14">
        <f t="shared" si="7"/>
        <v>252982.37537522306</v>
      </c>
      <c r="K39" s="14">
        <f t="shared" si="7"/>
        <v>-328241.65506223822</v>
      </c>
      <c r="L39" s="14">
        <f t="shared" si="7"/>
        <v>-986741.96405656135</v>
      </c>
      <c r="M39" s="14">
        <f t="shared" si="7"/>
        <v>-1734482.2251647648</v>
      </c>
    </row>
    <row r="40" spans="3:13" ht="16.5" thickTop="1" thickBot="1" x14ac:dyDescent="0.3"/>
    <row r="41" spans="3:13" ht="17.25" thickTop="1" thickBot="1" x14ac:dyDescent="0.3">
      <c r="C41" s="164" t="s">
        <v>85</v>
      </c>
      <c r="D41" s="164"/>
      <c r="E41" s="164"/>
      <c r="F41" s="164"/>
      <c r="G41" s="164"/>
      <c r="H41" s="164"/>
      <c r="I41" s="164"/>
      <c r="J41" s="164"/>
      <c r="K41" s="164"/>
      <c r="L41" s="164"/>
      <c r="M41" s="164"/>
    </row>
    <row r="42" spans="3:13" ht="16.5" thickTop="1" thickBot="1" x14ac:dyDescent="0.3">
      <c r="C42" s="55" t="s">
        <v>57</v>
      </c>
      <c r="D42" s="46">
        <v>1</v>
      </c>
      <c r="E42" s="47">
        <v>2</v>
      </c>
      <c r="F42" s="47">
        <v>3</v>
      </c>
      <c r="G42" s="47">
        <v>4</v>
      </c>
      <c r="H42" s="47">
        <v>5</v>
      </c>
      <c r="I42" s="47">
        <v>6</v>
      </c>
      <c r="J42" s="47">
        <v>7</v>
      </c>
      <c r="K42" s="47">
        <v>8</v>
      </c>
      <c r="L42" s="47">
        <v>9</v>
      </c>
      <c r="M42" s="47">
        <v>10</v>
      </c>
    </row>
    <row r="43" spans="3:13" ht="16.5" thickTop="1" thickBot="1" x14ac:dyDescent="0.3">
      <c r="C43" s="56" t="s">
        <v>86</v>
      </c>
      <c r="D43" s="16"/>
      <c r="E43" s="16">
        <f>SUM($D39:E39)</f>
        <v>2262516.6666666679</v>
      </c>
      <c r="F43" s="16">
        <f>SUM($D39:F39)</f>
        <v>3359565.4663793119</v>
      </c>
      <c r="G43" s="16">
        <f>SUM($D39:G39)</f>
        <v>4406585.4467958361</v>
      </c>
      <c r="H43" s="16">
        <f>SUM($D39:H39)</f>
        <v>5377484.0780619867</v>
      </c>
      <c r="I43" s="16">
        <f>SUM($D39:I39)</f>
        <v>5244768.3114997186</v>
      </c>
      <c r="J43" s="16">
        <f>SUM($D39:J39)</f>
        <v>5497750.6868749419</v>
      </c>
      <c r="K43" s="16">
        <f>SUM($D39:K39)</f>
        <v>5169509.0318127032</v>
      </c>
      <c r="L43" s="16">
        <f>SUM($D39:L39)</f>
        <v>4182767.067756142</v>
      </c>
      <c r="M43" s="16">
        <f>SUM($D39:M39)</f>
        <v>2448284.842591377</v>
      </c>
    </row>
    <row r="44" spans="3:13" ht="16.5" thickTop="1" thickBot="1" x14ac:dyDescent="0.3">
      <c r="C44" s="45" t="s">
        <v>87</v>
      </c>
      <c r="D44" s="16">
        <f>F8</f>
        <v>1800000</v>
      </c>
    </row>
    <row r="45" spans="3:13" ht="16.5" thickTop="1" thickBot="1" x14ac:dyDescent="0.3">
      <c r="C45" s="13" t="s">
        <v>88</v>
      </c>
      <c r="D45" s="34">
        <v>0.45</v>
      </c>
    </row>
    <row r="46" spans="3:13" ht="16.5" thickTop="1" thickBot="1" x14ac:dyDescent="0.3"/>
    <row r="47" spans="3:13" ht="17.25" thickTop="1" thickBot="1" x14ac:dyDescent="0.3">
      <c r="C47" s="179" t="s">
        <v>89</v>
      </c>
      <c r="D47" s="179"/>
      <c r="E47" s="179"/>
      <c r="F47" s="179"/>
      <c r="G47" s="179"/>
      <c r="H47" s="179"/>
      <c r="I47" s="179"/>
      <c r="J47" s="179"/>
      <c r="K47" s="179"/>
      <c r="L47" s="179"/>
      <c r="M47" s="179"/>
    </row>
    <row r="48" spans="3:13" ht="16.5" thickTop="1" thickBot="1" x14ac:dyDescent="0.3">
      <c r="C48" s="55" t="s">
        <v>57</v>
      </c>
      <c r="D48" s="46">
        <v>1</v>
      </c>
      <c r="E48" s="47">
        <v>2</v>
      </c>
      <c r="F48" s="47">
        <v>3</v>
      </c>
      <c r="G48" s="47">
        <v>4</v>
      </c>
      <c r="H48" s="47">
        <v>5</v>
      </c>
      <c r="I48" s="47">
        <v>6</v>
      </c>
      <c r="J48" s="47">
        <v>7</v>
      </c>
      <c r="K48" s="47">
        <v>8</v>
      </c>
      <c r="L48" s="47">
        <v>9</v>
      </c>
      <c r="M48" s="47">
        <v>10</v>
      </c>
    </row>
    <row r="49" spans="3:13" ht="16.5" thickTop="1" thickBot="1" x14ac:dyDescent="0.3">
      <c r="C49" s="56" t="s">
        <v>90</v>
      </c>
      <c r="D49" s="16">
        <f>D39</f>
        <v>1136850.5747126436</v>
      </c>
      <c r="E49" s="16">
        <f t="shared" ref="E49:M49" si="8">E39</f>
        <v>1125666.091954024</v>
      </c>
      <c r="F49" s="16">
        <f t="shared" si="8"/>
        <v>1097048.7997126442</v>
      </c>
      <c r="G49" s="16">
        <f t="shared" si="8"/>
        <v>1047019.9804165241</v>
      </c>
      <c r="H49" s="16">
        <f t="shared" si="8"/>
        <v>970898.63126615074</v>
      </c>
      <c r="I49" s="16">
        <f t="shared" si="8"/>
        <v>-132715.76656226791</v>
      </c>
      <c r="J49" s="16">
        <f t="shared" si="8"/>
        <v>252982.37537522306</v>
      </c>
      <c r="K49" s="16">
        <f t="shared" si="8"/>
        <v>-328241.65506223822</v>
      </c>
      <c r="L49" s="16">
        <f t="shared" si="8"/>
        <v>-986741.96405656135</v>
      </c>
      <c r="M49" s="16">
        <f t="shared" si="8"/>
        <v>-1734482.2251647648</v>
      </c>
    </row>
    <row r="50" spans="3:13" ht="16.5" thickTop="1" thickBot="1" x14ac:dyDescent="0.3">
      <c r="C50" s="45" t="s">
        <v>91</v>
      </c>
      <c r="D50" s="16" t="s">
        <v>92</v>
      </c>
      <c r="E50" s="16">
        <f>E43</f>
        <v>2262516.6666666679</v>
      </c>
      <c r="F50" s="16">
        <f t="shared" ref="F50:M50" si="9">F43</f>
        <v>3359565.4663793119</v>
      </c>
      <c r="G50" s="16">
        <f t="shared" si="9"/>
        <v>4406585.4467958361</v>
      </c>
      <c r="H50" s="16">
        <f t="shared" si="9"/>
        <v>5377484.0780619867</v>
      </c>
      <c r="I50" s="16">
        <f t="shared" si="9"/>
        <v>5244768.3114997186</v>
      </c>
      <c r="J50" s="16">
        <f t="shared" si="9"/>
        <v>5497750.6868749419</v>
      </c>
      <c r="K50" s="16">
        <f t="shared" si="9"/>
        <v>5169509.0318127032</v>
      </c>
      <c r="L50" s="16">
        <f t="shared" si="9"/>
        <v>4182767.067756142</v>
      </c>
      <c r="M50" s="16">
        <f t="shared" si="9"/>
        <v>2448284.842591377</v>
      </c>
    </row>
    <row r="51" spans="3:13" ht="29.25" thickTop="1" thickBot="1" x14ac:dyDescent="0.45">
      <c r="C51" s="13" t="s">
        <v>93</v>
      </c>
      <c r="D51" s="14"/>
      <c r="E51" s="124">
        <f>D48+(F8-D49)/E50</f>
        <v>1.2931025592241778</v>
      </c>
      <c r="F51" s="14"/>
      <c r="G51" s="14"/>
      <c r="H51" s="14"/>
      <c r="I51" s="14"/>
      <c r="J51" s="14"/>
      <c r="K51" s="14"/>
      <c r="L51" s="14"/>
      <c r="M51" s="14"/>
    </row>
    <row r="52" spans="3:13" ht="15.75" thickTop="1" x14ac:dyDescent="0.25"/>
    <row r="56" spans="3:13" ht="15.75" thickBot="1" x14ac:dyDescent="0.3"/>
    <row r="57" spans="3:13" ht="17.25" thickTop="1" thickBot="1" x14ac:dyDescent="0.3">
      <c r="C57" s="145" t="s">
        <v>94</v>
      </c>
      <c r="D57" s="145"/>
      <c r="E57" s="145"/>
      <c r="F57" s="145"/>
      <c r="G57" s="145"/>
      <c r="H57" s="145"/>
      <c r="I57" s="145"/>
      <c r="J57" s="145"/>
      <c r="K57" s="145"/>
      <c r="L57" s="145"/>
      <c r="M57" s="145"/>
    </row>
    <row r="58" spans="3:13" ht="16.5" thickTop="1" thickBot="1" x14ac:dyDescent="0.3">
      <c r="C58" s="55" t="s">
        <v>57</v>
      </c>
      <c r="D58" s="46">
        <v>1</v>
      </c>
      <c r="E58" s="47">
        <v>2</v>
      </c>
      <c r="F58" s="47">
        <v>3</v>
      </c>
      <c r="G58" s="47">
        <v>4</v>
      </c>
      <c r="H58" s="47">
        <v>5</v>
      </c>
      <c r="I58" s="47">
        <v>6</v>
      </c>
      <c r="J58" s="47">
        <v>7</v>
      </c>
      <c r="K58" s="47">
        <v>8</v>
      </c>
      <c r="L58" s="47">
        <v>9</v>
      </c>
      <c r="M58" s="47">
        <v>10</v>
      </c>
    </row>
    <row r="59" spans="3:13" ht="16.5" thickTop="1" thickBot="1" x14ac:dyDescent="0.3">
      <c r="C59" s="56" t="s">
        <v>90</v>
      </c>
      <c r="D59" s="16">
        <f t="shared" ref="D59:M59" si="10">D49</f>
        <v>1136850.5747126436</v>
      </c>
      <c r="E59" s="16">
        <f t="shared" si="10"/>
        <v>1125666.091954024</v>
      </c>
      <c r="F59" s="16">
        <f t="shared" si="10"/>
        <v>1097048.7997126442</v>
      </c>
      <c r="G59" s="16">
        <f t="shared" si="10"/>
        <v>1047019.9804165241</v>
      </c>
      <c r="H59" s="16">
        <f t="shared" si="10"/>
        <v>970898.63126615074</v>
      </c>
      <c r="I59" s="16">
        <f t="shared" si="10"/>
        <v>-132715.76656226791</v>
      </c>
      <c r="J59" s="16">
        <f t="shared" si="10"/>
        <v>252982.37537522306</v>
      </c>
      <c r="K59" s="16">
        <f t="shared" si="10"/>
        <v>-328241.65506223822</v>
      </c>
      <c r="L59" s="16">
        <f t="shared" si="10"/>
        <v>-986741.96405656135</v>
      </c>
      <c r="M59" s="16">
        <f t="shared" si="10"/>
        <v>-1734482.2251647648</v>
      </c>
    </row>
    <row r="60" spans="3:13" ht="16.5" thickTop="1" thickBot="1" x14ac:dyDescent="0.3">
      <c r="C60" s="45" t="s">
        <v>95</v>
      </c>
      <c r="D60" s="16">
        <f t="shared" ref="D60:M60" si="11">D59/POWER(1.45,D58)</f>
        <v>784034.8791121681</v>
      </c>
      <c r="E60" s="16">
        <f t="shared" si="11"/>
        <v>535394.09843235393</v>
      </c>
      <c r="F60" s="16">
        <f t="shared" si="11"/>
        <v>359850.35867403966</v>
      </c>
      <c r="G60" s="16">
        <f t="shared" si="11"/>
        <v>236855.22001388963</v>
      </c>
      <c r="H60" s="16">
        <f t="shared" si="11"/>
        <v>151472.52940591885</v>
      </c>
      <c r="I60" s="16">
        <f t="shared" si="11"/>
        <v>-14279.549506743611</v>
      </c>
      <c r="J60" s="16">
        <f t="shared" si="11"/>
        <v>18772.160140727276</v>
      </c>
      <c r="K60" s="16">
        <f t="shared" si="11"/>
        <v>-16797.694399956465</v>
      </c>
      <c r="L60" s="16">
        <f t="shared" si="11"/>
        <v>-34825.036326050787</v>
      </c>
      <c r="M60" s="16">
        <f t="shared" si="11"/>
        <v>-42217.239400335042</v>
      </c>
    </row>
    <row r="61" spans="3:13" ht="16.5" thickTop="1" thickBot="1" x14ac:dyDescent="0.3">
      <c r="C61" s="13" t="s">
        <v>86</v>
      </c>
      <c r="D61" s="14">
        <f>D60</f>
        <v>784034.8791121681</v>
      </c>
      <c r="E61" s="58">
        <f t="shared" ref="E61:M61" si="12">D61+E60</f>
        <v>1319428.9775445219</v>
      </c>
      <c r="F61" s="58">
        <f t="shared" si="12"/>
        <v>1679279.3362185615</v>
      </c>
      <c r="G61" s="58">
        <f t="shared" si="12"/>
        <v>1916134.5562324512</v>
      </c>
      <c r="H61" s="58">
        <f t="shared" si="12"/>
        <v>2067607.0856383701</v>
      </c>
      <c r="I61" s="58">
        <f t="shared" si="12"/>
        <v>2053327.5361316265</v>
      </c>
      <c r="J61" s="58">
        <f t="shared" si="12"/>
        <v>2072099.6962723536</v>
      </c>
      <c r="K61" s="58">
        <f t="shared" si="12"/>
        <v>2055302.0018723973</v>
      </c>
      <c r="L61" s="58">
        <f t="shared" si="12"/>
        <v>2020476.9655463465</v>
      </c>
      <c r="M61" s="58">
        <f t="shared" si="12"/>
        <v>1978259.7261460114</v>
      </c>
    </row>
    <row r="62" spans="3:13" ht="16.5" thickTop="1" thickBot="1" x14ac:dyDescent="0.3"/>
    <row r="63" spans="3:13" ht="27" thickTop="1" thickBot="1" x14ac:dyDescent="0.4">
      <c r="C63" s="126" t="s">
        <v>96</v>
      </c>
      <c r="D63" s="127">
        <f>D58+((F8-D61)/E60)</f>
        <v>2.8976023902067669</v>
      </c>
    </row>
    <row r="64" spans="3:13" ht="15.75" thickTop="1" x14ac:dyDescent="0.25"/>
    <row r="69" spans="3:13" ht="15.75" thickBot="1" x14ac:dyDescent="0.3"/>
    <row r="70" spans="3:13" ht="17.25" thickTop="1" thickBot="1" x14ac:dyDescent="0.3">
      <c r="C70" s="167" t="s">
        <v>97</v>
      </c>
      <c r="D70" s="161"/>
      <c r="E70" s="161"/>
      <c r="F70" s="161"/>
      <c r="G70" s="161"/>
      <c r="H70" s="161"/>
      <c r="I70" s="161"/>
      <c r="J70" s="161"/>
      <c r="K70" s="161"/>
      <c r="L70" s="161"/>
      <c r="M70" s="162"/>
    </row>
    <row r="71" spans="3:13" ht="16.5" thickTop="1" thickBot="1" x14ac:dyDescent="0.3">
      <c r="C71" s="55" t="s">
        <v>57</v>
      </c>
      <c r="D71" s="46">
        <v>1</v>
      </c>
      <c r="E71" s="47">
        <v>2</v>
      </c>
      <c r="F71" s="47">
        <v>3</v>
      </c>
      <c r="G71" s="47">
        <v>4</v>
      </c>
      <c r="H71" s="47">
        <v>5</v>
      </c>
      <c r="I71" s="47">
        <v>6</v>
      </c>
      <c r="J71" s="47">
        <v>7</v>
      </c>
      <c r="K71" s="47">
        <v>8</v>
      </c>
      <c r="L71" s="47">
        <v>9</v>
      </c>
      <c r="M71" s="47">
        <v>10</v>
      </c>
    </row>
    <row r="72" spans="3:13" ht="16.5" thickTop="1" thickBot="1" x14ac:dyDescent="0.3">
      <c r="C72" s="56" t="s">
        <v>90</v>
      </c>
      <c r="D72" s="16">
        <f>D59</f>
        <v>1136850.5747126436</v>
      </c>
      <c r="E72" s="16">
        <f t="shared" ref="E72:M72" si="13">E59</f>
        <v>1125666.091954024</v>
      </c>
      <c r="F72" s="16">
        <f t="shared" si="13"/>
        <v>1097048.7997126442</v>
      </c>
      <c r="G72" s="16">
        <f t="shared" si="13"/>
        <v>1047019.9804165241</v>
      </c>
      <c r="H72" s="16">
        <f t="shared" si="13"/>
        <v>970898.63126615074</v>
      </c>
      <c r="I72" s="16">
        <f t="shared" si="13"/>
        <v>-132715.76656226791</v>
      </c>
      <c r="J72" s="16">
        <f t="shared" si="13"/>
        <v>252982.37537522306</v>
      </c>
      <c r="K72" s="16">
        <f t="shared" si="13"/>
        <v>-328241.65506223822</v>
      </c>
      <c r="L72" s="16">
        <f t="shared" si="13"/>
        <v>-986741.96405656135</v>
      </c>
      <c r="M72" s="16">
        <f t="shared" si="13"/>
        <v>-1734482.2251647648</v>
      </c>
    </row>
    <row r="73" spans="3:13" ht="16.5" thickTop="1" thickBot="1" x14ac:dyDescent="0.3">
      <c r="C73" s="45" t="s">
        <v>98</v>
      </c>
      <c r="D73" s="16">
        <f>D72/POWER(1+$D74,D71)</f>
        <v>784034.8791121681</v>
      </c>
      <c r="E73" s="16">
        <f t="shared" ref="E73:M73" si="14">E72/POWER(1+$D74,E71)</f>
        <v>535394.09843235393</v>
      </c>
      <c r="F73" s="16">
        <f t="shared" si="14"/>
        <v>359850.35867403966</v>
      </c>
      <c r="G73" s="16">
        <f t="shared" si="14"/>
        <v>236855.22001388963</v>
      </c>
      <c r="H73" s="16">
        <f t="shared" si="14"/>
        <v>151472.52940591885</v>
      </c>
      <c r="I73" s="16">
        <f t="shared" si="14"/>
        <v>-14279.549506743611</v>
      </c>
      <c r="J73" s="16">
        <f t="shared" si="14"/>
        <v>18772.160140727276</v>
      </c>
      <c r="K73" s="16">
        <f t="shared" si="14"/>
        <v>-16797.694399956465</v>
      </c>
      <c r="L73" s="16">
        <f t="shared" si="14"/>
        <v>-34825.036326050787</v>
      </c>
      <c r="M73" s="16">
        <f t="shared" si="14"/>
        <v>-42217.239400335042</v>
      </c>
    </row>
    <row r="74" spans="3:13" ht="16.5" thickTop="1" thickBot="1" x14ac:dyDescent="0.3">
      <c r="C74" s="45" t="s">
        <v>99</v>
      </c>
      <c r="D74" s="59">
        <v>0.45</v>
      </c>
    </row>
    <row r="75" spans="3:13" ht="16.5" thickTop="1" thickBot="1" x14ac:dyDescent="0.3">
      <c r="C75" s="45" t="s">
        <v>100</v>
      </c>
      <c r="D75" s="16">
        <f>SUM(D73:M73)</f>
        <v>1978259.7261460114</v>
      </c>
    </row>
    <row r="76" spans="3:13" ht="27" thickTop="1" thickBot="1" x14ac:dyDescent="0.4">
      <c r="C76" s="126" t="s">
        <v>97</v>
      </c>
      <c r="D76" s="127">
        <f>D75/F8</f>
        <v>1.0990331811922285</v>
      </c>
      <c r="G76" s="94" t="s">
        <v>145</v>
      </c>
      <c r="H76" s="95"/>
      <c r="I76" s="96"/>
    </row>
    <row r="77" spans="3:13" ht="15.75" thickTop="1" x14ac:dyDescent="0.25"/>
    <row r="78" spans="3:13" ht="15.75" thickBot="1" x14ac:dyDescent="0.3"/>
    <row r="79" spans="3:13" ht="24.75" thickTop="1" thickBot="1" x14ac:dyDescent="0.4">
      <c r="C79" s="145" t="s">
        <v>101</v>
      </c>
      <c r="D79" s="145"/>
      <c r="G79" s="57" t="s">
        <v>137</v>
      </c>
      <c r="J79" s="128" t="s">
        <v>144</v>
      </c>
      <c r="K79" s="129" t="str">
        <f>IF(D83&gt;D84,"ACEPTADO","RECHAZADO")</f>
        <v>RECHAZADO</v>
      </c>
    </row>
    <row r="80" spans="3:13" ht="16.5" thickTop="1" thickBot="1" x14ac:dyDescent="0.3">
      <c r="C80" s="56" t="s">
        <v>102</v>
      </c>
      <c r="D80" s="16">
        <f>M43</f>
        <v>2448284.842591377</v>
      </c>
      <c r="G80" s="56" t="s">
        <v>138</v>
      </c>
      <c r="H80" s="93" t="s">
        <v>139</v>
      </c>
    </row>
    <row r="81" spans="3:13" ht="16.5" thickTop="1" thickBot="1" x14ac:dyDescent="0.3">
      <c r="C81" s="45" t="s">
        <v>103</v>
      </c>
      <c r="D81" s="61">
        <v>10</v>
      </c>
      <c r="G81" s="45" t="s">
        <v>140</v>
      </c>
      <c r="H81" s="93" t="s">
        <v>143</v>
      </c>
    </row>
    <row r="82" spans="3:13" ht="16.5" thickTop="1" thickBot="1" x14ac:dyDescent="0.3">
      <c r="C82" s="45" t="s">
        <v>104</v>
      </c>
      <c r="D82" s="59" t="s">
        <v>107</v>
      </c>
      <c r="G82" s="45" t="s">
        <v>142</v>
      </c>
      <c r="H82" s="93" t="s">
        <v>141</v>
      </c>
    </row>
    <row r="83" spans="3:13" ht="24.75" thickTop="1" thickBot="1" x14ac:dyDescent="0.4">
      <c r="C83" s="125" t="s">
        <v>105</v>
      </c>
      <c r="D83" s="130">
        <f>(D80/D81)/F8</f>
        <v>0.13601582458840983</v>
      </c>
    </row>
    <row r="84" spans="3:13" ht="16.5" thickTop="1" thickBot="1" x14ac:dyDescent="0.3">
      <c r="C84" s="13" t="s">
        <v>106</v>
      </c>
      <c r="D84" s="62">
        <v>0.45</v>
      </c>
    </row>
    <row r="85" spans="3:13" ht="15.75" thickTop="1" x14ac:dyDescent="0.25"/>
    <row r="86" spans="3:13" ht="15.75" thickBot="1" x14ac:dyDescent="0.3"/>
    <row r="87" spans="3:13" ht="17.25" thickTop="1" thickBot="1" x14ac:dyDescent="0.3">
      <c r="C87" s="164" t="s">
        <v>123</v>
      </c>
      <c r="D87" s="164"/>
      <c r="E87" s="164"/>
      <c r="F87" s="164"/>
      <c r="G87" s="164"/>
      <c r="H87" s="164"/>
      <c r="I87" s="164"/>
      <c r="J87" s="164"/>
      <c r="K87" s="164"/>
      <c r="L87" s="164"/>
      <c r="M87" s="164"/>
    </row>
    <row r="88" spans="3:13" ht="16.5" thickTop="1" thickBot="1" x14ac:dyDescent="0.3">
      <c r="C88" s="44"/>
      <c r="D88" s="46">
        <v>1</v>
      </c>
      <c r="E88" s="47">
        <v>2</v>
      </c>
      <c r="F88" s="47">
        <v>3</v>
      </c>
      <c r="G88" s="47">
        <v>4</v>
      </c>
      <c r="H88" s="47">
        <v>5</v>
      </c>
      <c r="I88" s="47">
        <v>6</v>
      </c>
      <c r="J88" s="47">
        <v>7</v>
      </c>
      <c r="K88" s="47">
        <v>8</v>
      </c>
      <c r="L88" s="47">
        <v>9</v>
      </c>
      <c r="M88" s="47">
        <v>10</v>
      </c>
    </row>
    <row r="89" spans="3:13" ht="16.5" thickTop="1" thickBot="1" x14ac:dyDescent="0.3">
      <c r="C89" s="56" t="s">
        <v>90</v>
      </c>
      <c r="D89" s="16">
        <f>D72</f>
        <v>1136850.5747126436</v>
      </c>
      <c r="E89" s="16">
        <f t="shared" ref="E89:M89" si="15">E72</f>
        <v>1125666.091954024</v>
      </c>
      <c r="F89" s="16">
        <f t="shared" si="15"/>
        <v>1097048.7997126442</v>
      </c>
      <c r="G89" s="16">
        <f t="shared" si="15"/>
        <v>1047019.9804165241</v>
      </c>
      <c r="H89" s="16">
        <f t="shared" si="15"/>
        <v>970898.63126615074</v>
      </c>
      <c r="I89" s="16">
        <f t="shared" si="15"/>
        <v>-132715.76656226791</v>
      </c>
      <c r="J89" s="16">
        <f t="shared" si="15"/>
        <v>252982.37537522306</v>
      </c>
      <c r="K89" s="16">
        <f t="shared" si="15"/>
        <v>-328241.65506223822</v>
      </c>
      <c r="L89" s="16">
        <f t="shared" si="15"/>
        <v>-986741.96405656135</v>
      </c>
      <c r="M89" s="16">
        <f t="shared" si="15"/>
        <v>-1734482.2251647648</v>
      </c>
    </row>
    <row r="90" spans="3:13" ht="16.5" thickTop="1" thickBot="1" x14ac:dyDescent="0.3">
      <c r="C90" s="56" t="s">
        <v>108</v>
      </c>
      <c r="D90" s="60">
        <f>POWER($D84+1,D88)</f>
        <v>1.45</v>
      </c>
      <c r="E90" s="60">
        <f t="shared" ref="E90:M90" si="16">POWER($D84+1,E88)</f>
        <v>2.1025</v>
      </c>
      <c r="F90" s="60">
        <f t="shared" si="16"/>
        <v>3.0486249999999999</v>
      </c>
      <c r="G90" s="60">
        <f t="shared" si="16"/>
        <v>4.4205062499999999</v>
      </c>
      <c r="H90" s="60">
        <f t="shared" si="16"/>
        <v>6.4097340624999992</v>
      </c>
      <c r="I90" s="60">
        <f t="shared" si="16"/>
        <v>9.2941143906249994</v>
      </c>
      <c r="J90" s="60">
        <f t="shared" si="16"/>
        <v>13.476465866406249</v>
      </c>
      <c r="K90" s="60">
        <f t="shared" si="16"/>
        <v>19.540875506289062</v>
      </c>
      <c r="L90" s="60">
        <f t="shared" si="16"/>
        <v>28.33426948411914</v>
      </c>
      <c r="M90" s="60">
        <f t="shared" si="16"/>
        <v>41.084690751972751</v>
      </c>
    </row>
    <row r="91" spans="3:13" ht="16.5" thickTop="1" thickBot="1" x14ac:dyDescent="0.3">
      <c r="C91" s="45" t="s">
        <v>109</v>
      </c>
      <c r="D91" s="16">
        <f>D89/D90</f>
        <v>784034.8791121681</v>
      </c>
      <c r="E91" s="16">
        <f t="shared" ref="E91:M91" si="17">E89/E90</f>
        <v>535394.09843235393</v>
      </c>
      <c r="F91" s="16">
        <f t="shared" si="17"/>
        <v>359850.35867403966</v>
      </c>
      <c r="G91" s="16">
        <f t="shared" si="17"/>
        <v>236855.22001388963</v>
      </c>
      <c r="H91" s="16">
        <f t="shared" si="17"/>
        <v>151472.52940591885</v>
      </c>
      <c r="I91" s="16">
        <f t="shared" si="17"/>
        <v>-14279.549506743611</v>
      </c>
      <c r="J91" s="16">
        <f t="shared" si="17"/>
        <v>18772.160140727276</v>
      </c>
      <c r="K91" s="16">
        <f t="shared" si="17"/>
        <v>-16797.694399956465</v>
      </c>
      <c r="L91" s="16">
        <f t="shared" si="17"/>
        <v>-34825.036326050787</v>
      </c>
      <c r="M91" s="16">
        <f t="shared" si="17"/>
        <v>-42217.239400335042</v>
      </c>
    </row>
    <row r="92" spans="3:13" ht="16.5" thickTop="1" thickBot="1" x14ac:dyDescent="0.3">
      <c r="C92" s="43" t="s">
        <v>106</v>
      </c>
      <c r="D92" s="168">
        <v>0.45</v>
      </c>
      <c r="E92" s="169"/>
      <c r="F92" s="169"/>
      <c r="G92" s="169"/>
      <c r="H92" s="169"/>
      <c r="I92" s="169"/>
      <c r="J92" s="169"/>
      <c r="K92" s="169"/>
      <c r="L92" s="169"/>
      <c r="M92" s="170"/>
    </row>
    <row r="93" spans="3:13" ht="24.75" thickTop="1" thickBot="1" x14ac:dyDescent="0.3">
      <c r="C93" s="13" t="s">
        <v>110</v>
      </c>
      <c r="D93" s="171">
        <f>SUM(D91:M91)-F8</f>
        <v>178259.72614601138</v>
      </c>
      <c r="E93" s="172"/>
      <c r="F93" s="172"/>
      <c r="G93" s="172"/>
      <c r="H93" s="172"/>
      <c r="I93" s="172"/>
      <c r="J93" s="172"/>
      <c r="K93" s="172"/>
      <c r="L93" s="172"/>
      <c r="M93" s="173"/>
    </row>
    <row r="94" spans="3:13" ht="15.75" thickTop="1" x14ac:dyDescent="0.25"/>
    <row r="95" spans="3:13" ht="15.75" thickBot="1" x14ac:dyDescent="0.3"/>
    <row r="96" spans="3:13" ht="17.25" thickTop="1" thickBot="1" x14ac:dyDescent="0.3">
      <c r="C96" s="164" t="s">
        <v>124</v>
      </c>
      <c r="D96" s="164"/>
      <c r="E96" s="164"/>
      <c r="F96" s="164"/>
      <c r="G96" s="164"/>
      <c r="H96" s="164"/>
      <c r="I96" s="164"/>
      <c r="J96" s="164"/>
      <c r="K96" s="164"/>
      <c r="L96" s="164"/>
      <c r="M96" s="164"/>
    </row>
    <row r="97" spans="3:13" ht="16.5" thickTop="1" thickBot="1" x14ac:dyDescent="0.3">
      <c r="C97" s="44"/>
      <c r="D97" s="46">
        <v>1</v>
      </c>
      <c r="E97" s="47">
        <v>2</v>
      </c>
      <c r="F97" s="47">
        <v>3</v>
      </c>
      <c r="G97" s="47">
        <v>4</v>
      </c>
      <c r="H97" s="47">
        <v>5</v>
      </c>
      <c r="I97" s="47">
        <v>6</v>
      </c>
      <c r="J97" s="47">
        <v>7</v>
      </c>
      <c r="K97" s="47">
        <v>8</v>
      </c>
      <c r="L97" s="47">
        <v>9</v>
      </c>
      <c r="M97" s="47">
        <v>10</v>
      </c>
    </row>
    <row r="98" spans="3:13" ht="16.5" thickTop="1" thickBot="1" x14ac:dyDescent="0.3">
      <c r="C98" s="56" t="s">
        <v>90</v>
      </c>
      <c r="D98" s="16">
        <f>D89</f>
        <v>1136850.5747126436</v>
      </c>
      <c r="E98" s="16">
        <f t="shared" ref="E98:M98" si="18">E89</f>
        <v>1125666.091954024</v>
      </c>
      <c r="F98" s="16">
        <f t="shared" si="18"/>
        <v>1097048.7997126442</v>
      </c>
      <c r="G98" s="16">
        <f t="shared" si="18"/>
        <v>1047019.9804165241</v>
      </c>
      <c r="H98" s="16">
        <f t="shared" si="18"/>
        <v>970898.63126615074</v>
      </c>
      <c r="I98" s="16">
        <f t="shared" si="18"/>
        <v>-132715.76656226791</v>
      </c>
      <c r="J98" s="16">
        <f t="shared" si="18"/>
        <v>252982.37537522306</v>
      </c>
      <c r="K98" s="16">
        <f t="shared" si="18"/>
        <v>-328241.65506223822</v>
      </c>
      <c r="L98" s="16">
        <f t="shared" si="18"/>
        <v>-986741.96405656135</v>
      </c>
      <c r="M98" s="16">
        <f t="shared" si="18"/>
        <v>-1734482.2251647648</v>
      </c>
    </row>
    <row r="99" spans="3:13" ht="16.5" thickTop="1" thickBot="1" x14ac:dyDescent="0.3">
      <c r="C99" s="56" t="s">
        <v>125</v>
      </c>
      <c r="D99" s="60">
        <f>POWER(D103+1,D97)</f>
        <v>1.5840000000000001</v>
      </c>
      <c r="E99" s="60">
        <f>POWER($D103+1,E97)</f>
        <v>2.5090560000000002</v>
      </c>
      <c r="F99" s="60">
        <f t="shared" ref="F99:M99" si="19">POWER($D103+1,F97)</f>
        <v>3.9743447040000004</v>
      </c>
      <c r="G99" s="60">
        <f t="shared" si="19"/>
        <v>6.2953620111360005</v>
      </c>
      <c r="H99" s="60">
        <f t="shared" si="19"/>
        <v>9.9718534256394253</v>
      </c>
      <c r="I99" s="60">
        <f t="shared" si="19"/>
        <v>15.795415826212849</v>
      </c>
      <c r="J99" s="60">
        <f t="shared" si="19"/>
        <v>25.019938668721156</v>
      </c>
      <c r="K99" s="60">
        <f t="shared" si="19"/>
        <v>39.631582851254308</v>
      </c>
      <c r="L99" s="60">
        <f t="shared" si="19"/>
        <v>62.776427236386823</v>
      </c>
      <c r="M99" s="60">
        <f t="shared" si="19"/>
        <v>99.43786074243674</v>
      </c>
    </row>
    <row r="100" spans="3:13" ht="16.5" thickTop="1" thickBot="1" x14ac:dyDescent="0.3">
      <c r="C100" s="56" t="s">
        <v>132</v>
      </c>
      <c r="D100" s="16">
        <f>D98/D99</f>
        <v>717708.69615697197</v>
      </c>
      <c r="E100" s="16">
        <f t="shared" ref="E100:M100" si="20">E98/E99</f>
        <v>448641.27861395839</v>
      </c>
      <c r="F100" s="16">
        <f t="shared" si="20"/>
        <v>276032.62460060738</v>
      </c>
      <c r="G100" s="16">
        <f t="shared" si="20"/>
        <v>166316.08771098914</v>
      </c>
      <c r="H100" s="16">
        <f t="shared" si="20"/>
        <v>97363.909177585389</v>
      </c>
      <c r="I100" s="16">
        <f t="shared" si="20"/>
        <v>-8402.1698461412507</v>
      </c>
      <c r="J100" s="16">
        <f t="shared" si="20"/>
        <v>10111.230835729053</v>
      </c>
      <c r="K100" s="16">
        <f t="shared" si="20"/>
        <v>-8282.3251419000444</v>
      </c>
      <c r="L100" s="16">
        <f t="shared" si="20"/>
        <v>-15718.35173640816</v>
      </c>
      <c r="M100" s="16">
        <f t="shared" si="20"/>
        <v>-17442.875502495059</v>
      </c>
    </row>
    <row r="101" spans="3:13" ht="16.5" thickTop="1" thickBot="1" x14ac:dyDescent="0.3">
      <c r="C101" s="56" t="s">
        <v>126</v>
      </c>
      <c r="D101" s="60">
        <f>POWER($D104+1,D97)</f>
        <v>1.58311</v>
      </c>
      <c r="E101" s="60">
        <f t="shared" ref="E101:M101" si="21">POWER($D104+1,E97)</f>
        <v>2.5062372720999999</v>
      </c>
      <c r="F101" s="60">
        <f t="shared" si="21"/>
        <v>3.9676492878342309</v>
      </c>
      <c r="G101" s="60">
        <f t="shared" si="21"/>
        <v>6.2812252640632487</v>
      </c>
      <c r="H101" s="60">
        <f t="shared" si="21"/>
        <v>9.9438705277911694</v>
      </c>
      <c r="I101" s="60">
        <f t="shared" si="21"/>
        <v>15.742240871251479</v>
      </c>
      <c r="J101" s="60">
        <f t="shared" si="21"/>
        <v>24.921698945686927</v>
      </c>
      <c r="K101" s="60">
        <f t="shared" si="21"/>
        <v>39.45379081790643</v>
      </c>
      <c r="L101" s="60">
        <f t="shared" si="21"/>
        <v>62.459690781735851</v>
      </c>
      <c r="M101" s="60">
        <f t="shared" si="21"/>
        <v>98.880561073473842</v>
      </c>
    </row>
    <row r="102" spans="3:13" ht="16.5" thickTop="1" thickBot="1" x14ac:dyDescent="0.3">
      <c r="C102" s="45" t="s">
        <v>127</v>
      </c>
      <c r="D102" s="16">
        <f>D98/D101</f>
        <v>718112.18090508156</v>
      </c>
      <c r="E102" s="16">
        <f t="shared" ref="E102:M102" si="22">E98/E101</f>
        <v>449145.85880802013</v>
      </c>
      <c r="F102" s="16">
        <f t="shared" si="22"/>
        <v>276498.43021066912</v>
      </c>
      <c r="G102" s="16">
        <f t="shared" si="22"/>
        <v>166690.40456275875</v>
      </c>
      <c r="H102" s="16">
        <f t="shared" si="22"/>
        <v>97637.899503284891</v>
      </c>
      <c r="I102" s="16">
        <f t="shared" si="22"/>
        <v>-8430.551129771733</v>
      </c>
      <c r="J102" s="16">
        <f t="shared" si="22"/>
        <v>10151.088652766406</v>
      </c>
      <c r="K102" s="16">
        <f t="shared" si="22"/>
        <v>-8319.6480808952583</v>
      </c>
      <c r="L102" s="16">
        <f t="shared" si="22"/>
        <v>-15798.060344306083</v>
      </c>
      <c r="M102" s="16">
        <f t="shared" si="22"/>
        <v>-17541.185105897068</v>
      </c>
    </row>
    <row r="103" spans="3:13" ht="16.5" thickTop="1" thickBot="1" x14ac:dyDescent="0.3">
      <c r="C103" s="45" t="s">
        <v>128</v>
      </c>
      <c r="D103" s="184">
        <v>0.58399999999999996</v>
      </c>
      <c r="E103" s="185"/>
      <c r="F103" s="185"/>
      <c r="G103" s="185"/>
      <c r="H103" s="185"/>
      <c r="I103" s="185"/>
      <c r="J103" s="185"/>
      <c r="K103" s="185"/>
      <c r="L103" s="185"/>
      <c r="M103" s="186"/>
    </row>
    <row r="104" spans="3:13" ht="16.5" thickTop="1" thickBot="1" x14ac:dyDescent="0.3">
      <c r="C104" s="43" t="s">
        <v>129</v>
      </c>
      <c r="D104" s="184">
        <v>0.58311000000000002</v>
      </c>
      <c r="E104" s="185"/>
      <c r="F104" s="185"/>
      <c r="G104" s="185"/>
      <c r="H104" s="185"/>
      <c r="I104" s="185"/>
      <c r="J104" s="185"/>
      <c r="K104" s="185"/>
      <c r="L104" s="185"/>
      <c r="M104" s="186"/>
    </row>
    <row r="105" spans="3:13" ht="16.5" thickTop="1" thickBot="1" x14ac:dyDescent="0.3">
      <c r="C105" s="69" t="s">
        <v>130</v>
      </c>
      <c r="D105" s="68">
        <f>F8-SUM(D100:M100)</f>
        <v>133671.89513110323</v>
      </c>
      <c r="E105" s="97">
        <f>SUM(D100:M100)</f>
        <v>1666328.1048688968</v>
      </c>
    </row>
    <row r="106" spans="3:13" ht="16.5" thickTop="1" thickBot="1" x14ac:dyDescent="0.3">
      <c r="C106" s="69" t="s">
        <v>131</v>
      </c>
      <c r="D106" s="68">
        <f>F8-SUM(D102:M102)</f>
        <v>131853.58201828925</v>
      </c>
      <c r="E106" s="97">
        <f>SUM(D102:M102)</f>
        <v>1668146.4179817108</v>
      </c>
    </row>
    <row r="107" spans="3:13" ht="15.75" thickTop="1" x14ac:dyDescent="0.25"/>
    <row r="108" spans="3:13" ht="15.75" thickBot="1" x14ac:dyDescent="0.3"/>
    <row r="109" spans="3:13" ht="17.25" thickTop="1" thickBot="1" x14ac:dyDescent="0.3">
      <c r="C109" s="72">
        <f>D104</f>
        <v>0.58311000000000002</v>
      </c>
      <c r="D109" s="66">
        <f>E106</f>
        <v>1668146.4179817108</v>
      </c>
      <c r="E109" s="67">
        <f>E106</f>
        <v>1668146.4179817108</v>
      </c>
      <c r="G109" s="73" t="s">
        <v>135</v>
      </c>
    </row>
    <row r="110" spans="3:13" ht="17.25" thickTop="1" thickBot="1" x14ac:dyDescent="0.3">
      <c r="C110" s="72" t="s">
        <v>133</v>
      </c>
      <c r="D110" s="98"/>
      <c r="E110" s="99">
        <f>F8</f>
        <v>1800000</v>
      </c>
      <c r="G110" s="74">
        <f>D103-D104</f>
        <v>8.8999999999994639E-4</v>
      </c>
    </row>
    <row r="111" spans="3:13" ht="17.25" thickTop="1" thickBot="1" x14ac:dyDescent="0.3">
      <c r="C111" s="72">
        <f>D103</f>
        <v>0.58399999999999996</v>
      </c>
      <c r="D111" s="100">
        <f>E105</f>
        <v>1666328.1048688968</v>
      </c>
      <c r="E111" s="93"/>
      <c r="F111" s="63"/>
    </row>
    <row r="112" spans="3:13" ht="16.5" thickTop="1" thickBot="1" x14ac:dyDescent="0.3">
      <c r="D112" s="101">
        <f>D109-D111</f>
        <v>1818.3131128139794</v>
      </c>
      <c r="E112" s="102">
        <f>E109-E110</f>
        <v>-131853.58201828925</v>
      </c>
    </row>
    <row r="113" spans="3:13" ht="16.5" thickTop="1" thickBot="1" x14ac:dyDescent="0.3"/>
    <row r="114" spans="3:13" ht="24.75" thickTop="1" thickBot="1" x14ac:dyDescent="0.4">
      <c r="C114" s="128" t="s">
        <v>134</v>
      </c>
      <c r="D114" s="131">
        <f>C109+((E112/D112)*G110)</f>
        <v>0.51857233199921071</v>
      </c>
      <c r="E114" s="132">
        <f>D114</f>
        <v>0.51857233199921071</v>
      </c>
    </row>
    <row r="115" spans="3:13" ht="15.75" thickTop="1" x14ac:dyDescent="0.25"/>
    <row r="116" spans="3:13" ht="15.75" thickBot="1" x14ac:dyDescent="0.3"/>
    <row r="117" spans="3:13" ht="17.25" thickTop="1" thickBot="1" x14ac:dyDescent="0.3">
      <c r="C117" s="164" t="s">
        <v>136</v>
      </c>
      <c r="D117" s="164"/>
      <c r="E117" s="164"/>
      <c r="F117" s="164"/>
      <c r="G117" s="164"/>
      <c r="H117" s="164"/>
      <c r="I117" s="164"/>
      <c r="J117" s="164"/>
      <c r="K117" s="164"/>
      <c r="L117" s="164"/>
      <c r="M117" s="164"/>
    </row>
    <row r="118" spans="3:13" ht="16.5" thickTop="1" thickBot="1" x14ac:dyDescent="0.3">
      <c r="C118" s="56" t="s">
        <v>108</v>
      </c>
      <c r="D118" s="71">
        <f>POWER($E114+1,D97)</f>
        <v>1.5185723319992106</v>
      </c>
      <c r="E118" s="70">
        <f t="shared" ref="E118:M118" si="23">POWER($E114+1,E97)</f>
        <v>2.3060619275135208</v>
      </c>
      <c r="F118" s="70">
        <f t="shared" si="23"/>
        <v>3.5019218389988018</v>
      </c>
      <c r="G118" s="70">
        <f t="shared" si="23"/>
        <v>5.3179216135273748</v>
      </c>
      <c r="H118" s="70">
        <f t="shared" si="23"/>
        <v>8.0756486260432698</v>
      </c>
      <c r="I118" s="70">
        <f t="shared" si="23"/>
        <v>12.26345656645675</v>
      </c>
      <c r="J118" s="70">
        <f t="shared" si="23"/>
        <v>18.622945836495258</v>
      </c>
      <c r="K118" s="70">
        <f t="shared" si="23"/>
        <v>28.280290287621597</v>
      </c>
      <c r="L118" s="70">
        <f t="shared" si="23"/>
        <v>42.945666371688155</v>
      </c>
      <c r="M118" s="70">
        <f t="shared" si="23"/>
        <v>65.216100731314555</v>
      </c>
    </row>
    <row r="119" spans="3:13" ht="16.5" thickTop="1" thickBot="1" x14ac:dyDescent="0.3">
      <c r="C119" s="45" t="s">
        <v>109</v>
      </c>
      <c r="D119" s="16">
        <f>D98/D118</f>
        <v>748631.1654420651</v>
      </c>
      <c r="E119" s="16">
        <f t="shared" ref="E119:M119" si="24">E98/E118</f>
        <v>488133.50522973936</v>
      </c>
      <c r="F119" s="16">
        <f t="shared" si="24"/>
        <v>313270.4983576361</v>
      </c>
      <c r="G119" s="16">
        <f t="shared" si="24"/>
        <v>196885.18494766534</v>
      </c>
      <c r="H119" s="16">
        <f t="shared" si="24"/>
        <v>120225.46747948969</v>
      </c>
      <c r="I119" s="16">
        <f t="shared" si="24"/>
        <v>-10822.052154958881</v>
      </c>
      <c r="J119" s="16">
        <f t="shared" si="24"/>
        <v>13584.444566200436</v>
      </c>
      <c r="K119" s="16">
        <f t="shared" si="24"/>
        <v>-11606.728634108504</v>
      </c>
      <c r="L119" s="16">
        <f t="shared" si="24"/>
        <v>-22976.520040845589</v>
      </c>
      <c r="M119" s="16">
        <f t="shared" si="24"/>
        <v>-26595.920420184295</v>
      </c>
    </row>
    <row r="120" spans="3:13" ht="16.5" thickTop="1" thickBot="1" x14ac:dyDescent="0.3">
      <c r="C120" s="43" t="s">
        <v>106</v>
      </c>
      <c r="D120" s="181">
        <f>E114</f>
        <v>0.51857233199921071</v>
      </c>
      <c r="E120" s="182"/>
      <c r="F120" s="182"/>
      <c r="G120" s="182"/>
      <c r="H120" s="182"/>
      <c r="I120" s="182"/>
      <c r="J120" s="182"/>
      <c r="K120" s="182"/>
      <c r="L120" s="182"/>
      <c r="M120" s="183"/>
    </row>
    <row r="121" spans="3:13" ht="16.5" thickTop="1" thickBot="1" x14ac:dyDescent="0.3">
      <c r="C121" s="69" t="s">
        <v>130</v>
      </c>
      <c r="D121" s="68">
        <f>SUM(D119:M119)</f>
        <v>1808729.0447726988</v>
      </c>
    </row>
    <row r="122" spans="3:13" ht="16.5" thickTop="1" thickBot="1" x14ac:dyDescent="0.3">
      <c r="D122" s="68">
        <f>D121-F8</f>
        <v>8729.0447726987768</v>
      </c>
    </row>
    <row r="123" spans="3:13" ht="15.75" thickTop="1" x14ac:dyDescent="0.25"/>
  </sheetData>
  <mergeCells count="25">
    <mergeCell ref="C117:M117"/>
    <mergeCell ref="D120:M120"/>
    <mergeCell ref="C96:M96"/>
    <mergeCell ref="D104:M104"/>
    <mergeCell ref="D103:M103"/>
    <mergeCell ref="C57:M57"/>
    <mergeCell ref="C3:M3"/>
    <mergeCell ref="C4:C8"/>
    <mergeCell ref="D4:E4"/>
    <mergeCell ref="D5:E5"/>
    <mergeCell ref="D6:E6"/>
    <mergeCell ref="D7:E7"/>
    <mergeCell ref="D8:E8"/>
    <mergeCell ref="C34:M34"/>
    <mergeCell ref="C41:M41"/>
    <mergeCell ref="C47:M47"/>
    <mergeCell ref="C9:M9"/>
    <mergeCell ref="D13:M13"/>
    <mergeCell ref="D15:M15"/>
    <mergeCell ref="C20:M20"/>
    <mergeCell ref="C70:M70"/>
    <mergeCell ref="C79:D79"/>
    <mergeCell ref="C87:M87"/>
    <mergeCell ref="D92:M92"/>
    <mergeCell ref="D93:M93"/>
  </mergeCells>
  <pageMargins left="0.7" right="0.7" top="0.75" bottom="0.75" header="0.3" footer="0.3"/>
  <pageSetup orientation="portrait" r:id="rId1"/>
  <drawing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96FF6-728F-4D85-AAEF-1B81C5912265}">
  <dimension ref="C5:L141"/>
  <sheetViews>
    <sheetView showGridLines="0" topLeftCell="A61" zoomScaleNormal="100" workbookViewId="0">
      <selection activeCell="G83" sqref="G83"/>
    </sheetView>
  </sheetViews>
  <sheetFormatPr baseColWidth="10" defaultRowHeight="15" x14ac:dyDescent="0.25"/>
  <cols>
    <col min="2" max="2" width="31" bestFit="1" customWidth="1"/>
    <col min="3" max="3" width="17.875" customWidth="1"/>
    <col min="4" max="4" width="25.375" bestFit="1" customWidth="1"/>
    <col min="5" max="6" width="13.625" bestFit="1" customWidth="1"/>
    <col min="7" max="7" width="13.75" bestFit="1" customWidth="1"/>
    <col min="8" max="8" width="14.625" bestFit="1" customWidth="1"/>
    <col min="9" max="9" width="20.625" bestFit="1" customWidth="1"/>
    <col min="10" max="12" width="14.625" bestFit="1" customWidth="1"/>
  </cols>
  <sheetData>
    <row r="5" spans="3:12" ht="15.75" thickBot="1" x14ac:dyDescent="0.3"/>
    <row r="6" spans="3:12" ht="16.5" thickTop="1" thickBot="1" x14ac:dyDescent="0.3">
      <c r="C6" s="179" t="s">
        <v>146</v>
      </c>
      <c r="D6" s="179"/>
      <c r="E6" s="179"/>
      <c r="F6" s="179"/>
      <c r="G6" s="179"/>
      <c r="H6" s="179"/>
      <c r="I6" s="179"/>
      <c r="J6" s="179"/>
      <c r="K6" s="179"/>
      <c r="L6" s="179"/>
    </row>
    <row r="7" spans="3:12" ht="16.5" thickTop="1" thickBot="1" x14ac:dyDescent="0.3">
      <c r="C7" s="179"/>
      <c r="D7" s="179"/>
      <c r="E7" s="179"/>
      <c r="F7" s="179"/>
      <c r="G7" s="179"/>
      <c r="H7" s="179"/>
      <c r="I7" s="179"/>
      <c r="J7" s="179"/>
      <c r="K7" s="179"/>
      <c r="L7" s="179"/>
    </row>
    <row r="8" spans="3:12" ht="16.5" thickTop="1" thickBot="1" x14ac:dyDescent="0.3"/>
    <row r="9" spans="3:12" ht="16.5" thickTop="1" thickBot="1" x14ac:dyDescent="0.3">
      <c r="C9" s="105" t="s">
        <v>57</v>
      </c>
      <c r="H9" s="63"/>
    </row>
    <row r="10" spans="3:12" ht="16.5" thickTop="1" thickBot="1" x14ac:dyDescent="0.3">
      <c r="C10" s="106">
        <v>0</v>
      </c>
      <c r="D10" s="187" t="s">
        <v>111</v>
      </c>
      <c r="E10" s="188"/>
      <c r="F10" s="188"/>
      <c r="G10" s="189"/>
      <c r="H10" s="65"/>
      <c r="I10" s="188" t="s">
        <v>115</v>
      </c>
      <c r="J10" s="188"/>
      <c r="K10" s="188"/>
      <c r="L10" s="189"/>
    </row>
    <row r="11" spans="3:12" ht="16.5" thickTop="1" thickBot="1" x14ac:dyDescent="0.3">
      <c r="D11" s="107" t="s">
        <v>114</v>
      </c>
      <c r="E11" s="107"/>
      <c r="F11" s="107"/>
      <c r="G11" s="108">
        <f>Metodos!F7</f>
        <v>200000</v>
      </c>
      <c r="H11" s="65"/>
      <c r="I11" s="107"/>
      <c r="J11" s="117"/>
      <c r="K11" s="117"/>
      <c r="L11" s="108">
        <v>0</v>
      </c>
    </row>
    <row r="12" spans="3:12" ht="16.5" thickTop="1" thickBot="1" x14ac:dyDescent="0.3">
      <c r="D12" s="187" t="s">
        <v>112</v>
      </c>
      <c r="E12" s="188"/>
      <c r="F12" s="188"/>
      <c r="G12" s="189"/>
      <c r="H12" s="65"/>
      <c r="I12" s="107" t="s">
        <v>116</v>
      </c>
      <c r="J12" s="111"/>
      <c r="K12" s="111"/>
      <c r="L12" s="108"/>
    </row>
    <row r="13" spans="3:12" ht="16.5" thickTop="1" thickBot="1" x14ac:dyDescent="0.3">
      <c r="D13" s="107" t="s">
        <v>26</v>
      </c>
      <c r="E13" s="109"/>
      <c r="F13" s="110"/>
      <c r="G13" s="108">
        <f>Metodos!$F4</f>
        <v>100000</v>
      </c>
      <c r="H13" s="65"/>
      <c r="I13" s="107" t="s">
        <v>117</v>
      </c>
      <c r="J13" s="111"/>
      <c r="K13" s="111"/>
      <c r="L13" s="108">
        <v>1800000</v>
      </c>
    </row>
    <row r="14" spans="3:12" ht="16.5" thickTop="1" thickBot="1" x14ac:dyDescent="0.3">
      <c r="D14" s="107" t="s">
        <v>27</v>
      </c>
      <c r="E14" s="111"/>
      <c r="F14" s="112"/>
      <c r="G14" s="108">
        <f>Metodos!F$5</f>
        <v>500000</v>
      </c>
      <c r="H14" s="65"/>
      <c r="I14" s="113" t="s">
        <v>80</v>
      </c>
      <c r="J14" s="111"/>
      <c r="K14" s="111"/>
      <c r="L14" s="108">
        <v>0</v>
      </c>
    </row>
    <row r="15" spans="3:12" ht="16.5" thickTop="1" thickBot="1" x14ac:dyDescent="0.3">
      <c r="D15" s="107" t="s">
        <v>68</v>
      </c>
      <c r="E15" s="111"/>
      <c r="F15" s="112"/>
      <c r="G15" s="108">
        <v>0</v>
      </c>
      <c r="H15" s="65"/>
      <c r="I15" s="117"/>
      <c r="J15" s="111"/>
      <c r="K15" s="111"/>
      <c r="L15" s="118"/>
    </row>
    <row r="16" spans="3:12" ht="16.5" thickTop="1" thickBot="1" x14ac:dyDescent="0.3">
      <c r="D16" s="107" t="s">
        <v>29</v>
      </c>
      <c r="E16" s="111"/>
      <c r="F16" s="112"/>
      <c r="G16" s="108">
        <f>Metodos!F6</f>
        <v>1000000</v>
      </c>
      <c r="H16" s="65"/>
      <c r="I16" s="111"/>
      <c r="J16" s="111"/>
      <c r="K16" s="111"/>
      <c r="L16" s="118"/>
    </row>
    <row r="17" spans="3:12" ht="16.5" thickTop="1" thickBot="1" x14ac:dyDescent="0.3">
      <c r="D17" s="107" t="s">
        <v>67</v>
      </c>
      <c r="E17" s="111"/>
      <c r="F17" s="112"/>
      <c r="G17" s="108">
        <v>0</v>
      </c>
      <c r="H17" s="65"/>
      <c r="I17" s="119"/>
      <c r="J17" s="119"/>
      <c r="K17" s="119"/>
      <c r="L17" s="120"/>
    </row>
    <row r="18" spans="3:12" ht="16.5" thickTop="1" thickBot="1" x14ac:dyDescent="0.3">
      <c r="D18" s="113" t="s">
        <v>113</v>
      </c>
      <c r="E18" s="114"/>
      <c r="F18" s="115"/>
      <c r="G18" s="116">
        <f>SUM(G13:G17,G11)</f>
        <v>1800000</v>
      </c>
      <c r="H18" s="65"/>
      <c r="I18" s="121" t="s">
        <v>118</v>
      </c>
      <c r="J18" s="114"/>
      <c r="K18" s="122"/>
      <c r="L18" s="116">
        <f>SUM(L13:L14,L11)</f>
        <v>1800000</v>
      </c>
    </row>
    <row r="19" spans="3:12" ht="15.75" thickTop="1" x14ac:dyDescent="0.25">
      <c r="F19" s="64"/>
    </row>
    <row r="20" spans="3:12" ht="15.75" thickBot="1" x14ac:dyDescent="0.3"/>
    <row r="21" spans="3:12" ht="16.5" thickTop="1" thickBot="1" x14ac:dyDescent="0.3">
      <c r="C21" s="105" t="s">
        <v>57</v>
      </c>
      <c r="H21" s="63"/>
    </row>
    <row r="22" spans="3:12" ht="16.5" thickTop="1" thickBot="1" x14ac:dyDescent="0.3">
      <c r="C22" s="106">
        <v>1</v>
      </c>
      <c r="D22" s="187" t="s">
        <v>111</v>
      </c>
      <c r="E22" s="188"/>
      <c r="F22" s="188"/>
      <c r="G22" s="189"/>
      <c r="H22" s="65"/>
      <c r="I22" s="188" t="s">
        <v>115</v>
      </c>
      <c r="J22" s="188"/>
      <c r="K22" s="188"/>
      <c r="L22" s="189"/>
    </row>
    <row r="23" spans="3:12" ht="16.5" thickTop="1" thickBot="1" x14ac:dyDescent="0.3">
      <c r="D23" s="107" t="s">
        <v>114</v>
      </c>
      <c r="E23" s="107"/>
      <c r="F23" s="107"/>
      <c r="G23" s="108">
        <f>G11+Metodos!D39</f>
        <v>1336850.5747126436</v>
      </c>
      <c r="H23" s="65"/>
      <c r="I23" s="107"/>
      <c r="J23" s="117"/>
      <c r="K23" s="117"/>
      <c r="L23" s="108">
        <v>0</v>
      </c>
    </row>
    <row r="24" spans="3:12" ht="16.5" thickTop="1" thickBot="1" x14ac:dyDescent="0.3">
      <c r="D24" s="187" t="s">
        <v>112</v>
      </c>
      <c r="E24" s="188"/>
      <c r="F24" s="188"/>
      <c r="G24" s="189"/>
      <c r="H24" s="65"/>
      <c r="I24" s="113" t="s">
        <v>116</v>
      </c>
      <c r="J24" s="111"/>
      <c r="K24" s="111"/>
      <c r="L24" s="108"/>
    </row>
    <row r="25" spans="3:12" ht="16.5" thickTop="1" thickBot="1" x14ac:dyDescent="0.3">
      <c r="D25" s="107" t="s">
        <v>26</v>
      </c>
      <c r="E25" s="109"/>
      <c r="F25" s="110"/>
      <c r="G25" s="108">
        <f>Metodos!F$4</f>
        <v>100000</v>
      </c>
      <c r="H25" s="65"/>
      <c r="I25" s="107" t="s">
        <v>117</v>
      </c>
      <c r="J25" s="111"/>
      <c r="K25" s="111"/>
      <c r="L25" s="108">
        <v>1800000</v>
      </c>
    </row>
    <row r="26" spans="3:12" ht="16.5" thickTop="1" thickBot="1" x14ac:dyDescent="0.3">
      <c r="D26" s="107" t="s">
        <v>27</v>
      </c>
      <c r="E26" s="111"/>
      <c r="F26" s="112"/>
      <c r="G26" s="108">
        <f>Metodos!F$5</f>
        <v>500000</v>
      </c>
      <c r="H26" s="65"/>
      <c r="I26" s="113" t="s">
        <v>80</v>
      </c>
      <c r="J26" s="111"/>
      <c r="K26" s="111"/>
      <c r="L26" s="108">
        <f>EstadodeResultados!C25</f>
        <v>940183.90804597689</v>
      </c>
    </row>
    <row r="27" spans="3:12" ht="16.5" thickTop="1" thickBot="1" x14ac:dyDescent="0.3">
      <c r="D27" s="107" t="s">
        <v>68</v>
      </c>
      <c r="E27" s="111"/>
      <c r="F27" s="112"/>
      <c r="G27" s="108">
        <f>Metodos!D28*(-1)*C22</f>
        <v>-16666.666666666668</v>
      </c>
      <c r="H27" s="65"/>
      <c r="I27" s="117"/>
      <c r="J27" s="111"/>
      <c r="K27" s="111"/>
      <c r="L27" s="118"/>
    </row>
    <row r="28" spans="3:12" ht="16.5" thickTop="1" thickBot="1" x14ac:dyDescent="0.3">
      <c r="D28" s="107" t="s">
        <v>29</v>
      </c>
      <c r="E28" s="111"/>
      <c r="F28" s="112"/>
      <c r="G28" s="108">
        <f t="shared" ref="G28" si="0">G16</f>
        <v>1000000</v>
      </c>
      <c r="H28" s="65"/>
      <c r="I28" s="111"/>
      <c r="J28" s="111"/>
      <c r="K28" s="111"/>
      <c r="L28" s="118"/>
    </row>
    <row r="29" spans="3:12" ht="16.5" thickTop="1" thickBot="1" x14ac:dyDescent="0.3">
      <c r="D29" s="107" t="s">
        <v>67</v>
      </c>
      <c r="E29" s="111"/>
      <c r="F29" s="112"/>
      <c r="G29" s="108">
        <f>Metodos!D27*(-1)*(C22)</f>
        <v>-180000</v>
      </c>
      <c r="H29" s="65"/>
      <c r="I29" s="119"/>
      <c r="J29" s="119"/>
      <c r="K29" s="119"/>
      <c r="L29" s="120"/>
    </row>
    <row r="30" spans="3:12" ht="16.5" thickTop="1" thickBot="1" x14ac:dyDescent="0.3">
      <c r="D30" s="113" t="s">
        <v>113</v>
      </c>
      <c r="E30" s="114"/>
      <c r="F30" s="115"/>
      <c r="G30" s="116">
        <f>SUM(G25:G29,G23)</f>
        <v>2740183.9080459774</v>
      </c>
      <c r="H30" s="65"/>
      <c r="I30" s="121" t="s">
        <v>118</v>
      </c>
      <c r="J30" s="114"/>
      <c r="K30" s="122"/>
      <c r="L30" s="116">
        <f>SUM(L25:L26,L23)</f>
        <v>2740183.9080459769</v>
      </c>
    </row>
    <row r="31" spans="3:12" ht="15.75" thickTop="1" x14ac:dyDescent="0.25"/>
    <row r="32" spans="3:12" ht="15.75" thickBot="1" x14ac:dyDescent="0.3"/>
    <row r="33" spans="3:12" ht="16.5" thickTop="1" thickBot="1" x14ac:dyDescent="0.3">
      <c r="C33" s="105" t="s">
        <v>57</v>
      </c>
      <c r="H33" s="63"/>
    </row>
    <row r="34" spans="3:12" ht="16.5" thickTop="1" thickBot="1" x14ac:dyDescent="0.3">
      <c r="C34" s="106">
        <v>2</v>
      </c>
      <c r="D34" s="187" t="s">
        <v>111</v>
      </c>
      <c r="E34" s="188"/>
      <c r="F34" s="188"/>
      <c r="G34" s="189"/>
      <c r="H34" s="65"/>
      <c r="I34" s="188" t="s">
        <v>115</v>
      </c>
      <c r="J34" s="188"/>
      <c r="K34" s="188"/>
      <c r="L34" s="189"/>
    </row>
    <row r="35" spans="3:12" ht="16.5" thickTop="1" thickBot="1" x14ac:dyDescent="0.3">
      <c r="D35" s="107" t="s">
        <v>114</v>
      </c>
      <c r="E35" s="107"/>
      <c r="F35" s="107"/>
      <c r="G35" s="108">
        <f>G23+Metodos!E39</f>
        <v>2462516.6666666679</v>
      </c>
      <c r="H35" s="65"/>
      <c r="I35" s="107"/>
      <c r="J35" s="117"/>
      <c r="K35" s="117"/>
      <c r="L35" s="108">
        <v>0</v>
      </c>
    </row>
    <row r="36" spans="3:12" ht="16.5" thickTop="1" thickBot="1" x14ac:dyDescent="0.3">
      <c r="D36" s="187" t="s">
        <v>112</v>
      </c>
      <c r="E36" s="188"/>
      <c r="F36" s="188"/>
      <c r="G36" s="189"/>
      <c r="H36" s="65"/>
      <c r="I36" s="107" t="s">
        <v>116</v>
      </c>
      <c r="J36" s="111"/>
      <c r="K36" s="111"/>
      <c r="L36" s="108"/>
    </row>
    <row r="37" spans="3:12" ht="16.5" thickTop="1" thickBot="1" x14ac:dyDescent="0.3">
      <c r="D37" s="107" t="s">
        <v>26</v>
      </c>
      <c r="E37" s="109"/>
      <c r="F37" s="110"/>
      <c r="G37" s="108">
        <f>Metodos!F$4</f>
        <v>100000</v>
      </c>
      <c r="H37" s="65"/>
      <c r="I37" s="107" t="s">
        <v>117</v>
      </c>
      <c r="J37" s="111"/>
      <c r="K37" s="111"/>
      <c r="L37" s="108">
        <v>1800000</v>
      </c>
    </row>
    <row r="38" spans="3:12" ht="16.5" thickTop="1" thickBot="1" x14ac:dyDescent="0.3">
      <c r="D38" s="107" t="s">
        <v>27</v>
      </c>
      <c r="E38" s="111"/>
      <c r="F38" s="112"/>
      <c r="G38" s="108">
        <f>Metodos!F$5</f>
        <v>500000</v>
      </c>
      <c r="H38" s="65"/>
      <c r="I38" s="113" t="s">
        <v>80</v>
      </c>
      <c r="J38" s="111"/>
      <c r="K38" s="111"/>
      <c r="L38" s="108">
        <f>EstadodeResultados!D25+L26</f>
        <v>1869183.3333333342</v>
      </c>
    </row>
    <row r="39" spans="3:12" ht="16.5" thickTop="1" thickBot="1" x14ac:dyDescent="0.3">
      <c r="D39" s="107" t="s">
        <v>68</v>
      </c>
      <c r="E39" s="111"/>
      <c r="F39" s="112"/>
      <c r="G39" s="108">
        <f>Metodos!D$28*(-1)*C34</f>
        <v>-33333.333333333336</v>
      </c>
      <c r="H39" s="65"/>
      <c r="I39" s="117"/>
      <c r="J39" s="111"/>
      <c r="K39" s="111"/>
      <c r="L39" s="118"/>
    </row>
    <row r="40" spans="3:12" ht="16.5" thickTop="1" thickBot="1" x14ac:dyDescent="0.3">
      <c r="D40" s="107" t="s">
        <v>29</v>
      </c>
      <c r="E40" s="111"/>
      <c r="F40" s="112"/>
      <c r="G40" s="108">
        <f t="shared" ref="G40" si="1">G28</f>
        <v>1000000</v>
      </c>
      <c r="H40" s="65"/>
      <c r="I40" s="111"/>
      <c r="J40" s="111"/>
      <c r="K40" s="111"/>
      <c r="L40" s="118"/>
    </row>
    <row r="41" spans="3:12" ht="16.5" thickTop="1" thickBot="1" x14ac:dyDescent="0.3">
      <c r="D41" s="107" t="s">
        <v>67</v>
      </c>
      <c r="E41" s="111"/>
      <c r="F41" s="112"/>
      <c r="G41" s="108">
        <f>Metodos!D$27*(-1)*(C34)</f>
        <v>-360000</v>
      </c>
      <c r="H41" s="65"/>
      <c r="I41" s="119"/>
      <c r="J41" s="119"/>
      <c r="K41" s="119"/>
      <c r="L41" s="120"/>
    </row>
    <row r="42" spans="3:12" ht="16.5" thickTop="1" thickBot="1" x14ac:dyDescent="0.3">
      <c r="D42" s="113" t="s">
        <v>113</v>
      </c>
      <c r="E42" s="114"/>
      <c r="F42" s="115"/>
      <c r="G42" s="116">
        <f>SUM(G37:G41,G35)</f>
        <v>3669183.3333333344</v>
      </c>
      <c r="H42" s="65"/>
      <c r="I42" s="121" t="s">
        <v>118</v>
      </c>
      <c r="J42" s="114"/>
      <c r="K42" s="122"/>
      <c r="L42" s="116">
        <f>SUM(L37:L38,L35)</f>
        <v>3669183.333333334</v>
      </c>
    </row>
    <row r="43" spans="3:12" ht="15.75" thickTop="1" x14ac:dyDescent="0.25"/>
    <row r="44" spans="3:12" ht="15.75" thickBot="1" x14ac:dyDescent="0.3"/>
    <row r="45" spans="3:12" ht="16.5" thickTop="1" thickBot="1" x14ac:dyDescent="0.3">
      <c r="C45" s="105" t="s">
        <v>57</v>
      </c>
      <c r="H45" s="63"/>
    </row>
    <row r="46" spans="3:12" ht="16.5" thickTop="1" thickBot="1" x14ac:dyDescent="0.3">
      <c r="C46" s="106">
        <v>3</v>
      </c>
      <c r="D46" s="187" t="s">
        <v>111</v>
      </c>
      <c r="E46" s="188"/>
      <c r="F46" s="188"/>
      <c r="G46" s="189"/>
      <c r="H46" s="65"/>
      <c r="I46" s="188" t="s">
        <v>115</v>
      </c>
      <c r="J46" s="188"/>
      <c r="K46" s="188"/>
      <c r="L46" s="189"/>
    </row>
    <row r="47" spans="3:12" ht="16.5" thickTop="1" thickBot="1" x14ac:dyDescent="0.3">
      <c r="D47" s="107" t="s">
        <v>114</v>
      </c>
      <c r="E47" s="107"/>
      <c r="F47" s="107"/>
      <c r="G47" s="108">
        <f>G35+Metodos!F39</f>
        <v>3559565.4663793119</v>
      </c>
      <c r="H47" s="65"/>
      <c r="I47" s="107"/>
      <c r="J47" s="117"/>
      <c r="K47" s="117"/>
      <c r="L47" s="108">
        <v>0</v>
      </c>
    </row>
    <row r="48" spans="3:12" ht="16.5" thickTop="1" thickBot="1" x14ac:dyDescent="0.3">
      <c r="D48" s="187" t="s">
        <v>112</v>
      </c>
      <c r="E48" s="188"/>
      <c r="F48" s="188"/>
      <c r="G48" s="189"/>
      <c r="H48" s="65"/>
      <c r="I48" s="107" t="s">
        <v>116</v>
      </c>
      <c r="J48" s="111"/>
      <c r="K48" s="111"/>
      <c r="L48" s="108"/>
    </row>
    <row r="49" spans="3:12" ht="16.5" thickTop="1" thickBot="1" x14ac:dyDescent="0.3">
      <c r="D49" s="107" t="s">
        <v>26</v>
      </c>
      <c r="E49" s="109"/>
      <c r="F49" s="110"/>
      <c r="G49" s="108">
        <f>Metodos!F$4</f>
        <v>100000</v>
      </c>
      <c r="H49" s="65"/>
      <c r="I49" s="107" t="s">
        <v>117</v>
      </c>
      <c r="J49" s="111"/>
      <c r="K49" s="111"/>
      <c r="L49" s="108">
        <v>1800000</v>
      </c>
    </row>
    <row r="50" spans="3:12" ht="16.5" thickTop="1" thickBot="1" x14ac:dyDescent="0.3">
      <c r="D50" s="107" t="s">
        <v>27</v>
      </c>
      <c r="E50" s="111"/>
      <c r="F50" s="112"/>
      <c r="G50" s="108">
        <f>Metodos!F$5</f>
        <v>500000</v>
      </c>
      <c r="H50" s="65"/>
      <c r="I50" s="113" t="s">
        <v>80</v>
      </c>
      <c r="J50" s="111"/>
      <c r="K50" s="111"/>
      <c r="L50" s="108">
        <f>EstadodeResultados!E25+L38</f>
        <v>2769565.4663793119</v>
      </c>
    </row>
    <row r="51" spans="3:12" ht="16.5" thickTop="1" thickBot="1" x14ac:dyDescent="0.3">
      <c r="D51" s="107" t="s">
        <v>68</v>
      </c>
      <c r="E51" s="111"/>
      <c r="F51" s="112"/>
      <c r="G51" s="108">
        <f>Metodos!D$28*(-1)*C46</f>
        <v>-50000</v>
      </c>
      <c r="H51" s="65"/>
      <c r="I51" s="117"/>
      <c r="J51" s="111"/>
      <c r="K51" s="111"/>
      <c r="L51" s="118"/>
    </row>
    <row r="52" spans="3:12" ht="16.5" thickTop="1" thickBot="1" x14ac:dyDescent="0.3">
      <c r="D52" s="107" t="s">
        <v>29</v>
      </c>
      <c r="E52" s="111"/>
      <c r="F52" s="112"/>
      <c r="G52" s="108">
        <f t="shared" ref="G52" si="2">G40</f>
        <v>1000000</v>
      </c>
      <c r="H52" s="65"/>
      <c r="I52" s="111"/>
      <c r="J52" s="111"/>
      <c r="K52" s="111"/>
      <c r="L52" s="118"/>
    </row>
    <row r="53" spans="3:12" ht="16.5" thickTop="1" thickBot="1" x14ac:dyDescent="0.3">
      <c r="D53" s="107" t="s">
        <v>67</v>
      </c>
      <c r="E53" s="111"/>
      <c r="F53" s="112"/>
      <c r="G53" s="108">
        <f>Metodos!D$27*(-1)*(C46)</f>
        <v>-540000</v>
      </c>
      <c r="H53" s="65"/>
      <c r="I53" s="119"/>
      <c r="J53" s="119"/>
      <c r="K53" s="119"/>
      <c r="L53" s="120"/>
    </row>
    <row r="54" spans="3:12" ht="16.5" thickTop="1" thickBot="1" x14ac:dyDescent="0.3">
      <c r="D54" s="113" t="s">
        <v>113</v>
      </c>
      <c r="E54" s="114"/>
      <c r="F54" s="115"/>
      <c r="G54" s="116">
        <f>SUM(G49:G53,G47)</f>
        <v>4569565.4663793119</v>
      </c>
      <c r="H54" s="65"/>
      <c r="I54" s="121" t="s">
        <v>118</v>
      </c>
      <c r="J54" s="114"/>
      <c r="K54" s="122"/>
      <c r="L54" s="116">
        <f>SUM(L49:L50,L47)</f>
        <v>4569565.4663793119</v>
      </c>
    </row>
    <row r="55" spans="3:12" ht="15.75" thickTop="1" x14ac:dyDescent="0.25"/>
    <row r="56" spans="3:12" ht="15.75" thickBot="1" x14ac:dyDescent="0.3"/>
    <row r="57" spans="3:12" ht="16.5" thickTop="1" thickBot="1" x14ac:dyDescent="0.3">
      <c r="C57" s="105" t="s">
        <v>57</v>
      </c>
      <c r="H57" s="63"/>
    </row>
    <row r="58" spans="3:12" ht="16.5" thickTop="1" thickBot="1" x14ac:dyDescent="0.3">
      <c r="C58" s="106">
        <v>4</v>
      </c>
      <c r="D58" s="187" t="s">
        <v>111</v>
      </c>
      <c r="E58" s="188"/>
      <c r="F58" s="188"/>
      <c r="G58" s="189"/>
      <c r="H58" s="65"/>
      <c r="I58" s="188" t="s">
        <v>115</v>
      </c>
      <c r="J58" s="188"/>
      <c r="K58" s="188"/>
      <c r="L58" s="189"/>
    </row>
    <row r="59" spans="3:12" ht="16.5" thickTop="1" thickBot="1" x14ac:dyDescent="0.3">
      <c r="D59" s="107" t="s">
        <v>114</v>
      </c>
      <c r="E59" s="107"/>
      <c r="F59" s="107"/>
      <c r="G59" s="108">
        <f>G47+Metodos!G39</f>
        <v>4606585.4467958361</v>
      </c>
      <c r="H59" s="65"/>
      <c r="I59" s="107"/>
      <c r="J59" s="117"/>
      <c r="K59" s="117"/>
      <c r="L59" s="108">
        <v>0</v>
      </c>
    </row>
    <row r="60" spans="3:12" ht="16.5" thickTop="1" thickBot="1" x14ac:dyDescent="0.3">
      <c r="D60" s="187" t="s">
        <v>112</v>
      </c>
      <c r="E60" s="188"/>
      <c r="F60" s="188"/>
      <c r="G60" s="189"/>
      <c r="H60" s="65"/>
      <c r="I60" s="107" t="s">
        <v>116</v>
      </c>
      <c r="J60" s="111"/>
      <c r="K60" s="111"/>
      <c r="L60" s="108"/>
    </row>
    <row r="61" spans="3:12" ht="16.5" thickTop="1" thickBot="1" x14ac:dyDescent="0.3">
      <c r="D61" s="107" t="s">
        <v>26</v>
      </c>
      <c r="E61" s="109"/>
      <c r="F61" s="110"/>
      <c r="G61" s="108">
        <f>Metodos!F$4</f>
        <v>100000</v>
      </c>
      <c r="H61" s="65"/>
      <c r="I61" s="107" t="s">
        <v>117</v>
      </c>
      <c r="J61" s="111"/>
      <c r="K61" s="111"/>
      <c r="L61" s="108">
        <v>1800000</v>
      </c>
    </row>
    <row r="62" spans="3:12" ht="16.5" thickTop="1" thickBot="1" x14ac:dyDescent="0.3">
      <c r="D62" s="107" t="s">
        <v>27</v>
      </c>
      <c r="E62" s="111"/>
      <c r="F62" s="112"/>
      <c r="G62" s="108">
        <f>Metodos!F$5</f>
        <v>500000</v>
      </c>
      <c r="H62" s="65"/>
      <c r="I62" s="113" t="s">
        <v>80</v>
      </c>
      <c r="J62" s="111"/>
      <c r="K62" s="111"/>
      <c r="L62" s="108">
        <f>EstadodeResultados!F25+L50</f>
        <v>3619918.7801291691</v>
      </c>
    </row>
    <row r="63" spans="3:12" ht="16.5" thickTop="1" thickBot="1" x14ac:dyDescent="0.3">
      <c r="D63" s="107" t="s">
        <v>68</v>
      </c>
      <c r="E63" s="111"/>
      <c r="F63" s="112"/>
      <c r="G63" s="108">
        <f>Metodos!D$28*(-1)*C58</f>
        <v>-66666.666666666672</v>
      </c>
      <c r="H63" s="65"/>
      <c r="I63" s="117"/>
      <c r="J63" s="111"/>
      <c r="K63" s="111"/>
      <c r="L63" s="118"/>
    </row>
    <row r="64" spans="3:12" ht="16.5" thickTop="1" thickBot="1" x14ac:dyDescent="0.3">
      <c r="D64" s="107" t="s">
        <v>29</v>
      </c>
      <c r="E64" s="111"/>
      <c r="F64" s="112"/>
      <c r="G64" s="108">
        <f t="shared" ref="G64" si="3">G52</f>
        <v>1000000</v>
      </c>
      <c r="H64" s="65"/>
      <c r="I64" s="111"/>
      <c r="J64" s="111"/>
      <c r="K64" s="111"/>
      <c r="L64" s="118"/>
    </row>
    <row r="65" spans="3:12" ht="16.5" thickTop="1" thickBot="1" x14ac:dyDescent="0.3">
      <c r="D65" s="107" t="s">
        <v>67</v>
      </c>
      <c r="E65" s="111"/>
      <c r="F65" s="112"/>
      <c r="G65" s="108">
        <f>Metodos!D$27*(-1)*(C58)</f>
        <v>-720000</v>
      </c>
      <c r="H65" s="65"/>
      <c r="I65" s="119"/>
      <c r="J65" s="119"/>
      <c r="K65" s="119"/>
      <c r="L65" s="120"/>
    </row>
    <row r="66" spans="3:12" ht="16.5" thickTop="1" thickBot="1" x14ac:dyDescent="0.3">
      <c r="D66" s="113" t="s">
        <v>113</v>
      </c>
      <c r="E66" s="114"/>
      <c r="F66" s="115"/>
      <c r="G66" s="116">
        <f>SUM(G61:G65,G59)</f>
        <v>5419918.78012917</v>
      </c>
      <c r="H66" s="65"/>
      <c r="I66" s="121" t="s">
        <v>118</v>
      </c>
      <c r="J66" s="114"/>
      <c r="K66" s="122"/>
      <c r="L66" s="116">
        <f>SUM(L61:L62,L59)</f>
        <v>5419918.7801291691</v>
      </c>
    </row>
    <row r="67" spans="3:12" ht="15.75" thickTop="1" x14ac:dyDescent="0.25"/>
    <row r="68" spans="3:12" ht="15.75" thickBot="1" x14ac:dyDescent="0.3"/>
    <row r="69" spans="3:12" ht="16.5" thickTop="1" thickBot="1" x14ac:dyDescent="0.3">
      <c r="C69" s="105" t="s">
        <v>57</v>
      </c>
      <c r="H69" s="63"/>
    </row>
    <row r="70" spans="3:12" ht="16.5" thickTop="1" thickBot="1" x14ac:dyDescent="0.3">
      <c r="C70" s="106">
        <v>5</v>
      </c>
      <c r="D70" s="187" t="s">
        <v>111</v>
      </c>
      <c r="E70" s="188"/>
      <c r="F70" s="188"/>
      <c r="G70" s="189"/>
      <c r="H70" s="65"/>
      <c r="I70" s="188" t="s">
        <v>115</v>
      </c>
      <c r="J70" s="188"/>
      <c r="K70" s="188"/>
      <c r="L70" s="189"/>
    </row>
    <row r="71" spans="3:12" ht="16.5" thickTop="1" thickBot="1" x14ac:dyDescent="0.3">
      <c r="D71" s="107" t="s">
        <v>114</v>
      </c>
      <c r="E71" s="107"/>
      <c r="F71" s="107"/>
      <c r="G71" s="108">
        <f>G59+Metodos!H39</f>
        <v>5577484.0780619867</v>
      </c>
      <c r="H71" s="65"/>
      <c r="I71" s="107"/>
      <c r="J71" s="117"/>
      <c r="K71" s="117"/>
      <c r="L71" s="108">
        <v>0</v>
      </c>
    </row>
    <row r="72" spans="3:12" ht="16.5" thickTop="1" thickBot="1" x14ac:dyDescent="0.3">
      <c r="D72" s="187" t="s">
        <v>112</v>
      </c>
      <c r="E72" s="188"/>
      <c r="F72" s="188"/>
      <c r="G72" s="189"/>
      <c r="H72" s="65"/>
      <c r="I72" s="107" t="s">
        <v>116</v>
      </c>
      <c r="J72" s="111"/>
      <c r="K72" s="111"/>
      <c r="L72" s="108"/>
    </row>
    <row r="73" spans="3:12" ht="16.5" thickTop="1" thickBot="1" x14ac:dyDescent="0.3">
      <c r="D73" s="107" t="s">
        <v>26</v>
      </c>
      <c r="E73" s="109"/>
      <c r="F73" s="110"/>
      <c r="G73" s="108">
        <f>Metodos!F$4</f>
        <v>100000</v>
      </c>
      <c r="H73" s="65"/>
      <c r="I73" s="107" t="s">
        <v>117</v>
      </c>
      <c r="J73" s="111"/>
      <c r="K73" s="111"/>
      <c r="L73" s="108">
        <v>1800000</v>
      </c>
    </row>
    <row r="74" spans="3:12" ht="16.5" thickTop="1" thickBot="1" x14ac:dyDescent="0.3">
      <c r="D74" s="107" t="s">
        <v>27</v>
      </c>
      <c r="E74" s="111"/>
      <c r="F74" s="112"/>
      <c r="G74" s="108">
        <f>Metodos!F$5</f>
        <v>500000</v>
      </c>
      <c r="H74" s="65"/>
      <c r="I74" s="113" t="s">
        <v>80</v>
      </c>
      <c r="J74" s="111"/>
      <c r="K74" s="111"/>
      <c r="L74" s="108">
        <f>EstadodeResultados!G25+L62</f>
        <v>4394150.7447286528</v>
      </c>
    </row>
    <row r="75" spans="3:12" ht="16.5" thickTop="1" thickBot="1" x14ac:dyDescent="0.3">
      <c r="D75" s="107" t="s">
        <v>68</v>
      </c>
      <c r="E75" s="111"/>
      <c r="F75" s="112"/>
      <c r="G75" s="108">
        <f>Metodos!D$28*(-1)*C70</f>
        <v>-83333.333333333343</v>
      </c>
      <c r="H75" s="65"/>
      <c r="I75" s="117"/>
      <c r="J75" s="111"/>
      <c r="K75" s="111"/>
      <c r="L75" s="118"/>
    </row>
    <row r="76" spans="3:12" ht="16.5" thickTop="1" thickBot="1" x14ac:dyDescent="0.3">
      <c r="D76" s="107" t="s">
        <v>29</v>
      </c>
      <c r="E76" s="111"/>
      <c r="F76" s="112"/>
      <c r="G76" s="108">
        <f t="shared" ref="G76" si="4">G64</f>
        <v>1000000</v>
      </c>
      <c r="H76" s="65"/>
      <c r="I76" s="111"/>
      <c r="J76" s="111"/>
      <c r="K76" s="111"/>
      <c r="L76" s="118"/>
    </row>
    <row r="77" spans="3:12" ht="16.5" thickTop="1" thickBot="1" x14ac:dyDescent="0.3">
      <c r="D77" s="107" t="s">
        <v>67</v>
      </c>
      <c r="E77" s="111"/>
      <c r="F77" s="112"/>
      <c r="G77" s="108">
        <f>Metodos!D$27*(-1)*(C70)</f>
        <v>-900000</v>
      </c>
      <c r="H77" s="65"/>
      <c r="I77" s="119"/>
      <c r="J77" s="119"/>
      <c r="K77" s="119"/>
      <c r="L77" s="120"/>
    </row>
    <row r="78" spans="3:12" ht="16.5" thickTop="1" thickBot="1" x14ac:dyDescent="0.3">
      <c r="D78" s="113" t="s">
        <v>113</v>
      </c>
      <c r="E78" s="114"/>
      <c r="F78" s="115"/>
      <c r="G78" s="116">
        <f>SUM(G73:G77,G71)</f>
        <v>6194150.7447286528</v>
      </c>
      <c r="H78" s="65"/>
      <c r="I78" s="121" t="s">
        <v>118</v>
      </c>
      <c r="J78" s="114"/>
      <c r="K78" s="122"/>
      <c r="L78" s="116">
        <f>SUM(L73:L74,L71)</f>
        <v>6194150.7447286528</v>
      </c>
    </row>
    <row r="79" spans="3:12" ht="15.75" thickTop="1" x14ac:dyDescent="0.25"/>
    <row r="80" spans="3:12" ht="15.75" thickBot="1" x14ac:dyDescent="0.3"/>
    <row r="81" spans="3:12" ht="16.5" thickTop="1" thickBot="1" x14ac:dyDescent="0.3">
      <c r="C81" s="105" t="s">
        <v>57</v>
      </c>
      <c r="H81" s="63"/>
    </row>
    <row r="82" spans="3:12" ht="16.5" thickTop="1" thickBot="1" x14ac:dyDescent="0.3">
      <c r="C82" s="106">
        <v>6</v>
      </c>
      <c r="D82" s="187" t="s">
        <v>111</v>
      </c>
      <c r="E82" s="188"/>
      <c r="F82" s="188"/>
      <c r="G82" s="189"/>
      <c r="H82" s="65"/>
      <c r="I82" s="188" t="s">
        <v>115</v>
      </c>
      <c r="J82" s="188"/>
      <c r="K82" s="188"/>
      <c r="L82" s="189"/>
    </row>
    <row r="83" spans="3:12" ht="16.5" thickTop="1" thickBot="1" x14ac:dyDescent="0.3">
      <c r="D83" s="107" t="s">
        <v>114</v>
      </c>
      <c r="E83" s="107"/>
      <c r="F83" s="107"/>
      <c r="G83" s="108">
        <f>G71+Metodos!I39</f>
        <v>5444768.3114997186</v>
      </c>
      <c r="H83" s="65"/>
      <c r="I83" s="107"/>
      <c r="J83" s="117"/>
      <c r="K83" s="117"/>
      <c r="L83" s="108">
        <v>0</v>
      </c>
    </row>
    <row r="84" spans="3:12" ht="16.5" thickTop="1" thickBot="1" x14ac:dyDescent="0.3">
      <c r="D84" s="187" t="s">
        <v>112</v>
      </c>
      <c r="E84" s="188"/>
      <c r="F84" s="188"/>
      <c r="G84" s="189"/>
      <c r="H84" s="65"/>
      <c r="I84" s="107" t="s">
        <v>116</v>
      </c>
      <c r="J84" s="111"/>
      <c r="K84" s="111"/>
      <c r="L84" s="108"/>
    </row>
    <row r="85" spans="3:12" ht="16.5" thickTop="1" thickBot="1" x14ac:dyDescent="0.3">
      <c r="D85" s="107" t="s">
        <v>26</v>
      </c>
      <c r="E85" s="109"/>
      <c r="F85" s="110"/>
      <c r="G85" s="108">
        <f>Metodos!F$4</f>
        <v>100000</v>
      </c>
      <c r="H85" s="65"/>
      <c r="I85" s="107" t="s">
        <v>117</v>
      </c>
      <c r="J85" s="111"/>
      <c r="K85" s="111"/>
      <c r="L85" s="108">
        <v>1800000</v>
      </c>
    </row>
    <row r="86" spans="3:12" ht="16.5" thickTop="1" thickBot="1" x14ac:dyDescent="0.3">
      <c r="D86" s="107" t="s">
        <v>27</v>
      </c>
      <c r="E86" s="111"/>
      <c r="F86" s="112"/>
      <c r="G86" s="108">
        <f>Metodos!F$5</f>
        <v>500000</v>
      </c>
      <c r="H86" s="65"/>
      <c r="I86" s="113" t="s">
        <v>80</v>
      </c>
      <c r="J86" s="111"/>
      <c r="K86" s="111"/>
      <c r="L86" s="108">
        <f>EstadodeResultados!H25+L74</f>
        <v>4964768.3114997186</v>
      </c>
    </row>
    <row r="87" spans="3:12" ht="16.5" thickTop="1" thickBot="1" x14ac:dyDescent="0.3">
      <c r="D87" s="107" t="s">
        <v>68</v>
      </c>
      <c r="E87" s="111"/>
      <c r="F87" s="112"/>
      <c r="G87" s="108">
        <f>Metodos!D$28*(-1)*C82</f>
        <v>-100000</v>
      </c>
      <c r="H87" s="65"/>
      <c r="I87" s="117"/>
      <c r="J87" s="111"/>
      <c r="K87" s="111"/>
      <c r="L87" s="118"/>
    </row>
    <row r="88" spans="3:12" ht="16.5" thickTop="1" thickBot="1" x14ac:dyDescent="0.3">
      <c r="D88" s="107" t="s">
        <v>29</v>
      </c>
      <c r="E88" s="111"/>
      <c r="F88" s="112"/>
      <c r="G88" s="108">
        <f t="shared" ref="G88" si="5">G76</f>
        <v>1000000</v>
      </c>
      <c r="H88" s="65"/>
      <c r="I88" s="111"/>
      <c r="J88" s="111"/>
      <c r="K88" s="111"/>
      <c r="L88" s="118"/>
    </row>
    <row r="89" spans="3:12" ht="16.5" thickTop="1" thickBot="1" x14ac:dyDescent="0.3">
      <c r="D89" s="107" t="s">
        <v>67</v>
      </c>
      <c r="E89" s="111"/>
      <c r="F89" s="112"/>
      <c r="G89" s="108">
        <f>Metodos!D$27*(-1)*(C22)</f>
        <v>-180000</v>
      </c>
      <c r="H89" s="65"/>
      <c r="I89" s="119"/>
      <c r="J89" s="119"/>
      <c r="K89" s="119"/>
      <c r="L89" s="120"/>
    </row>
    <row r="90" spans="3:12" ht="16.5" thickTop="1" thickBot="1" x14ac:dyDescent="0.3">
      <c r="D90" s="113" t="s">
        <v>113</v>
      </c>
      <c r="E90" s="114"/>
      <c r="F90" s="115"/>
      <c r="G90" s="116">
        <f>SUM(G85:G89,G83)</f>
        <v>6764768.3114997186</v>
      </c>
      <c r="H90" s="65"/>
      <c r="I90" s="121" t="s">
        <v>118</v>
      </c>
      <c r="J90" s="114"/>
      <c r="K90" s="122"/>
      <c r="L90" s="116">
        <f>SUM(L85:L86,L83)</f>
        <v>6764768.3114997186</v>
      </c>
    </row>
    <row r="91" spans="3:12" ht="15.75" thickTop="1" x14ac:dyDescent="0.25"/>
    <row r="92" spans="3:12" ht="15.75" thickBot="1" x14ac:dyDescent="0.3"/>
    <row r="93" spans="3:12" ht="16.5" thickTop="1" thickBot="1" x14ac:dyDescent="0.3">
      <c r="C93" s="105" t="s">
        <v>57</v>
      </c>
      <c r="H93" s="63"/>
    </row>
    <row r="94" spans="3:12" ht="16.5" thickTop="1" thickBot="1" x14ac:dyDescent="0.3">
      <c r="C94" s="106">
        <v>7</v>
      </c>
      <c r="D94" s="187" t="s">
        <v>111</v>
      </c>
      <c r="E94" s="188"/>
      <c r="F94" s="188"/>
      <c r="G94" s="189"/>
      <c r="H94" s="65"/>
      <c r="I94" s="188" t="s">
        <v>115</v>
      </c>
      <c r="J94" s="188"/>
      <c r="K94" s="188"/>
      <c r="L94" s="189"/>
    </row>
    <row r="95" spans="3:12" ht="16.5" thickTop="1" thickBot="1" x14ac:dyDescent="0.3">
      <c r="D95" s="107" t="s">
        <v>114</v>
      </c>
      <c r="E95" s="107"/>
      <c r="F95" s="107"/>
      <c r="G95" s="108">
        <f>G83+Metodos!J39</f>
        <v>5697750.6868749419</v>
      </c>
      <c r="H95" s="65"/>
      <c r="I95" s="107"/>
      <c r="J95" s="117"/>
      <c r="K95" s="117"/>
      <c r="L95" s="108">
        <v>0</v>
      </c>
    </row>
    <row r="96" spans="3:12" ht="16.5" thickTop="1" thickBot="1" x14ac:dyDescent="0.3">
      <c r="D96" s="187" t="s">
        <v>112</v>
      </c>
      <c r="E96" s="188"/>
      <c r="F96" s="188"/>
      <c r="G96" s="189"/>
      <c r="H96" s="65"/>
      <c r="I96" s="107" t="s">
        <v>116</v>
      </c>
      <c r="J96" s="111"/>
      <c r="K96" s="111"/>
      <c r="L96" s="108"/>
    </row>
    <row r="97" spans="3:12" ht="16.5" thickTop="1" thickBot="1" x14ac:dyDescent="0.3">
      <c r="D97" s="107" t="s">
        <v>26</v>
      </c>
      <c r="E97" s="109"/>
      <c r="F97" s="110"/>
      <c r="G97" s="108">
        <f>Metodos!F$4</f>
        <v>100000</v>
      </c>
      <c r="H97" s="65"/>
      <c r="I97" s="107" t="s">
        <v>117</v>
      </c>
      <c r="J97" s="111"/>
      <c r="K97" s="111"/>
      <c r="L97" s="108">
        <v>1800000</v>
      </c>
    </row>
    <row r="98" spans="3:12" ht="16.5" thickTop="1" thickBot="1" x14ac:dyDescent="0.3">
      <c r="D98" s="107" t="s">
        <v>27</v>
      </c>
      <c r="E98" s="111"/>
      <c r="F98" s="112"/>
      <c r="G98" s="108">
        <f>Metodos!F$5</f>
        <v>500000</v>
      </c>
      <c r="H98" s="65"/>
      <c r="I98" s="113" t="s">
        <v>80</v>
      </c>
      <c r="J98" s="111"/>
      <c r="K98" s="111"/>
      <c r="L98" s="108">
        <f>EstadodeResultados!I25+L86</f>
        <v>5021084.0202082749</v>
      </c>
    </row>
    <row r="99" spans="3:12" ht="16.5" thickTop="1" thickBot="1" x14ac:dyDescent="0.3">
      <c r="D99" s="107" t="s">
        <v>68</v>
      </c>
      <c r="E99" s="111"/>
      <c r="F99" s="112"/>
      <c r="G99" s="108">
        <f>Metodos!D$28*(-1)*C94</f>
        <v>-116666.66666666667</v>
      </c>
      <c r="H99" s="65"/>
      <c r="I99" s="117"/>
      <c r="J99" s="111"/>
      <c r="K99" s="111"/>
      <c r="L99" s="118"/>
    </row>
    <row r="100" spans="3:12" ht="16.5" thickTop="1" thickBot="1" x14ac:dyDescent="0.3">
      <c r="D100" s="107" t="s">
        <v>29</v>
      </c>
      <c r="E100" s="111"/>
      <c r="F100" s="112"/>
      <c r="G100" s="108">
        <f t="shared" ref="G100" si="6">G88</f>
        <v>1000000</v>
      </c>
      <c r="H100" s="65"/>
      <c r="I100" s="111"/>
      <c r="J100" s="111"/>
      <c r="K100" s="111"/>
      <c r="L100" s="118"/>
    </row>
    <row r="101" spans="3:12" ht="16.5" thickTop="1" thickBot="1" x14ac:dyDescent="0.3">
      <c r="D101" s="107" t="s">
        <v>67</v>
      </c>
      <c r="E101" s="111"/>
      <c r="F101" s="112"/>
      <c r="G101" s="108">
        <f>Metodos!D$27*(-1)*(C34)</f>
        <v>-360000</v>
      </c>
      <c r="H101" s="65"/>
      <c r="I101" s="119"/>
      <c r="J101" s="119"/>
      <c r="K101" s="119"/>
      <c r="L101" s="120"/>
    </row>
    <row r="102" spans="3:12" ht="16.5" thickTop="1" thickBot="1" x14ac:dyDescent="0.3">
      <c r="D102" s="113" t="s">
        <v>113</v>
      </c>
      <c r="E102" s="114"/>
      <c r="F102" s="115"/>
      <c r="G102" s="116">
        <f>SUM(G97:G101,G95)</f>
        <v>6821084.0202082749</v>
      </c>
      <c r="H102" s="65"/>
      <c r="I102" s="121" t="s">
        <v>118</v>
      </c>
      <c r="J102" s="114"/>
      <c r="K102" s="122"/>
      <c r="L102" s="116">
        <f>SUM(L97:L98,L95)</f>
        <v>6821084.0202082749</v>
      </c>
    </row>
    <row r="103" spans="3:12" ht="15.75" thickTop="1" x14ac:dyDescent="0.25"/>
    <row r="104" spans="3:12" ht="15.75" thickBot="1" x14ac:dyDescent="0.3"/>
    <row r="105" spans="3:12" ht="16.5" thickTop="1" thickBot="1" x14ac:dyDescent="0.3">
      <c r="C105" s="105" t="s">
        <v>57</v>
      </c>
      <c r="H105" s="63"/>
    </row>
    <row r="106" spans="3:12" ht="16.5" thickTop="1" thickBot="1" x14ac:dyDescent="0.3">
      <c r="C106" s="106">
        <v>8</v>
      </c>
      <c r="D106" s="187" t="s">
        <v>111</v>
      </c>
      <c r="E106" s="188"/>
      <c r="F106" s="188"/>
      <c r="G106" s="189"/>
      <c r="H106" s="65"/>
      <c r="I106" s="188" t="s">
        <v>115</v>
      </c>
      <c r="J106" s="188"/>
      <c r="K106" s="188"/>
      <c r="L106" s="189"/>
    </row>
    <row r="107" spans="3:12" ht="16.5" thickTop="1" thickBot="1" x14ac:dyDescent="0.3">
      <c r="D107" s="107" t="s">
        <v>114</v>
      </c>
      <c r="E107" s="107"/>
      <c r="F107" s="107"/>
      <c r="G107" s="108">
        <f>G95+Metodos!K39</f>
        <v>5369509.0318127032</v>
      </c>
      <c r="H107" s="65"/>
      <c r="I107" s="107"/>
      <c r="J107" s="117"/>
      <c r="K107" s="117"/>
      <c r="L107" s="108">
        <v>0</v>
      </c>
    </row>
    <row r="108" spans="3:12" ht="16.5" thickTop="1" thickBot="1" x14ac:dyDescent="0.3">
      <c r="D108" s="187" t="s">
        <v>112</v>
      </c>
      <c r="E108" s="188"/>
      <c r="F108" s="188"/>
      <c r="G108" s="189"/>
      <c r="H108" s="65"/>
      <c r="I108" s="107" t="s">
        <v>116</v>
      </c>
      <c r="J108" s="111"/>
      <c r="K108" s="111"/>
      <c r="L108" s="108"/>
    </row>
    <row r="109" spans="3:12" ht="16.5" thickTop="1" thickBot="1" x14ac:dyDescent="0.3">
      <c r="D109" s="107" t="s">
        <v>26</v>
      </c>
      <c r="E109" s="109"/>
      <c r="F109" s="110"/>
      <c r="G109" s="108">
        <f>Metodos!F$4</f>
        <v>100000</v>
      </c>
      <c r="H109" s="65"/>
      <c r="I109" s="107" t="s">
        <v>117</v>
      </c>
      <c r="J109" s="111"/>
      <c r="K109" s="111"/>
      <c r="L109" s="108">
        <v>1800000</v>
      </c>
    </row>
    <row r="110" spans="3:12" ht="16.5" thickTop="1" thickBot="1" x14ac:dyDescent="0.3">
      <c r="D110" s="107" t="s">
        <v>27</v>
      </c>
      <c r="E110" s="111"/>
      <c r="F110" s="112"/>
      <c r="G110" s="108">
        <f>Metodos!F$5</f>
        <v>500000</v>
      </c>
      <c r="H110" s="65"/>
      <c r="I110" s="113" t="s">
        <v>80</v>
      </c>
      <c r="J110" s="111"/>
      <c r="K110" s="111"/>
      <c r="L110" s="108">
        <f>EstadodeResultados!J25+L98</f>
        <v>4496175.6984793702</v>
      </c>
    </row>
    <row r="111" spans="3:12" ht="16.5" thickTop="1" thickBot="1" x14ac:dyDescent="0.3">
      <c r="D111" s="107" t="s">
        <v>68</v>
      </c>
      <c r="E111" s="111"/>
      <c r="F111" s="112"/>
      <c r="G111" s="108">
        <f>Metodos!D$28*(-1)*C106</f>
        <v>-133333.33333333334</v>
      </c>
      <c r="H111" s="65"/>
      <c r="I111" s="117"/>
      <c r="J111" s="111"/>
      <c r="K111" s="111"/>
      <c r="L111" s="118"/>
    </row>
    <row r="112" spans="3:12" ht="16.5" thickTop="1" thickBot="1" x14ac:dyDescent="0.3">
      <c r="D112" s="107" t="s">
        <v>29</v>
      </c>
      <c r="E112" s="111"/>
      <c r="F112" s="112"/>
      <c r="G112" s="108">
        <f t="shared" ref="G112" si="7">G100</f>
        <v>1000000</v>
      </c>
      <c r="H112" s="65"/>
      <c r="I112" s="111"/>
      <c r="J112" s="111"/>
      <c r="K112" s="111"/>
      <c r="L112" s="118"/>
    </row>
    <row r="113" spans="3:12" ht="16.5" thickTop="1" thickBot="1" x14ac:dyDescent="0.3">
      <c r="D113" s="107" t="s">
        <v>67</v>
      </c>
      <c r="E113" s="111"/>
      <c r="F113" s="112"/>
      <c r="G113" s="108">
        <f>Metodos!D$27*(-1)*(C46)</f>
        <v>-540000</v>
      </c>
      <c r="H113" s="65"/>
      <c r="I113" s="119"/>
      <c r="J113" s="119"/>
      <c r="K113" s="119"/>
      <c r="L113" s="120"/>
    </row>
    <row r="114" spans="3:12" ht="16.5" thickTop="1" thickBot="1" x14ac:dyDescent="0.3">
      <c r="D114" s="113" t="s">
        <v>113</v>
      </c>
      <c r="E114" s="114"/>
      <c r="F114" s="115"/>
      <c r="G114" s="116">
        <f>SUM(G109:G113,G107)</f>
        <v>6296175.6984793693</v>
      </c>
      <c r="H114" s="65"/>
      <c r="I114" s="121" t="s">
        <v>118</v>
      </c>
      <c r="J114" s="114"/>
      <c r="K114" s="122"/>
      <c r="L114" s="116">
        <f>SUM(L109:L110,L107)</f>
        <v>6296175.6984793702</v>
      </c>
    </row>
    <row r="115" spans="3:12" ht="15.75" thickTop="1" x14ac:dyDescent="0.25"/>
    <row r="116" spans="3:12" ht="15.75" thickBot="1" x14ac:dyDescent="0.3"/>
    <row r="117" spans="3:12" ht="16.5" thickTop="1" thickBot="1" x14ac:dyDescent="0.3">
      <c r="C117" s="105" t="s">
        <v>57</v>
      </c>
      <c r="H117" s="63"/>
    </row>
    <row r="118" spans="3:12" ht="16.5" thickTop="1" thickBot="1" x14ac:dyDescent="0.3">
      <c r="C118" s="106">
        <v>9</v>
      </c>
      <c r="D118" s="187" t="s">
        <v>111</v>
      </c>
      <c r="E118" s="188"/>
      <c r="F118" s="188"/>
      <c r="G118" s="189"/>
      <c r="H118" s="65"/>
      <c r="I118" s="188" t="s">
        <v>115</v>
      </c>
      <c r="J118" s="188"/>
      <c r="K118" s="188"/>
      <c r="L118" s="189"/>
    </row>
    <row r="119" spans="3:12" ht="16.5" thickTop="1" thickBot="1" x14ac:dyDescent="0.3">
      <c r="D119" s="107" t="s">
        <v>114</v>
      </c>
      <c r="E119" s="107"/>
      <c r="F119" s="107"/>
      <c r="G119" s="108">
        <f>G107+Metodos!L39</f>
        <v>4382767.0677561415</v>
      </c>
      <c r="H119" s="65"/>
      <c r="I119" s="107"/>
      <c r="J119" s="117"/>
      <c r="K119" s="117"/>
      <c r="L119" s="108">
        <v>0</v>
      </c>
    </row>
    <row r="120" spans="3:12" ht="16.5" thickTop="1" thickBot="1" x14ac:dyDescent="0.3">
      <c r="D120" s="187" t="s">
        <v>112</v>
      </c>
      <c r="E120" s="188"/>
      <c r="F120" s="188"/>
      <c r="G120" s="189"/>
      <c r="H120" s="65"/>
      <c r="I120" s="107" t="s">
        <v>116</v>
      </c>
      <c r="J120" s="111"/>
      <c r="K120" s="111"/>
      <c r="L120" s="108"/>
    </row>
    <row r="121" spans="3:12" ht="16.5" thickTop="1" thickBot="1" x14ac:dyDescent="0.3">
      <c r="D121" s="107" t="s">
        <v>26</v>
      </c>
      <c r="E121" s="109"/>
      <c r="F121" s="110"/>
      <c r="G121" s="108">
        <f>Metodos!F$4</f>
        <v>100000</v>
      </c>
      <c r="H121" s="65"/>
      <c r="I121" s="107" t="s">
        <v>117</v>
      </c>
      <c r="J121" s="111"/>
      <c r="K121" s="111"/>
      <c r="L121" s="108">
        <v>1800000</v>
      </c>
    </row>
    <row r="122" spans="3:12" ht="16.5" thickTop="1" thickBot="1" x14ac:dyDescent="0.3">
      <c r="D122" s="107" t="s">
        <v>27</v>
      </c>
      <c r="E122" s="111"/>
      <c r="F122" s="112"/>
      <c r="G122" s="108">
        <f>Metodos!F$5</f>
        <v>500000</v>
      </c>
      <c r="H122" s="65"/>
      <c r="I122" s="113" t="s">
        <v>80</v>
      </c>
      <c r="J122" s="111"/>
      <c r="K122" s="111"/>
      <c r="L122" s="108">
        <f>EstadodeResultados!K25+L110</f>
        <v>3312767.0677561425</v>
      </c>
    </row>
    <row r="123" spans="3:12" ht="16.5" thickTop="1" thickBot="1" x14ac:dyDescent="0.3">
      <c r="D123" s="107" t="s">
        <v>68</v>
      </c>
      <c r="E123" s="111"/>
      <c r="F123" s="112"/>
      <c r="G123" s="108">
        <f>Metodos!D$28*(-1)*C118</f>
        <v>-150000</v>
      </c>
      <c r="H123" s="65"/>
      <c r="I123" s="117"/>
      <c r="J123" s="111"/>
      <c r="K123" s="111"/>
      <c r="L123" s="118"/>
    </row>
    <row r="124" spans="3:12" ht="16.5" thickTop="1" thickBot="1" x14ac:dyDescent="0.3">
      <c r="D124" s="107" t="s">
        <v>29</v>
      </c>
      <c r="E124" s="111"/>
      <c r="F124" s="112"/>
      <c r="G124" s="108">
        <f t="shared" ref="G124" si="8">G112</f>
        <v>1000000</v>
      </c>
      <c r="H124" s="65"/>
      <c r="I124" s="111"/>
      <c r="J124" s="111"/>
      <c r="K124" s="111"/>
      <c r="L124" s="118"/>
    </row>
    <row r="125" spans="3:12" ht="16.5" thickTop="1" thickBot="1" x14ac:dyDescent="0.3">
      <c r="D125" s="107" t="s">
        <v>67</v>
      </c>
      <c r="E125" s="111"/>
      <c r="F125" s="112"/>
      <c r="G125" s="108">
        <f>Metodos!D$27*(-1)*(C58)</f>
        <v>-720000</v>
      </c>
      <c r="H125" s="65"/>
      <c r="I125" s="119"/>
      <c r="J125" s="119"/>
      <c r="K125" s="119"/>
      <c r="L125" s="120"/>
    </row>
    <row r="126" spans="3:12" ht="16.5" thickTop="1" thickBot="1" x14ac:dyDescent="0.3">
      <c r="D126" s="113" t="s">
        <v>113</v>
      </c>
      <c r="E126" s="114"/>
      <c r="F126" s="115"/>
      <c r="G126" s="116">
        <f>SUM(G121:G125,G119)</f>
        <v>5112767.0677561415</v>
      </c>
      <c r="H126" s="65"/>
      <c r="I126" s="121" t="s">
        <v>118</v>
      </c>
      <c r="J126" s="114"/>
      <c r="K126" s="122"/>
      <c r="L126" s="116">
        <f>SUM(L121:L122,L119)</f>
        <v>5112767.0677561425</v>
      </c>
    </row>
    <row r="127" spans="3:12" ht="15.75" thickTop="1" x14ac:dyDescent="0.25"/>
    <row r="128" spans="3:12" ht="15.75" thickBot="1" x14ac:dyDescent="0.3"/>
    <row r="129" spans="3:12" ht="16.5" thickTop="1" thickBot="1" x14ac:dyDescent="0.3">
      <c r="C129" s="105" t="s">
        <v>57</v>
      </c>
      <c r="H129" s="63"/>
    </row>
    <row r="130" spans="3:12" ht="16.5" thickTop="1" thickBot="1" x14ac:dyDescent="0.3">
      <c r="C130" s="106">
        <v>10</v>
      </c>
      <c r="D130" s="187" t="s">
        <v>111</v>
      </c>
      <c r="E130" s="188"/>
      <c r="F130" s="188"/>
      <c r="G130" s="189"/>
      <c r="H130" s="65"/>
      <c r="I130" s="188" t="s">
        <v>115</v>
      </c>
      <c r="J130" s="188"/>
      <c r="K130" s="188"/>
      <c r="L130" s="189"/>
    </row>
    <row r="131" spans="3:12" ht="16.5" thickTop="1" thickBot="1" x14ac:dyDescent="0.3">
      <c r="D131" s="107" t="s">
        <v>114</v>
      </c>
      <c r="E131" s="107"/>
      <c r="F131" s="107"/>
      <c r="G131" s="108">
        <f>G119+Metodos!M39</f>
        <v>2648284.842591377</v>
      </c>
      <c r="H131" s="65"/>
      <c r="I131" s="107"/>
      <c r="J131" s="117"/>
      <c r="K131" s="117"/>
      <c r="L131" s="108">
        <v>0</v>
      </c>
    </row>
    <row r="132" spans="3:12" ht="16.5" thickTop="1" thickBot="1" x14ac:dyDescent="0.3">
      <c r="D132" s="187" t="s">
        <v>112</v>
      </c>
      <c r="E132" s="188"/>
      <c r="F132" s="188"/>
      <c r="G132" s="189"/>
      <c r="H132" s="65"/>
      <c r="I132" s="107" t="s">
        <v>116</v>
      </c>
      <c r="J132" s="111"/>
      <c r="K132" s="111"/>
      <c r="L132" s="108"/>
    </row>
    <row r="133" spans="3:12" ht="16.5" thickTop="1" thickBot="1" x14ac:dyDescent="0.3">
      <c r="D133" s="107" t="s">
        <v>26</v>
      </c>
      <c r="E133" s="109"/>
      <c r="F133" s="110"/>
      <c r="G133" s="108">
        <f>Metodos!F$4</f>
        <v>100000</v>
      </c>
      <c r="H133" s="65"/>
      <c r="I133" s="107" t="s">
        <v>117</v>
      </c>
      <c r="J133" s="111"/>
      <c r="K133" s="111"/>
      <c r="L133" s="108">
        <v>1800000</v>
      </c>
    </row>
    <row r="134" spans="3:12" ht="16.5" thickTop="1" thickBot="1" x14ac:dyDescent="0.3">
      <c r="D134" s="107" t="s">
        <v>27</v>
      </c>
      <c r="E134" s="111"/>
      <c r="F134" s="112"/>
      <c r="G134" s="108">
        <f>Metodos!F$5</f>
        <v>500000</v>
      </c>
      <c r="H134" s="65"/>
      <c r="I134" s="113" t="s">
        <v>80</v>
      </c>
      <c r="J134" s="111"/>
      <c r="K134" s="111"/>
      <c r="L134" s="108">
        <f>EstadodeResultados!L25+L122</f>
        <v>1381618.1759247109</v>
      </c>
    </row>
    <row r="135" spans="3:12" ht="16.5" thickTop="1" thickBot="1" x14ac:dyDescent="0.3">
      <c r="D135" s="107" t="s">
        <v>68</v>
      </c>
      <c r="E135" s="111"/>
      <c r="F135" s="112"/>
      <c r="G135" s="108">
        <f>Metodos!D$28*(-1)*C130</f>
        <v>-166666.66666666669</v>
      </c>
      <c r="H135" s="65"/>
      <c r="I135" s="117"/>
      <c r="J135" s="111"/>
      <c r="K135" s="111"/>
      <c r="L135" s="118"/>
    </row>
    <row r="136" spans="3:12" ht="16.5" thickTop="1" thickBot="1" x14ac:dyDescent="0.3">
      <c r="D136" s="107" t="s">
        <v>29</v>
      </c>
      <c r="E136" s="111"/>
      <c r="F136" s="112"/>
      <c r="G136" s="108">
        <f t="shared" ref="G136" si="9">G124</f>
        <v>1000000</v>
      </c>
      <c r="H136" s="65"/>
      <c r="I136" s="111"/>
      <c r="J136" s="111"/>
      <c r="K136" s="111"/>
      <c r="L136" s="118"/>
    </row>
    <row r="137" spans="3:12" ht="16.5" thickTop="1" thickBot="1" x14ac:dyDescent="0.3">
      <c r="D137" s="107" t="s">
        <v>67</v>
      </c>
      <c r="E137" s="111"/>
      <c r="F137" s="112"/>
      <c r="G137" s="108">
        <f>Metodos!D$27*(-1)*(C70)</f>
        <v>-900000</v>
      </c>
      <c r="H137" s="65"/>
      <c r="I137" s="119"/>
      <c r="J137" s="119"/>
      <c r="K137" s="119"/>
      <c r="L137" s="120"/>
    </row>
    <row r="138" spans="3:12" ht="16.5" thickTop="1" thickBot="1" x14ac:dyDescent="0.3">
      <c r="D138" s="113" t="s">
        <v>113</v>
      </c>
      <c r="E138" s="114"/>
      <c r="F138" s="115"/>
      <c r="G138" s="116">
        <f>SUM(G133:G137,G131)</f>
        <v>3181618.17592471</v>
      </c>
      <c r="H138" s="65"/>
      <c r="I138" s="121" t="s">
        <v>118</v>
      </c>
      <c r="J138" s="114"/>
      <c r="K138" s="122"/>
      <c r="L138" s="116">
        <f>SUM(L133:L134,L131)</f>
        <v>3181618.1759247109</v>
      </c>
    </row>
    <row r="139" spans="3:12" ht="15.75" thickTop="1" x14ac:dyDescent="0.25"/>
    <row r="141" spans="3:12" ht="17.25" customHeight="1" x14ac:dyDescent="0.25"/>
  </sheetData>
  <mergeCells count="34">
    <mergeCell ref="C6:L7"/>
    <mergeCell ref="D12:G12"/>
    <mergeCell ref="I10:L10"/>
    <mergeCell ref="D10:G10"/>
    <mergeCell ref="D22:G22"/>
    <mergeCell ref="I22:L22"/>
    <mergeCell ref="D24:G24"/>
    <mergeCell ref="D34:G34"/>
    <mergeCell ref="I34:L34"/>
    <mergeCell ref="I58:L58"/>
    <mergeCell ref="D60:G60"/>
    <mergeCell ref="D46:G46"/>
    <mergeCell ref="I46:L46"/>
    <mergeCell ref="D48:G48"/>
    <mergeCell ref="D58:G58"/>
    <mergeCell ref="D36:G36"/>
    <mergeCell ref="D70:G70"/>
    <mergeCell ref="I70:L70"/>
    <mergeCell ref="D72:G72"/>
    <mergeCell ref="D82:G82"/>
    <mergeCell ref="I82:L82"/>
    <mergeCell ref="D84:G84"/>
    <mergeCell ref="D132:G132"/>
    <mergeCell ref="D94:G94"/>
    <mergeCell ref="I94:L94"/>
    <mergeCell ref="D96:G96"/>
    <mergeCell ref="D106:G106"/>
    <mergeCell ref="I106:L106"/>
    <mergeCell ref="D108:G108"/>
    <mergeCell ref="D118:G118"/>
    <mergeCell ref="I118:L118"/>
    <mergeCell ref="D120:G120"/>
    <mergeCell ref="D130:G130"/>
    <mergeCell ref="I130:L130"/>
  </mergeCells>
  <pageMargins left="0.7" right="0.7" top="0.75" bottom="0.75" header="0.3" footer="0.3"/>
  <pageSetup paperSize="9" orientation="portrait" r:id="rId1"/>
  <drawing r:id="rId2"/>
  <pictur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023E4-4274-4660-837C-FED05B648B66}">
  <dimension ref="B5:L13"/>
  <sheetViews>
    <sheetView showGridLines="0" workbookViewId="0">
      <selection activeCell="F22" sqref="F22"/>
    </sheetView>
  </sheetViews>
  <sheetFormatPr baseColWidth="10" defaultRowHeight="15" x14ac:dyDescent="0.25"/>
  <cols>
    <col min="2" max="2" width="30.625" customWidth="1"/>
    <col min="3" max="6" width="12.375" bestFit="1" customWidth="1"/>
    <col min="7" max="12" width="13.375" bestFit="1" customWidth="1"/>
  </cols>
  <sheetData>
    <row r="5" spans="2:12" ht="15.75" thickBot="1" x14ac:dyDescent="0.3"/>
    <row r="6" spans="2:12" ht="17.25" thickTop="1" thickBot="1" x14ac:dyDescent="0.3">
      <c r="B6" s="145" t="s">
        <v>119</v>
      </c>
      <c r="C6" s="145"/>
      <c r="D6" s="145"/>
      <c r="E6" s="145"/>
      <c r="F6" s="145"/>
      <c r="G6" s="145"/>
      <c r="H6" s="145"/>
      <c r="I6" s="145"/>
      <c r="J6" s="145"/>
      <c r="K6" s="145"/>
      <c r="L6" s="145"/>
    </row>
    <row r="7" spans="2:12" ht="16.5" thickTop="1" thickBot="1" x14ac:dyDescent="0.3">
      <c r="B7" s="44" t="s">
        <v>57</v>
      </c>
      <c r="C7" s="46">
        <v>1</v>
      </c>
      <c r="D7" s="47">
        <v>2</v>
      </c>
      <c r="E7" s="47">
        <v>3</v>
      </c>
      <c r="F7" s="47">
        <v>4</v>
      </c>
      <c r="G7" s="47">
        <v>5</v>
      </c>
      <c r="H7" s="47">
        <v>6</v>
      </c>
      <c r="I7" s="47">
        <v>7</v>
      </c>
      <c r="J7" s="47">
        <v>8</v>
      </c>
      <c r="K7" s="47">
        <v>9</v>
      </c>
      <c r="L7" s="47">
        <v>10</v>
      </c>
    </row>
    <row r="8" spans="2:12" ht="16.5" thickTop="1" thickBot="1" x14ac:dyDescent="0.3">
      <c r="B8" s="56" t="s">
        <v>120</v>
      </c>
      <c r="C8" s="103">
        <f>SUM(EstadodeResultados!C14,EstadodeResultados!C16:C17)</f>
        <v>346666.66666666669</v>
      </c>
      <c r="D8" s="103">
        <f>SUM(EstadodeResultados!D14,EstadodeResultados!D16:D17)</f>
        <v>358666.66666666669</v>
      </c>
      <c r="E8" s="103">
        <f>SUM(EstadodeResultados!E14,EstadodeResultados!E16:E17)</f>
        <v>371626.66666666669</v>
      </c>
      <c r="F8" s="103">
        <f>SUM(EstadodeResultados!F14,EstadodeResultados!F16:F17)</f>
        <v>385623.46666666667</v>
      </c>
      <c r="G8" s="103">
        <f>SUM(EstadodeResultados!G14,EstadodeResultados!G16:G17)</f>
        <v>400740.01066666667</v>
      </c>
      <c r="H8" s="103">
        <f>SUM(EstadodeResultados!H14,EstadodeResultados!H16:H17)</f>
        <v>417065.8781866667</v>
      </c>
      <c r="I8" s="103">
        <f>SUM(EstadodeResultados!I14,EstadodeResultados!I16:I17)</f>
        <v>434697.81510826666</v>
      </c>
      <c r="J8" s="103">
        <f>SUM(EstadodeResultados!J14,EstadodeResultados!J16:J17)</f>
        <v>453740.30698359467</v>
      </c>
      <c r="K8" s="103">
        <f>SUM(EstadodeResultados!K14,EstadodeResultados!K16:K17)</f>
        <v>474306.19820894889</v>
      </c>
      <c r="L8" s="103">
        <f>SUM(EstadodeResultados!L14,EstadodeResultados!L16:L17)</f>
        <v>496517.36073233146</v>
      </c>
    </row>
    <row r="9" spans="2:12" ht="16.5" thickTop="1" thickBot="1" x14ac:dyDescent="0.3">
      <c r="B9" s="56" t="s">
        <v>168</v>
      </c>
      <c r="C9" s="103">
        <f>SUM(EstadodeResultados!C11:C13)</f>
        <v>6000000</v>
      </c>
      <c r="D9" s="103">
        <f>SUM(EstadodeResultados!D11:D13)</f>
        <v>6804000</v>
      </c>
      <c r="E9" s="103">
        <f>SUM(EstadodeResultados!E11:E13)</f>
        <v>7715736</v>
      </c>
      <c r="F9" s="103">
        <f>SUM(EstadodeResultados!F11:F13)</f>
        <v>8749644.6239999998</v>
      </c>
      <c r="G9" s="103">
        <f>SUM(EstadodeResultados!G11:G13)</f>
        <v>9922097.0036160015</v>
      </c>
      <c r="H9" s="103">
        <f>SUM(EstadodeResultados!H11:H13)</f>
        <v>11251658.002100544</v>
      </c>
      <c r="I9" s="103">
        <f>SUM(EstadodeResultados!I11:I13)</f>
        <v>12759380.174382014</v>
      </c>
      <c r="J9" s="103">
        <f>SUM(EstadodeResultados!J11:J13)</f>
        <v>14469137.117749207</v>
      </c>
      <c r="K9" s="103">
        <f>SUM(EstadodeResultados!K11:K13)</f>
        <v>16408001.491527602</v>
      </c>
      <c r="L9" s="103">
        <f>SUM(EstadodeResultados!L11:L13)</f>
        <v>18606673.691392299</v>
      </c>
    </row>
    <row r="10" spans="2:12" ht="16.5" thickTop="1" thickBot="1" x14ac:dyDescent="0.3">
      <c r="B10" s="45" t="s">
        <v>121</v>
      </c>
      <c r="C10" s="104">
        <f>Datos!$E$43</f>
        <v>20000</v>
      </c>
      <c r="D10" s="104">
        <f>Datos!$E44</f>
        <v>21000</v>
      </c>
      <c r="E10" s="104">
        <f>Datos!$E45</f>
        <v>22050</v>
      </c>
      <c r="F10" s="104">
        <f>Datos!$E46</f>
        <v>23152.5</v>
      </c>
      <c r="G10" s="104">
        <f>Datos!$E47</f>
        <v>24310.125</v>
      </c>
      <c r="H10" s="104">
        <f>Datos!$E48</f>
        <v>25525.631249999999</v>
      </c>
      <c r="I10" s="104">
        <f>Datos!$E49</f>
        <v>26801.912812499999</v>
      </c>
      <c r="J10" s="104">
        <f>Datos!$E50</f>
        <v>28142.008453125</v>
      </c>
      <c r="K10" s="104">
        <f>Datos!$E51</f>
        <v>29549.10887578125</v>
      </c>
      <c r="L10" s="104">
        <f>Datos!$E52</f>
        <v>31026.564319570312</v>
      </c>
    </row>
    <row r="11" spans="2:12" ht="16.5" thickTop="1" thickBot="1" x14ac:dyDescent="0.3">
      <c r="B11" s="45" t="s">
        <v>147</v>
      </c>
      <c r="C11" s="123">
        <f>C9/(Metodos!D14-(C8/PuntoEquilibrio!C10))</f>
        <v>7666.0988074957413</v>
      </c>
      <c r="D11" s="123">
        <f>D9/(Metodos!E14-(D8/PuntoEquilibrio!D10))</f>
        <v>8268.1120283928703</v>
      </c>
      <c r="E11" s="123">
        <f>E9/(Metodos!F14-(E8/PuntoEquilibrio!E10))</f>
        <v>8918.4188202501446</v>
      </c>
      <c r="F11" s="123">
        <f>F9/(Metodos!G14-(F8/PuntoEquilibrio!F10))</f>
        <v>9620.8702499342289</v>
      </c>
      <c r="G11" s="123">
        <f>G9/(Metodos!H14-(G8/PuntoEquilibrio!G10))</f>
        <v>10379.625605951036</v>
      </c>
      <c r="H11" s="123">
        <f>H9/(Metodos!I14-(H8/PuntoEquilibrio!H10))</f>
        <v>11199.176994896952</v>
      </c>
      <c r="I11" s="123">
        <f>I9/(Metodos!J14-(I8/PuntoEquilibrio!I10))</f>
        <v>12084.375909869432</v>
      </c>
      <c r="J11" s="123">
        <f>J9/(Metodos!K14-(J8/PuntoEquilibrio!J10))</f>
        <v>13040.461927839997</v>
      </c>
      <c r="K11" s="123">
        <f>K9/(Metodos!L14-(K8/PuntoEquilibrio!K10))</f>
        <v>14073.093705649917</v>
      </c>
      <c r="L11" s="123">
        <f>L9/(Metodos!M14-(L8/PuntoEquilibrio!L10))</f>
        <v>15188.3824579425</v>
      </c>
    </row>
    <row r="12" spans="2:12" ht="16.5" thickTop="1" thickBot="1" x14ac:dyDescent="0.3">
      <c r="B12" s="43" t="s">
        <v>122</v>
      </c>
      <c r="C12" s="103">
        <f>C9/(1-((C8/C10)/Metodos!D14))</f>
        <v>6132879.0459965933</v>
      </c>
      <c r="D12" s="103">
        <f>D9/(1-((D8/D10)/Metodos!E14))</f>
        <v>6945214.1038500117</v>
      </c>
      <c r="E12" s="103">
        <f>E9/(1-((E8/E10)/Metodos!F14))</f>
        <v>7866045.3994606268</v>
      </c>
      <c r="F12" s="103">
        <f>F9/(1-((F8/F10)/Metodos!G14))</f>
        <v>8909887.9384640902</v>
      </c>
      <c r="G12" s="103">
        <f>G9/(1-((G8/G10)/Metodos!H14))</f>
        <v>10093199.837354816</v>
      </c>
      <c r="H12" s="103">
        <f>H9/(1-((H8/H10)/Metodos!I14))</f>
        <v>11434642.491008908</v>
      </c>
      <c r="I12" s="103">
        <f>I9/(1-((I8/I10)/Metodos!J14))</f>
        <v>12955375.581191832</v>
      </c>
      <c r="J12" s="103">
        <f>J9/(1-((J8/J10)/Metodos!K14))</f>
        <v>14679391.592237113</v>
      </c>
      <c r="K12" s="103">
        <f>K9/(1-((K8/K10)/Metodos!L14))</f>
        <v>16633895.125092842</v>
      </c>
      <c r="L12" s="103">
        <f>L9/(1-((L8/L10)/Metodos!M14))</f>
        <v>18849733.009663451</v>
      </c>
    </row>
    <row r="13" spans="2:12" ht="15.75" thickTop="1" x14ac:dyDescent="0.25"/>
  </sheetData>
  <mergeCells count="1">
    <mergeCell ref="B6:L6"/>
  </mergeCells>
  <pageMargins left="0.7" right="0.7" top="0.75" bottom="0.75" header="0.3" footer="0.3"/>
  <drawing r:id="rId1"/>
  <pictur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5A960-658A-4C8B-8781-F05427015BF4}">
  <dimension ref="B6:L24"/>
  <sheetViews>
    <sheetView showGridLines="0" workbookViewId="0">
      <selection activeCell="C8" sqref="C8"/>
    </sheetView>
  </sheetViews>
  <sheetFormatPr baseColWidth="10" defaultRowHeight="15" x14ac:dyDescent="0.25"/>
  <cols>
    <col min="2" max="2" width="38.25" customWidth="1"/>
    <col min="3" max="3" width="28.5" customWidth="1"/>
    <col min="4" max="6" width="12.375" bestFit="1" customWidth="1"/>
    <col min="7" max="12" width="13.375" bestFit="1" customWidth="1"/>
  </cols>
  <sheetData>
    <row r="6" spans="2:12" x14ac:dyDescent="0.25">
      <c r="B6" s="190" t="s">
        <v>162</v>
      </c>
      <c r="C6" s="190"/>
      <c r="D6" s="190"/>
      <c r="E6" s="190"/>
      <c r="F6" s="190"/>
      <c r="G6" s="190"/>
      <c r="H6" s="190"/>
      <c r="I6" s="190"/>
      <c r="J6" s="190"/>
      <c r="K6" s="190"/>
      <c r="L6" s="190"/>
    </row>
    <row r="7" spans="2:12" x14ac:dyDescent="0.25">
      <c r="B7" s="136" t="s">
        <v>57</v>
      </c>
      <c r="C7" s="136">
        <v>1</v>
      </c>
      <c r="D7" s="136">
        <v>2</v>
      </c>
      <c r="E7" s="136">
        <v>3</v>
      </c>
      <c r="F7" s="136">
        <v>4</v>
      </c>
      <c r="G7" s="136">
        <v>5</v>
      </c>
      <c r="H7" s="136">
        <v>6</v>
      </c>
      <c r="I7" s="136">
        <v>7</v>
      </c>
      <c r="J7" s="136">
        <v>8</v>
      </c>
      <c r="K7" s="136">
        <v>9</v>
      </c>
      <c r="L7" s="136">
        <v>10</v>
      </c>
    </row>
    <row r="8" spans="2:12" ht="16.5" thickBot="1" x14ac:dyDescent="0.3">
      <c r="B8" s="133" t="s">
        <v>163</v>
      </c>
      <c r="C8" s="135">
        <f>EstadodeResultados!C10</f>
        <v>13793103.448275862</v>
      </c>
      <c r="D8" s="135">
        <f>EstadodeResultados!D10</f>
        <v>15206896.55172414</v>
      </c>
      <c r="E8" s="135">
        <f>EstadodeResultados!E10</f>
        <v>16765603.448275864</v>
      </c>
      <c r="F8" s="135">
        <f>EstadodeResultados!F10</f>
        <v>18484077.80172414</v>
      </c>
      <c r="G8" s="135">
        <f>EstadodeResultados!G10</f>
        <v>20378695.776400864</v>
      </c>
      <c r="H8" s="135">
        <f>EstadodeResultados!H10</f>
        <v>22467512.09348195</v>
      </c>
      <c r="I8" s="135">
        <f>EstadodeResultados!I10</f>
        <v>24770432.083063848</v>
      </c>
      <c r="J8" s="135">
        <f>EstadodeResultados!J10</f>
        <v>27309401.371577889</v>
      </c>
      <c r="K8" s="135">
        <f>EstadodeResultados!K10</f>
        <v>30108615.012164623</v>
      </c>
      <c r="L8" s="135">
        <f>EstadodeResultados!L10</f>
        <v>33194748.050911497</v>
      </c>
    </row>
    <row r="9" spans="2:12" ht="17.25" thickTop="1" thickBot="1" x14ac:dyDescent="0.3">
      <c r="B9" s="133" t="s">
        <v>164</v>
      </c>
      <c r="C9" s="137">
        <f>EstadodeResultados!C25</f>
        <v>940183.90804597689</v>
      </c>
      <c r="D9" s="137">
        <f>EstadodeResultados!D25</f>
        <v>928999.4252873573</v>
      </c>
      <c r="E9" s="137">
        <f>EstadodeResultados!E25</f>
        <v>900382.13304597756</v>
      </c>
      <c r="F9" s="137">
        <f>EstadodeResultados!F25</f>
        <v>850353.31374985748</v>
      </c>
      <c r="G9" s="137">
        <f>EstadodeResultados!G25</f>
        <v>774231.96459948411</v>
      </c>
      <c r="H9" s="137">
        <f>EstadodeResultados!H25</f>
        <v>570617.56677106547</v>
      </c>
      <c r="I9" s="137">
        <f>EstadodeResultados!I25</f>
        <v>56315.708708556413</v>
      </c>
      <c r="J9" s="137">
        <f>EstadodeResultados!J25</f>
        <v>-524908.32172890485</v>
      </c>
      <c r="K9" s="137">
        <f>EstadodeResultados!K25</f>
        <v>-1183408.630723228</v>
      </c>
      <c r="L9" s="137">
        <f>EstadodeResultados!L25</f>
        <v>-1931148.8918314315</v>
      </c>
    </row>
    <row r="10" spans="2:12" ht="17.25" thickTop="1" thickBot="1" x14ac:dyDescent="0.3">
      <c r="B10" s="133" t="s">
        <v>81</v>
      </c>
      <c r="C10" s="137">
        <f>Metodos!D39</f>
        <v>1136850.5747126436</v>
      </c>
      <c r="D10" s="137">
        <f>Metodos!E39</f>
        <v>1125666.091954024</v>
      </c>
      <c r="E10" s="137">
        <f>Metodos!F39</f>
        <v>1097048.7997126442</v>
      </c>
      <c r="F10" s="137">
        <f>Metodos!G39</f>
        <v>1047019.9804165241</v>
      </c>
      <c r="G10" s="137">
        <f>Metodos!H39</f>
        <v>970898.63126615074</v>
      </c>
      <c r="H10" s="137">
        <f>Metodos!I39</f>
        <v>-132715.76656226791</v>
      </c>
      <c r="I10" s="137">
        <f>Metodos!J39</f>
        <v>252982.37537522306</v>
      </c>
      <c r="J10" s="137">
        <f>Metodos!K39</f>
        <v>-328241.65506223822</v>
      </c>
      <c r="K10" s="137">
        <f>Metodos!L39</f>
        <v>-986741.96405656135</v>
      </c>
      <c r="L10" s="137">
        <f>Metodos!M39</f>
        <v>-1734482.2251647648</v>
      </c>
    </row>
    <row r="11" spans="2:12" ht="17.25" thickTop="1" thickBot="1" x14ac:dyDescent="0.3">
      <c r="B11" s="133" t="s">
        <v>165</v>
      </c>
      <c r="C11" s="137">
        <f>BalanceGeneral!G30</f>
        <v>2740183.9080459774</v>
      </c>
      <c r="D11" s="137">
        <f>BalanceGeneral!G42</f>
        <v>3669183.3333333344</v>
      </c>
      <c r="E11" s="137">
        <f>BalanceGeneral!G54</f>
        <v>4569565.4663793119</v>
      </c>
      <c r="F11" s="137">
        <f>BalanceGeneral!G66</f>
        <v>5419918.78012917</v>
      </c>
      <c r="G11" s="137">
        <f>BalanceGeneral!G78</f>
        <v>6194150.7447286528</v>
      </c>
      <c r="H11" s="137">
        <f>BalanceGeneral!G90</f>
        <v>6764768.3114997186</v>
      </c>
      <c r="I11" s="137">
        <f>BalanceGeneral!G102</f>
        <v>6821084.0202082749</v>
      </c>
      <c r="J11" s="137">
        <f>BalanceGeneral!G114</f>
        <v>6296175.6984793693</v>
      </c>
      <c r="K11" s="137">
        <f>BalanceGeneral!G126</f>
        <v>5112767.0677561415</v>
      </c>
      <c r="L11" s="137">
        <f>BalanceGeneral!G138</f>
        <v>3181618.17592471</v>
      </c>
    </row>
    <row r="12" spans="2:12" ht="17.25" thickTop="1" thickBot="1" x14ac:dyDescent="0.3">
      <c r="B12" s="133" t="s">
        <v>166</v>
      </c>
      <c r="C12" s="137">
        <f>BalanceGeneral!L30</f>
        <v>2740183.9080459769</v>
      </c>
      <c r="D12" s="137">
        <f>BalanceGeneral!L42</f>
        <v>3669183.333333334</v>
      </c>
      <c r="E12" s="137">
        <f>BalanceGeneral!L54</f>
        <v>4569565.4663793119</v>
      </c>
      <c r="F12" s="137">
        <f>BalanceGeneral!L66</f>
        <v>5419918.7801291691</v>
      </c>
      <c r="G12" s="137">
        <f>BalanceGeneral!L78</f>
        <v>6194150.7447286528</v>
      </c>
      <c r="H12" s="137">
        <f>BalanceGeneral!L90</f>
        <v>6764768.3114997186</v>
      </c>
      <c r="I12" s="137">
        <f>BalanceGeneral!L102</f>
        <v>6821084.0202082749</v>
      </c>
      <c r="J12" s="137">
        <f>BalanceGeneral!L114</f>
        <v>6296175.6984793702</v>
      </c>
      <c r="K12" s="137">
        <f>BalanceGeneral!L126</f>
        <v>5112767.0677561425</v>
      </c>
      <c r="L12" s="137">
        <f>BalanceGeneral!L138</f>
        <v>3181618.1759247109</v>
      </c>
    </row>
    <row r="13" spans="2:12" ht="17.25" thickTop="1" thickBot="1" x14ac:dyDescent="0.3">
      <c r="B13" s="133" t="s">
        <v>167</v>
      </c>
      <c r="C13" s="135">
        <f>PuntoEquilibrio!C11</f>
        <v>7666.0988074957413</v>
      </c>
      <c r="D13" s="135">
        <f>PuntoEquilibrio!D11</f>
        <v>8268.1120283928703</v>
      </c>
      <c r="E13" s="135">
        <f>PuntoEquilibrio!E11</f>
        <v>8918.4188202501446</v>
      </c>
      <c r="F13" s="135">
        <f>PuntoEquilibrio!F11</f>
        <v>9620.8702499342289</v>
      </c>
      <c r="G13" s="135">
        <f>PuntoEquilibrio!G11</f>
        <v>10379.625605951036</v>
      </c>
      <c r="H13" s="135">
        <f>PuntoEquilibrio!H11</f>
        <v>11199.176994896952</v>
      </c>
      <c r="I13" s="135">
        <f>PuntoEquilibrio!I11</f>
        <v>12084.375909869432</v>
      </c>
      <c r="J13" s="135">
        <f>PuntoEquilibrio!J11</f>
        <v>13040.461927839997</v>
      </c>
      <c r="K13" s="135">
        <f>PuntoEquilibrio!K11</f>
        <v>14073.093705649917</v>
      </c>
      <c r="L13" s="135">
        <f>PuntoEquilibrio!L11</f>
        <v>15188.3824579425</v>
      </c>
    </row>
    <row r="14" spans="2:12" ht="17.25" thickTop="1" thickBot="1" x14ac:dyDescent="0.3">
      <c r="B14" s="133" t="s">
        <v>122</v>
      </c>
      <c r="C14" s="137">
        <f>PuntoEquilibrio!C12</f>
        <v>6132879.0459965933</v>
      </c>
      <c r="D14" s="137">
        <f>PuntoEquilibrio!D12</f>
        <v>6945214.1038500117</v>
      </c>
      <c r="E14" s="137">
        <f>PuntoEquilibrio!E12</f>
        <v>7866045.3994606268</v>
      </c>
      <c r="F14" s="137">
        <f>PuntoEquilibrio!F12</f>
        <v>8909887.9384640902</v>
      </c>
      <c r="G14" s="137">
        <f>PuntoEquilibrio!G12</f>
        <v>10093199.837354816</v>
      </c>
      <c r="H14" s="137">
        <f>PuntoEquilibrio!H12</f>
        <v>11434642.491008908</v>
      </c>
      <c r="I14" s="137">
        <f>PuntoEquilibrio!I12</f>
        <v>12955375.581191832</v>
      </c>
      <c r="J14" s="137">
        <f>PuntoEquilibrio!J12</f>
        <v>14679391.592237113</v>
      </c>
      <c r="K14" s="137">
        <f>PuntoEquilibrio!K12</f>
        <v>16633895.125092842</v>
      </c>
      <c r="L14" s="137">
        <f>PuntoEquilibrio!L12</f>
        <v>18849733.009663451</v>
      </c>
    </row>
    <row r="15" spans="2:12" ht="15.75" thickTop="1" x14ac:dyDescent="0.25"/>
    <row r="17" spans="2:3" x14ac:dyDescent="0.25">
      <c r="B17" s="134" t="s">
        <v>148</v>
      </c>
      <c r="C17" s="134" t="s">
        <v>149</v>
      </c>
    </row>
    <row r="18" spans="2:3" ht="32.25" thickBot="1" x14ac:dyDescent="0.3">
      <c r="B18" s="133" t="s">
        <v>150</v>
      </c>
      <c r="C18" s="135" t="s">
        <v>157</v>
      </c>
    </row>
    <row r="19" spans="2:3" ht="48.75" thickTop="1" thickBot="1" x14ac:dyDescent="0.3">
      <c r="B19" s="133" t="s">
        <v>151</v>
      </c>
      <c r="C19" s="135" t="s">
        <v>158</v>
      </c>
    </row>
    <row r="20" spans="2:3" ht="33" thickTop="1" thickBot="1" x14ac:dyDescent="0.3">
      <c r="B20" s="133" t="s">
        <v>152</v>
      </c>
      <c r="C20" s="135" t="s">
        <v>153</v>
      </c>
    </row>
    <row r="21" spans="2:3" ht="33" thickTop="1" thickBot="1" x14ac:dyDescent="0.3">
      <c r="B21" s="133" t="s">
        <v>154</v>
      </c>
      <c r="C21" s="135" t="s">
        <v>159</v>
      </c>
    </row>
    <row r="22" spans="2:3" ht="33" thickTop="1" thickBot="1" x14ac:dyDescent="0.3">
      <c r="B22" s="133" t="s">
        <v>155</v>
      </c>
      <c r="C22" s="135" t="s">
        <v>160</v>
      </c>
    </row>
    <row r="23" spans="2:3" ht="48.75" thickTop="1" thickBot="1" x14ac:dyDescent="0.3">
      <c r="B23" s="133" t="s">
        <v>156</v>
      </c>
      <c r="C23" s="135" t="s">
        <v>161</v>
      </c>
    </row>
    <row r="24" spans="2:3" ht="15.75" thickTop="1" x14ac:dyDescent="0.25"/>
  </sheetData>
  <mergeCells count="1">
    <mergeCell ref="B6:L6"/>
  </mergeCells>
  <pageMargins left="0.7" right="0.7" top="0.75" bottom="0.75" header="0.3" footer="0.3"/>
  <drawing r:id="rId1"/>
  <pictur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D A A B Q S w M E F A A C A A g A m E W / U g I M S V e j A A A A 9 Q A A A B I A H A B D b 2 5 m a W c v U G F j a 2 F n Z S 5 4 b W w g o h g A K K A U A A A A A A A A A A A A A A A A A A A A A A A A A A A A h Y 8 x D o I w G I W v Q r r T l u K g 5 K c M r p K Y E I 1 r U y o 0 Q j G 0 W O 7 m 4 J G 8 g h h F 3 R z f 9 7 7 h v f v 1 B t n Y N s F F 9 V Z 3 J k U R p i h Q R n a l N l W K B n c M l y j j s B X y J C o V T L K x y W j L F N X O n R N C v P f Y x 7 j r K 8 I o j c g h 3 x S y V q 1 A H 1 n / l 0 N t r B N G K s R h / x r D G V 7 F e M E Y p k B m B r k 2 3 5 5 N c 5 / t D 4 T 1 0 L i h V 1 y Z c F c A m S O Q 9 w X + A F B L A w Q U A A I A C A C Y R b 9 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E W / U p W v S M z R A A A A J w E A A B M A H A B G b 3 J t d W x h c y 9 T Z W N 0 a W 9 u M S 5 t I K I Y A C i g F A A A A A A A A A A A A A A A A A A A A A A A A A A A A G 2 O T W v C Q B C G 7 4 H 8 h 2 F 7 S S A I n s W D B A + 9 t K C h P Y i H S R z t 4 u 5 M m N 2 A E v L f u z Y U P D i X g Z f n / Q j U R S s M + / k v V 3 m W Z + E H l U 7 Q Y O t w C W t w F P M M 0 n 2 q v R A n Z X v r y C 3 q Q Z U 4 f o t e W 5 F r U Y 6 H D / S 0 N r P T H K d D L R w T c q z m g D f T 2 F 6 g Q 9 9 a P I l J U Q + W F o 0 i h 7 O o r 8 U N n p t 7 T 6 G Y 6 6 p x N L u h V T E V x K R D p F u c K h j N F z p R e O f O o n V Q p G X J J a H 8 B 5 H v f 1 w i l H y a I b D h A R 1 s Q 0 / 6 6 H 8 C p z L P L L + e u f o F U E s B A i 0 A F A A C A A g A m E W / U g I M S V e j A A A A 9 Q A A A B I A A A A A A A A A A A A A A A A A A A A A A E N v b m Z p Z y 9 Q Y W N r Y W d l L n h t b F B L A Q I t A B Q A A g A I A J h F v 1 I P y u m r p A A A A O k A A A A T A A A A A A A A A A A A A A A A A O 8 A A A B b Q 2 9 u d G V u d F 9 U e X B l c 1 0 u e G 1 s U E s B A i 0 A F A A C A A g A m E W / U p W v S M z R A A A A J w E A A B M A A A A A A A A A A A A A A A A A 4 A E A A E Z v c m 1 1 b G F z L 1 N l Y 3 R p b 2 4 x L m 1 Q S w U G A A A A A A M A A w D C A A A A / 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A k A A A A A A A A e 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h 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S 0 w N S 0 z M V Q x M z o 0 N D o z M y 4 3 O D Y 2 N D Y 5 W i I g L z 4 8 R W 5 0 c n k g V H l w Z T 0 i R m l s b E N v b H V t b l R 5 c G V z I i B W Y W x 1 Z T 0 i c 0 J n Q U E i I C 8 + P E V u d H J 5 I F R 5 c G U 9 I k Z p b G x D b 2 x 1 b W 5 O Y W 1 l c y I g V m F s d W U 9 I n N b J n F 1 b 3 Q 7 U n V i c m 8 m c X V v d D s s J n F 1 b 3 Q 7 V m F s b 3 I g S W 5 j a W F p b C A o Z W 4 g c G V z b 3 M p J n F 1 b 3 Q 7 L C Z x d W 9 0 O 0 l u Y 3 J l b W V u d G 8 g Q W 5 1 Y W w g R X N w Z X J h Z G 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Y T E v Q X V 0 b 1 J l b W 9 2 Z W R D b 2 x 1 b W 5 z M S 5 7 U n V i c m 8 s M H 0 m c X V v d D s s J n F 1 b 3 Q 7 U 2 V j d G l v b j E v V G F i b G E x L 0 F 1 d G 9 S Z W 1 v d m V k Q 2 9 s d W 1 u c z E u e 1 Z h b G 9 y I E l u Y 2 l h a W w g K G V u I H B l c 2 9 z K S w x f S Z x d W 9 0 O y w m c X V v d D t T Z W N 0 a W 9 u M S 9 U Y W J s Y T E v Q X V 0 b 1 J l b W 9 2 Z W R D b 2 x 1 b W 5 z M S 5 7 S W 5 j c m V t Z W 5 0 b y B B b n V h b C B F c 3 B l c m F k b y w y f S Z x d W 9 0 O 1 0 s J n F 1 b 3 Q 7 Q 2 9 s d W 1 u Q 2 9 1 b n Q m c X V v d D s 6 M y w m c X V v d D t L Z X l D b 2 x 1 b W 5 O Y W 1 l c y Z x d W 9 0 O z p b X S w m c X V v d D t D b 2 x 1 b W 5 J Z G V u d G l 0 a W V z J n F 1 b 3 Q 7 O l s m c X V v d D t T Z W N 0 a W 9 u M S 9 U Y W J s Y T E v Q X V 0 b 1 J l b W 9 2 Z W R D b 2 x 1 b W 5 z M S 5 7 U n V i c m 8 s M H 0 m c X V v d D s s J n F 1 b 3 Q 7 U 2 V j d G l v b j E v V G F i b G E x L 0 F 1 d G 9 S Z W 1 v d m V k Q 2 9 s d W 1 u c z E u e 1 Z h b G 9 y I E l u Y 2 l h a W w g K G V u I H B l c 2 9 z K S w x f S Z x d W 9 0 O y w m c X V v d D t T Z W N 0 a W 9 u M S 9 U Y W J s Y T E v Q X V 0 b 1 J l b W 9 2 Z W R D b 2 x 1 b W 5 z M S 5 7 S W 5 j c m V t Z W 5 0 b y B B b n V h b C B F c 3 B l c m F k b y w y f S Z x d W 9 0 O 1 0 s J n F 1 b 3 Q 7 U m V s Y X R p b 2 5 z a G l w S W 5 m b y Z x d W 9 0 O z p b X X 0 i I C 8 + P C 9 T d G F i b G V F b n R y a W V z P j w v S X R l b T 4 8 S X R l b T 4 8 S X R l b U x v Y 2 F 0 a W 9 u P j x J d G V t V H l w Z T 5 G b 3 J t d W x h P C 9 J d G V t V H l w Z T 4 8 S X R l b V B h d G g + U 2 V j d G l v b j E v V G F i b G E x L 0 9 y a W d l b j w v S X R l b V B h d G g + P C 9 J d G V t T G 9 j Y X R p b 2 4 + P F N 0 Y W J s Z U V u d H J p Z X M g L z 4 8 L 0 l 0 Z W 0 + P E l 0 Z W 0 + P E l 0 Z W 1 M b 2 N h d G l v b j 4 8 S X R l b V R 5 c G U + R m 9 y b X V s Y T w v S X R l b V R 5 c G U + P E l 0 Z W 1 Q Y X R o P l N l Y 3 R p b 2 4 x L 1 R h Y m x h M S 9 U a X B v J T I w Y 2 F t Y m l h Z G 8 8 L 0 l 0 Z W 1 Q Y X R o P j w v S X R l b U x v Y 2 F 0 a W 9 u P j x T d G F i b G V F b n R y a W V z I C 8 + P C 9 J d G V t P j w v S X R l b X M + P C 9 M b 2 N h b F B h Y 2 t h Z 2 V N Z X R h Z G F 0 Y U Z p b G U + F g A A A F B L B Q Y A A A A A A A A A A A A A A A A A A A A A A A A m A Q A A A Q A A A N C M n d 8 B F d E R j H o A w E / C l + s B A A A A W P z f F j H 0 Y E e N 5 f X u v A n y q A A A A A A C A A A A A A A Q Z g A A A A E A A C A A A A B t x Q 9 l 5 b P K V 7 a d 1 t c E Q A / 5 v r F h L 4 / Z 1 e w 8 l i 5 P C 1 w P 0 w A A A A A O g A A A A A I A A C A A A A C X E 1 f M e v / 4 2 W I d P S J J i I 5 G R N U l B Y L Z Z t u M 3 w h y P n W 1 S F A A A A C K Z W F u T y P 1 I z H n L 9 K b 0 4 D + O a O F Y T 4 U W r M O x A + a 9 3 M 7 i Y n E 6 P E r e q G + k 4 a 2 + e o j j 5 7 f k w y G J s i l o 9 W 6 D N u W G F 9 f v I s v C B h g 4 9 + Z g e Z V G z 8 D 7 U A A A A D q n s 6 z 6 D P H A l A N 7 b I C i 9 I r s F s E V + m f / L g B l m u K i O M i l P E n w W Q L K / B a 3 1 5 T W j Y V m o m 8 W Q x + I x f y E y 3 W s 4 1 m c j v C < / D a t a M a s h u p > 
</file>

<file path=customXml/itemProps1.xml><?xml version="1.0" encoding="utf-8"?>
<ds:datastoreItem xmlns:ds="http://schemas.openxmlformats.org/officeDocument/2006/customXml" ds:itemID="{3011C166-2D78-4722-AE59-5AAE007976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Portada</vt:lpstr>
      <vt:lpstr>Antescedentes</vt:lpstr>
      <vt:lpstr>Actividad</vt:lpstr>
      <vt:lpstr>Datos</vt:lpstr>
      <vt:lpstr>EstadodeResultados</vt:lpstr>
      <vt:lpstr>Metodos</vt:lpstr>
      <vt:lpstr>BalanceGeneral</vt:lpstr>
      <vt:lpstr>PuntoEquilibrio</vt:lpstr>
      <vt:lpstr>Resultados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AYALA</dc:creator>
  <cp:keywords/>
  <dc:description/>
  <cp:lastModifiedBy>TONY AYALA</cp:lastModifiedBy>
  <cp:revision/>
  <dcterms:created xsi:type="dcterms:W3CDTF">2021-03-08T14:10:48Z</dcterms:created>
  <dcterms:modified xsi:type="dcterms:W3CDTF">2021-06-09T02:38:31Z</dcterms:modified>
  <cp:category/>
  <cp:contentStatus/>
</cp:coreProperties>
</file>