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TONY AYALA\Desktop\"/>
    </mc:Choice>
  </mc:AlternateContent>
  <xr:revisionPtr revIDLastSave="0" documentId="13_ncr:1_{D6936C59-E2C8-4F54-9FAA-2BC98E514906}" xr6:coauthVersionLast="47" xr6:coauthVersionMax="47" xr10:uidLastSave="{00000000-0000-0000-0000-000000000000}"/>
  <bookViews>
    <workbookView xWindow="-120" yWindow="-120" windowWidth="29040" windowHeight="15990" activeTab="4" xr2:uid="{13C46BA1-AA3A-440C-89A9-812974A5502F}"/>
  </bookViews>
  <sheets>
    <sheet name="Portada" sheetId="1" r:id="rId1"/>
    <sheet name="Antescedentes" sheetId="2" r:id="rId2"/>
    <sheet name="Actividad" sheetId="3" r:id="rId3"/>
    <sheet name="DATOS" sheetId="4" r:id="rId4"/>
    <sheet name="Hoja2" sheetId="5" r:id="rId5"/>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5" l="1"/>
  <c r="F4" i="5"/>
  <c r="D32" i="5"/>
  <c r="E32" i="5"/>
  <c r="F32" i="5"/>
  <c r="G32" i="5"/>
  <c r="H32" i="5"/>
  <c r="I32" i="5"/>
  <c r="J32" i="5"/>
  <c r="K32" i="5"/>
  <c r="L32" i="5"/>
  <c r="M32" i="5"/>
  <c r="D11" i="5"/>
  <c r="D14" i="5"/>
  <c r="D16" i="5"/>
  <c r="D36" i="5"/>
  <c r="D37" i="5"/>
  <c r="D38" i="5"/>
  <c r="D22" i="5"/>
  <c r="D39" i="5"/>
  <c r="D23" i="5"/>
  <c r="D40" i="5"/>
  <c r="D24" i="5"/>
  <c r="D41" i="5"/>
  <c r="D25" i="5"/>
  <c r="D42" i="5"/>
  <c r="D26" i="5"/>
  <c r="D43" i="5"/>
  <c r="D27" i="5"/>
  <c r="D44" i="5"/>
  <c r="D28" i="5"/>
  <c r="D45" i="5"/>
  <c r="D46" i="5"/>
  <c r="D47" i="5"/>
  <c r="D29" i="5"/>
  <c r="D48" i="5"/>
  <c r="D30" i="5"/>
  <c r="D49" i="5"/>
  <c r="D50" i="5"/>
  <c r="D51" i="5"/>
  <c r="D31" i="5"/>
  <c r="D52" i="5"/>
  <c r="D53" i="5"/>
  <c r="D57" i="5"/>
  <c r="D58" i="5"/>
  <c r="D60" i="5"/>
  <c r="D13" i="5"/>
  <c r="E11" i="5"/>
  <c r="D15" i="5"/>
  <c r="E14" i="5"/>
  <c r="E16" i="5"/>
  <c r="E36" i="5"/>
  <c r="E37" i="5"/>
  <c r="E38" i="5"/>
  <c r="E22" i="5"/>
  <c r="E39" i="5"/>
  <c r="E23" i="5"/>
  <c r="E40" i="5"/>
  <c r="E24" i="5"/>
  <c r="E41" i="5"/>
  <c r="E25" i="5"/>
  <c r="E42" i="5"/>
  <c r="E26" i="5"/>
  <c r="E43" i="5"/>
  <c r="E27" i="5"/>
  <c r="E44" i="5"/>
  <c r="E28" i="5"/>
  <c r="E45" i="5"/>
  <c r="E46" i="5"/>
  <c r="E47" i="5"/>
  <c r="E29" i="5"/>
  <c r="E48" i="5"/>
  <c r="E30" i="5"/>
  <c r="E49" i="5"/>
  <c r="E50" i="5"/>
  <c r="E51" i="5"/>
  <c r="E31" i="5"/>
  <c r="E52" i="5"/>
  <c r="E53" i="5"/>
  <c r="E57" i="5"/>
  <c r="E58" i="5"/>
  <c r="E60" i="5"/>
  <c r="E64" i="5"/>
  <c r="E71" i="5"/>
  <c r="F5" i="5"/>
  <c r="F6" i="5"/>
  <c r="F7" i="5"/>
  <c r="D70" i="5"/>
  <c r="E72" i="5"/>
  <c r="F11" i="5"/>
  <c r="F14" i="5"/>
  <c r="F16" i="5"/>
  <c r="F36" i="5"/>
  <c r="F37" i="5"/>
  <c r="F38" i="5"/>
  <c r="F22" i="5"/>
  <c r="F39" i="5"/>
  <c r="F23" i="5"/>
  <c r="F40" i="5"/>
  <c r="F24" i="5"/>
  <c r="F41" i="5"/>
  <c r="F25" i="5"/>
  <c r="F42" i="5"/>
  <c r="F26" i="5"/>
  <c r="F43" i="5"/>
  <c r="F27" i="5"/>
  <c r="F44" i="5"/>
  <c r="F28" i="5"/>
  <c r="F45" i="5"/>
  <c r="F46" i="5"/>
  <c r="F47" i="5"/>
  <c r="F29" i="5"/>
  <c r="F48" i="5"/>
  <c r="F30" i="5"/>
  <c r="F49" i="5"/>
  <c r="F50" i="5"/>
  <c r="F51" i="5"/>
  <c r="F31" i="5"/>
  <c r="F52" i="5"/>
  <c r="F53" i="5"/>
  <c r="F57" i="5"/>
  <c r="F58" i="5"/>
  <c r="F60" i="5"/>
  <c r="G11" i="5"/>
  <c r="G14" i="5"/>
  <c r="G16" i="5"/>
  <c r="G36" i="5"/>
  <c r="G37" i="5"/>
  <c r="G38" i="5"/>
  <c r="G22" i="5"/>
  <c r="G39" i="5"/>
  <c r="G23" i="5"/>
  <c r="G40" i="5"/>
  <c r="G24" i="5"/>
  <c r="G41" i="5"/>
  <c r="G25" i="5"/>
  <c r="G42" i="5"/>
  <c r="G26" i="5"/>
  <c r="G43" i="5"/>
  <c r="G27" i="5"/>
  <c r="G44" i="5"/>
  <c r="G28" i="5"/>
  <c r="G45" i="5"/>
  <c r="G46" i="5"/>
  <c r="G47" i="5"/>
  <c r="G29" i="5"/>
  <c r="G48" i="5"/>
  <c r="G30" i="5"/>
  <c r="G49" i="5"/>
  <c r="G50" i="5"/>
  <c r="G51" i="5"/>
  <c r="G31" i="5"/>
  <c r="G52" i="5"/>
  <c r="G53" i="5"/>
  <c r="G57" i="5"/>
  <c r="G58" i="5"/>
  <c r="G60" i="5"/>
  <c r="H11" i="5"/>
  <c r="H14" i="5"/>
  <c r="H16" i="5"/>
  <c r="H36" i="5"/>
  <c r="H37" i="5"/>
  <c r="H38" i="5"/>
  <c r="H22" i="5"/>
  <c r="H39" i="5"/>
  <c r="H23" i="5"/>
  <c r="H40" i="5"/>
  <c r="H24" i="5"/>
  <c r="H41" i="5"/>
  <c r="H25" i="5"/>
  <c r="H42" i="5"/>
  <c r="H26" i="5"/>
  <c r="H43" i="5"/>
  <c r="H27" i="5"/>
  <c r="H44" i="5"/>
  <c r="H28" i="5"/>
  <c r="H45" i="5"/>
  <c r="H46" i="5"/>
  <c r="H47" i="5"/>
  <c r="H29" i="5"/>
  <c r="H48" i="5"/>
  <c r="H30" i="5"/>
  <c r="H49" i="5"/>
  <c r="H50" i="5"/>
  <c r="H51" i="5"/>
  <c r="H31" i="5"/>
  <c r="H52" i="5"/>
  <c r="H53" i="5"/>
  <c r="H57" i="5"/>
  <c r="H58" i="5"/>
  <c r="H60" i="5"/>
  <c r="I11" i="5"/>
  <c r="I14" i="5"/>
  <c r="I16" i="5"/>
  <c r="I36" i="5"/>
  <c r="I37" i="5"/>
  <c r="I38" i="5"/>
  <c r="I22" i="5"/>
  <c r="I39" i="5"/>
  <c r="I23" i="5"/>
  <c r="I40" i="5"/>
  <c r="I24" i="5"/>
  <c r="I41" i="5"/>
  <c r="I25" i="5"/>
  <c r="I42" i="5"/>
  <c r="I17" i="5"/>
  <c r="I18" i="5"/>
  <c r="I26" i="5"/>
  <c r="I43" i="5"/>
  <c r="I27" i="5"/>
  <c r="I44" i="5"/>
  <c r="I28" i="5"/>
  <c r="I45" i="5"/>
  <c r="I46" i="5"/>
  <c r="I47" i="5"/>
  <c r="I29" i="5"/>
  <c r="I48" i="5"/>
  <c r="I30" i="5"/>
  <c r="I49" i="5"/>
  <c r="I50" i="5"/>
  <c r="I51" i="5"/>
  <c r="I31" i="5"/>
  <c r="I52" i="5"/>
  <c r="I53" i="5"/>
  <c r="I57" i="5"/>
  <c r="I58" i="5"/>
  <c r="I60" i="5"/>
  <c r="J11" i="5"/>
  <c r="J14" i="5"/>
  <c r="J16" i="5"/>
  <c r="J36" i="5"/>
  <c r="J37" i="5"/>
  <c r="J38" i="5"/>
  <c r="J22" i="5"/>
  <c r="J39" i="5"/>
  <c r="J23" i="5"/>
  <c r="J40" i="5"/>
  <c r="J24" i="5"/>
  <c r="J41" i="5"/>
  <c r="J25" i="5"/>
  <c r="J42" i="5"/>
  <c r="J17" i="5"/>
  <c r="J18" i="5"/>
  <c r="J26" i="5"/>
  <c r="J43" i="5"/>
  <c r="J27" i="5"/>
  <c r="J44" i="5"/>
  <c r="J28" i="5"/>
  <c r="J45" i="5"/>
  <c r="J46" i="5"/>
  <c r="J47" i="5"/>
  <c r="J29" i="5"/>
  <c r="J48" i="5"/>
  <c r="J30" i="5"/>
  <c r="J49" i="5"/>
  <c r="J50" i="5"/>
  <c r="J51" i="5"/>
  <c r="J31" i="5"/>
  <c r="J52" i="5"/>
  <c r="J53" i="5"/>
  <c r="J57" i="5"/>
  <c r="J58" i="5"/>
  <c r="J60" i="5"/>
  <c r="K11" i="5"/>
  <c r="K14" i="5"/>
  <c r="K16" i="5"/>
  <c r="K36" i="5"/>
  <c r="K37" i="5"/>
  <c r="K38" i="5"/>
  <c r="K22" i="5"/>
  <c r="K39" i="5"/>
  <c r="K23" i="5"/>
  <c r="K40" i="5"/>
  <c r="K24" i="5"/>
  <c r="K41" i="5"/>
  <c r="K25" i="5"/>
  <c r="K42" i="5"/>
  <c r="K17" i="5"/>
  <c r="K18" i="5"/>
  <c r="K26" i="5"/>
  <c r="K43" i="5"/>
  <c r="K27" i="5"/>
  <c r="K44" i="5"/>
  <c r="K28" i="5"/>
  <c r="K45" i="5"/>
  <c r="K46" i="5"/>
  <c r="K47" i="5"/>
  <c r="K29" i="5"/>
  <c r="K48" i="5"/>
  <c r="K30" i="5"/>
  <c r="K49" i="5"/>
  <c r="K50" i="5"/>
  <c r="K51" i="5"/>
  <c r="K31" i="5"/>
  <c r="K52" i="5"/>
  <c r="K53" i="5"/>
  <c r="K57" i="5"/>
  <c r="K58" i="5"/>
  <c r="K60" i="5"/>
  <c r="L11" i="5"/>
  <c r="L14" i="5"/>
  <c r="L16" i="5"/>
  <c r="L36" i="5"/>
  <c r="L37" i="5"/>
  <c r="L38" i="5"/>
  <c r="L22" i="5"/>
  <c r="L39" i="5"/>
  <c r="L23" i="5"/>
  <c r="L40" i="5"/>
  <c r="L24" i="5"/>
  <c r="L41" i="5"/>
  <c r="L25" i="5"/>
  <c r="L42" i="5"/>
  <c r="L17" i="5"/>
  <c r="L18" i="5"/>
  <c r="L26" i="5"/>
  <c r="L43" i="5"/>
  <c r="L27" i="5"/>
  <c r="L44" i="5"/>
  <c r="L28" i="5"/>
  <c r="L45" i="5"/>
  <c r="L46" i="5"/>
  <c r="L47" i="5"/>
  <c r="L29" i="5"/>
  <c r="L48" i="5"/>
  <c r="L30" i="5"/>
  <c r="L49" i="5"/>
  <c r="L50" i="5"/>
  <c r="L51" i="5"/>
  <c r="L31" i="5"/>
  <c r="L52" i="5"/>
  <c r="L53" i="5"/>
  <c r="L57" i="5"/>
  <c r="L58" i="5"/>
  <c r="L60" i="5"/>
  <c r="M11" i="5"/>
  <c r="M14" i="5"/>
  <c r="M16" i="5"/>
  <c r="M36" i="5"/>
  <c r="M37" i="5"/>
  <c r="M38" i="5"/>
  <c r="M22" i="5"/>
  <c r="M39" i="5"/>
  <c r="M23" i="5"/>
  <c r="M40" i="5"/>
  <c r="M24" i="5"/>
  <c r="M41" i="5"/>
  <c r="M25" i="5"/>
  <c r="M42" i="5"/>
  <c r="M17" i="5"/>
  <c r="M18" i="5"/>
  <c r="M26" i="5"/>
  <c r="M43" i="5"/>
  <c r="M27" i="5"/>
  <c r="M44" i="5"/>
  <c r="M28" i="5"/>
  <c r="M45" i="5"/>
  <c r="M46" i="5"/>
  <c r="M47" i="5"/>
  <c r="M29" i="5"/>
  <c r="M48" i="5"/>
  <c r="M30" i="5"/>
  <c r="M49" i="5"/>
  <c r="M50" i="5"/>
  <c r="M51" i="5"/>
  <c r="M31" i="5"/>
  <c r="M52" i="5"/>
  <c r="M53" i="5"/>
  <c r="M57" i="5"/>
  <c r="M58" i="5"/>
  <c r="M60" i="5"/>
  <c r="M64" i="5"/>
  <c r="M71" i="5"/>
  <c r="L64" i="5"/>
  <c r="L71" i="5"/>
  <c r="K64" i="5"/>
  <c r="K71" i="5"/>
  <c r="J64" i="5"/>
  <c r="J71" i="5"/>
  <c r="I64" i="5"/>
  <c r="I71" i="5"/>
  <c r="H64" i="5"/>
  <c r="H71" i="5"/>
  <c r="G64" i="5"/>
  <c r="G71" i="5"/>
  <c r="F64" i="5"/>
  <c r="F71" i="5"/>
  <c r="M70" i="5"/>
  <c r="L70" i="5"/>
  <c r="K70" i="5"/>
  <c r="J70" i="5"/>
  <c r="I70" i="5"/>
  <c r="H70" i="5"/>
  <c r="G70" i="5"/>
  <c r="F70" i="5"/>
  <c r="E70" i="5"/>
  <c r="D65" i="5"/>
  <c r="C57" i="5"/>
  <c r="C52" i="5"/>
  <c r="C49" i="5"/>
  <c r="C48" i="5"/>
  <c r="C40" i="5"/>
  <c r="C41" i="5"/>
  <c r="C42" i="5"/>
  <c r="C43" i="5"/>
  <c r="C44" i="5"/>
  <c r="C45" i="5"/>
  <c r="C39" i="5"/>
  <c r="C36" i="5"/>
  <c r="H17" i="5"/>
  <c r="G17" i="5"/>
  <c r="F17" i="5"/>
  <c r="E17" i="5"/>
  <c r="D17" i="5"/>
  <c r="C15" i="5"/>
  <c r="C14" i="5"/>
  <c r="C13" i="5"/>
  <c r="C11" i="5"/>
  <c r="D7" i="5"/>
  <c r="D6" i="5"/>
  <c r="D5" i="5"/>
  <c r="D4" i="5"/>
  <c r="J34" i="4"/>
  <c r="K34" i="4"/>
  <c r="L34" i="4"/>
  <c r="M34" i="4"/>
  <c r="N34" i="4"/>
  <c r="O34" i="4"/>
  <c r="P34" i="4"/>
  <c r="Q34" i="4"/>
  <c r="R34" i="4"/>
  <c r="S34" i="4"/>
  <c r="J32" i="4"/>
  <c r="J30" i="4"/>
  <c r="K30" i="4"/>
  <c r="L30" i="4"/>
  <c r="M30" i="4"/>
  <c r="N30" i="4"/>
  <c r="O30" i="4"/>
  <c r="P30" i="4"/>
  <c r="Q30" i="4"/>
  <c r="R30" i="4"/>
  <c r="S30" i="4"/>
  <c r="J28" i="4"/>
  <c r="K28" i="4"/>
  <c r="L28" i="4"/>
  <c r="M28" i="4"/>
  <c r="N28" i="4"/>
  <c r="O28" i="4"/>
  <c r="P28" i="4"/>
  <c r="Q28" i="4"/>
  <c r="R28" i="4"/>
  <c r="S28" i="4"/>
  <c r="J26" i="4"/>
  <c r="J24" i="4"/>
  <c r="J22" i="4"/>
  <c r="J20" i="4"/>
  <c r="K32" i="4"/>
  <c r="L32" i="4"/>
  <c r="M32" i="4"/>
  <c r="N32" i="4"/>
  <c r="O32" i="4"/>
  <c r="P32" i="4"/>
  <c r="Q32" i="4"/>
  <c r="R32" i="4"/>
  <c r="S32" i="4"/>
  <c r="K26" i="4"/>
  <c r="L26" i="4"/>
  <c r="M26" i="4"/>
  <c r="N26" i="4"/>
  <c r="O26" i="4"/>
  <c r="P26" i="4"/>
  <c r="Q26" i="4"/>
  <c r="R26" i="4"/>
  <c r="S26" i="4"/>
  <c r="K24" i="4"/>
  <c r="L24" i="4"/>
  <c r="M24" i="4"/>
  <c r="N24" i="4"/>
  <c r="O24" i="4"/>
  <c r="P24" i="4"/>
  <c r="Q24" i="4"/>
  <c r="R24" i="4"/>
  <c r="S24" i="4"/>
  <c r="K20" i="4"/>
  <c r="L20" i="4"/>
  <c r="J36" i="4"/>
  <c r="K22" i="4"/>
  <c r="L22" i="4"/>
  <c r="M22" i="4"/>
  <c r="M20" i="4"/>
  <c r="N20" i="4"/>
  <c r="O20" i="4"/>
  <c r="P20" i="4"/>
  <c r="Q20" i="4"/>
  <c r="R20" i="4"/>
  <c r="S20" i="4"/>
  <c r="L36" i="4"/>
  <c r="N22" i="4"/>
  <c r="K36" i="4"/>
  <c r="M36" i="4"/>
  <c r="O22" i="4"/>
  <c r="N36" i="4"/>
  <c r="O36" i="4"/>
  <c r="P22" i="4"/>
  <c r="P36" i="4"/>
  <c r="Q22" i="4"/>
  <c r="Q36" i="4"/>
  <c r="R22" i="4"/>
  <c r="R36" i="4"/>
  <c r="S22" i="4"/>
  <c r="S3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9C1786-D6FF-4342-AEBC-FD15E30E4819}" keepAlive="1" name="Consulta - Tabla1" description="Conexión a la consulta 'Tabla1' en el libro." type="5" refreshedVersion="0" background="1">
    <dbPr connection="Provider=Microsoft.Mashup.OleDb.1;Data Source=$Workbook$;Location=Tabla1;Extended Properties=&quot;&quot;" command="SELECT * FROM [Tabla1]"/>
  </connection>
</connections>
</file>

<file path=xl/sharedStrings.xml><?xml version="1.0" encoding="utf-8"?>
<sst xmlns="http://schemas.openxmlformats.org/spreadsheetml/2006/main" count="125" uniqueCount="97">
  <si>
    <t>Rubro</t>
  </si>
  <si>
    <t>Incremento Anual Esperado</t>
  </si>
  <si>
    <t>Capital de trabajo requerido</t>
  </si>
  <si>
    <t>Costo de materia prima A/unidad</t>
  </si>
  <si>
    <t>Costo de materia prima B/unidad</t>
  </si>
  <si>
    <t>Costo de materiales / unidad</t>
  </si>
  <si>
    <t>Costo de mano de obra /unidad</t>
  </si>
  <si>
    <t>Costo de mantenimiento del equipo/año</t>
  </si>
  <si>
    <t>Gastos administrativos / unidad</t>
  </si>
  <si>
    <t>Gastos de venta / unidad</t>
  </si>
  <si>
    <t>Valor de recuperación del equipo</t>
  </si>
  <si>
    <t>Según Inflación</t>
  </si>
  <si>
    <t>Costos para el proyecto de ampliación de la planta</t>
  </si>
  <si>
    <t>Valor Inicial (en pesos)</t>
  </si>
  <si>
    <t>Se estima una inflación anual promedio de 8% para los próximos 10 años</t>
  </si>
  <si>
    <t>Nivel de Utilidad en pesos</t>
  </si>
  <si>
    <t>Limite Inferior</t>
  </si>
  <si>
    <t>Limite Superior</t>
  </si>
  <si>
    <t>Cuota Fija en pesos</t>
  </si>
  <si>
    <t>Tasa de impuestos</t>
  </si>
  <si>
    <t>Empresa Produce</t>
  </si>
  <si>
    <t>Costos de venta a costos de produccion</t>
  </si>
  <si>
    <t>Empezar a escribir desde la celda 6 siempre</t>
  </si>
  <si>
    <t>DATOS</t>
  </si>
  <si>
    <t>Tasa de crecimiento(anual)</t>
  </si>
  <si>
    <t>PRECIO(por unidad)</t>
  </si>
  <si>
    <t>Variación por tipo de cambio(anual)</t>
  </si>
  <si>
    <t>Terreno</t>
  </si>
  <si>
    <t>Construcción de Infraestructura</t>
  </si>
  <si>
    <t>Vida util en años</t>
  </si>
  <si>
    <t>Maquinaria nueva</t>
  </si>
  <si>
    <t>Valor de rescate</t>
  </si>
  <si>
    <t>Costo de Capital (k)</t>
  </si>
  <si>
    <t>IVA</t>
  </si>
  <si>
    <t>VENTAS(Vestidos)</t>
  </si>
  <si>
    <t>Capacidad de prod. Anual (Vestidos)</t>
  </si>
  <si>
    <t>Subcontratar prod. faltante(por vestido)</t>
  </si>
  <si>
    <t>IMPUESTOS SOBRE LA RENTA</t>
  </si>
  <si>
    <t>1</t>
  </si>
  <si>
    <t>2</t>
  </si>
  <si>
    <t>3</t>
  </si>
  <si>
    <t>4</t>
  </si>
  <si>
    <t>5</t>
  </si>
  <si>
    <t>6</t>
  </si>
  <si>
    <t>7</t>
  </si>
  <si>
    <t>8</t>
  </si>
  <si>
    <t>9</t>
  </si>
  <si>
    <t>10</t>
  </si>
  <si>
    <t xml:space="preserve">Costo de materia prima A /unidad </t>
  </si>
  <si>
    <t>Costo de materia prima B /unidad</t>
  </si>
  <si>
    <t>Costo de materiales /unidad</t>
  </si>
  <si>
    <t>Costo de mantenimiento /año</t>
  </si>
  <si>
    <t>Gastos administrativos /unidad</t>
  </si>
  <si>
    <t>Gastos de venta /unidad</t>
  </si>
  <si>
    <t>Precio de venta /unidad</t>
  </si>
  <si>
    <t>Costo variable /unidad</t>
  </si>
  <si>
    <t>PRESUPUESTO DE INVERSIÓN</t>
  </si>
  <si>
    <t>INVERSIÓN FIJA, DIFERIDA Y CAPITAL DE TRABAJO</t>
  </si>
  <si>
    <t>Io=</t>
  </si>
  <si>
    <t>PRESUPUESTO DE INGRESOS</t>
  </si>
  <si>
    <t>PERIODO</t>
  </si>
  <si>
    <t>INGRESO POR VENTA</t>
  </si>
  <si>
    <t>Exceso de producción (pares)</t>
  </si>
  <si>
    <t>Subcontratar prod. faltante(por par)</t>
  </si>
  <si>
    <t>PRESUPUESTO DE EGRESOS</t>
  </si>
  <si>
    <t>Costo de mano de obra</t>
  </si>
  <si>
    <t>Costo de materia prima</t>
  </si>
  <si>
    <t>Costo de materiales</t>
  </si>
  <si>
    <t>Costo de mantenimiento</t>
  </si>
  <si>
    <t>Costo de maquila</t>
  </si>
  <si>
    <t>Depreciación de maquinaria</t>
  </si>
  <si>
    <t>Depreciación de infraestructura</t>
  </si>
  <si>
    <t>Gastos de venta</t>
  </si>
  <si>
    <t>Gastos administrativos</t>
  </si>
  <si>
    <t>Impuestos</t>
  </si>
  <si>
    <t>TOTAL DE EGRESOS</t>
  </si>
  <si>
    <t>ESTADO DE RESULTADOS</t>
  </si>
  <si>
    <t>Impuestos sobre venta (IVA)</t>
  </si>
  <si>
    <t>VENTAS NETAS</t>
  </si>
  <si>
    <t>Total de costos</t>
  </si>
  <si>
    <t>UTILIDAD BRUTA</t>
  </si>
  <si>
    <t>Total de gastos</t>
  </si>
  <si>
    <t>UTILIDAD ANTES DE IMPUESTOS</t>
  </si>
  <si>
    <t>UTILIDAD DEL EJERCICIO</t>
  </si>
  <si>
    <t>FLUJO NETO DE EFECTIVO</t>
  </si>
  <si>
    <t>DEPRECIACION TOTAL</t>
  </si>
  <si>
    <t>REINVERSION</t>
  </si>
  <si>
    <t>FLUJO NETO DE EFECTIVO (FNE)</t>
  </si>
  <si>
    <t>SUMA DE FLUJOS DE EFECTIVOS NETOS</t>
  </si>
  <si>
    <t>SUMA</t>
  </si>
  <si>
    <t>Io</t>
  </si>
  <si>
    <t>CAPITAL</t>
  </si>
  <si>
    <t>PERIODO DE RECUPERACION</t>
  </si>
  <si>
    <t>FNE</t>
  </si>
  <si>
    <t>FNE ACUMULADO</t>
  </si>
  <si>
    <t>RECUPERACION DE INVERSION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</si>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</sst>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_-* #,##0.00\ &quot;€&quot;_-;\-* #,##0.00\ &quot;€&quot;_-;_-* &quot;-&quot;??\ &quot;€&quot;_-;_-@_-"/>
    <numFmt numFmtId="166" formatCode="_-&quot;$&quot;* #,##0.00_-;\-&quot;$&quot;* #,##0.00_-;_-&quot;$&quot;* &quot;-&quot;??_-;_-@_-"/>
    <numFmt numFmtId="167" formatCode="#,##0.0000"/>
  </numFmts>
  <fonts count="12" x14ac:knownFonts="1">
    <font>
      <sz val="11"/>
      <color theme="1"/>
      <name val="Arial Nova Cond"/>
      <family val="2"/>
      <scheme val="minor"/>
    </font>
    <font>
      <sz val="11"/>
      <color theme="1"/>
      <name val="Arial Nova Cond"/>
      <family val="2"/>
      <scheme val="minor"/>
    </font>
    <font>
      <sz val="11"/>
      <color theme="0"/>
      <name val="Arial Nova Cond"/>
      <family val="2"/>
      <scheme val="minor"/>
    </font>
    <font>
      <b/>
      <sz val="12"/>
      <color theme="1"/>
      <name val="Arial Nova Cond"/>
      <family val="2"/>
      <scheme val="minor"/>
    </font>
    <font>
      <b/>
      <sz val="11"/>
      <color theme="0"/>
      <name val="Arial Nova Cond"/>
      <family val="2"/>
      <scheme val="minor"/>
    </font>
    <font>
      <b/>
      <sz val="11"/>
      <color theme="5" tint="0.79998168889431442"/>
      <name val="Arial Nova Cond"/>
      <family val="2"/>
      <scheme val="minor"/>
    </font>
    <font>
      <sz val="12"/>
      <color theme="1"/>
      <name val="Arial Nova Cond"/>
      <family val="2"/>
      <scheme val="minor"/>
    </font>
    <font>
      <sz val="11"/>
      <color theme="1"/>
      <name val="Century Gothic"/>
      <family val="2"/>
    </font>
    <font>
      <b/>
      <sz val="11"/>
      <color theme="1"/>
      <name val="Arial Nova Cond"/>
      <family val="2"/>
      <scheme val="minor"/>
    </font>
    <font>
      <sz val="12"/>
      <color theme="0"/>
      <name val="Arial Nova Cond"/>
      <family val="2"/>
      <scheme val="minor"/>
    </font>
    <font>
      <b/>
      <sz val="12"/>
      <color theme="0"/>
      <name val="Arial Nova Cond"/>
      <family val="2"/>
      <scheme val="minor"/>
    </font>
    <font>
      <u/>
      <sz val="11"/>
      <color theme="1"/>
      <name val="Arial Nova Cond"/>
      <family val="2"/>
      <scheme val="minor"/>
    </font>
  </fonts>
  <fills count="23">
    <fill>
      <patternFill patternType="none"/>
    </fill>
    <fill>
      <patternFill patternType="gray125"/>
    </fill>
    <fill>
      <patternFill patternType="solid">
        <fgColor auto="1"/>
        <bgColor theme="2"/>
      </patternFill>
    </fill>
    <fill>
      <patternFill patternType="solid">
        <fgColor theme="7"/>
        <bgColor theme="2"/>
      </patternFill>
    </fill>
    <fill>
      <patternFill patternType="lightUp">
        <fgColor theme="2"/>
        <bgColor theme="3" tint="0.59996337778862885"/>
      </patternFill>
    </fill>
    <fill>
      <patternFill patternType="lightUp">
        <fgColor theme="2"/>
        <bgColor theme="4" tint="0.79998168889431442"/>
      </patternFill>
    </fill>
    <fill>
      <patternFill patternType="gray0625">
        <fgColor theme="5" tint="0.79998168889431442"/>
        <bgColor theme="4" tint="0.59996337778862885"/>
      </patternFill>
    </fill>
    <fill>
      <patternFill patternType="gray0625">
        <fgColor theme="9"/>
        <bgColor theme="6" tint="0.39991454817346722"/>
      </patternFill>
    </fill>
    <fill>
      <patternFill patternType="solid">
        <fgColor theme="8" tint="-0.24994659260841701"/>
        <bgColor theme="0"/>
      </patternFill>
    </fill>
    <fill>
      <patternFill patternType="solid">
        <fgColor theme="5" tint="-0.24994659260841701"/>
        <bgColor theme="0"/>
      </patternFill>
    </fill>
    <fill>
      <patternFill patternType="lightUp">
        <fgColor theme="2"/>
        <bgColor theme="0"/>
      </patternFill>
    </fill>
    <fill>
      <patternFill patternType="solid">
        <fgColor theme="9" tint="0.39994506668294322"/>
        <bgColor theme="0"/>
      </patternFill>
    </fill>
    <fill>
      <patternFill patternType="solid">
        <fgColor theme="9" tint="-0.24994659260841701"/>
        <bgColor theme="0"/>
      </patternFill>
    </fill>
    <fill>
      <patternFill patternType="solid">
        <fgColor theme="9" tint="-0.499984740745262"/>
        <bgColor theme="0"/>
      </patternFill>
    </fill>
    <fill>
      <patternFill patternType="solid">
        <fgColor theme="7" tint="-0.24994659260841701"/>
        <bgColor theme="0"/>
      </patternFill>
    </fill>
    <fill>
      <patternFill patternType="solid">
        <fgColor theme="0"/>
        <bgColor theme="0"/>
      </patternFill>
    </fill>
    <fill>
      <patternFill patternType="solid">
        <fgColor theme="5" tint="0.59999389629810485"/>
        <bgColor indexed="64"/>
      </patternFill>
    </fill>
    <fill>
      <patternFill patternType="solid">
        <fgColor rgb="FFFBDCDE"/>
        <bgColor indexed="64"/>
      </patternFill>
    </fill>
    <fill>
      <patternFill patternType="solid">
        <fgColor theme="9" tint="0.79998168889431442"/>
        <bgColor indexed="64"/>
      </patternFill>
    </fill>
    <fill>
      <patternFill patternType="solid">
        <fgColor theme="0"/>
        <bgColor indexed="64"/>
      </patternFill>
    </fill>
    <fill>
      <patternFill patternType="solid">
        <fgColor rgb="FFFBDCDE"/>
        <bgColor theme="0"/>
      </patternFill>
    </fill>
    <fill>
      <patternFill patternType="solid">
        <fgColor rgb="FF5C5C5B"/>
        <bgColor theme="0"/>
      </patternFill>
    </fill>
    <fill>
      <patternFill patternType="solid">
        <fgColor rgb="FF5C5C5B"/>
        <bgColor indexed="64"/>
      </patternFill>
    </fill>
  </fills>
  <borders count="33">
    <border>
      <left/>
      <right/>
      <top/>
      <bottom/>
      <diagonal/>
    </border>
    <border>
      <left style="thick">
        <color theme="3" tint="0.39994506668294322"/>
      </left>
      <right style="thick">
        <color theme="3" tint="0.39994506668294322"/>
      </right>
      <top/>
      <bottom/>
      <diagonal/>
    </border>
    <border>
      <left style="thick">
        <color theme="2" tint="-0.499984740745262"/>
      </left>
      <right style="thick">
        <color theme="2" tint="-0.499984740745262"/>
      </right>
      <top style="thick">
        <color theme="2" tint="-0.499984740745262"/>
      </top>
      <bottom style="thick">
        <color theme="2" tint="-0.499984740745262"/>
      </bottom>
      <diagonal/>
    </border>
    <border>
      <left style="thick">
        <color theme="3" tint="0.39991454817346722"/>
      </left>
      <right style="thick">
        <color theme="3" tint="0.39991454817346722"/>
      </right>
      <top style="thick">
        <color theme="3" tint="0.39991454817346722"/>
      </top>
      <bottom style="thick">
        <color theme="3" tint="0.39991454817346722"/>
      </bottom>
      <diagonal/>
    </border>
    <border>
      <left style="thick">
        <color theme="3" tint="0.39982299264503923"/>
      </left>
      <right style="thick">
        <color theme="3" tint="0.39982299264503923"/>
      </right>
      <top/>
      <bottom style="thick">
        <color theme="3" tint="0.39985351115451523"/>
      </bottom>
      <diagonal/>
    </border>
    <border>
      <left style="thick">
        <color theme="3" tint="0.39985351115451523"/>
      </left>
      <right style="thick">
        <color theme="3" tint="0.39985351115451523"/>
      </right>
      <top style="thick">
        <color theme="3" tint="0.39988402966399123"/>
      </top>
      <bottom/>
      <diagonal/>
    </border>
    <border>
      <left/>
      <right/>
      <top style="thick">
        <color theme="2" tint="-0.499984740745262"/>
      </top>
      <bottom/>
      <diagonal/>
    </border>
    <border>
      <left style="thick">
        <color theme="2" tint="-0.499984740745262"/>
      </left>
      <right/>
      <top style="thick">
        <color theme="2" tint="-0.499984740745262"/>
      </top>
      <bottom/>
      <diagonal/>
    </border>
    <border>
      <left/>
      <right style="thick">
        <color theme="2" tint="-0.499984740745262"/>
      </right>
      <top style="thick">
        <color theme="2" tint="-0.499984740745262"/>
      </top>
      <bottom/>
      <diagonal/>
    </border>
    <border>
      <left/>
      <right/>
      <top style="thick">
        <color theme="2" tint="-0.499984740745262"/>
      </top>
      <bottom style="thick">
        <color theme="2" tint="-0.499984740745262"/>
      </bottom>
      <diagonal/>
    </border>
    <border>
      <left/>
      <right style="thick">
        <color theme="2" tint="-0.499984740745262"/>
      </right>
      <top style="thick">
        <color theme="2" tint="-0.499984740745262"/>
      </top>
      <bottom style="thick">
        <color theme="2" tint="-0.499984740745262"/>
      </bottom>
      <diagonal/>
    </border>
    <border>
      <left style="medium">
        <color rgb="FFD0B083"/>
      </left>
      <right style="medium">
        <color rgb="FFD0B083"/>
      </right>
      <top style="medium">
        <color rgb="FFD0B083"/>
      </top>
      <bottom style="medium">
        <color rgb="FFD0B083"/>
      </bottom>
      <diagonal/>
    </border>
    <border>
      <left/>
      <right style="medium">
        <color rgb="FFD0B083"/>
      </right>
      <top/>
      <bottom style="medium">
        <color rgb="FFD0B083"/>
      </bottom>
      <diagonal/>
    </border>
    <border>
      <left style="medium">
        <color rgb="FFD0B083"/>
      </left>
      <right style="medium">
        <color rgb="FFD0B083"/>
      </right>
      <top/>
      <bottom style="medium">
        <color rgb="FFD0B083"/>
      </bottom>
      <diagonal/>
    </border>
    <border>
      <left style="medium">
        <color rgb="FFD0B083"/>
      </left>
      <right/>
      <top/>
      <bottom style="medium">
        <color rgb="FFD0B083"/>
      </bottom>
      <diagonal/>
    </border>
    <border>
      <left/>
      <right style="medium">
        <color rgb="FFD0B083"/>
      </right>
      <top style="medium">
        <color rgb="FFD0B083"/>
      </top>
      <bottom style="medium">
        <color rgb="FFD0B083"/>
      </bottom>
      <diagonal/>
    </border>
    <border>
      <left style="medium">
        <color rgb="FFD0B083"/>
      </left>
      <right/>
      <top style="medium">
        <color rgb="FFD0B083"/>
      </top>
      <bottom style="medium">
        <color rgb="FFD0B083"/>
      </bottom>
      <diagonal/>
    </border>
    <border>
      <left/>
      <right style="medium">
        <color rgb="FFD0B083"/>
      </right>
      <top style="medium">
        <color rgb="FFD0B083"/>
      </top>
      <bottom/>
      <diagonal/>
    </border>
    <border>
      <left style="medium">
        <color rgb="FFD0B083"/>
      </left>
      <right style="medium">
        <color rgb="FFD0B083"/>
      </right>
      <top style="medium">
        <color rgb="FFD0B083"/>
      </top>
      <bottom/>
      <diagonal/>
    </border>
    <border>
      <left style="medium">
        <color rgb="FFD0B083"/>
      </left>
      <right/>
      <top style="medium">
        <color rgb="FFD0B083"/>
      </top>
      <bottom/>
      <diagonal/>
    </border>
    <border>
      <left/>
      <right/>
      <top/>
      <bottom style="medium">
        <color rgb="FFD0B083"/>
      </bottom>
      <diagonal/>
    </border>
    <border>
      <left/>
      <right/>
      <top style="medium">
        <color rgb="FFD0B083"/>
      </top>
      <bottom style="medium">
        <color rgb="FFD0B083"/>
      </bottom>
      <diagonal/>
    </border>
    <border>
      <left style="medium">
        <color theme="3"/>
      </left>
      <right style="medium">
        <color theme="3"/>
      </right>
      <top style="medium">
        <color theme="3"/>
      </top>
      <bottom style="medium">
        <color theme="3"/>
      </bottom>
      <diagonal/>
    </border>
    <border>
      <left style="medium">
        <color theme="3"/>
      </left>
      <right style="medium">
        <color theme="3"/>
      </right>
      <top/>
      <bottom style="medium">
        <color theme="3"/>
      </bottom>
      <diagonal/>
    </border>
    <border>
      <left style="medium">
        <color theme="3"/>
      </left>
      <right/>
      <top style="medium">
        <color theme="3"/>
      </top>
      <bottom/>
      <diagonal/>
    </border>
    <border>
      <left style="thick">
        <color theme="9"/>
      </left>
      <right style="thick">
        <color theme="9"/>
      </right>
      <top style="thick">
        <color theme="9"/>
      </top>
      <bottom style="thick">
        <color theme="9"/>
      </bottom>
      <diagonal/>
    </border>
    <border>
      <left style="thin">
        <color indexed="64"/>
      </left>
      <right style="thin">
        <color indexed="64"/>
      </right>
      <top style="thin">
        <color indexed="64"/>
      </top>
      <bottom style="thin">
        <color indexed="64"/>
      </bottom>
      <diagonal/>
    </border>
    <border>
      <left style="thick">
        <color theme="1" tint="0.39997558519241921"/>
      </left>
      <right style="thick">
        <color theme="1" tint="0.39997558519241921"/>
      </right>
      <top style="thick">
        <color theme="1" tint="0.39997558519241921"/>
      </top>
      <bottom style="thick">
        <color theme="1" tint="0.39997558519241921"/>
      </bottom>
      <diagonal/>
    </border>
    <border>
      <left style="thick">
        <color theme="2" tint="-0.499984740745262"/>
      </left>
      <right style="thick">
        <color theme="2" tint="-0.499984740745262"/>
      </right>
      <top style="thick">
        <color theme="2" tint="-0.499984740745262"/>
      </top>
      <bottom/>
      <diagonal/>
    </border>
    <border>
      <left style="thick">
        <color rgb="FFD0B083"/>
      </left>
      <right style="thick">
        <color rgb="FFD0B083"/>
      </right>
      <top style="thick">
        <color rgb="FFD0B083"/>
      </top>
      <bottom style="thick">
        <color rgb="FFD0B083"/>
      </bottom>
      <diagonal/>
    </border>
    <border>
      <left style="thick">
        <color theme="1" tint="0.39997558519241921"/>
      </left>
      <right/>
      <top style="thick">
        <color theme="1" tint="0.39997558519241921"/>
      </top>
      <bottom style="thick">
        <color theme="1" tint="0.39997558519241921"/>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0">
    <xf numFmtId="0" fontId="0" fillId="0" borderId="0"/>
    <xf numFmtId="3" fontId="1" fillId="2" borderId="1"/>
    <xf numFmtId="3" fontId="1" fillId="3" borderId="1"/>
    <xf numFmtId="3" fontId="1" fillId="4" borderId="1"/>
    <xf numFmtId="3" fontId="1" fillId="5" borderId="1"/>
    <xf numFmtId="3" fontId="4" fillId="6" borderId="1"/>
    <xf numFmtId="3" fontId="2" fillId="7" borderId="1"/>
    <xf numFmtId="3" fontId="2" fillId="8" borderId="1"/>
    <xf numFmtId="3" fontId="5" fillId="9" borderId="1"/>
    <xf numFmtId="3" fontId="3" fillId="10" borderId="2">
      <alignment horizontal="center" wrapText="1"/>
    </xf>
    <xf numFmtId="3" fontId="1" fillId="11" borderId="1"/>
    <xf numFmtId="3" fontId="2" fillId="12" borderId="1"/>
    <xf numFmtId="3" fontId="2" fillId="13" borderId="1"/>
    <xf numFmtId="3" fontId="2" fillId="14" borderId="1"/>
    <xf numFmtId="3" fontId="6" fillId="15" borderId="3">
      <alignment horizontal="center" wrapText="1"/>
    </xf>
    <xf numFmtId="3" fontId="6" fillId="15" borderId="5">
      <alignment horizontal="center" wrapText="1"/>
    </xf>
    <xf numFmtId="3" fontId="6" fillId="15" borderId="4">
      <alignment horizontal="center" wrapText="1"/>
    </xf>
    <xf numFmtId="4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cellStyleXfs>
  <cellXfs count="99">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9" fontId="0" fillId="0" borderId="0" xfId="18" applyFont="1" applyAlignment="1">
      <alignment horizontal="center" vertical="center"/>
    </xf>
    <xf numFmtId="0" fontId="0" fillId="0" borderId="0" xfId="0" applyAlignment="1">
      <alignment horizontal="left" vertical="center"/>
    </xf>
    <xf numFmtId="3" fontId="6" fillId="15" borderId="3" xfId="14" applyAlignment="1">
      <alignment horizontal="center" vertical="center" wrapText="1"/>
    </xf>
    <xf numFmtId="164" fontId="0" fillId="0" borderId="0" xfId="17" applyNumberFormat="1" applyFont="1" applyAlignment="1">
      <alignment horizontal="center" vertical="center"/>
    </xf>
    <xf numFmtId="0" fontId="0" fillId="0" borderId="0" xfId="0" applyAlignment="1">
      <alignment horizontal="center" vertical="center"/>
    </xf>
    <xf numFmtId="0" fontId="0" fillId="0" borderId="0" xfId="0"/>
    <xf numFmtId="3" fontId="6" fillId="15" borderId="3" xfId="14">
      <alignment horizontal="center" wrapText="1"/>
    </xf>
    <xf numFmtId="10" fontId="6" fillId="15" borderId="3" xfId="14" applyNumberFormat="1">
      <alignment horizontal="center" wrapText="1"/>
    </xf>
    <xf numFmtId="164" fontId="6" fillId="15" borderId="3" xfId="14" applyNumberFormat="1">
      <alignment horizontal="center" wrapText="1"/>
    </xf>
    <xf numFmtId="9" fontId="0" fillId="0" borderId="0" xfId="0" applyNumberFormat="1" applyAlignment="1">
      <alignment horizontal="center" vertical="center"/>
    </xf>
    <xf numFmtId="0" fontId="7" fillId="17" borderId="12" xfId="0" applyFont="1" applyFill="1" applyBorder="1" applyAlignment="1">
      <alignment horizontal="center" vertical="center"/>
    </xf>
    <xf numFmtId="0" fontId="7" fillId="16" borderId="13" xfId="0" applyFont="1" applyFill="1" applyBorder="1" applyAlignment="1">
      <alignment horizontal="center" vertical="center"/>
    </xf>
    <xf numFmtId="0" fontId="7" fillId="16" borderId="14" xfId="0" applyFont="1" applyFill="1" applyBorder="1" applyAlignment="1">
      <alignment horizontal="center" vertical="center"/>
    </xf>
    <xf numFmtId="0" fontId="7" fillId="17" borderId="15" xfId="0" applyFont="1" applyFill="1" applyBorder="1" applyAlignment="1">
      <alignment horizontal="center" vertical="center" wrapText="1"/>
    </xf>
    <xf numFmtId="9" fontId="7" fillId="17" borderId="15" xfId="0" applyNumberFormat="1" applyFont="1" applyFill="1" applyBorder="1" applyAlignment="1">
      <alignment horizontal="center" vertical="center"/>
    </xf>
    <xf numFmtId="0" fontId="7" fillId="17" borderId="17" xfId="0" applyFont="1" applyFill="1" applyBorder="1" applyAlignment="1">
      <alignment horizontal="center" vertical="center" wrapText="1"/>
    </xf>
    <xf numFmtId="9" fontId="7" fillId="17" borderId="21" xfId="0" applyNumberFormat="1" applyFont="1" applyFill="1" applyBorder="1" applyAlignment="1">
      <alignment horizontal="center" vertical="center"/>
    </xf>
    <xf numFmtId="0" fontId="7" fillId="17" borderId="21" xfId="0" applyFont="1" applyFill="1" applyBorder="1" applyAlignment="1">
      <alignment horizontal="center" vertical="center" wrapText="1"/>
    </xf>
    <xf numFmtId="0" fontId="0" fillId="0" borderId="0" xfId="0"/>
    <xf numFmtId="3" fontId="6" fillId="15" borderId="0" xfId="14" applyBorder="1">
      <alignment horizontal="center" wrapText="1"/>
    </xf>
    <xf numFmtId="3" fontId="6" fillId="15" borderId="24" xfId="14" applyBorder="1" applyAlignment="1">
      <alignment wrapText="1"/>
    </xf>
    <xf numFmtId="3" fontId="6" fillId="15" borderId="0" xfId="14" applyBorder="1" applyAlignment="1">
      <alignment wrapText="1"/>
    </xf>
    <xf numFmtId="164" fontId="6" fillId="15" borderId="23" xfId="14" applyNumberFormat="1" applyBorder="1" applyAlignment="1">
      <alignment wrapText="1"/>
    </xf>
    <xf numFmtId="164" fontId="6" fillId="15" borderId="22" xfId="14" applyNumberFormat="1" applyBorder="1" applyAlignment="1">
      <alignment wrapText="1"/>
    </xf>
    <xf numFmtId="3" fontId="6" fillId="15" borderId="4" xfId="16">
      <alignment horizontal="center" wrapText="1"/>
    </xf>
    <xf numFmtId="164" fontId="6" fillId="15" borderId="4" xfId="16" applyNumberFormat="1">
      <alignment horizontal="center" wrapText="1"/>
    </xf>
    <xf numFmtId="4" fontId="6" fillId="15" borderId="4" xfId="16" applyNumberFormat="1">
      <alignment horizontal="center" wrapText="1"/>
    </xf>
    <xf numFmtId="167" fontId="6" fillId="15" borderId="4" xfId="16" applyNumberFormat="1">
      <alignment horizontal="center" wrapText="1"/>
    </xf>
    <xf numFmtId="166" fontId="8" fillId="18" borderId="29" xfId="0" applyNumberFormat="1" applyFont="1" applyFill="1" applyBorder="1"/>
    <xf numFmtId="0" fontId="8" fillId="17" borderId="30" xfId="0" applyFont="1" applyFill="1" applyBorder="1"/>
    <xf numFmtId="166" fontId="8" fillId="17" borderId="29" xfId="0" applyNumberFormat="1" applyFont="1" applyFill="1" applyBorder="1"/>
    <xf numFmtId="166" fontId="0" fillId="17" borderId="29" xfId="0" applyNumberFormat="1" applyFill="1" applyBorder="1"/>
    <xf numFmtId="166" fontId="0" fillId="19" borderId="29" xfId="0" applyNumberFormat="1" applyFill="1" applyBorder="1"/>
    <xf numFmtId="0" fontId="0" fillId="19" borderId="0" xfId="0" applyFill="1"/>
    <xf numFmtId="10" fontId="0" fillId="19" borderId="0" xfId="0" applyNumberFormat="1" applyFill="1"/>
    <xf numFmtId="0" fontId="0" fillId="19" borderId="0" xfId="0" applyFill="1" applyAlignment="1">
      <alignment horizontal="center" vertical="center"/>
    </xf>
    <xf numFmtId="0" fontId="0" fillId="19" borderId="11" xfId="0" applyFill="1" applyBorder="1" applyAlignment="1">
      <alignment horizontal="center" vertical="center"/>
    </xf>
    <xf numFmtId="164" fontId="0" fillId="19" borderId="11" xfId="0" applyNumberFormat="1" applyFill="1" applyBorder="1" applyAlignment="1">
      <alignment horizontal="center" vertical="center"/>
    </xf>
    <xf numFmtId="164" fontId="0" fillId="19" borderId="11" xfId="17" applyNumberFormat="1" applyFont="1" applyFill="1" applyBorder="1" applyAlignment="1">
      <alignment horizontal="center" vertical="center"/>
    </xf>
    <xf numFmtId="10" fontId="0" fillId="19" borderId="11" xfId="18" applyNumberFormat="1" applyFont="1" applyFill="1" applyBorder="1" applyAlignment="1">
      <alignment horizontal="center" vertical="center"/>
    </xf>
    <xf numFmtId="2" fontId="7" fillId="19" borderId="11" xfId="19" applyNumberFormat="1" applyFont="1" applyFill="1" applyBorder="1" applyAlignment="1">
      <alignment horizontal="center" vertical="center"/>
    </xf>
    <xf numFmtId="2" fontId="7" fillId="19" borderId="11" xfId="0" applyNumberFormat="1" applyFont="1" applyFill="1" applyBorder="1" applyAlignment="1">
      <alignment horizontal="center" vertical="center"/>
    </xf>
    <xf numFmtId="2" fontId="7" fillId="19" borderId="20" xfId="19" applyNumberFormat="1" applyFont="1" applyFill="1" applyBorder="1" applyAlignment="1">
      <alignment horizontal="center" vertical="center"/>
    </xf>
    <xf numFmtId="2" fontId="7" fillId="19" borderId="20" xfId="0" applyNumberFormat="1" applyFont="1" applyFill="1" applyBorder="1" applyAlignment="1">
      <alignment horizontal="center" vertical="center"/>
    </xf>
    <xf numFmtId="2" fontId="7" fillId="19" borderId="21" xfId="0" applyNumberFormat="1" applyFont="1" applyFill="1" applyBorder="1" applyAlignment="1">
      <alignment horizontal="center" vertical="center"/>
    </xf>
    <xf numFmtId="2" fontId="7" fillId="19" borderId="16" xfId="19" applyNumberFormat="1" applyFont="1" applyFill="1" applyBorder="1" applyAlignment="1">
      <alignment horizontal="center" vertical="center"/>
    </xf>
    <xf numFmtId="2" fontId="7" fillId="19" borderId="14" xfId="19" applyNumberFormat="1" applyFont="1" applyFill="1" applyBorder="1" applyAlignment="1">
      <alignment horizontal="center" vertical="center"/>
    </xf>
    <xf numFmtId="2" fontId="7" fillId="19" borderId="0" xfId="0" applyNumberFormat="1" applyFont="1" applyFill="1" applyBorder="1" applyAlignment="1">
      <alignment horizontal="center" vertical="center"/>
    </xf>
    <xf numFmtId="2" fontId="7" fillId="19" borderId="16" xfId="0" applyNumberFormat="1" applyFont="1" applyFill="1" applyBorder="1" applyAlignment="1">
      <alignment horizontal="center" vertical="center"/>
    </xf>
    <xf numFmtId="2" fontId="7" fillId="19" borderId="18" xfId="0" applyNumberFormat="1" applyFont="1" applyFill="1" applyBorder="1" applyAlignment="1">
      <alignment horizontal="center" vertical="center"/>
    </xf>
    <xf numFmtId="2" fontId="7" fillId="19" borderId="19" xfId="0" applyNumberFormat="1" applyFont="1" applyFill="1" applyBorder="1" applyAlignment="1">
      <alignment horizontal="center" vertical="center"/>
    </xf>
    <xf numFmtId="10" fontId="8" fillId="17" borderId="29" xfId="0" applyNumberFormat="1" applyFont="1" applyFill="1" applyBorder="1"/>
    <xf numFmtId="166" fontId="0" fillId="19" borderId="25" xfId="0" applyNumberFormat="1" applyFill="1" applyBorder="1"/>
    <xf numFmtId="166" fontId="0" fillId="19" borderId="26" xfId="0" applyNumberFormat="1" applyFill="1" applyBorder="1"/>
    <xf numFmtId="0" fontId="8" fillId="17" borderId="25" xfId="0" applyFont="1" applyFill="1" applyBorder="1"/>
    <xf numFmtId="166" fontId="8" fillId="17" borderId="25" xfId="0" applyNumberFormat="1" applyFont="1" applyFill="1" applyBorder="1"/>
    <xf numFmtId="164" fontId="3" fillId="20" borderId="4" xfId="16" applyNumberFormat="1" applyFont="1" applyFill="1">
      <alignment horizontal="center" wrapText="1"/>
    </xf>
    <xf numFmtId="0" fontId="2" fillId="22" borderId="25" xfId="0" applyFont="1" applyFill="1" applyBorder="1"/>
    <xf numFmtId="3" fontId="4" fillId="22" borderId="30" xfId="0" applyNumberFormat="1" applyFont="1" applyFill="1" applyBorder="1"/>
    <xf numFmtId="0" fontId="2" fillId="22" borderId="30" xfId="0" applyFont="1" applyFill="1" applyBorder="1"/>
    <xf numFmtId="0" fontId="4" fillId="22" borderId="30" xfId="0" applyFont="1" applyFill="1" applyBorder="1"/>
    <xf numFmtId="0" fontId="2" fillId="22" borderId="27" xfId="0" applyFont="1" applyFill="1" applyBorder="1"/>
    <xf numFmtId="44" fontId="2" fillId="22" borderId="30" xfId="0" applyNumberFormat="1" applyFont="1" applyFill="1" applyBorder="1"/>
    <xf numFmtId="0" fontId="4" fillId="22" borderId="31" xfId="0" applyFont="1" applyFill="1" applyBorder="1" applyAlignment="1">
      <alignment horizontal="center" vertical="center"/>
    </xf>
    <xf numFmtId="0" fontId="4" fillId="22" borderId="32" xfId="0" applyFont="1" applyFill="1" applyBorder="1" applyAlignment="1">
      <alignment horizontal="center" vertical="center"/>
    </xf>
    <xf numFmtId="0" fontId="4" fillId="22" borderId="25" xfId="0" applyFont="1" applyFill="1" applyBorder="1" applyAlignment="1">
      <alignment horizontal="center" vertical="center"/>
    </xf>
    <xf numFmtId="0" fontId="4" fillId="22" borderId="25" xfId="0" applyFont="1" applyFill="1" applyBorder="1"/>
    <xf numFmtId="3" fontId="10" fillId="21" borderId="4" xfId="16" applyFont="1" applyFill="1" applyAlignment="1">
      <alignment horizontal="center" vertical="center" wrapText="1"/>
    </xf>
    <xf numFmtId="3" fontId="10" fillId="21" borderId="4" xfId="16" applyFont="1" applyFill="1" applyAlignment="1">
      <alignment horizontal="left" vertical="center" wrapText="1"/>
    </xf>
    <xf numFmtId="3" fontId="9" fillId="21" borderId="4" xfId="16" applyFont="1" applyFill="1" applyAlignment="1">
      <alignment horizontal="left" vertical="center" wrapText="1"/>
    </xf>
    <xf numFmtId="3" fontId="3" fillId="20" borderId="4" xfId="16" applyFont="1" applyFill="1" applyAlignment="1">
      <alignment horizontal="left" wrapText="1"/>
    </xf>
    <xf numFmtId="164" fontId="3" fillId="20" borderId="22" xfId="14" applyNumberFormat="1" applyFont="1" applyFill="1" applyBorder="1">
      <alignment horizontal="center" wrapText="1"/>
    </xf>
    <xf numFmtId="0" fontId="4" fillId="22" borderId="27" xfId="0" applyFont="1" applyFill="1" applyBorder="1"/>
    <xf numFmtId="3" fontId="2" fillId="22" borderId="30" xfId="0" applyNumberFormat="1" applyFont="1" applyFill="1" applyBorder="1"/>
    <xf numFmtId="2" fontId="8" fillId="17" borderId="29" xfId="0" applyNumberFormat="1" applyFont="1" applyFill="1" applyBorder="1"/>
    <xf numFmtId="0" fontId="0" fillId="0" borderId="0" xfId="0" applyAlignment="1">
      <alignment horizontal="center" vertical="center"/>
    </xf>
    <xf numFmtId="3" fontId="3" fillId="10" borderId="7" xfId="9" applyBorder="1" applyAlignment="1">
      <alignment horizontal="center" vertical="center" wrapText="1"/>
    </xf>
    <xf numFmtId="3" fontId="3" fillId="10" borderId="6" xfId="9" applyBorder="1" applyAlignment="1">
      <alignment horizontal="center" vertical="center" wrapText="1"/>
    </xf>
    <xf numFmtId="3" fontId="3" fillId="10" borderId="8" xfId="9" applyBorder="1" applyAlignment="1">
      <alignment horizontal="center" vertical="center" wrapText="1"/>
    </xf>
    <xf numFmtId="0" fontId="0" fillId="19" borderId="11" xfId="0" applyFill="1" applyBorder="1" applyAlignment="1">
      <alignment horizontal="center" vertical="center"/>
    </xf>
    <xf numFmtId="3" fontId="3" fillId="10" borderId="7" xfId="9" applyBorder="1" applyAlignment="1">
      <alignment horizontal="center" wrapText="1"/>
    </xf>
    <xf numFmtId="3" fontId="3" fillId="10" borderId="6" xfId="9" applyBorder="1" applyAlignment="1">
      <alignment horizontal="center" wrapText="1"/>
    </xf>
    <xf numFmtId="3" fontId="3" fillId="10" borderId="9" xfId="9" applyBorder="1" applyAlignment="1">
      <alignment horizontal="center" wrapText="1"/>
    </xf>
    <xf numFmtId="3" fontId="3" fillId="10" borderId="10" xfId="9" applyBorder="1" applyAlignment="1">
      <alignment horizontal="center" wrapText="1"/>
    </xf>
    <xf numFmtId="3" fontId="6" fillId="15" borderId="3" xfId="14">
      <alignment horizontal="center" wrapText="1"/>
    </xf>
    <xf numFmtId="3" fontId="3" fillId="10" borderId="2" xfId="9">
      <alignment horizontal="center" wrapText="1"/>
    </xf>
    <xf numFmtId="0" fontId="0" fillId="19" borderId="0" xfId="0" applyFill="1"/>
    <xf numFmtId="3" fontId="3" fillId="10" borderId="28" xfId="9" applyBorder="1">
      <alignment horizontal="center" wrapText="1"/>
    </xf>
    <xf numFmtId="3" fontId="3" fillId="10" borderId="2" xfId="9" applyAlignment="1">
      <alignment horizontal="center" vertical="center" wrapText="1"/>
    </xf>
    <xf numFmtId="9" fontId="6" fillId="15" borderId="4" xfId="18" applyFont="1" applyFill="1" applyBorder="1" applyAlignment="1">
      <alignment horizontal="center" wrapText="1"/>
    </xf>
    <xf numFmtId="3" fontId="10" fillId="21" borderId="23" xfId="14" applyFont="1" applyFill="1" applyBorder="1" applyAlignment="1">
      <alignment horizontal="center" vertical="center" wrapText="1"/>
    </xf>
    <xf numFmtId="3" fontId="10" fillId="21" borderId="22" xfId="14" applyFont="1" applyFill="1" applyBorder="1" applyAlignment="1">
      <alignment horizontal="center" vertical="center" wrapText="1"/>
    </xf>
    <xf numFmtId="3" fontId="6" fillId="15" borderId="23" xfId="14" applyBorder="1">
      <alignment horizontal="center" wrapText="1"/>
    </xf>
    <xf numFmtId="3" fontId="6" fillId="15" borderId="22" xfId="14" applyBorder="1">
      <alignment horizontal="center" wrapText="1"/>
    </xf>
    <xf numFmtId="3" fontId="3" fillId="20" borderId="22" xfId="14" applyFont="1" applyFill="1" applyBorder="1">
      <alignment horizontal="center" wrapText="1"/>
    </xf>
    <xf numFmtId="0" fontId="11" fillId="0" borderId="0" xfId="0" applyFont="1"/>
  </cellXfs>
  <cellStyles count="20">
    <cellStyle name="BordeLimpio" xfId="1" xr:uid="{228E36CA-539A-4E07-B1BA-4001D0C37A41}"/>
    <cellStyle name="CeldaCompleta" xfId="14" xr:uid="{89A084FD-EDA7-4D28-926F-9A8B5D3E3D2A}"/>
    <cellStyle name="Color 1" xfId="2" xr:uid="{55F221C0-5200-4E65-9D00-86F8AA61939D}"/>
    <cellStyle name="Color 2" xfId="3" xr:uid="{E0077029-A321-403C-8509-A56C3C08340D}"/>
    <cellStyle name="Color10" xfId="10" xr:uid="{D30B9A61-2AE2-49D3-BCBF-02521A189CF5}"/>
    <cellStyle name="Color11" xfId="11" xr:uid="{28AB9B2C-28DB-4FA3-848F-738555BD1482}"/>
    <cellStyle name="Color3" xfId="4" xr:uid="{CB02C0FD-D3E7-4A86-BE6F-FFE685998EF7}"/>
    <cellStyle name="Color4" xfId="5" xr:uid="{6DAAC705-7ECB-4F5F-A278-1917B79EB86E}"/>
    <cellStyle name="Color5" xfId="6" xr:uid="{C99C85D2-FFE6-493E-8C23-1FB0991DEB72}"/>
    <cellStyle name="Color6" xfId="7" xr:uid="{D620C5BA-2638-49A7-B49F-9010411C5967}"/>
    <cellStyle name="Color7" xfId="8" xr:uid="{C6A1EE24-3FAB-415C-89F8-7A2535C04ECD}"/>
    <cellStyle name="Color8" xfId="12" xr:uid="{17DA8838-40A2-4EFC-8F9E-F08A86B7E7CB}"/>
    <cellStyle name="Color9" xfId="13" xr:uid="{05D19A5A-433E-4097-993E-F59C432D3292}"/>
    <cellStyle name="Inf" xfId="16" xr:uid="{537CF541-7511-411E-9973-194849B46011}"/>
    <cellStyle name="Moneda" xfId="17" builtinId="4"/>
    <cellStyle name="Moneda 2" xfId="19" xr:uid="{2F8120CA-4551-4FF5-AF45-4CD064CCCAE0}"/>
    <cellStyle name="Normal" xfId="0" builtinId="0"/>
    <cellStyle name="Porcentaje" xfId="18" builtinId="5"/>
    <cellStyle name="Sup" xfId="15" xr:uid="{53BA3305-0980-4BD0-9EA0-09E659B54986}"/>
    <cellStyle name="Titulos" xfId="9" xr:uid="{56C93FE0-A99F-4056-8CE3-F2818CD7C944}"/>
  </cellStyles>
  <dxfs count="28">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numFmt numFmtId="2" formatCode="0.00"/>
      <fill>
        <patternFill patternType="solid">
          <fgColor indexed="64"/>
          <bgColor theme="0"/>
        </patternFill>
      </fill>
      <alignment horizontal="center" vertical="center" textRotation="0" wrapText="0" indent="0" justifyLastLine="0" shrinkToFit="0" readingOrder="0"/>
      <border diagonalUp="0" diagonalDown="0" outline="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fill>
        <patternFill patternType="solid">
          <fgColor indexed="64"/>
          <bgColor rgb="FFFBDCDE"/>
        </patternFill>
      </fill>
      <alignment horizontal="center" vertical="center" textRotation="0" indent="0" justifyLastLine="0" shrinkToFit="0" readingOrder="0"/>
      <border diagonalUp="0" diagonalDown="0">
        <left/>
        <right style="medium">
          <color rgb="FFD0B083"/>
        </right>
        <top style="medium">
          <color rgb="FFD0B083"/>
        </top>
        <bottom style="medium">
          <color rgb="FFD0B083"/>
        </bottom>
        <vertical style="medium">
          <color rgb="FFD0B083"/>
        </vertical>
        <horizontal style="medium">
          <color rgb="FFD0B083"/>
        </horizontal>
      </border>
    </dxf>
    <dxf>
      <border>
        <top style="medium">
          <color rgb="FFD0B083"/>
        </top>
      </border>
    </dxf>
    <dxf>
      <border diagonalUp="0" diagonalDown="0">
        <left style="medium">
          <color rgb="FFD0B083"/>
        </left>
        <right style="medium">
          <color rgb="FFD0B083"/>
        </right>
        <top style="medium">
          <color rgb="FFD0B083"/>
        </top>
        <bottom style="medium">
          <color rgb="FFD0B083"/>
        </bottom>
      </border>
    </dxf>
    <dxf>
      <font>
        <b val="0"/>
        <i val="0"/>
        <strike val="0"/>
        <condense val="0"/>
        <extend val="0"/>
        <outline val="0"/>
        <shadow val="0"/>
        <u val="none"/>
        <vertAlign val="baseline"/>
        <sz val="11"/>
        <color theme="1"/>
        <name val="Century Gothic"/>
        <scheme val="none"/>
      </font>
      <fill>
        <patternFill patternType="none">
          <fgColor indexed="64"/>
          <bgColor indexed="65"/>
        </patternFill>
      </fill>
    </dxf>
    <dxf>
      <border>
        <bottom style="medium">
          <color rgb="FFD0B083"/>
        </bottom>
      </border>
    </dxf>
    <dxf>
      <font>
        <b val="0"/>
        <i val="0"/>
        <strike val="0"/>
        <condense val="0"/>
        <extend val="0"/>
        <outline val="0"/>
        <shadow val="0"/>
        <u val="none"/>
        <vertAlign val="baseline"/>
        <sz val="11"/>
        <color theme="1"/>
        <name val="Century Gothic"/>
        <scheme val="none"/>
      </font>
      <fill>
        <patternFill patternType="solid">
          <fgColor indexed="64"/>
          <bgColor theme="5" tint="0.59999389629810485"/>
        </patternFill>
      </fill>
      <alignment horizontal="center" vertical="center" textRotation="0" wrapText="0" indent="0" justifyLastLine="0" shrinkToFit="0" readingOrder="0"/>
      <border diagonalUp="0" diagonalDown="0">
        <left style="medium">
          <color rgb="FFD0B083"/>
        </left>
        <right style="medium">
          <color rgb="FFD0B083"/>
        </right>
        <top/>
        <bottom/>
        <vertical style="medium">
          <color rgb="FFD0B083"/>
        </vertical>
        <horizontal style="medium">
          <color rgb="FFD0B083"/>
        </horizontal>
      </border>
    </dxf>
    <dxf>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ck">
          <color theme="2" tint="-0.499984740745262"/>
        </top>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ck">
          <color theme="2" tint="-0.499984740745262"/>
        </top>
      </border>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BDCDE"/>
      <color rgb="FF5C5C5B"/>
      <color rgb="FFD0B083"/>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670832</xdr:colOff>
      <xdr:row>3</xdr:row>
      <xdr:rowOff>28575</xdr:rowOff>
    </xdr:from>
    <xdr:to>
      <xdr:col>13</xdr:col>
      <xdr:colOff>638175</xdr:colOff>
      <xdr:row>44</xdr:row>
      <xdr:rowOff>187437</xdr:rowOff>
    </xdr:to>
    <xdr:pic>
      <xdr:nvPicPr>
        <xdr:cNvPr id="11" name="Imagen 10">
          <a:extLst>
            <a:ext uri="{FF2B5EF4-FFF2-40B4-BE49-F238E27FC236}">
              <a16:creationId xmlns:a16="http://schemas.microsoft.com/office/drawing/2014/main" id="{BC1A386E-556A-42A3-A492-A551EE75FE3F}"/>
            </a:ext>
          </a:extLst>
        </xdr:cNvPr>
        <xdr:cNvPicPr>
          <a:picLocks noChangeAspect="1"/>
        </xdr:cNvPicPr>
      </xdr:nvPicPr>
      <xdr:blipFill>
        <a:blip xmlns:r="http://schemas.openxmlformats.org/officeDocument/2006/relationships" r:embed="rId1" cstate="print">
          <a:alphaModFix amt="85000"/>
          <a:extLst>
            <a:ext uri="{28A0092B-C50C-407E-A947-70E740481C1C}">
              <a14:useLocalDpi xmlns:a14="http://schemas.microsoft.com/office/drawing/2010/main" val="0"/>
            </a:ext>
          </a:extLst>
        </a:blip>
        <a:stretch>
          <a:fillRect/>
        </a:stretch>
      </xdr:blipFill>
      <xdr:spPr>
        <a:xfrm>
          <a:off x="670832" y="600075"/>
          <a:ext cx="10863943" cy="79693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5</xdr:row>
      <xdr:rowOff>47625</xdr:rowOff>
    </xdr:from>
    <xdr:to>
      <xdr:col>9</xdr:col>
      <xdr:colOff>19050</xdr:colOff>
      <xdr:row>16</xdr:row>
      <xdr:rowOff>0</xdr:rowOff>
    </xdr:to>
    <xdr:sp macro="" textlink="">
      <xdr:nvSpPr>
        <xdr:cNvPr id="2" name="Rectángulo: esquinas diagonales redondeadas 1">
          <a:extLst>
            <a:ext uri="{FF2B5EF4-FFF2-40B4-BE49-F238E27FC236}">
              <a16:creationId xmlns:a16="http://schemas.microsoft.com/office/drawing/2014/main" id="{D5AA4C74-9402-4D04-9D4F-2AB99D9F9079}"/>
            </a:ext>
          </a:extLst>
        </xdr:cNvPr>
        <xdr:cNvSpPr/>
      </xdr:nvSpPr>
      <xdr:spPr>
        <a:xfrm>
          <a:off x="847725" y="1009650"/>
          <a:ext cx="6715125" cy="2085975"/>
        </a:xfrm>
        <a:prstGeom prst="round2DiagRect">
          <a:avLst/>
        </a:prstGeom>
        <a:solidFill>
          <a:srgbClr val="D0B083">
            <a:alpha val="80000"/>
          </a:srgb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s-MX" sz="1100" b="0" i="0">
              <a:solidFill>
                <a:schemeClr val="accent5">
                  <a:lumMod val="75000"/>
                </a:schemeClr>
              </a:solidFill>
              <a:effectLst/>
              <a:latin typeface="+mn-lt"/>
              <a:ea typeface="+mn-ea"/>
              <a:cs typeface="+mn-cs"/>
            </a:rPr>
            <a:t>Textiles Diana S.A de C.V</a:t>
          </a:r>
        </a:p>
        <a:p>
          <a:pPr algn="l"/>
          <a:endParaRPr lang="es-MX" sz="1100" b="0" i="0">
            <a:solidFill>
              <a:schemeClr val="accent5">
                <a:lumMod val="75000"/>
              </a:schemeClr>
            </a:solidFill>
            <a:effectLst/>
            <a:latin typeface="+mn-lt"/>
            <a:ea typeface="+mn-ea"/>
            <a:cs typeface="+mn-cs"/>
          </a:endParaRPr>
        </a:p>
        <a:p>
          <a:pPr algn="l"/>
          <a:r>
            <a:rPr lang="es-MX" sz="1100" b="0" i="0">
              <a:solidFill>
                <a:schemeClr val="accent5">
                  <a:lumMod val="75000"/>
                </a:schemeClr>
              </a:solidFill>
              <a:effectLst/>
              <a:latin typeface="+mn-lt"/>
              <a:ea typeface="+mn-ea"/>
              <a:cs typeface="+mn-cs"/>
            </a:rPr>
            <a:t>El licenciado Chávez Gerente de proyectos de la empresa Textiles Diana S.A de C.V, localizada en la Ciudad de México, se encontraba en mayo de 2019 en la Feria Textil de Guadalajara para contactar a los proveedores de maquinaria y equipo que requeriría la empresa para el proyecto del lanzamiento de una nueva línea de ropa para damas en el mercado de los Estados Unidos. Al llegar a su hotel encontró un informe que recientemente había enviado la Cámara de la Industria del Vestido sobre la entrada de China a la Organización Mundial de Comercio (OMC) en el año 2020, lo que provocaría un incremento en las exportaciones textiles de México a ese mercado previstas para los próximos cinco años ya que se estima que las ventas pronosticadas se podrían reducir desde un 25 hasta un 50%</a:t>
          </a:r>
          <a:endParaRPr lang="es-MX" sz="1100">
            <a:solidFill>
              <a:schemeClr val="accent5">
                <a:lumMod val="75000"/>
              </a:schemeClr>
            </a:solidFill>
          </a:endParaRPr>
        </a:p>
      </xdr:txBody>
    </xdr:sp>
    <xdr:clientData/>
  </xdr:twoCellAnchor>
  <xdr:twoCellAnchor>
    <xdr:from>
      <xdr:col>1</xdr:col>
      <xdr:colOff>9525</xdr:colOff>
      <xdr:row>17</xdr:row>
      <xdr:rowOff>28574</xdr:rowOff>
    </xdr:from>
    <xdr:to>
      <xdr:col>9</xdr:col>
      <xdr:colOff>19050</xdr:colOff>
      <xdr:row>35</xdr:row>
      <xdr:rowOff>85724</xdr:rowOff>
    </xdr:to>
    <xdr:sp macro="" textlink="">
      <xdr:nvSpPr>
        <xdr:cNvPr id="3" name="Rectángulo: esquinas diagonales redondeadas 2">
          <a:extLst>
            <a:ext uri="{FF2B5EF4-FFF2-40B4-BE49-F238E27FC236}">
              <a16:creationId xmlns:a16="http://schemas.microsoft.com/office/drawing/2014/main" id="{45DD470A-7FBF-4B6B-AC02-D2AC7BF18211}"/>
            </a:ext>
          </a:extLst>
        </xdr:cNvPr>
        <xdr:cNvSpPr/>
      </xdr:nvSpPr>
      <xdr:spPr>
        <a:xfrm>
          <a:off x="847725" y="3324224"/>
          <a:ext cx="6715125" cy="3924300"/>
        </a:xfrm>
        <a:prstGeom prst="round2DiagRect">
          <a:avLst/>
        </a:prstGeom>
        <a:solidFill>
          <a:srgbClr val="FBDCDE">
            <a:alpha val="74902"/>
          </a:srgb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s-MX" sz="1100" b="0" i="0">
              <a:solidFill>
                <a:schemeClr val="accent5">
                  <a:lumMod val="75000"/>
                </a:schemeClr>
              </a:solidFill>
              <a:effectLst/>
              <a:latin typeface="+mn-lt"/>
              <a:ea typeface="+mn-ea"/>
              <a:cs typeface="+mn-cs"/>
            </a:rPr>
            <a:t>Antecedentes del nuevo proyecto de inversión.</a:t>
          </a:r>
        </a:p>
        <a:p>
          <a:pPr algn="l"/>
          <a:endParaRPr lang="es-MX" sz="1100" b="0" i="0">
            <a:solidFill>
              <a:schemeClr val="accent5">
                <a:lumMod val="75000"/>
              </a:schemeClr>
            </a:solidFill>
            <a:effectLst/>
            <a:latin typeface="+mn-lt"/>
            <a:ea typeface="+mn-ea"/>
            <a:cs typeface="+mn-cs"/>
          </a:endParaRPr>
        </a:p>
        <a:p>
          <a:r>
            <a:rPr lang="es-MX" sz="1100" b="0" i="0">
              <a:solidFill>
                <a:schemeClr val="accent5">
                  <a:lumMod val="75000"/>
                </a:schemeClr>
              </a:solidFill>
              <a:effectLst/>
              <a:latin typeface="+mn-lt"/>
              <a:ea typeface="+mn-ea"/>
              <a:cs typeface="+mn-cs"/>
            </a:rPr>
            <a:t>A principios del año 2018, el presidente de la compañía considero conveniente exportar sus productos, por lo que solicito a una empresa consultora un estudio de mercado para estimar la demanda potencial de los vestidos para dama en el mercado de los Estados Unidos.</a:t>
          </a:r>
        </a:p>
        <a:p>
          <a:r>
            <a:rPr lang="es-MX" sz="1100" b="0" i="0">
              <a:solidFill>
                <a:schemeClr val="accent5">
                  <a:lumMod val="75000"/>
                </a:schemeClr>
              </a:solidFill>
              <a:effectLst/>
              <a:latin typeface="+mn-lt"/>
              <a:ea typeface="+mn-ea"/>
              <a:cs typeface="+mn-cs"/>
            </a:rPr>
            <a:t>Según dicho estudio, las ventas pronosticadas para la empresa en el año 2020 podrían ser de 20 000 unidades y se estimaba crecer a una tasa promedio anual del 5% en los siguientes años, de acuerdo con el incremento esperado en las exportaciones de textiles y prendas de vestir de México hacia Estados Unidos, el estudio indicaba que el precio al cual se podría vender dicho producto incluyendo el IVA, seria aproximadamente de $800 pesos en el primer año de operación y que el incremento futuro estaría relacionado con la variación del tipo de cambio de la moneda local con respecto al dólar (se espera que la variación fuera aproximadamente del 5% anual).</a:t>
          </a:r>
        </a:p>
        <a:p>
          <a:r>
            <a:rPr lang="es-MX" sz="1100" b="0" i="0">
              <a:solidFill>
                <a:schemeClr val="accent5">
                  <a:lumMod val="75000"/>
                </a:schemeClr>
              </a:solidFill>
              <a:effectLst/>
              <a:latin typeface="+mn-lt"/>
              <a:ea typeface="+mn-ea"/>
              <a:cs typeface="+mn-cs"/>
            </a:rPr>
            <a:t>El presidente de la compañía, luego de revisar el estudio con el Gerente de Proyectos, considero conveniente invertir en la ampliación de la planta con el fin de lograr un incremento en la capacidad de producción de la empresa y satisfacer la demanda del mercado de exportaciones. Se esperaba que el proyecto fuera financiado con recursos propios, ya que la nueva inversión se mantendría en el rango de la estructura de capital definida en las políticas de la empresa. Fue entonces cuando al licenciado Chávez se le asigno la responsabilidad de evaluar y en su caso implementar el nuevo proyecto de inversión.</a:t>
          </a:r>
        </a:p>
        <a:p>
          <a:pPr algn="l"/>
          <a:endParaRPr lang="es-MX" sz="1100"/>
        </a:p>
      </xdr:txBody>
    </xdr:sp>
    <xdr:clientData/>
  </xdr:twoCellAnchor>
  <xdr:twoCellAnchor>
    <xdr:from>
      <xdr:col>0</xdr:col>
      <xdr:colOff>828675</xdr:colOff>
      <xdr:row>36</xdr:row>
      <xdr:rowOff>57149</xdr:rowOff>
    </xdr:from>
    <xdr:to>
      <xdr:col>9</xdr:col>
      <xdr:colOff>0</xdr:colOff>
      <xdr:row>54</xdr:row>
      <xdr:rowOff>85724</xdr:rowOff>
    </xdr:to>
    <xdr:sp macro="" textlink="">
      <xdr:nvSpPr>
        <xdr:cNvPr id="4" name="Rectángulo: esquinas diagonales redondeadas 3">
          <a:extLst>
            <a:ext uri="{FF2B5EF4-FFF2-40B4-BE49-F238E27FC236}">
              <a16:creationId xmlns:a16="http://schemas.microsoft.com/office/drawing/2014/main" id="{A683C827-1367-415C-886C-BC33C00A83D6}"/>
            </a:ext>
          </a:extLst>
        </xdr:cNvPr>
        <xdr:cNvSpPr/>
      </xdr:nvSpPr>
      <xdr:spPr>
        <a:xfrm>
          <a:off x="828675" y="7410449"/>
          <a:ext cx="6715125" cy="3457575"/>
        </a:xfrm>
        <a:prstGeom prst="round2DiagRect">
          <a:avLst/>
        </a:prstGeom>
        <a:solidFill>
          <a:srgbClr val="D0B083">
            <a:alpha val="65098"/>
          </a:srgb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s-MX" sz="1100" b="0" i="0">
              <a:solidFill>
                <a:schemeClr val="accent5">
                  <a:lumMod val="75000"/>
                </a:schemeClr>
              </a:solidFill>
              <a:effectLst/>
              <a:latin typeface="+mn-lt"/>
              <a:ea typeface="+mn-ea"/>
              <a:cs typeface="+mn-cs"/>
            </a:rPr>
            <a:t>Plan de inversión</a:t>
          </a:r>
        </a:p>
        <a:p>
          <a:pPr algn="l"/>
          <a:r>
            <a:rPr lang="es-MX" sz="1100" b="0" i="0">
              <a:solidFill>
                <a:schemeClr val="accent5">
                  <a:lumMod val="75000"/>
                </a:schemeClr>
              </a:solidFill>
              <a:effectLst/>
              <a:latin typeface="+mn-lt"/>
              <a:ea typeface="+mn-ea"/>
              <a:cs typeface="+mn-cs"/>
            </a:rPr>
            <a:t>El licenciado Chávez estimo que para iniciar la producción de la nueva línea de ropa se necesitaría realizar en primer lugar una inversión inicial de $ 100 000 pesos para la compra de un terreno y de $ 500 000 pesos para la construcción de la infraestructura y facilidades requeridas para la instalación ( se estimo un tiempo de vida de 30 años). Luego a los tres meses de iniciada la construcción, se requeriría una inversión total de $ 1 000 000 pesos para comprar dos nuevas cortadoras automáticas con una capacidad de producción anual de 25 000 unidades en total; se estima que las cortadoras estarían listas para la producción a fines del 2019. Según experiencias anteriores, la vida útil de estas maquinas seria de cinco años, al final de los cuales tendrían un valor de recuperación de $ 100 000 pesos, por lo que, si el proyecto se extendía mas allá de cinco años, seria necesario comprar maquinaria nueva para poder seguir produciendo. Además, se consideró que la capacidad del equipo no satisfacía la demanda del mercado, se podría subcontratar la producción faltante a un precio de $ 400 pesos por unidad.</a:t>
          </a:r>
        </a:p>
        <a:p>
          <a:r>
            <a:rPr lang="es-MX" sz="1100" b="0" i="0">
              <a:solidFill>
                <a:schemeClr val="accent5">
                  <a:lumMod val="75000"/>
                </a:schemeClr>
              </a:solidFill>
              <a:effectLst/>
              <a:latin typeface="+mn-lt"/>
              <a:ea typeface="+mn-ea"/>
              <a:cs typeface="+mn-cs"/>
            </a:rPr>
            <a:t>En mayo de 2018, el Gerente de proyectos de la empresa viajo a Guadalajara para asistir a la feria textil y contactar a los proveedores de maquinaria para confecciones. Asimismo, estimo otros datos para los rubros principales del proyecto, los cuales aparecen en las siguientes tablas:</a:t>
          </a:r>
        </a:p>
        <a:p>
          <a:pPr algn="l"/>
          <a:endParaRPr lang="es-MX" sz="1100"/>
        </a:p>
      </xdr:txBody>
    </xdr:sp>
    <xdr:clientData/>
  </xdr:twoCellAnchor>
  <xdr:twoCellAnchor>
    <xdr:from>
      <xdr:col>11</xdr:col>
      <xdr:colOff>38100</xdr:colOff>
      <xdr:row>29</xdr:row>
      <xdr:rowOff>66674</xdr:rowOff>
    </xdr:from>
    <xdr:to>
      <xdr:col>14</xdr:col>
      <xdr:colOff>866775</xdr:colOff>
      <xdr:row>35</xdr:row>
      <xdr:rowOff>180975</xdr:rowOff>
    </xdr:to>
    <xdr:sp macro="" textlink="">
      <xdr:nvSpPr>
        <xdr:cNvPr id="5" name="Rectángulo: esquinas diagonales cortadas 4">
          <a:extLst>
            <a:ext uri="{FF2B5EF4-FFF2-40B4-BE49-F238E27FC236}">
              <a16:creationId xmlns:a16="http://schemas.microsoft.com/office/drawing/2014/main" id="{2CE3F08D-E654-405D-84D5-798E6DA9EF58}"/>
            </a:ext>
          </a:extLst>
        </xdr:cNvPr>
        <xdr:cNvSpPr/>
      </xdr:nvSpPr>
      <xdr:spPr>
        <a:xfrm>
          <a:off x="9258300" y="6086474"/>
          <a:ext cx="6715125" cy="1257301"/>
        </a:xfrm>
        <a:prstGeom prst="snip2DiagRect">
          <a:avLst/>
        </a:prstGeom>
        <a:solidFill>
          <a:srgbClr val="FBDCDE">
            <a:alpha val="74902"/>
          </a:srgb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s-MX" sz="1100" b="0" i="0">
              <a:solidFill>
                <a:schemeClr val="accent5">
                  <a:lumMod val="75000"/>
                </a:schemeClr>
              </a:solidFill>
              <a:effectLst/>
              <a:latin typeface="+mn-lt"/>
              <a:ea typeface="+mn-ea"/>
              <a:cs typeface="+mn-cs"/>
            </a:rPr>
            <a:t>Futuro del plan de inversión</a:t>
          </a:r>
        </a:p>
        <a:p>
          <a:pPr algn="l"/>
          <a:r>
            <a:rPr lang="es-MX" sz="1100" b="0" i="0">
              <a:solidFill>
                <a:schemeClr val="accent5">
                  <a:lumMod val="75000"/>
                </a:schemeClr>
              </a:solidFill>
              <a:effectLst/>
              <a:latin typeface="+mn-lt"/>
              <a:ea typeface="+mn-ea"/>
              <a:cs typeface="+mn-cs"/>
            </a:rPr>
            <a:t>Finalmente, luego de leer la información de la Cámara de la Industria del Vestido, el licenciado Chávez empezó a elaborar un análisis de las alternativas sobre continuar o no con el proyecto de ampliación de la planta. La primera opción era continuar con el proyecto, ya que existían algunas posibilidades de exportar los vestidos hacia otros países, y la segunda era no realizar la inversión, debido a que la disminución en las exportaciones que puede provocar el ingreso de China al mercado de Estados Unidos podría afectar la rentabilidad del proyecto.</a:t>
          </a:r>
          <a:endParaRPr lang="es-MX" sz="1100">
            <a:solidFill>
              <a:schemeClr val="accent5">
                <a:lumMod val="75000"/>
              </a:schemeClr>
            </a:solidFill>
          </a:endParaRPr>
        </a:p>
      </xdr:txBody>
    </xdr:sp>
    <xdr:clientData/>
  </xdr:twoCellAnchor>
  <xdr:twoCellAnchor>
    <xdr:from>
      <xdr:col>11</xdr:col>
      <xdr:colOff>38100</xdr:colOff>
      <xdr:row>36</xdr:row>
      <xdr:rowOff>180973</xdr:rowOff>
    </xdr:from>
    <xdr:to>
      <xdr:col>14</xdr:col>
      <xdr:colOff>866775</xdr:colOff>
      <xdr:row>47</xdr:row>
      <xdr:rowOff>56028</xdr:rowOff>
    </xdr:to>
    <xdr:sp macro="" textlink="">
      <xdr:nvSpPr>
        <xdr:cNvPr id="6" name="Rectángulo: esquinas diagonales cortadas 5">
          <a:extLst>
            <a:ext uri="{FF2B5EF4-FFF2-40B4-BE49-F238E27FC236}">
              <a16:creationId xmlns:a16="http://schemas.microsoft.com/office/drawing/2014/main" id="{BFFC3F27-9C6C-44DE-A977-4EE8DDBD5DFD}"/>
            </a:ext>
          </a:extLst>
        </xdr:cNvPr>
        <xdr:cNvSpPr/>
      </xdr:nvSpPr>
      <xdr:spPr>
        <a:xfrm>
          <a:off x="9282953" y="7543238"/>
          <a:ext cx="6722969" cy="1970555"/>
        </a:xfrm>
        <a:prstGeom prst="snip2DiagRect">
          <a:avLst/>
        </a:prstGeom>
        <a:solidFill>
          <a:srgbClr val="D0B083">
            <a:alpha val="50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s-MX" sz="1100" b="0" i="0">
              <a:solidFill>
                <a:schemeClr val="accent5">
                  <a:lumMod val="75000"/>
                </a:schemeClr>
              </a:solidFill>
              <a:effectLst/>
              <a:latin typeface="+mn-lt"/>
              <a:ea typeface="+mn-ea"/>
              <a:cs typeface="+mn-cs"/>
            </a:rPr>
            <a:t>Modelo por desarrollar</a:t>
          </a:r>
        </a:p>
        <a:p>
          <a:r>
            <a:rPr lang="es-MX" sz="1100" b="0" i="0">
              <a:solidFill>
                <a:schemeClr val="accent5">
                  <a:lumMod val="75000"/>
                </a:schemeClr>
              </a:solidFill>
              <a:effectLst/>
              <a:latin typeface="+mn-lt"/>
              <a:ea typeface="+mn-ea"/>
              <a:cs typeface="+mn-cs"/>
            </a:rPr>
            <a:t>Para identificar la mejor opción, el licenciado Chávez decidió utilizar la información disponible para evaluar financieramente el proyecto considerando que el costo de capital (K) es del 45%. El conoce diferentes métodos financieros para evaluar proyectos de inversión, pero en base a su experiencia considera que los más adecuados son: periodo de recuperación, índice de rentabilidad, el valor presente neto y la tasa interna de retorno, y que además pueda calcular el punto de equilibrio.</a:t>
          </a:r>
        </a:p>
        <a:p>
          <a:r>
            <a:rPr lang="es-MX" sz="1100" b="0" i="0">
              <a:solidFill>
                <a:schemeClr val="accent5">
                  <a:lumMod val="75000"/>
                </a:schemeClr>
              </a:solidFill>
              <a:effectLst/>
              <a:latin typeface="+mn-lt"/>
              <a:ea typeface="+mn-ea"/>
              <a:cs typeface="+mn-cs"/>
            </a:rPr>
            <a:t>El licenciado desea que el modelo financiero le permita proyectar los flujos netos de efectivo que genera el proyecto durante los próximos diez años y evaluar diferentes escenarios.</a:t>
          </a:r>
        </a:p>
        <a:p>
          <a:pPr algn="l"/>
          <a:endParaRPr lang="es-MX"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58E857-5E81-4698-9932-84AAA1460AD7}" name="Tabla4" displayName="Tabla4" ref="L7:N16" totalsRowShown="0" headerRowDxfId="27" dataDxfId="26" tableBorderDxfId="25">
  <autoFilter ref="L7:N16" xr:uid="{6758E857-5E81-4698-9932-84AAA1460AD7}"/>
  <tableColumns count="3">
    <tableColumn id="1" xr3:uid="{93B29D22-F1B8-437B-84DB-464F3E4DAC8D}" name="Rubro" dataDxfId="24"/>
    <tableColumn id="2" xr3:uid="{DC21E8E8-1A0F-41EA-B311-ADDB99DE45A6}" name="Valor Inicial (en pesos)" dataDxfId="23"/>
    <tableColumn id="3" xr3:uid="{98D30E11-590A-4DF7-93AF-AEE267F21385}" name="Incremento Anual Esperado" dataDxfId="22"/>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F6D84D-0999-4AC0-9E24-24AF639CF90D}" name="Tabla43" displayName="Tabla43" ref="I7:K16" totalsRowShown="0" headerRowDxfId="21" dataDxfId="20" tableBorderDxfId="19">
  <autoFilter ref="I7:K16" xr:uid="{C7F6D84D-0999-4AC0-9E24-24AF639CF90D}"/>
  <tableColumns count="3">
    <tableColumn id="1" xr3:uid="{0AF11BEE-4D54-4E31-B179-4FEC5BD9F7A0}" name="Rubro" dataDxfId="18"/>
    <tableColumn id="2" xr3:uid="{264F9DCF-9A42-44C5-8F6C-F9D6947780AF}" name="Valor Inicial (en pesos)" dataDxfId="17"/>
    <tableColumn id="3" xr3:uid="{CE825F8C-44D2-421B-A395-34F52355F3BE}" name="Incremento Anual Esperado" dataDxfId="16"/>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21F641-40F5-46BC-9098-D155DB3310DF}" name="Tabla1" displayName="Tabla1" ref="I19:S36" totalsRowShown="0" headerRowDxfId="15" dataDxfId="13" headerRowBorderDxfId="14" tableBorderDxfId="12" totalsRowBorderDxfId="11">
  <autoFilter ref="I19:S36" xr:uid="{9121F641-40F5-46BC-9098-D155DB3310DF}"/>
  <tableColumns count="11">
    <tableColumn id="1" xr3:uid="{B46D780D-5DC9-4AE4-A95D-11CEE5FFF0F4}" name="Rubro" dataDxfId="10"/>
    <tableColumn id="2" xr3:uid="{187D43E9-801A-4E1C-A17E-3F9C49178C70}" name="1" dataDxfId="9" dataCellStyle="Moneda 2"/>
    <tableColumn id="3" xr3:uid="{0785C638-1CD5-4FE3-A5E7-A8C2483E76E0}" name="2" dataDxfId="8"/>
    <tableColumn id="4" xr3:uid="{867DCA44-0FE9-43C4-8E73-65BE4563BE5A}" name="3" dataDxfId="7"/>
    <tableColumn id="5" xr3:uid="{9D90CE00-081D-43A3-B97F-128D86C2D770}" name="4" dataDxfId="6"/>
    <tableColumn id="6" xr3:uid="{33052A4C-7DA2-47B0-8242-6DC057117BE5}" name="5" dataDxfId="5"/>
    <tableColumn id="7" xr3:uid="{43E3272F-403F-430A-8BC2-9A56E1964B29}" name="6" dataDxfId="4"/>
    <tableColumn id="8" xr3:uid="{41EF7802-47DE-4939-A821-8496EBCB2975}" name="7" dataDxfId="3"/>
    <tableColumn id="9" xr3:uid="{E9A7228B-6EC6-48D8-BCA7-8E1486CEEC5E}" name="8" dataDxfId="2"/>
    <tableColumn id="10" xr3:uid="{061B504A-7D41-4701-9E9F-79CE2CA7B330}" name="9" dataDxfId="1"/>
    <tableColumn id="11" xr3:uid="{5C32748E-81AF-4D1A-A65B-215A7F955A37}" name="10" dataDxfId="0"/>
  </tableColumns>
  <tableStyleInfo name="TableStyleLight12" showFirstColumn="0" showLastColumn="0" showRowStripes="1" showColumnStripes="0"/>
</table>
</file>

<file path=xl/theme/theme1.xml><?xml version="1.0" encoding="utf-8"?>
<a:theme xmlns:a="http://schemas.openxmlformats.org/drawingml/2006/main" name="TEMA_MARCA_SINLOGOS">
  <a:themeElements>
    <a:clrScheme name="Marca">
      <a:dk1>
        <a:srgbClr val="383838"/>
      </a:dk1>
      <a:lt1>
        <a:srgbClr val="FFFFFF"/>
      </a:lt1>
      <a:dk2>
        <a:srgbClr val="A3793E"/>
      </a:dk2>
      <a:lt2>
        <a:srgbClr val="E4E5E4"/>
      </a:lt2>
      <a:accent1>
        <a:srgbClr val="383838"/>
      </a:accent1>
      <a:accent2>
        <a:srgbClr val="A87973"/>
      </a:accent2>
      <a:accent3>
        <a:srgbClr val="A3793E"/>
      </a:accent3>
      <a:accent4>
        <a:srgbClr val="DBBFC0"/>
      </a:accent4>
      <a:accent5>
        <a:srgbClr val="5B5B5A"/>
      </a:accent5>
      <a:accent6>
        <a:srgbClr val="C1B283"/>
      </a:accent6>
      <a:hlink>
        <a:srgbClr val="763240"/>
      </a:hlink>
      <a:folHlink>
        <a:srgbClr val="383838"/>
      </a:folHlink>
    </a:clrScheme>
    <a:fontScheme name="Fuentes">
      <a:majorFont>
        <a:latin typeface="Barlow Condensed Black"/>
        <a:ea typeface=""/>
        <a:cs typeface=""/>
      </a:majorFont>
      <a:minorFont>
        <a:latin typeface="Arial Nova Cond"/>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EMA_MARCA_SINLOGOS" id="{35234D6C-9155-4A11-AC5A-49DA139031B9}" vid="{5F6716D4-FC99-467D-805D-FEB440541A61}"/>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75A3E-EA92-4742-A367-02060675327E}">
  <dimension ref="A1"/>
  <sheetViews>
    <sheetView showGridLines="0" topLeftCell="A10" zoomScaleNormal="100" workbookViewId="0">
      <selection activeCell="P15" sqref="P15"/>
    </sheetView>
  </sheetViews>
  <sheetFormatPr baseColWidth="10" defaultRowHeight="15" x14ac:dyDescent="0.25"/>
  <sheetData/>
  <pageMargins left="0.7" right="0.7" top="0.75" bottom="0.75" header="0.3" footer="0.3"/>
  <pageSetup fitToWidth="0" fitToHeight="0" orientation="portrait" horizontalDpi="0" verticalDpi="0"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4C13-1BFC-40F3-829B-AE2A9D2BF887}">
  <dimension ref="B6"/>
  <sheetViews>
    <sheetView workbookViewId="0">
      <selection activeCell="B6" sqref="B6"/>
    </sheetView>
  </sheetViews>
  <sheetFormatPr baseColWidth="10" defaultRowHeight="15" x14ac:dyDescent="0.25"/>
  <sheetData>
    <row r="6" spans="2:2" x14ac:dyDescent="0.25">
      <c r="B6"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E3F40-5AB9-43C1-914E-58C9C095106E}">
  <dimension ref="L5:O50"/>
  <sheetViews>
    <sheetView zoomScale="85" zoomScaleNormal="85" workbookViewId="0">
      <selection activeCell="J49" sqref="J49"/>
    </sheetView>
  </sheetViews>
  <sheetFormatPr baseColWidth="10" defaultRowHeight="15" x14ac:dyDescent="0.25"/>
  <cols>
    <col min="1" max="11" width="11" style="1"/>
    <col min="12" max="12" width="31.875" style="1" bestFit="1" customWidth="1"/>
    <col min="13" max="13" width="21" style="1" customWidth="1"/>
    <col min="14" max="14" width="24.375" style="1" customWidth="1"/>
    <col min="15" max="15" width="15.375" style="1" bestFit="1" customWidth="1"/>
    <col min="16" max="16384" width="11" style="1"/>
  </cols>
  <sheetData>
    <row r="5" spans="12:14" ht="15.75" thickBot="1" x14ac:dyDescent="0.3"/>
    <row r="6" spans="12:14" ht="16.5" thickTop="1" x14ac:dyDescent="0.25">
      <c r="L6" s="79" t="s">
        <v>12</v>
      </c>
      <c r="M6" s="80"/>
      <c r="N6" s="81"/>
    </row>
    <row r="7" spans="12:14" x14ac:dyDescent="0.25">
      <c r="L7" s="1" t="s">
        <v>0</v>
      </c>
      <c r="M7" s="1" t="s">
        <v>13</v>
      </c>
      <c r="N7" s="1" t="s">
        <v>1</v>
      </c>
    </row>
    <row r="8" spans="12:14" x14ac:dyDescent="0.25">
      <c r="L8" s="1" t="s">
        <v>3</v>
      </c>
      <c r="M8" s="2">
        <v>120</v>
      </c>
      <c r="N8" s="1" t="s">
        <v>11</v>
      </c>
    </row>
    <row r="9" spans="12:14" x14ac:dyDescent="0.25">
      <c r="L9" s="1" t="s">
        <v>4</v>
      </c>
      <c r="M9" s="2">
        <v>80</v>
      </c>
      <c r="N9" s="1" t="s">
        <v>11</v>
      </c>
    </row>
    <row r="10" spans="12:14" x14ac:dyDescent="0.25">
      <c r="L10" s="1" t="s">
        <v>5</v>
      </c>
      <c r="M10" s="2">
        <v>50</v>
      </c>
      <c r="N10" s="1" t="s">
        <v>11</v>
      </c>
    </row>
    <row r="11" spans="12:14" x14ac:dyDescent="0.25">
      <c r="L11" s="1" t="s">
        <v>6</v>
      </c>
      <c r="M11" s="2">
        <v>50</v>
      </c>
      <c r="N11" s="1" t="s">
        <v>11</v>
      </c>
    </row>
    <row r="12" spans="12:14" x14ac:dyDescent="0.25">
      <c r="L12" s="1" t="s">
        <v>7</v>
      </c>
      <c r="M12" s="2">
        <v>150000</v>
      </c>
      <c r="N12" s="1" t="s">
        <v>11</v>
      </c>
    </row>
    <row r="13" spans="12:14" x14ac:dyDescent="0.25">
      <c r="L13" s="1" t="s">
        <v>8</v>
      </c>
      <c r="M13" s="2">
        <v>100</v>
      </c>
      <c r="N13" s="1">
        <v>0.05</v>
      </c>
    </row>
    <row r="14" spans="12:14" x14ac:dyDescent="0.25">
      <c r="L14" s="1" t="s">
        <v>9</v>
      </c>
      <c r="M14" s="2">
        <v>200</v>
      </c>
      <c r="N14" s="1">
        <v>0.05</v>
      </c>
    </row>
    <row r="15" spans="12:14" ht="16.5" customHeight="1" x14ac:dyDescent="0.25">
      <c r="L15" s="1" t="s">
        <v>10</v>
      </c>
      <c r="M15" s="2">
        <v>100000</v>
      </c>
    </row>
    <row r="16" spans="12:14" x14ac:dyDescent="0.25">
      <c r="L16" s="1" t="s">
        <v>2</v>
      </c>
      <c r="M16" s="2">
        <v>200000</v>
      </c>
    </row>
    <row r="17" spans="12:15" ht="15.75" thickBot="1" x14ac:dyDescent="0.3"/>
    <row r="18" spans="12:15" ht="48.75" thickTop="1" thickBot="1" x14ac:dyDescent="0.3">
      <c r="L18" s="5" t="s">
        <v>14</v>
      </c>
    </row>
    <row r="19" spans="12:15" ht="15.75" thickTop="1" x14ac:dyDescent="0.25"/>
    <row r="20" spans="12:15" x14ac:dyDescent="0.25">
      <c r="L20" s="78" t="s">
        <v>15</v>
      </c>
      <c r="M20" s="78"/>
    </row>
    <row r="21" spans="12:15" x14ac:dyDescent="0.25">
      <c r="L21" s="1" t="s">
        <v>16</v>
      </c>
      <c r="M21" s="1" t="s">
        <v>17</v>
      </c>
      <c r="N21" s="1" t="s">
        <v>18</v>
      </c>
      <c r="O21" s="1" t="s">
        <v>19</v>
      </c>
    </row>
    <row r="22" spans="12:15" x14ac:dyDescent="0.25">
      <c r="L22" s="2">
        <v>0</v>
      </c>
      <c r="M22" s="2">
        <v>999</v>
      </c>
      <c r="N22" s="6">
        <v>0</v>
      </c>
      <c r="O22" s="3">
        <v>0.05</v>
      </c>
    </row>
    <row r="23" spans="12:15" x14ac:dyDescent="0.25">
      <c r="L23" s="2">
        <v>1000</v>
      </c>
      <c r="M23" s="2">
        <v>9999</v>
      </c>
      <c r="N23" s="6">
        <v>50</v>
      </c>
      <c r="O23" s="3">
        <v>0.1</v>
      </c>
    </row>
    <row r="24" spans="12:15" x14ac:dyDescent="0.25">
      <c r="L24" s="2">
        <v>10000</v>
      </c>
      <c r="M24" s="2">
        <v>49999</v>
      </c>
      <c r="N24" s="6">
        <v>950</v>
      </c>
      <c r="O24" s="3">
        <v>0.15</v>
      </c>
    </row>
    <row r="25" spans="12:15" x14ac:dyDescent="0.25">
      <c r="L25" s="2">
        <v>50000</v>
      </c>
      <c r="M25" s="2">
        <v>99999</v>
      </c>
      <c r="N25" s="6">
        <v>6950</v>
      </c>
      <c r="O25" s="3">
        <v>0.2</v>
      </c>
    </row>
    <row r="26" spans="12:15" x14ac:dyDescent="0.25">
      <c r="L26" s="2">
        <v>100000</v>
      </c>
      <c r="M26" s="2">
        <v>499999</v>
      </c>
      <c r="N26" s="6">
        <v>16950</v>
      </c>
      <c r="O26" s="3">
        <v>0.25</v>
      </c>
    </row>
    <row r="27" spans="12:15" x14ac:dyDescent="0.25">
      <c r="L27" s="2">
        <v>500000</v>
      </c>
      <c r="M27" s="2">
        <v>999999</v>
      </c>
      <c r="N27" s="6">
        <v>116949</v>
      </c>
      <c r="O27" s="3">
        <v>0.3</v>
      </c>
    </row>
    <row r="28" spans="12:15" x14ac:dyDescent="0.25">
      <c r="L28" s="2">
        <v>1000000</v>
      </c>
      <c r="M28" s="2"/>
      <c r="N28" s="6">
        <v>266949</v>
      </c>
      <c r="O28" s="3">
        <v>0.35</v>
      </c>
    </row>
    <row r="50" spans="12:13" x14ac:dyDescent="0.25">
      <c r="L50" s="1" t="s">
        <v>20</v>
      </c>
      <c r="M50" s="4" t="s">
        <v>21</v>
      </c>
    </row>
  </sheetData>
  <mergeCells count="2">
    <mergeCell ref="L20:M20"/>
    <mergeCell ref="L6:N6"/>
  </mergeCells>
  <pageMargins left="0.7" right="0.7" top="0.75" bottom="0.75" header="0.3" footer="0.3"/>
  <pageSetup orientation="portrait" horizontalDpi="0" verticalDpi="0" r:id="rId1"/>
  <drawing r:id="rId2"/>
  <picture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85F52-C2D2-4448-8A68-1302065D2293}">
  <dimension ref="A1:V40"/>
  <sheetViews>
    <sheetView zoomScale="85" zoomScaleNormal="85" workbookViewId="0">
      <selection activeCell="A11" sqref="A11"/>
    </sheetView>
  </sheetViews>
  <sheetFormatPr baseColWidth="10" defaultRowHeight="15" x14ac:dyDescent="0.25"/>
  <cols>
    <col min="1" max="2" width="11" style="8"/>
    <col min="6" max="6" width="12.375" bestFit="1" customWidth="1"/>
    <col min="9" max="9" width="31.875" bestFit="1" customWidth="1"/>
    <col min="10" max="10" width="23.25" bestFit="1" customWidth="1"/>
    <col min="11" max="11" width="26.75" bestFit="1" customWidth="1"/>
    <col min="12" max="12" width="11.375" bestFit="1" customWidth="1"/>
    <col min="13" max="13" width="12.5" bestFit="1" customWidth="1"/>
    <col min="14" max="14" width="12.625" bestFit="1" customWidth="1"/>
    <col min="15" max="15" width="15.875" bestFit="1" customWidth="1"/>
    <col min="16" max="16" width="15.5" bestFit="1" customWidth="1"/>
    <col min="17" max="19" width="11.375" bestFit="1" customWidth="1"/>
  </cols>
  <sheetData>
    <row r="1" spans="1:22" x14ac:dyDescent="0.25">
      <c r="A1" s="36"/>
      <c r="B1" s="36"/>
      <c r="C1" s="36"/>
      <c r="D1" s="36"/>
      <c r="E1" s="36"/>
      <c r="F1" s="36"/>
      <c r="G1" s="36"/>
      <c r="H1" s="36"/>
      <c r="I1" s="36"/>
      <c r="J1" s="36"/>
      <c r="K1" s="36"/>
      <c r="L1" s="36"/>
      <c r="M1" s="36"/>
      <c r="N1" s="36"/>
      <c r="O1" s="36"/>
      <c r="P1" s="36"/>
      <c r="Q1" s="36"/>
      <c r="R1" s="36"/>
      <c r="S1" s="36"/>
      <c r="T1" s="36"/>
      <c r="U1" s="36"/>
      <c r="V1" s="36"/>
    </row>
    <row r="2" spans="1:22" x14ac:dyDescent="0.25">
      <c r="A2" s="36"/>
      <c r="B2" s="36"/>
      <c r="C2" s="36"/>
      <c r="D2" s="36"/>
      <c r="E2" s="36"/>
      <c r="F2" s="36"/>
      <c r="G2" s="36"/>
      <c r="H2" s="36"/>
      <c r="I2" s="36"/>
      <c r="J2" s="36"/>
      <c r="K2" s="36"/>
      <c r="L2" s="36"/>
      <c r="M2" s="36"/>
      <c r="N2" s="36"/>
      <c r="O2" s="36"/>
      <c r="P2" s="36"/>
      <c r="Q2" s="36"/>
      <c r="R2" s="36"/>
      <c r="S2" s="36"/>
      <c r="T2" s="36"/>
      <c r="U2" s="36"/>
      <c r="V2" s="36"/>
    </row>
    <row r="3" spans="1:22" x14ac:dyDescent="0.25">
      <c r="A3" s="36"/>
      <c r="B3" s="36"/>
      <c r="C3" s="36"/>
      <c r="D3" s="36"/>
      <c r="E3" s="36"/>
      <c r="F3" s="36"/>
      <c r="G3" s="36"/>
      <c r="H3" s="36"/>
      <c r="I3" s="36"/>
      <c r="J3" s="36"/>
      <c r="K3" s="36"/>
      <c r="L3" s="36"/>
      <c r="M3" s="36"/>
      <c r="N3" s="36"/>
      <c r="O3" s="36"/>
      <c r="P3" s="36"/>
      <c r="Q3" s="36"/>
      <c r="R3" s="36"/>
      <c r="S3" s="36"/>
      <c r="T3" s="36"/>
      <c r="U3" s="36"/>
      <c r="V3" s="36"/>
    </row>
    <row r="4" spans="1:22" x14ac:dyDescent="0.25">
      <c r="A4" s="36"/>
      <c r="B4" s="36"/>
      <c r="C4" s="36"/>
      <c r="D4" s="36"/>
      <c r="E4" s="36"/>
      <c r="F4" s="36"/>
      <c r="G4" s="36"/>
      <c r="H4" s="36"/>
      <c r="I4" s="36"/>
      <c r="J4" s="36"/>
      <c r="K4" s="36"/>
      <c r="L4" s="36"/>
      <c r="M4" s="36"/>
      <c r="N4" s="36"/>
      <c r="O4" s="36"/>
      <c r="P4" s="36"/>
      <c r="Q4" s="36"/>
      <c r="R4" s="36"/>
      <c r="S4" s="36"/>
      <c r="T4" s="36"/>
      <c r="U4" s="36"/>
      <c r="V4" s="36"/>
    </row>
    <row r="5" spans="1:22" ht="15.75" thickBot="1" x14ac:dyDescent="0.3">
      <c r="A5" s="36"/>
      <c r="B5" s="36"/>
      <c r="C5" s="36"/>
      <c r="D5" s="36"/>
      <c r="E5" s="36"/>
      <c r="F5" s="36"/>
      <c r="G5" s="36"/>
      <c r="H5" s="36"/>
      <c r="I5" s="36"/>
      <c r="J5" s="36"/>
      <c r="K5" s="36"/>
      <c r="L5" s="36"/>
      <c r="M5" s="36"/>
      <c r="N5" s="36"/>
      <c r="O5" s="36"/>
      <c r="P5" s="36"/>
      <c r="Q5" s="36"/>
      <c r="R5" s="36"/>
      <c r="S5" s="36"/>
      <c r="T5" s="36"/>
      <c r="U5" s="36"/>
      <c r="V5" s="36"/>
    </row>
    <row r="6" spans="1:22" ht="17.25" thickTop="1" thickBot="1" x14ac:dyDescent="0.3">
      <c r="A6" s="36"/>
      <c r="B6" s="36"/>
      <c r="C6" s="36"/>
      <c r="D6" s="88" t="s">
        <v>23</v>
      </c>
      <c r="E6" s="88"/>
      <c r="F6" s="88"/>
      <c r="G6" s="88"/>
      <c r="H6" s="36"/>
      <c r="I6" s="79" t="s">
        <v>12</v>
      </c>
      <c r="J6" s="80"/>
      <c r="K6" s="81"/>
      <c r="L6" s="36"/>
      <c r="M6" s="83" t="s">
        <v>37</v>
      </c>
      <c r="N6" s="84"/>
      <c r="O6" s="85"/>
      <c r="P6" s="86"/>
      <c r="Q6" s="36"/>
      <c r="R6" s="36"/>
      <c r="S6" s="36"/>
      <c r="T6" s="36"/>
      <c r="U6" s="36"/>
      <c r="V6" s="36"/>
    </row>
    <row r="7" spans="1:22" ht="16.5" thickTop="1" thickBot="1" x14ac:dyDescent="0.3">
      <c r="A7" s="36"/>
      <c r="B7" s="36"/>
      <c r="C7" s="36"/>
      <c r="D7" s="36"/>
      <c r="E7" s="36"/>
      <c r="F7" s="36"/>
      <c r="G7" s="36"/>
      <c r="H7" s="36"/>
      <c r="I7" s="7" t="s">
        <v>0</v>
      </c>
      <c r="J7" s="7" t="s">
        <v>13</v>
      </c>
      <c r="K7" s="7" t="s">
        <v>1</v>
      </c>
      <c r="L7" s="36"/>
      <c r="M7" s="82" t="s">
        <v>15</v>
      </c>
      <c r="N7" s="82"/>
      <c r="O7" s="38"/>
      <c r="P7" s="38"/>
      <c r="Q7" s="36"/>
      <c r="R7" s="36"/>
      <c r="S7" s="36"/>
      <c r="T7" s="36"/>
      <c r="U7" s="36"/>
      <c r="V7" s="36"/>
    </row>
    <row r="8" spans="1:22" ht="17.25" thickTop="1" thickBot="1" x14ac:dyDescent="0.3">
      <c r="A8" s="36"/>
      <c r="B8" s="36"/>
      <c r="C8" s="36"/>
      <c r="D8" s="87" t="s">
        <v>34</v>
      </c>
      <c r="E8" s="87"/>
      <c r="F8" s="9">
        <v>20000</v>
      </c>
      <c r="G8" s="36"/>
      <c r="H8" s="36"/>
      <c r="I8" s="7" t="s">
        <v>3</v>
      </c>
      <c r="J8" s="2">
        <v>120</v>
      </c>
      <c r="K8" s="12">
        <v>0.08</v>
      </c>
      <c r="L8" s="36"/>
      <c r="M8" s="39" t="s">
        <v>16</v>
      </c>
      <c r="N8" s="39" t="s">
        <v>17</v>
      </c>
      <c r="O8" s="39" t="s">
        <v>18</v>
      </c>
      <c r="P8" s="39" t="s">
        <v>19</v>
      </c>
      <c r="Q8" s="36"/>
      <c r="R8" s="36"/>
      <c r="S8" s="36"/>
      <c r="T8" s="36"/>
      <c r="U8" s="36"/>
      <c r="V8" s="36"/>
    </row>
    <row r="9" spans="1:22" ht="17.25" customHeight="1" thickTop="1" thickBot="1" x14ac:dyDescent="0.3">
      <c r="A9" s="36"/>
      <c r="B9" s="36"/>
      <c r="C9" s="36"/>
      <c r="D9" s="87" t="s">
        <v>24</v>
      </c>
      <c r="E9" s="87"/>
      <c r="F9" s="10">
        <v>0.05</v>
      </c>
      <c r="G9" s="36"/>
      <c r="H9" s="36"/>
      <c r="I9" s="7" t="s">
        <v>4</v>
      </c>
      <c r="J9" s="2">
        <v>80</v>
      </c>
      <c r="K9" s="12">
        <v>0.08</v>
      </c>
      <c r="L9" s="36"/>
      <c r="M9" s="40">
        <v>0</v>
      </c>
      <c r="N9" s="40">
        <v>999</v>
      </c>
      <c r="O9" s="41">
        <v>0</v>
      </c>
      <c r="P9" s="42">
        <v>0.05</v>
      </c>
      <c r="Q9" s="36"/>
      <c r="R9" s="36"/>
      <c r="S9" s="36"/>
      <c r="T9" s="36"/>
      <c r="U9" s="36"/>
      <c r="V9" s="36"/>
    </row>
    <row r="10" spans="1:22" ht="17.25" customHeight="1" thickTop="1" thickBot="1" x14ac:dyDescent="0.3">
      <c r="A10" s="36"/>
      <c r="B10" s="36"/>
      <c r="C10" s="36"/>
      <c r="D10" s="87" t="s">
        <v>25</v>
      </c>
      <c r="E10" s="87"/>
      <c r="F10" s="11">
        <v>800</v>
      </c>
      <c r="G10" s="36"/>
      <c r="H10" s="36"/>
      <c r="I10" s="7" t="s">
        <v>5</v>
      </c>
      <c r="J10" s="2">
        <v>50</v>
      </c>
      <c r="K10" s="12">
        <v>0.08</v>
      </c>
      <c r="L10" s="36"/>
      <c r="M10" s="40">
        <v>1000</v>
      </c>
      <c r="N10" s="40">
        <v>9999</v>
      </c>
      <c r="O10" s="41">
        <v>50</v>
      </c>
      <c r="P10" s="42">
        <v>0.1</v>
      </c>
      <c r="Q10" s="36"/>
      <c r="R10" s="36"/>
      <c r="S10" s="36"/>
      <c r="T10" s="36"/>
      <c r="U10" s="36"/>
      <c r="V10" s="36"/>
    </row>
    <row r="11" spans="1:22" ht="17.25" customHeight="1" thickTop="1" thickBot="1" x14ac:dyDescent="0.3">
      <c r="A11" s="36"/>
      <c r="B11" s="36"/>
      <c r="C11" s="36"/>
      <c r="D11" s="87" t="s">
        <v>26</v>
      </c>
      <c r="E11" s="87"/>
      <c r="F11" s="10">
        <v>0.05</v>
      </c>
      <c r="G11" s="36"/>
      <c r="H11" s="36"/>
      <c r="I11" s="7" t="s">
        <v>6</v>
      </c>
      <c r="J11" s="2">
        <v>50</v>
      </c>
      <c r="K11" s="12">
        <v>0.08</v>
      </c>
      <c r="L11" s="36"/>
      <c r="M11" s="40">
        <v>10000</v>
      </c>
      <c r="N11" s="40">
        <v>49999</v>
      </c>
      <c r="O11" s="41">
        <v>950</v>
      </c>
      <c r="P11" s="42">
        <v>0.15</v>
      </c>
      <c r="Q11" s="36"/>
      <c r="R11" s="36"/>
      <c r="S11" s="36"/>
      <c r="T11" s="36"/>
      <c r="U11" s="36"/>
      <c r="V11" s="36"/>
    </row>
    <row r="12" spans="1:22" ht="16.5" customHeight="1" thickTop="1" thickBot="1" x14ac:dyDescent="0.3">
      <c r="A12" s="36"/>
      <c r="B12" s="36"/>
      <c r="C12" s="36"/>
      <c r="D12" s="89"/>
      <c r="E12" s="89"/>
      <c r="F12" s="36"/>
      <c r="G12" s="36"/>
      <c r="H12" s="36"/>
      <c r="I12" s="7" t="s">
        <v>7</v>
      </c>
      <c r="J12" s="2">
        <v>150000</v>
      </c>
      <c r="K12" s="12">
        <v>0.08</v>
      </c>
      <c r="L12" s="36"/>
      <c r="M12" s="40">
        <v>50000</v>
      </c>
      <c r="N12" s="40">
        <v>99999</v>
      </c>
      <c r="O12" s="41">
        <v>6950</v>
      </c>
      <c r="P12" s="42">
        <v>0.2</v>
      </c>
      <c r="Q12" s="36"/>
      <c r="R12" s="36"/>
      <c r="S12" s="36"/>
      <c r="T12" s="36"/>
      <c r="U12" s="36"/>
      <c r="V12" s="36"/>
    </row>
    <row r="13" spans="1:22" ht="17.25" customHeight="1" thickTop="1" thickBot="1" x14ac:dyDescent="0.3">
      <c r="A13" s="36"/>
      <c r="B13" s="36"/>
      <c r="C13" s="36"/>
      <c r="D13" s="87" t="s">
        <v>27</v>
      </c>
      <c r="E13" s="87"/>
      <c r="F13" s="11">
        <v>100000</v>
      </c>
      <c r="G13" s="36"/>
      <c r="H13" s="36"/>
      <c r="I13" s="7" t="s">
        <v>8</v>
      </c>
      <c r="J13" s="2">
        <v>100</v>
      </c>
      <c r="K13" s="12">
        <v>0.05</v>
      </c>
      <c r="L13" s="36"/>
      <c r="M13" s="40">
        <v>100000</v>
      </c>
      <c r="N13" s="40">
        <v>499999</v>
      </c>
      <c r="O13" s="41">
        <v>16950</v>
      </c>
      <c r="P13" s="42">
        <v>0.25</v>
      </c>
      <c r="Q13" s="36"/>
      <c r="R13" s="36"/>
      <c r="S13" s="36"/>
      <c r="T13" s="36"/>
      <c r="U13" s="36"/>
      <c r="V13" s="36"/>
    </row>
    <row r="14" spans="1:22" ht="16.5" customHeight="1" thickTop="1" thickBot="1" x14ac:dyDescent="0.3">
      <c r="A14" s="36"/>
      <c r="B14" s="36"/>
      <c r="C14" s="36"/>
      <c r="D14" s="36"/>
      <c r="E14" s="36"/>
      <c r="F14" s="36"/>
      <c r="G14" s="36"/>
      <c r="H14" s="36"/>
      <c r="I14" s="7" t="s">
        <v>9</v>
      </c>
      <c r="J14" s="2">
        <v>200</v>
      </c>
      <c r="K14" s="12">
        <v>0.05</v>
      </c>
      <c r="L14" s="36"/>
      <c r="M14" s="40">
        <v>500000</v>
      </c>
      <c r="N14" s="40">
        <v>999999</v>
      </c>
      <c r="O14" s="41">
        <v>116949</v>
      </c>
      <c r="P14" s="42">
        <v>0.3</v>
      </c>
      <c r="Q14" s="36"/>
      <c r="R14" s="36"/>
      <c r="S14" s="36"/>
      <c r="T14" s="36"/>
      <c r="U14" s="36"/>
      <c r="V14" s="36"/>
    </row>
    <row r="15" spans="1:22" ht="33.75" customHeight="1" thickTop="1" thickBot="1" x14ac:dyDescent="0.3">
      <c r="A15" s="36"/>
      <c r="B15" s="36"/>
      <c r="C15" s="36"/>
      <c r="D15" s="87" t="s">
        <v>28</v>
      </c>
      <c r="E15" s="87"/>
      <c r="F15" s="11">
        <v>500000</v>
      </c>
      <c r="G15" s="36"/>
      <c r="H15" s="36"/>
      <c r="I15" s="7" t="s">
        <v>10</v>
      </c>
      <c r="J15" s="2">
        <v>100000</v>
      </c>
      <c r="L15" s="36"/>
      <c r="M15" s="40">
        <v>1000000</v>
      </c>
      <c r="N15" s="40"/>
      <c r="O15" s="41">
        <v>266949</v>
      </c>
      <c r="P15" s="42">
        <v>0.35</v>
      </c>
      <c r="Q15" s="36"/>
      <c r="R15" s="36"/>
      <c r="S15" s="36"/>
      <c r="T15" s="36"/>
      <c r="U15" s="36"/>
      <c r="V15" s="36"/>
    </row>
    <row r="16" spans="1:22" ht="17.25" customHeight="1" thickTop="1" thickBot="1" x14ac:dyDescent="0.3">
      <c r="A16" s="36"/>
      <c r="B16" s="36"/>
      <c r="C16" s="36"/>
      <c r="D16" s="87" t="s">
        <v>29</v>
      </c>
      <c r="E16" s="87"/>
      <c r="F16" s="9">
        <v>30</v>
      </c>
      <c r="G16" s="36"/>
      <c r="H16" s="36"/>
      <c r="I16" s="7" t="s">
        <v>2</v>
      </c>
      <c r="J16" s="2">
        <v>200000</v>
      </c>
      <c r="L16" s="36"/>
      <c r="M16" s="36"/>
      <c r="N16" s="36"/>
      <c r="O16" s="36"/>
      <c r="P16" s="36"/>
      <c r="Q16" s="36"/>
      <c r="R16" s="36"/>
      <c r="S16" s="36"/>
      <c r="T16" s="36"/>
      <c r="U16" s="36"/>
      <c r="V16" s="36"/>
    </row>
    <row r="17" spans="1:22" ht="16.5" customHeight="1" thickTop="1" thickBot="1" x14ac:dyDescent="0.3">
      <c r="A17" s="36"/>
      <c r="B17" s="36"/>
      <c r="C17" s="36"/>
      <c r="D17" s="89"/>
      <c r="E17" s="89"/>
      <c r="F17" s="36"/>
      <c r="G17" s="36"/>
      <c r="H17" s="36"/>
      <c r="I17" s="36"/>
      <c r="J17" s="36"/>
      <c r="K17" s="36"/>
      <c r="L17" s="36"/>
      <c r="M17" s="36"/>
      <c r="N17" s="36"/>
      <c r="O17" s="36"/>
      <c r="P17" s="36"/>
      <c r="Q17" s="36"/>
      <c r="R17" s="36"/>
      <c r="S17" s="36"/>
      <c r="T17" s="36"/>
      <c r="U17" s="36"/>
      <c r="V17" s="36"/>
    </row>
    <row r="18" spans="1:22" ht="17.25" thickTop="1" thickBot="1" x14ac:dyDescent="0.3">
      <c r="A18" s="36"/>
      <c r="B18" s="36"/>
      <c r="C18" s="36"/>
      <c r="D18" s="87" t="s">
        <v>30</v>
      </c>
      <c r="E18" s="87"/>
      <c r="F18" s="11">
        <v>1000000</v>
      </c>
      <c r="G18" s="36"/>
      <c r="H18" s="36"/>
      <c r="I18" s="36"/>
      <c r="J18" s="36"/>
      <c r="K18" s="36"/>
      <c r="L18" s="36"/>
      <c r="M18" s="36"/>
      <c r="N18" s="36"/>
      <c r="O18" s="36"/>
      <c r="P18" s="36"/>
      <c r="Q18" s="36"/>
      <c r="R18" s="36"/>
      <c r="S18" s="36"/>
      <c r="T18" s="36"/>
      <c r="U18" s="36"/>
      <c r="V18" s="36"/>
    </row>
    <row r="19" spans="1:22" ht="18" thickTop="1" thickBot="1" x14ac:dyDescent="0.3">
      <c r="A19" s="36"/>
      <c r="B19" s="36"/>
      <c r="C19" s="36"/>
      <c r="D19" s="87" t="s">
        <v>35</v>
      </c>
      <c r="E19" s="87"/>
      <c r="F19" s="9">
        <v>25000</v>
      </c>
      <c r="G19" s="36"/>
      <c r="H19" s="36"/>
      <c r="I19" s="13" t="s">
        <v>0</v>
      </c>
      <c r="J19" s="14" t="s">
        <v>38</v>
      </c>
      <c r="K19" s="14" t="s">
        <v>39</v>
      </c>
      <c r="L19" s="14" t="s">
        <v>40</v>
      </c>
      <c r="M19" s="14" t="s">
        <v>41</v>
      </c>
      <c r="N19" s="14" t="s">
        <v>42</v>
      </c>
      <c r="O19" s="14" t="s">
        <v>43</v>
      </c>
      <c r="P19" s="14" t="s">
        <v>44</v>
      </c>
      <c r="Q19" s="14" t="s">
        <v>45</v>
      </c>
      <c r="R19" s="14" t="s">
        <v>46</v>
      </c>
      <c r="S19" s="15" t="s">
        <v>47</v>
      </c>
      <c r="T19" s="36"/>
      <c r="U19" s="36"/>
      <c r="V19" s="36"/>
    </row>
    <row r="20" spans="1:22" ht="34.5" thickTop="1" thickBot="1" x14ac:dyDescent="0.3">
      <c r="A20" s="36"/>
      <c r="B20" s="36"/>
      <c r="C20" s="36"/>
      <c r="D20" s="87" t="s">
        <v>29</v>
      </c>
      <c r="E20" s="87"/>
      <c r="F20" s="9">
        <v>5</v>
      </c>
      <c r="G20" s="36"/>
      <c r="H20" s="36"/>
      <c r="I20" s="16" t="s">
        <v>48</v>
      </c>
      <c r="J20" s="43">
        <f>J8</f>
        <v>120</v>
      </c>
      <c r="K20" s="44">
        <f>J20+(J20*$I$21)</f>
        <v>129.6</v>
      </c>
      <c r="L20" s="44">
        <f t="shared" ref="L20:S20" si="0">K20+(K20*$I$21)</f>
        <v>139.96799999999999</v>
      </c>
      <c r="M20" s="44">
        <f t="shared" si="0"/>
        <v>151.16543999999999</v>
      </c>
      <c r="N20" s="44">
        <f t="shared" si="0"/>
        <v>163.2586752</v>
      </c>
      <c r="O20" s="44">
        <f t="shared" si="0"/>
        <v>176.31936921599998</v>
      </c>
      <c r="P20" s="44">
        <f t="shared" si="0"/>
        <v>190.42491875328</v>
      </c>
      <c r="Q20" s="44">
        <f t="shared" si="0"/>
        <v>205.65891225354238</v>
      </c>
      <c r="R20" s="44">
        <f t="shared" si="0"/>
        <v>222.11162523382578</v>
      </c>
      <c r="S20" s="44">
        <f t="shared" si="0"/>
        <v>239.88055525253185</v>
      </c>
      <c r="T20" s="36"/>
      <c r="U20" s="36"/>
      <c r="V20" s="36"/>
    </row>
    <row r="21" spans="1:22" ht="18" thickTop="1" thickBot="1" x14ac:dyDescent="0.3">
      <c r="A21" s="36"/>
      <c r="B21" s="36"/>
      <c r="C21" s="36"/>
      <c r="D21" s="87" t="s">
        <v>31</v>
      </c>
      <c r="E21" s="87"/>
      <c r="F21" s="11">
        <v>100000</v>
      </c>
      <c r="G21" s="36"/>
      <c r="H21" s="36"/>
      <c r="I21" s="19">
        <v>0.08</v>
      </c>
      <c r="J21" s="45"/>
      <c r="K21" s="46"/>
      <c r="L21" s="47"/>
      <c r="M21" s="47"/>
      <c r="N21" s="47"/>
      <c r="O21" s="47"/>
      <c r="P21" s="46"/>
      <c r="Q21" s="47"/>
      <c r="R21" s="47"/>
      <c r="S21" s="47"/>
      <c r="T21" s="36"/>
      <c r="U21" s="36"/>
      <c r="V21" s="36"/>
    </row>
    <row r="22" spans="1:22" ht="34.5" customHeight="1" thickTop="1" thickBot="1" x14ac:dyDescent="0.3">
      <c r="A22" s="36"/>
      <c r="B22" s="36"/>
      <c r="C22" s="36"/>
      <c r="D22" s="87" t="s">
        <v>36</v>
      </c>
      <c r="E22" s="87"/>
      <c r="F22" s="11">
        <v>400</v>
      </c>
      <c r="G22" s="36"/>
      <c r="H22" s="36"/>
      <c r="I22" s="20" t="s">
        <v>49</v>
      </c>
      <c r="J22" s="48">
        <f>J9</f>
        <v>80</v>
      </c>
      <c r="K22" s="44">
        <f>J22+(J22*$I$23)</f>
        <v>86.4</v>
      </c>
      <c r="L22" s="44">
        <f t="shared" ref="L22:S22" si="1">K22+(K22*$I$23)</f>
        <v>93.312000000000012</v>
      </c>
      <c r="M22" s="44">
        <f t="shared" si="1"/>
        <v>100.77696000000002</v>
      </c>
      <c r="N22" s="44">
        <f t="shared" si="1"/>
        <v>108.83911680000001</v>
      </c>
      <c r="O22" s="44">
        <f t="shared" si="1"/>
        <v>117.54624614400001</v>
      </c>
      <c r="P22" s="44">
        <f t="shared" si="1"/>
        <v>126.94994583552001</v>
      </c>
      <c r="Q22" s="44">
        <f t="shared" si="1"/>
        <v>137.10594150236162</v>
      </c>
      <c r="R22" s="44">
        <f t="shared" si="1"/>
        <v>148.07441682255055</v>
      </c>
      <c r="S22" s="44">
        <f t="shared" si="1"/>
        <v>159.92037016835459</v>
      </c>
      <c r="T22" s="36"/>
      <c r="U22" s="36"/>
      <c r="V22" s="36"/>
    </row>
    <row r="23" spans="1:22" ht="18" thickTop="1" thickBot="1" x14ac:dyDescent="0.3">
      <c r="A23" s="36"/>
      <c r="B23" s="36"/>
      <c r="C23" s="36"/>
      <c r="D23" s="36"/>
      <c r="E23" s="36"/>
      <c r="F23" s="36"/>
      <c r="G23" s="36"/>
      <c r="H23" s="36"/>
      <c r="I23" s="17">
        <v>0.08</v>
      </c>
      <c r="J23" s="49"/>
      <c r="K23" s="50"/>
      <c r="L23" s="47"/>
      <c r="M23" s="47"/>
      <c r="N23" s="47"/>
      <c r="O23" s="47"/>
      <c r="P23" s="47"/>
      <c r="Q23" s="47"/>
      <c r="R23" s="47"/>
      <c r="S23" s="50"/>
      <c r="T23" s="36"/>
      <c r="U23" s="36"/>
      <c r="V23" s="36"/>
    </row>
    <row r="24" spans="1:22" ht="18" thickTop="1" thickBot="1" x14ac:dyDescent="0.3">
      <c r="A24" s="36"/>
      <c r="B24" s="36"/>
      <c r="C24" s="36"/>
      <c r="D24" s="87" t="s">
        <v>32</v>
      </c>
      <c r="E24" s="87"/>
      <c r="F24" s="10">
        <v>0.45</v>
      </c>
      <c r="G24" s="36"/>
      <c r="H24" s="36"/>
      <c r="I24" s="16" t="s">
        <v>50</v>
      </c>
      <c r="J24" s="43">
        <f>J10</f>
        <v>50</v>
      </c>
      <c r="K24" s="44">
        <f>J24+(J24*$I$25)</f>
        <v>54</v>
      </c>
      <c r="L24" s="44">
        <f t="shared" ref="L24:S24" si="2">K24+(K24*$I$25)</f>
        <v>58.32</v>
      </c>
      <c r="M24" s="44">
        <f t="shared" si="2"/>
        <v>62.985599999999998</v>
      </c>
      <c r="N24" s="44">
        <f t="shared" si="2"/>
        <v>68.024447999999992</v>
      </c>
      <c r="O24" s="44">
        <f t="shared" si="2"/>
        <v>73.466403839999998</v>
      </c>
      <c r="P24" s="44">
        <f t="shared" si="2"/>
        <v>79.343716147199999</v>
      </c>
      <c r="Q24" s="44">
        <f t="shared" si="2"/>
        <v>85.691213438975993</v>
      </c>
      <c r="R24" s="44">
        <f t="shared" si="2"/>
        <v>92.546510514094066</v>
      </c>
      <c r="S24" s="44">
        <f t="shared" si="2"/>
        <v>99.95023135522159</v>
      </c>
      <c r="T24" s="36"/>
      <c r="U24" s="36"/>
      <c r="V24" s="36"/>
    </row>
    <row r="25" spans="1:22" ht="18" thickTop="1" thickBot="1" x14ac:dyDescent="0.3">
      <c r="A25" s="36"/>
      <c r="B25" s="36"/>
      <c r="C25" s="36"/>
      <c r="D25" s="36"/>
      <c r="E25" s="36"/>
      <c r="F25" s="37"/>
      <c r="G25" s="36"/>
      <c r="H25" s="36"/>
      <c r="I25" s="17">
        <v>0.08</v>
      </c>
      <c r="J25" s="43"/>
      <c r="K25" s="44"/>
      <c r="L25" s="44"/>
      <c r="M25" s="44"/>
      <c r="N25" s="44"/>
      <c r="O25" s="44"/>
      <c r="P25" s="44"/>
      <c r="Q25" s="44"/>
      <c r="R25" s="44"/>
      <c r="S25" s="51"/>
      <c r="T25" s="36"/>
      <c r="U25" s="36"/>
      <c r="V25" s="36"/>
    </row>
    <row r="26" spans="1:22" ht="18" thickTop="1" thickBot="1" x14ac:dyDescent="0.3">
      <c r="A26" s="36"/>
      <c r="B26" s="36"/>
      <c r="C26" s="36"/>
      <c r="D26" s="87" t="s">
        <v>33</v>
      </c>
      <c r="E26" s="87"/>
      <c r="F26" s="10">
        <v>0.16</v>
      </c>
      <c r="G26" s="36"/>
      <c r="H26" s="36"/>
      <c r="I26" s="16" t="s">
        <v>6</v>
      </c>
      <c r="J26" s="43">
        <f>J11</f>
        <v>50</v>
      </c>
      <c r="K26" s="44">
        <f>J26+(J26*$I$27)</f>
        <v>54</v>
      </c>
      <c r="L26" s="44">
        <f t="shared" ref="L26:S26" si="3">K26+(K26*$I$27)</f>
        <v>58.32</v>
      </c>
      <c r="M26" s="44">
        <f t="shared" si="3"/>
        <v>62.985599999999998</v>
      </c>
      <c r="N26" s="44">
        <f t="shared" si="3"/>
        <v>68.024447999999992</v>
      </c>
      <c r="O26" s="44">
        <f t="shared" si="3"/>
        <v>73.466403839999998</v>
      </c>
      <c r="P26" s="44">
        <f t="shared" si="3"/>
        <v>79.343716147199999</v>
      </c>
      <c r="Q26" s="44">
        <f t="shared" si="3"/>
        <v>85.691213438975993</v>
      </c>
      <c r="R26" s="44">
        <f t="shared" si="3"/>
        <v>92.546510514094066</v>
      </c>
      <c r="S26" s="51">
        <f t="shared" si="3"/>
        <v>99.95023135522159</v>
      </c>
      <c r="T26" s="36"/>
      <c r="U26" s="36"/>
      <c r="V26" s="36"/>
    </row>
    <row r="27" spans="1:22" ht="18" thickTop="1" thickBot="1" x14ac:dyDescent="0.3">
      <c r="A27" s="36"/>
      <c r="B27" s="36"/>
      <c r="C27" s="36"/>
      <c r="D27" s="36"/>
      <c r="E27" s="36"/>
      <c r="F27" s="36"/>
      <c r="G27" s="36"/>
      <c r="H27" s="36"/>
      <c r="I27" s="17">
        <v>0.08</v>
      </c>
      <c r="J27" s="43"/>
      <c r="K27" s="44"/>
      <c r="L27" s="44"/>
      <c r="M27" s="44"/>
      <c r="N27" s="44"/>
      <c r="O27" s="44"/>
      <c r="P27" s="44"/>
      <c r="Q27" s="44"/>
      <c r="R27" s="44"/>
      <c r="S27" s="51"/>
      <c r="T27" s="36"/>
      <c r="U27" s="36"/>
      <c r="V27" s="36"/>
    </row>
    <row r="28" spans="1:22" ht="17.25" thickBot="1" x14ac:dyDescent="0.3">
      <c r="A28" s="36"/>
      <c r="B28" s="36"/>
      <c r="C28" s="36"/>
      <c r="D28" s="36"/>
      <c r="E28" s="36"/>
      <c r="F28" s="36"/>
      <c r="G28" s="36"/>
      <c r="H28" s="36"/>
      <c r="I28" s="16" t="s">
        <v>51</v>
      </c>
      <c r="J28" s="43">
        <f>J12</f>
        <v>150000</v>
      </c>
      <c r="K28" s="44">
        <f>J28+(J28*$I$29)</f>
        <v>162000</v>
      </c>
      <c r="L28" s="44">
        <f t="shared" ref="L28:S28" si="4">K28+(K28*$I$29)</f>
        <v>174960</v>
      </c>
      <c r="M28" s="44">
        <f t="shared" si="4"/>
        <v>188956.79999999999</v>
      </c>
      <c r="N28" s="44">
        <f t="shared" si="4"/>
        <v>204073.34399999998</v>
      </c>
      <c r="O28" s="44">
        <f t="shared" si="4"/>
        <v>220399.21151999998</v>
      </c>
      <c r="P28" s="44">
        <f t="shared" si="4"/>
        <v>238031.14844159997</v>
      </c>
      <c r="Q28" s="44">
        <f t="shared" si="4"/>
        <v>257073.64031692798</v>
      </c>
      <c r="R28" s="44">
        <f t="shared" si="4"/>
        <v>277639.5315422822</v>
      </c>
      <c r="S28" s="51">
        <f t="shared" si="4"/>
        <v>299850.69406566478</v>
      </c>
      <c r="T28" s="36"/>
      <c r="U28" s="36"/>
      <c r="V28" s="36"/>
    </row>
    <row r="29" spans="1:22" ht="17.25" thickBot="1" x14ac:dyDescent="0.3">
      <c r="A29" s="36"/>
      <c r="B29" s="36"/>
      <c r="C29" s="36"/>
      <c r="D29" s="36"/>
      <c r="E29" s="36"/>
      <c r="F29" s="36"/>
      <c r="G29" s="36"/>
      <c r="H29" s="36"/>
      <c r="I29" s="17">
        <v>0.08</v>
      </c>
      <c r="J29" s="43"/>
      <c r="K29" s="44"/>
      <c r="L29" s="44"/>
      <c r="M29" s="44"/>
      <c r="N29" s="44"/>
      <c r="O29" s="44"/>
      <c r="P29" s="44"/>
      <c r="Q29" s="44"/>
      <c r="R29" s="44"/>
      <c r="S29" s="51"/>
      <c r="T29" s="36"/>
      <c r="U29" s="36"/>
      <c r="V29" s="36"/>
    </row>
    <row r="30" spans="1:22" ht="17.25" thickBot="1" x14ac:dyDescent="0.3">
      <c r="A30" s="36"/>
      <c r="B30" s="36"/>
      <c r="C30" s="36"/>
      <c r="D30" s="36"/>
      <c r="E30" s="36"/>
      <c r="F30" s="36"/>
      <c r="G30" s="36"/>
      <c r="H30" s="36"/>
      <c r="I30" s="16" t="s">
        <v>52</v>
      </c>
      <c r="J30" s="43">
        <f>J13</f>
        <v>100</v>
      </c>
      <c r="K30" s="44">
        <f>J30+(J30*$I$31)</f>
        <v>105</v>
      </c>
      <c r="L30" s="44">
        <f t="shared" ref="L30:S30" si="5">K30+(K30*$I$31)</f>
        <v>110.25</v>
      </c>
      <c r="M30" s="44">
        <f t="shared" si="5"/>
        <v>115.7625</v>
      </c>
      <c r="N30" s="44">
        <f t="shared" si="5"/>
        <v>121.550625</v>
      </c>
      <c r="O30" s="44">
        <f t="shared" si="5"/>
        <v>127.62815624999999</v>
      </c>
      <c r="P30" s="44">
        <f t="shared" si="5"/>
        <v>134.00956406249998</v>
      </c>
      <c r="Q30" s="44">
        <f t="shared" si="5"/>
        <v>140.71004226562496</v>
      </c>
      <c r="R30" s="44">
        <f t="shared" si="5"/>
        <v>147.7455443789062</v>
      </c>
      <c r="S30" s="51">
        <f t="shared" si="5"/>
        <v>155.13282159785152</v>
      </c>
      <c r="T30" s="36"/>
      <c r="U30" s="36"/>
      <c r="V30" s="36"/>
    </row>
    <row r="31" spans="1:22" ht="17.25" thickBot="1" x14ac:dyDescent="0.3">
      <c r="A31" s="36"/>
      <c r="B31" s="36"/>
      <c r="C31" s="36"/>
      <c r="D31" s="36"/>
      <c r="E31" s="36"/>
      <c r="F31" s="36"/>
      <c r="G31" s="36"/>
      <c r="H31" s="36"/>
      <c r="I31" s="17">
        <v>0.05</v>
      </c>
      <c r="J31" s="43"/>
      <c r="K31" s="44"/>
      <c r="L31" s="44"/>
      <c r="M31" s="44"/>
      <c r="N31" s="44"/>
      <c r="O31" s="44"/>
      <c r="P31" s="44"/>
      <c r="Q31" s="44"/>
      <c r="R31" s="44"/>
      <c r="S31" s="51"/>
      <c r="T31" s="36"/>
      <c r="U31" s="36"/>
      <c r="V31" s="36"/>
    </row>
    <row r="32" spans="1:22" ht="17.25" thickBot="1" x14ac:dyDescent="0.3">
      <c r="A32" s="36"/>
      <c r="B32" s="36"/>
      <c r="C32" s="36"/>
      <c r="D32" s="36"/>
      <c r="E32" s="36"/>
      <c r="F32" s="36"/>
      <c r="G32" s="36"/>
      <c r="H32" s="36"/>
      <c r="I32" s="16" t="s">
        <v>53</v>
      </c>
      <c r="J32" s="43">
        <f>J14</f>
        <v>200</v>
      </c>
      <c r="K32" s="44">
        <f>J32+(J32*$I$33)</f>
        <v>210</v>
      </c>
      <c r="L32" s="44">
        <f t="shared" ref="L32:S32" si="6">K32+(K32*$I$33)</f>
        <v>220.5</v>
      </c>
      <c r="M32" s="44">
        <f t="shared" si="6"/>
        <v>231.52500000000001</v>
      </c>
      <c r="N32" s="44">
        <f t="shared" si="6"/>
        <v>243.10124999999999</v>
      </c>
      <c r="O32" s="44">
        <f t="shared" si="6"/>
        <v>255.25631249999998</v>
      </c>
      <c r="P32" s="44">
        <f t="shared" si="6"/>
        <v>268.01912812499995</v>
      </c>
      <c r="Q32" s="44">
        <f t="shared" si="6"/>
        <v>281.42008453124993</v>
      </c>
      <c r="R32" s="44">
        <f t="shared" si="6"/>
        <v>295.49108875781241</v>
      </c>
      <c r="S32" s="51">
        <f t="shared" si="6"/>
        <v>310.26564319570303</v>
      </c>
      <c r="T32" s="36"/>
      <c r="U32" s="36"/>
      <c r="V32" s="36"/>
    </row>
    <row r="33" spans="1:22" ht="17.25" thickBot="1" x14ac:dyDescent="0.3">
      <c r="A33" s="36"/>
      <c r="B33" s="36"/>
      <c r="C33" s="36"/>
      <c r="D33" s="36"/>
      <c r="E33" s="36"/>
      <c r="F33" s="36"/>
      <c r="G33" s="36"/>
      <c r="H33" s="36"/>
      <c r="I33" s="17">
        <v>0.05</v>
      </c>
      <c r="J33" s="43"/>
      <c r="K33" s="44"/>
      <c r="L33" s="44"/>
      <c r="M33" s="44"/>
      <c r="N33" s="44"/>
      <c r="O33" s="44"/>
      <c r="P33" s="44"/>
      <c r="Q33" s="44"/>
      <c r="R33" s="44"/>
      <c r="S33" s="51"/>
      <c r="T33" s="36"/>
      <c r="U33" s="36"/>
      <c r="V33" s="36"/>
    </row>
    <row r="34" spans="1:22" ht="17.25" thickBot="1" x14ac:dyDescent="0.3">
      <c r="A34" s="36"/>
      <c r="B34" s="36"/>
      <c r="C34" s="36"/>
      <c r="D34" s="36"/>
      <c r="E34" s="36"/>
      <c r="F34" s="36"/>
      <c r="G34" s="36"/>
      <c r="H34" s="36"/>
      <c r="I34" s="16" t="s">
        <v>54</v>
      </c>
      <c r="J34" s="43">
        <f>F10</f>
        <v>800</v>
      </c>
      <c r="K34" s="44">
        <f>J34+(J34*$I$35)</f>
        <v>840</v>
      </c>
      <c r="L34" s="44">
        <f t="shared" ref="L34:S34" si="7">K34+(K34*$I$35)</f>
        <v>882</v>
      </c>
      <c r="M34" s="44">
        <f t="shared" si="7"/>
        <v>926.1</v>
      </c>
      <c r="N34" s="44">
        <f t="shared" si="7"/>
        <v>972.40499999999997</v>
      </c>
      <c r="O34" s="44">
        <f t="shared" si="7"/>
        <v>1021.0252499999999</v>
      </c>
      <c r="P34" s="44">
        <f t="shared" si="7"/>
        <v>1072.0765124999998</v>
      </c>
      <c r="Q34" s="44">
        <f t="shared" si="7"/>
        <v>1125.6803381249997</v>
      </c>
      <c r="R34" s="44">
        <f t="shared" si="7"/>
        <v>1181.9643550312496</v>
      </c>
      <c r="S34" s="51">
        <f t="shared" si="7"/>
        <v>1241.0625727828121</v>
      </c>
      <c r="T34" s="36"/>
      <c r="U34" s="36"/>
      <c r="V34" s="36"/>
    </row>
    <row r="35" spans="1:22" ht="17.25" thickBot="1" x14ac:dyDescent="0.3">
      <c r="A35" s="36"/>
      <c r="B35" s="36"/>
      <c r="C35" s="36"/>
      <c r="D35" s="36"/>
      <c r="E35" s="36"/>
      <c r="F35" s="36"/>
      <c r="G35" s="36"/>
      <c r="H35" s="36"/>
      <c r="I35" s="17">
        <v>0.05</v>
      </c>
      <c r="J35" s="43"/>
      <c r="K35" s="44"/>
      <c r="L35" s="44"/>
      <c r="M35" s="44"/>
      <c r="N35" s="44"/>
      <c r="O35" s="44"/>
      <c r="P35" s="44"/>
      <c r="Q35" s="44"/>
      <c r="R35" s="44"/>
      <c r="S35" s="51"/>
      <c r="T35" s="36"/>
      <c r="U35" s="36"/>
      <c r="V35" s="36"/>
    </row>
    <row r="36" spans="1:22" ht="16.5" x14ac:dyDescent="0.25">
      <c r="A36" s="36"/>
      <c r="B36" s="36"/>
      <c r="C36" s="36"/>
      <c r="D36" s="36"/>
      <c r="E36" s="36"/>
      <c r="F36" s="36"/>
      <c r="G36" s="36"/>
      <c r="H36" s="36"/>
      <c r="I36" s="18" t="s">
        <v>55</v>
      </c>
      <c r="J36" s="52">
        <f t="shared" ref="J36:K36" si="8">J20+J22+J24+J26</f>
        <v>300</v>
      </c>
      <c r="K36" s="52">
        <f t="shared" si="8"/>
        <v>324</v>
      </c>
      <c r="L36" s="52">
        <f t="shared" ref="L36:S36" si="9">L20+L22+L24+L26</f>
        <v>349.92</v>
      </c>
      <c r="M36" s="52">
        <f t="shared" si="9"/>
        <v>377.91359999999997</v>
      </c>
      <c r="N36" s="52">
        <f t="shared" si="9"/>
        <v>408.14668800000004</v>
      </c>
      <c r="O36" s="52">
        <f t="shared" si="9"/>
        <v>440.79842303999999</v>
      </c>
      <c r="P36" s="52">
        <f t="shared" si="9"/>
        <v>476.06229688319996</v>
      </c>
      <c r="Q36" s="52">
        <f t="shared" si="9"/>
        <v>514.14728063385598</v>
      </c>
      <c r="R36" s="52">
        <f t="shared" si="9"/>
        <v>555.27906308456443</v>
      </c>
      <c r="S36" s="53">
        <f t="shared" si="9"/>
        <v>599.70138813132962</v>
      </c>
      <c r="T36" s="36"/>
      <c r="U36" s="36"/>
      <c r="V36" s="36"/>
    </row>
    <row r="37" spans="1:22" x14ac:dyDescent="0.25">
      <c r="A37" s="36"/>
      <c r="B37" s="36"/>
      <c r="C37" s="36"/>
      <c r="D37" s="36"/>
      <c r="E37" s="36"/>
      <c r="F37" s="36"/>
      <c r="G37" s="36"/>
      <c r="H37" s="36"/>
      <c r="I37" s="36"/>
      <c r="J37" s="36"/>
      <c r="K37" s="36"/>
      <c r="L37" s="36"/>
      <c r="M37" s="36"/>
      <c r="N37" s="36"/>
      <c r="O37" s="36"/>
      <c r="P37" s="36"/>
      <c r="Q37" s="36"/>
      <c r="R37" s="36"/>
      <c r="S37" s="36"/>
      <c r="T37" s="36"/>
      <c r="U37" s="36"/>
      <c r="V37" s="36"/>
    </row>
    <row r="38" spans="1:22" x14ac:dyDescent="0.25">
      <c r="A38" s="36"/>
      <c r="B38" s="36"/>
      <c r="C38" s="36"/>
      <c r="D38" s="36"/>
      <c r="E38" s="36"/>
      <c r="F38" s="36"/>
      <c r="G38" s="36"/>
      <c r="H38" s="36"/>
      <c r="I38" s="36"/>
      <c r="J38" s="36"/>
      <c r="K38" s="36"/>
      <c r="L38" s="36"/>
      <c r="M38" s="36"/>
      <c r="N38" s="36"/>
      <c r="O38" s="36"/>
      <c r="P38" s="36"/>
      <c r="Q38" s="36"/>
      <c r="R38" s="36"/>
      <c r="S38" s="36"/>
      <c r="T38" s="36"/>
      <c r="U38" s="36"/>
      <c r="V38" s="36"/>
    </row>
    <row r="39" spans="1:22" x14ac:dyDescent="0.25">
      <c r="A39" s="36"/>
      <c r="B39" s="36"/>
      <c r="C39" s="36"/>
      <c r="D39" s="36"/>
      <c r="E39" s="36"/>
      <c r="F39" s="36"/>
      <c r="G39" s="36"/>
      <c r="H39" s="36"/>
      <c r="I39" s="36"/>
      <c r="J39" s="36"/>
      <c r="K39" s="36"/>
      <c r="L39" s="36"/>
      <c r="M39" s="36"/>
      <c r="N39" s="36"/>
      <c r="O39" s="36"/>
      <c r="P39" s="36"/>
      <c r="Q39" s="36"/>
      <c r="R39" s="36"/>
      <c r="S39" s="36"/>
      <c r="T39" s="36"/>
      <c r="U39" s="36"/>
      <c r="V39" s="36"/>
    </row>
    <row r="40" spans="1:22" x14ac:dyDescent="0.25">
      <c r="A40" s="36"/>
      <c r="B40" s="36"/>
      <c r="C40" s="36"/>
      <c r="D40" s="36"/>
      <c r="E40" s="36"/>
      <c r="F40" s="36"/>
      <c r="G40" s="36"/>
      <c r="H40" s="36"/>
      <c r="I40" s="36"/>
      <c r="J40" s="36"/>
      <c r="K40" s="36"/>
      <c r="L40" s="36"/>
      <c r="M40" s="36"/>
      <c r="N40" s="36"/>
      <c r="O40" s="36"/>
      <c r="P40" s="36"/>
      <c r="Q40" s="36"/>
      <c r="R40" s="36"/>
      <c r="S40" s="36"/>
      <c r="T40" s="36"/>
      <c r="U40" s="36"/>
      <c r="V40" s="36"/>
    </row>
  </sheetData>
  <mergeCells count="20">
    <mergeCell ref="D22:E22"/>
    <mergeCell ref="D24:E24"/>
    <mergeCell ref="D26:E26"/>
    <mergeCell ref="D13:E13"/>
    <mergeCell ref="D15:E15"/>
    <mergeCell ref="D16:E16"/>
    <mergeCell ref="D17:E17"/>
    <mergeCell ref="D18:E18"/>
    <mergeCell ref="D19:E19"/>
    <mergeCell ref="M7:N7"/>
    <mergeCell ref="M6:P6"/>
    <mergeCell ref="I6:K6"/>
    <mergeCell ref="D20:E20"/>
    <mergeCell ref="D21:E21"/>
    <mergeCell ref="D6:G6"/>
    <mergeCell ref="D8:E8"/>
    <mergeCell ref="D9:E9"/>
    <mergeCell ref="D10:E10"/>
    <mergeCell ref="D11:E11"/>
    <mergeCell ref="D12:E1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975A-9C7E-46D9-873B-616E517B0EAE}">
  <dimension ref="A2:M73"/>
  <sheetViews>
    <sheetView tabSelected="1" topLeftCell="A2" workbookViewId="0">
      <selection activeCell="H19" sqref="H19"/>
    </sheetView>
  </sheetViews>
  <sheetFormatPr baseColWidth="10" defaultRowHeight="15" x14ac:dyDescent="0.25"/>
  <cols>
    <col min="1" max="1" width="11" style="8"/>
    <col min="3" max="3" width="43.25" bestFit="1" customWidth="1"/>
    <col min="4" max="13" width="15" bestFit="1" customWidth="1"/>
  </cols>
  <sheetData>
    <row r="2" spans="3:13" ht="15.75" thickBot="1" x14ac:dyDescent="0.3"/>
    <row r="3" spans="3:13" ht="17.25" thickTop="1" thickBot="1" x14ac:dyDescent="0.3">
      <c r="C3" s="88" t="s">
        <v>56</v>
      </c>
      <c r="D3" s="88"/>
      <c r="E3" s="88"/>
      <c r="F3" s="88"/>
      <c r="G3" s="88"/>
      <c r="H3" s="88"/>
      <c r="I3" s="88"/>
      <c r="J3" s="88"/>
      <c r="K3" s="88"/>
      <c r="L3" s="88"/>
      <c r="M3" s="88"/>
    </row>
    <row r="4" spans="3:13" ht="17.25" thickTop="1" thickBot="1" x14ac:dyDescent="0.3">
      <c r="C4" s="93" t="s">
        <v>57</v>
      </c>
      <c r="D4" s="95" t="str">
        <f>DATOS!D13</f>
        <v>Terreno</v>
      </c>
      <c r="E4" s="95"/>
      <c r="F4" s="25">
        <f>DATOS!F13</f>
        <v>100000</v>
      </c>
      <c r="G4" s="23"/>
      <c r="H4" s="22"/>
      <c r="I4" s="22"/>
      <c r="J4" s="22"/>
      <c r="K4" s="22"/>
      <c r="L4" s="22"/>
      <c r="M4" s="22"/>
    </row>
    <row r="5" spans="3:13" ht="16.5" thickBot="1" x14ac:dyDescent="0.3">
      <c r="C5" s="94"/>
      <c r="D5" s="96" t="str">
        <f>DATOS!D15</f>
        <v>Construcción de Infraestructura</v>
      </c>
      <c r="E5" s="96"/>
      <c r="F5" s="26">
        <f>DATOS!F15</f>
        <v>500000</v>
      </c>
      <c r="G5" s="24"/>
      <c r="H5" s="22"/>
      <c r="I5" s="22"/>
      <c r="J5" s="22"/>
      <c r="K5" s="22"/>
      <c r="L5" s="22"/>
      <c r="M5" s="22"/>
    </row>
    <row r="6" spans="3:13" ht="16.5" thickBot="1" x14ac:dyDescent="0.3">
      <c r="C6" s="94"/>
      <c r="D6" s="96" t="str">
        <f>DATOS!D18</f>
        <v>Maquinaria nueva</v>
      </c>
      <c r="E6" s="96"/>
      <c r="F6" s="26">
        <f>DATOS!F18</f>
        <v>1000000</v>
      </c>
      <c r="G6" s="24"/>
      <c r="H6" s="22"/>
      <c r="I6" s="22"/>
      <c r="J6" s="22"/>
      <c r="K6" s="22"/>
      <c r="L6" s="22"/>
      <c r="M6" s="22"/>
    </row>
    <row r="7" spans="3:13" ht="16.5" thickBot="1" x14ac:dyDescent="0.3">
      <c r="C7" s="94"/>
      <c r="D7" s="96" t="str">
        <f>DATOS!I16</f>
        <v>Capital de trabajo requerido</v>
      </c>
      <c r="E7" s="96"/>
      <c r="F7" s="26">
        <f>DATOS!J16</f>
        <v>200000</v>
      </c>
      <c r="G7" s="24"/>
      <c r="H7" s="22"/>
      <c r="I7" s="22"/>
      <c r="J7" s="22"/>
      <c r="K7" s="22"/>
      <c r="L7" s="22"/>
      <c r="M7" s="22"/>
    </row>
    <row r="8" spans="3:13" ht="16.5" thickBot="1" x14ac:dyDescent="0.3">
      <c r="C8" s="94"/>
      <c r="D8" s="97" t="s">
        <v>58</v>
      </c>
      <c r="E8" s="97"/>
      <c r="F8" s="74">
        <f>SUM(F4:F7)</f>
        <v>1800000</v>
      </c>
      <c r="G8" s="22"/>
      <c r="H8" s="22"/>
      <c r="I8" s="22"/>
      <c r="J8" s="22"/>
      <c r="K8" s="22"/>
      <c r="L8" s="22"/>
      <c r="M8" s="22"/>
    </row>
    <row r="9" spans="3:13" ht="17.25" thickTop="1" thickBot="1" x14ac:dyDescent="0.3">
      <c r="C9" s="88" t="s">
        <v>59</v>
      </c>
      <c r="D9" s="88"/>
      <c r="E9" s="88"/>
      <c r="F9" s="88"/>
      <c r="G9" s="88"/>
      <c r="H9" s="88"/>
      <c r="I9" s="88"/>
      <c r="J9" s="88"/>
      <c r="K9" s="88"/>
      <c r="L9" s="88"/>
      <c r="M9" s="88"/>
    </row>
    <row r="10" spans="3:13" ht="17.25" thickTop="1" thickBot="1" x14ac:dyDescent="0.3">
      <c r="C10" s="71" t="s">
        <v>60</v>
      </c>
      <c r="D10" s="70">
        <v>1</v>
      </c>
      <c r="E10" s="70">
        <v>2</v>
      </c>
      <c r="F10" s="70">
        <v>3</v>
      </c>
      <c r="G10" s="70">
        <v>4</v>
      </c>
      <c r="H10" s="70">
        <v>5</v>
      </c>
      <c r="I10" s="70">
        <v>6</v>
      </c>
      <c r="J10" s="70">
        <v>7</v>
      </c>
      <c r="K10" s="70">
        <v>8</v>
      </c>
      <c r="L10" s="70">
        <v>9</v>
      </c>
      <c r="M10" s="70">
        <v>10</v>
      </c>
    </row>
    <row r="11" spans="3:13" ht="17.25" thickTop="1" thickBot="1" x14ac:dyDescent="0.3">
      <c r="C11" s="72" t="str">
        <f>DATOS!D8</f>
        <v>VENTAS(Vestidos)</v>
      </c>
      <c r="D11" s="29">
        <f>DATOS!F8</f>
        <v>20000</v>
      </c>
      <c r="E11" s="29">
        <f>D11+(D11*D13)</f>
        <v>21000</v>
      </c>
      <c r="F11" s="29">
        <f>E11+(E11*D13)</f>
        <v>22050</v>
      </c>
      <c r="G11" s="29">
        <f>F11+(F11*D13)</f>
        <v>23152.5</v>
      </c>
      <c r="H11" s="29">
        <f>G11+(G11*D13)</f>
        <v>24310.125</v>
      </c>
      <c r="I11" s="29">
        <f>H11+(H11*D13)</f>
        <v>25525.631249999999</v>
      </c>
      <c r="J11" s="29">
        <f>I11+(I11*D13)</f>
        <v>26801.912812499999</v>
      </c>
      <c r="K11" s="29">
        <f>J11+(J11*D13)</f>
        <v>28142.008453125</v>
      </c>
      <c r="L11" s="29">
        <f>K11+(K11*D13)</f>
        <v>29549.10887578125</v>
      </c>
      <c r="M11" s="29">
        <f>L11+(L11*D13)</f>
        <v>31026.564319570312</v>
      </c>
    </row>
    <row r="12" spans="3:13" ht="17.25" thickTop="1" thickBot="1" x14ac:dyDescent="0.3">
      <c r="C12" s="72"/>
      <c r="D12" s="29"/>
      <c r="E12" s="29"/>
      <c r="F12" s="29"/>
      <c r="G12" s="29"/>
      <c r="H12" s="29"/>
      <c r="I12" s="29">
        <v>25000</v>
      </c>
      <c r="J12" s="29">
        <v>25000</v>
      </c>
      <c r="K12" s="29">
        <v>25000</v>
      </c>
      <c r="L12" s="29">
        <v>25000</v>
      </c>
      <c r="M12" s="29">
        <v>25000</v>
      </c>
    </row>
    <row r="13" spans="3:13" ht="17.25" thickTop="1" thickBot="1" x14ac:dyDescent="0.3">
      <c r="C13" s="72" t="str">
        <f>DATOS!D9</f>
        <v>Tasa de crecimiento(anual)</v>
      </c>
      <c r="D13" s="92">
        <f>DATOS!F9</f>
        <v>0.05</v>
      </c>
      <c r="E13" s="92"/>
      <c r="F13" s="92"/>
      <c r="G13" s="92"/>
      <c r="H13" s="92"/>
      <c r="I13" s="92"/>
      <c r="J13" s="92"/>
      <c r="K13" s="92"/>
      <c r="L13" s="92"/>
      <c r="M13" s="92"/>
    </row>
    <row r="14" spans="3:13" ht="17.25" thickTop="1" thickBot="1" x14ac:dyDescent="0.3">
      <c r="C14" s="72" t="str">
        <f>DATOS!D10</f>
        <v>PRECIO(por unidad)</v>
      </c>
      <c r="D14" s="28">
        <f>DATOS!F10</f>
        <v>800</v>
      </c>
      <c r="E14" s="28">
        <f>D14+(D14*D15)</f>
        <v>840</v>
      </c>
      <c r="F14" s="28">
        <f>E14+(E14*D15)</f>
        <v>882</v>
      </c>
      <c r="G14" s="28">
        <f>F14+(F14*D15)</f>
        <v>926.1</v>
      </c>
      <c r="H14" s="28">
        <f>G14+(G14*D15)</f>
        <v>972.40499999999997</v>
      </c>
      <c r="I14" s="28">
        <f>H14+(H14*D15)</f>
        <v>1021.0252499999999</v>
      </c>
      <c r="J14" s="28">
        <f>I14+(I14*D15)</f>
        <v>1072.0765124999998</v>
      </c>
      <c r="K14" s="28">
        <f>J14+(J14*D15)</f>
        <v>1125.6803381249997</v>
      </c>
      <c r="L14" s="28">
        <f>K14+(K14*D15)</f>
        <v>1181.9643550312496</v>
      </c>
      <c r="M14" s="28">
        <f>L14+(L14*D15)</f>
        <v>1241.0625727828121</v>
      </c>
    </row>
    <row r="15" spans="3:13" ht="17.25" thickTop="1" thickBot="1" x14ac:dyDescent="0.3">
      <c r="C15" s="72" t="str">
        <f>DATOS!D11</f>
        <v>Variación por tipo de cambio(anual)</v>
      </c>
      <c r="D15" s="92">
        <f>DATOS!F9</f>
        <v>0.05</v>
      </c>
      <c r="E15" s="92"/>
      <c r="F15" s="92"/>
      <c r="G15" s="92"/>
      <c r="H15" s="92"/>
      <c r="I15" s="92"/>
      <c r="J15" s="92"/>
      <c r="K15" s="92"/>
      <c r="L15" s="92"/>
      <c r="M15" s="92"/>
    </row>
    <row r="16" spans="3:13" ht="17.25" thickTop="1" thickBot="1" x14ac:dyDescent="0.3">
      <c r="C16" s="73" t="s">
        <v>61</v>
      </c>
      <c r="D16" s="59">
        <f t="shared" ref="D16:M16" si="0">D11*D14</f>
        <v>16000000</v>
      </c>
      <c r="E16" s="59">
        <f t="shared" si="0"/>
        <v>17640000</v>
      </c>
      <c r="F16" s="59">
        <f t="shared" si="0"/>
        <v>19448100</v>
      </c>
      <c r="G16" s="59">
        <f t="shared" si="0"/>
        <v>21441530.25</v>
      </c>
      <c r="H16" s="59">
        <f t="shared" si="0"/>
        <v>23639287.100625001</v>
      </c>
      <c r="I16" s="59">
        <f t="shared" si="0"/>
        <v>26062314.02843906</v>
      </c>
      <c r="J16" s="59">
        <f t="shared" si="0"/>
        <v>28733701.216354061</v>
      </c>
      <c r="K16" s="59">
        <f t="shared" si="0"/>
        <v>31678905.591030348</v>
      </c>
      <c r="L16" s="59">
        <f t="shared" si="0"/>
        <v>34925993.414110959</v>
      </c>
      <c r="M16" s="59">
        <f t="shared" si="0"/>
        <v>38505907.739057332</v>
      </c>
    </row>
    <row r="17" spans="3:13" ht="17.25" thickTop="1" thickBot="1" x14ac:dyDescent="0.3">
      <c r="C17" s="72" t="s">
        <v>62</v>
      </c>
      <c r="D17" s="27">
        <f t="shared" ref="D17:M17" si="1">IF((D11-25000)&gt;0,(D11-25000),0)</f>
        <v>0</v>
      </c>
      <c r="E17" s="30">
        <f t="shared" si="1"/>
        <v>0</v>
      </c>
      <c r="F17" s="30">
        <f t="shared" si="1"/>
        <v>0</v>
      </c>
      <c r="G17" s="30">
        <f t="shared" si="1"/>
        <v>0</v>
      </c>
      <c r="H17" s="30">
        <f t="shared" si="1"/>
        <v>0</v>
      </c>
      <c r="I17" s="30">
        <f t="shared" si="1"/>
        <v>525.63124999999854</v>
      </c>
      <c r="J17" s="30">
        <f t="shared" si="1"/>
        <v>1801.9128124999988</v>
      </c>
      <c r="K17" s="30">
        <f t="shared" si="1"/>
        <v>3142.0084531249995</v>
      </c>
      <c r="L17" s="30">
        <f t="shared" si="1"/>
        <v>4549.1088757812504</v>
      </c>
      <c r="M17" s="30">
        <f t="shared" si="1"/>
        <v>6026.5643195703124</v>
      </c>
    </row>
    <row r="18" spans="3:13" ht="17.25" thickTop="1" thickBot="1" x14ac:dyDescent="0.3">
      <c r="C18" s="72" t="s">
        <v>63</v>
      </c>
      <c r="D18" s="28">
        <v>0</v>
      </c>
      <c r="E18" s="28">
        <v>0</v>
      </c>
      <c r="F18" s="28">
        <v>0</v>
      </c>
      <c r="G18" s="28">
        <v>0</v>
      </c>
      <c r="H18" s="28">
        <v>0</v>
      </c>
      <c r="I18" s="28">
        <f>I17*DATOS!$F22</f>
        <v>210252.49999999942</v>
      </c>
      <c r="J18" s="28">
        <f>J17*DATOS!$F22</f>
        <v>720765.12499999953</v>
      </c>
      <c r="K18" s="28">
        <f>K17*DATOS!$F22</f>
        <v>1256803.3812499999</v>
      </c>
      <c r="L18" s="28">
        <f>L17*DATOS!$F22</f>
        <v>1819643.5503125002</v>
      </c>
      <c r="M18" s="28">
        <f>M17*DATOS!$F22</f>
        <v>2410625.727828125</v>
      </c>
    </row>
    <row r="19" spans="3:13" ht="16.5" thickTop="1" thickBot="1" x14ac:dyDescent="0.3">
      <c r="H19" s="98"/>
    </row>
    <row r="20" spans="3:13" ht="17.25" thickTop="1" thickBot="1" x14ac:dyDescent="0.3">
      <c r="C20" s="88" t="s">
        <v>64</v>
      </c>
      <c r="D20" s="88"/>
      <c r="E20" s="88"/>
      <c r="F20" s="88"/>
      <c r="G20" s="88"/>
      <c r="H20" s="88"/>
      <c r="I20" s="88"/>
      <c r="J20" s="88"/>
      <c r="K20" s="88"/>
      <c r="L20" s="88"/>
      <c r="M20" s="88"/>
    </row>
    <row r="21" spans="3:13" ht="16.5" thickTop="1" thickBot="1" x14ac:dyDescent="0.3">
      <c r="C21" s="69" t="s">
        <v>60</v>
      </c>
      <c r="D21" s="68">
        <v>1</v>
      </c>
      <c r="E21" s="68">
        <v>2</v>
      </c>
      <c r="F21" s="68">
        <v>3</v>
      </c>
      <c r="G21" s="68">
        <v>4</v>
      </c>
      <c r="H21" s="68">
        <v>5</v>
      </c>
      <c r="I21" s="68">
        <v>6</v>
      </c>
      <c r="J21" s="68">
        <v>7</v>
      </c>
      <c r="K21" s="68">
        <v>8</v>
      </c>
      <c r="L21" s="68">
        <v>9</v>
      </c>
      <c r="M21" s="68">
        <v>10</v>
      </c>
    </row>
    <row r="22" spans="3:13" ht="16.5" thickTop="1" thickBot="1" x14ac:dyDescent="0.3">
      <c r="C22" s="60" t="s">
        <v>65</v>
      </c>
      <c r="D22" s="55">
        <f>D11*DATOS!J26</f>
        <v>1000000</v>
      </c>
      <c r="E22" s="55">
        <f>E11*DATOS!K26</f>
        <v>1134000</v>
      </c>
      <c r="F22" s="55">
        <f>F11*DATOS!L26</f>
        <v>1285956</v>
      </c>
      <c r="G22" s="55">
        <f>G11*DATOS!M26</f>
        <v>1458274.1040000001</v>
      </c>
      <c r="H22" s="55">
        <f>H11*DATOS!N26</f>
        <v>1653682.8339359998</v>
      </c>
      <c r="I22" s="55">
        <f>I12*DATOS!O26</f>
        <v>1836660.0959999999</v>
      </c>
      <c r="J22" s="55">
        <f>J12*DATOS!P26</f>
        <v>1983592.90368</v>
      </c>
      <c r="K22" s="55">
        <f>K12*DATOS!Q26</f>
        <v>2142280.3359743999</v>
      </c>
      <c r="L22" s="55">
        <f>L12*DATOS!R26</f>
        <v>2313662.7628523516</v>
      </c>
      <c r="M22" s="55">
        <f>M12*DATOS!S26</f>
        <v>2498755.7838805397</v>
      </c>
    </row>
    <row r="23" spans="3:13" ht="16.5" thickTop="1" thickBot="1" x14ac:dyDescent="0.3">
      <c r="C23" s="60" t="s">
        <v>66</v>
      </c>
      <c r="D23" s="55">
        <f>D11*(DATOS!J20+DATOS!J22)</f>
        <v>4000000</v>
      </c>
      <c r="E23" s="55">
        <f>E11*(DATOS!K20+DATOS!K22)</f>
        <v>4536000</v>
      </c>
      <c r="F23" s="55">
        <f>F11*(DATOS!L20+DATOS!L22)</f>
        <v>5143824</v>
      </c>
      <c r="G23" s="55">
        <f>G11*(DATOS!M20+DATOS!M22)</f>
        <v>5833096.4160000002</v>
      </c>
      <c r="H23" s="55">
        <f>H11*(DATOS!N20+DATOS!N22)</f>
        <v>6614731.335744001</v>
      </c>
      <c r="I23" s="55">
        <f>I12*(DATOS!O20+DATOS!O22)</f>
        <v>7346640.3839999996</v>
      </c>
      <c r="J23" s="55">
        <f>J12*(DATOS!P20+DATOS!P22)</f>
        <v>7934371.61472</v>
      </c>
      <c r="K23" s="55">
        <f>K12*(DATOS!Q20+DATOS!Q22)</f>
        <v>8569121.3438976016</v>
      </c>
      <c r="L23" s="55">
        <f>L12*(DATOS!R20+DATOS!R22)</f>
        <v>9254651.0514094085</v>
      </c>
      <c r="M23" s="55">
        <f>M12*(DATOS!S20+DATOS!S22)</f>
        <v>9995023.1355221607</v>
      </c>
    </row>
    <row r="24" spans="3:13" ht="16.5" thickTop="1" thickBot="1" x14ac:dyDescent="0.3">
      <c r="C24" s="60" t="s">
        <v>67</v>
      </c>
      <c r="D24" s="55">
        <f>D11*(Tabla1[[#This Row],[1]])</f>
        <v>1000000</v>
      </c>
      <c r="E24" s="55">
        <f>E11*(Tabla1[[#This Row],[2]])</f>
        <v>1134000</v>
      </c>
      <c r="F24" s="55">
        <f>F11*(Tabla1[[#This Row],[3]])</f>
        <v>1285956</v>
      </c>
      <c r="G24" s="55">
        <f>G11*(Tabla1[[#This Row],[4]])</f>
        <v>1458274.1040000001</v>
      </c>
      <c r="H24" s="55">
        <f>H11*(Tabla1[[#This Row],[5]])</f>
        <v>1653682.8339359998</v>
      </c>
      <c r="I24" s="55">
        <f>I12*(Tabla1[[#This Row],[6]])</f>
        <v>1836660.0959999999</v>
      </c>
      <c r="J24" s="55">
        <f>J12*(Tabla1[[#This Row],[7]])</f>
        <v>1983592.90368</v>
      </c>
      <c r="K24" s="55">
        <f>K12*(Tabla1[[#This Row],[8]])</f>
        <v>2142280.3359743999</v>
      </c>
      <c r="L24" s="55">
        <f>L12*(Tabla1[[#This Row],[9]])</f>
        <v>2313662.7628523516</v>
      </c>
      <c r="M24" s="55">
        <f>M12*(Tabla1[[#This Row],[10]])</f>
        <v>2498755.7838805397</v>
      </c>
    </row>
    <row r="25" spans="3:13" ht="16.5" thickTop="1" thickBot="1" x14ac:dyDescent="0.3">
      <c r="C25" s="60" t="s">
        <v>68</v>
      </c>
      <c r="D25" s="55">
        <f>DATOS!J12</f>
        <v>150000</v>
      </c>
      <c r="E25" s="55">
        <f>D25+(D25*DATOS!$K12)</f>
        <v>162000</v>
      </c>
      <c r="F25" s="55">
        <f>E25+(E25*DATOS!$K12)</f>
        <v>174960</v>
      </c>
      <c r="G25" s="55">
        <f>F25+(F25*DATOS!$K12)</f>
        <v>188956.79999999999</v>
      </c>
      <c r="H25" s="55">
        <f>G25+(G25*DATOS!$K12)</f>
        <v>204073.34399999998</v>
      </c>
      <c r="I25" s="55">
        <f>H25+(H25*DATOS!$K12)</f>
        <v>220399.21151999998</v>
      </c>
      <c r="J25" s="55">
        <f>I25+(I25*DATOS!$K12)</f>
        <v>238031.14844159997</v>
      </c>
      <c r="K25" s="55">
        <f>J25+(J25*DATOS!$K12)</f>
        <v>257073.64031692798</v>
      </c>
      <c r="L25" s="55">
        <f>K25+(K25*DATOS!$K12)</f>
        <v>277639.5315422822</v>
      </c>
      <c r="M25" s="55">
        <f>L25+(L25*DATOS!$K12)</f>
        <v>299850.69406566478</v>
      </c>
    </row>
    <row r="26" spans="3:13" ht="16.5" thickTop="1" thickBot="1" x14ac:dyDescent="0.3">
      <c r="C26" s="60" t="s">
        <v>69</v>
      </c>
      <c r="D26" s="55">
        <f>D19</f>
        <v>0</v>
      </c>
      <c r="E26" s="55">
        <f t="shared" ref="E26:H26" si="2">E19</f>
        <v>0</v>
      </c>
      <c r="F26" s="55">
        <f t="shared" si="2"/>
        <v>0</v>
      </c>
      <c r="G26" s="55">
        <f t="shared" si="2"/>
        <v>0</v>
      </c>
      <c r="H26" s="55">
        <f t="shared" si="2"/>
        <v>0</v>
      </c>
      <c r="I26" s="55">
        <f>I18</f>
        <v>210252.49999999942</v>
      </c>
      <c r="J26" s="55">
        <f t="shared" ref="J26:M26" si="3">J18</f>
        <v>720765.12499999953</v>
      </c>
      <c r="K26" s="55">
        <f t="shared" si="3"/>
        <v>1256803.3812499999</v>
      </c>
      <c r="L26" s="55">
        <f t="shared" si="3"/>
        <v>1819643.5503125002</v>
      </c>
      <c r="M26" s="55">
        <f t="shared" si="3"/>
        <v>2410625.727828125</v>
      </c>
    </row>
    <row r="27" spans="3:13" ht="16.5" thickTop="1" thickBot="1" x14ac:dyDescent="0.3">
      <c r="C27" s="60" t="s">
        <v>70</v>
      </c>
      <c r="D27" s="55">
        <f>(DATOS!$F18-DATOS!$F21)/DATOS!$F20</f>
        <v>180000</v>
      </c>
      <c r="E27" s="55">
        <f>(DATOS!$F18-DATOS!$F21)/DATOS!$F20</f>
        <v>180000</v>
      </c>
      <c r="F27" s="55">
        <f>(DATOS!$F18-DATOS!$F21)/DATOS!$F20</f>
        <v>180000</v>
      </c>
      <c r="G27" s="55">
        <f>(DATOS!$F18-DATOS!$F21)/DATOS!$F20</f>
        <v>180000</v>
      </c>
      <c r="H27" s="55">
        <f>(DATOS!$F18-DATOS!$F21)/DATOS!$F20</f>
        <v>180000</v>
      </c>
      <c r="I27" s="55">
        <f>(DATOS!$F18-DATOS!$F21)/DATOS!$F20</f>
        <v>180000</v>
      </c>
      <c r="J27" s="55">
        <f>(DATOS!$F18-DATOS!$F21)/DATOS!$F20</f>
        <v>180000</v>
      </c>
      <c r="K27" s="55">
        <f>(DATOS!$F18-DATOS!$F21)/DATOS!$F20</f>
        <v>180000</v>
      </c>
      <c r="L27" s="55">
        <f>(DATOS!$F18-DATOS!$F21)/DATOS!$F20</f>
        <v>180000</v>
      </c>
      <c r="M27" s="55">
        <f>(DATOS!$F18-DATOS!$F21)/DATOS!$F20</f>
        <v>180000</v>
      </c>
    </row>
    <row r="28" spans="3:13" ht="16.5" thickTop="1" thickBot="1" x14ac:dyDescent="0.3">
      <c r="C28" s="60" t="s">
        <v>71</v>
      </c>
      <c r="D28" s="55">
        <f>DATOS!$F15/DATOS!$F16</f>
        <v>16666.666666666668</v>
      </c>
      <c r="E28" s="55">
        <f>DATOS!$F15/DATOS!$F16</f>
        <v>16666.666666666668</v>
      </c>
      <c r="F28" s="55">
        <f>DATOS!$F15/DATOS!$F16</f>
        <v>16666.666666666668</v>
      </c>
      <c r="G28" s="55">
        <f>DATOS!$F15/DATOS!$F16</f>
        <v>16666.666666666668</v>
      </c>
      <c r="H28" s="55">
        <f>DATOS!$F15/DATOS!$F16</f>
        <v>16666.666666666668</v>
      </c>
      <c r="I28" s="55">
        <f>DATOS!$F15/DATOS!$F16</f>
        <v>16666.666666666668</v>
      </c>
      <c r="J28" s="55">
        <f>DATOS!$F15/DATOS!$F16</f>
        <v>16666.666666666668</v>
      </c>
      <c r="K28" s="55">
        <f>DATOS!$F15/DATOS!$F16</f>
        <v>16666.666666666668</v>
      </c>
      <c r="L28" s="55">
        <f>DATOS!$F15/DATOS!$F16</f>
        <v>16666.666666666668</v>
      </c>
      <c r="M28" s="55">
        <f>DATOS!$F15/DATOS!$F16</f>
        <v>16666.666666666668</v>
      </c>
    </row>
    <row r="29" spans="3:13" ht="16.5" thickTop="1" thickBot="1" x14ac:dyDescent="0.3">
      <c r="C29" s="60" t="s">
        <v>72</v>
      </c>
      <c r="D29" s="55">
        <f>D11*DATOS!J32</f>
        <v>4000000</v>
      </c>
      <c r="E29" s="55">
        <f>E11*DATOS!K32</f>
        <v>4410000</v>
      </c>
      <c r="F29" s="55">
        <f>F11*DATOS!L32</f>
        <v>4862025</v>
      </c>
      <c r="G29" s="55">
        <f>G11*DATOS!M32</f>
        <v>5360382.5625</v>
      </c>
      <c r="H29" s="55">
        <f>H11*DATOS!N32</f>
        <v>5909821.7751562502</v>
      </c>
      <c r="I29" s="55">
        <f>I11*DATOS!O32</f>
        <v>6515578.507109765</v>
      </c>
      <c r="J29" s="55">
        <f>J11*DATOS!P32</f>
        <v>7183425.3040885152</v>
      </c>
      <c r="K29" s="55">
        <f>K11*DATOS!Q32</f>
        <v>7919726.397757587</v>
      </c>
      <c r="L29" s="55">
        <f>L11*DATOS!R32</f>
        <v>8731498.3535277396</v>
      </c>
      <c r="M29" s="55">
        <f>M11*DATOS!S32</f>
        <v>9626476.9347643331</v>
      </c>
    </row>
    <row r="30" spans="3:13" ht="16.5" thickTop="1" thickBot="1" x14ac:dyDescent="0.3">
      <c r="C30" s="60" t="s">
        <v>73</v>
      </c>
      <c r="D30" s="55">
        <f>D11*Tabla1[[#This Row],[1]]</f>
        <v>2000000</v>
      </c>
      <c r="E30" s="55">
        <f>E11*Tabla1[[#This Row],[2]]</f>
        <v>2205000</v>
      </c>
      <c r="F30" s="55">
        <f>F11*Tabla1[[#This Row],[3]]</f>
        <v>2431012.5</v>
      </c>
      <c r="G30" s="55">
        <f>G11*Tabla1[[#This Row],[4]]</f>
        <v>2680191.28125</v>
      </c>
      <c r="H30" s="55">
        <f>H11*Tabla1[[#This Row],[5]]</f>
        <v>2954910.8875781251</v>
      </c>
      <c r="I30" s="55">
        <f>I11*Tabla1[[#This Row],[6]]</f>
        <v>3257789.2535548825</v>
      </c>
      <c r="J30" s="55">
        <f>J11*Tabla1[[#This Row],[7]]</f>
        <v>3591712.6520442576</v>
      </c>
      <c r="K30" s="55">
        <f>K11*Tabla1[[#This Row],[8]]</f>
        <v>3959863.1988787935</v>
      </c>
      <c r="L30" s="55">
        <f>L11*Tabla1[[#This Row],[9]]</f>
        <v>4365749.1767638698</v>
      </c>
      <c r="M30" s="55">
        <f>M11*Tabla1[[#This Row],[10]]</f>
        <v>4813238.4673821665</v>
      </c>
    </row>
    <row r="31" spans="3:13" ht="16.5" thickTop="1" thickBot="1" x14ac:dyDescent="0.3">
      <c r="C31" s="60" t="s">
        <v>74</v>
      </c>
      <c r="D31" s="55">
        <f>(((D16-(D16-(D16/(1+DATOS!$F26))))-(SUM(D22:D28)))-(SUM(D29:D30)))*DATOS!$P15</f>
        <v>506252.87356321834</v>
      </c>
      <c r="E31" s="55">
        <f>(((E16-(E16-(E16/(1+DATOS!$F26))))-(SUM(E22:E28)))-(SUM(E29:E30)))*DATOS!$P15</f>
        <v>500230.45977011538</v>
      </c>
      <c r="F31" s="55">
        <f>(((F16-(F16-(F16/(1+DATOS!$F26))))-(SUM(F22:F28)))-(SUM(F29:F30)))*DATOS!$P15</f>
        <v>484821.14856321865</v>
      </c>
      <c r="G31" s="55">
        <f>(((G16-(G16-(G16/(1+DATOS!$F26))))-(SUM(G22:G28)))-(SUM(G29:G30)))*DATOS!$P15</f>
        <v>457882.55355761549</v>
      </c>
      <c r="H31" s="55">
        <f>(((H16-(H16-(H16/(1+DATOS!$F26))))-(SUM(H22:H28)))-(SUM(H29:H30)))*DATOS!$P15</f>
        <v>416894.1347843376</v>
      </c>
      <c r="I31" s="56">
        <f>(((I16/1.16)-SUM(I22:I28))-I29-I30)*DATOS!$P14</f>
        <v>314059.61358919088</v>
      </c>
      <c r="J31" s="56">
        <f>(((J16/1.16)-SUM(J22:J28))-J29-J30)*DATOS!$P14</f>
        <v>281482.12942284264</v>
      </c>
      <c r="K31" s="56">
        <f>(((K16/1.16)-SUM(K22:K28))-K29-K30)*DATOS!$P14</f>
        <v>259675.82125845397</v>
      </c>
      <c r="L31" s="56">
        <f>(((L16/1.16)-SUM(L22:L28))-L29-L30)*DATOS!$P14</f>
        <v>250632.34687123541</v>
      </c>
      <c r="M31" s="56">
        <f>(((M16/1.16)-SUM(M22:M28))-M29-M30)*DATOS!$P14</f>
        <v>256606.45707639007</v>
      </c>
    </row>
    <row r="32" spans="3:13" ht="16.5" thickTop="1" thickBot="1" x14ac:dyDescent="0.3">
      <c r="C32" s="57" t="s">
        <v>75</v>
      </c>
      <c r="D32" s="58">
        <f t="shared" ref="D32:M32" si="4">SUM(D22:D31)</f>
        <v>12852919.540229887</v>
      </c>
      <c r="E32" s="58">
        <f t="shared" si="4"/>
        <v>14277897.126436783</v>
      </c>
      <c r="F32" s="58">
        <f t="shared" si="4"/>
        <v>15865221.315229887</v>
      </c>
      <c r="G32" s="58">
        <f t="shared" si="4"/>
        <v>17633724.487974282</v>
      </c>
      <c r="H32" s="58">
        <f t="shared" si="4"/>
        <v>19604463.811801381</v>
      </c>
      <c r="I32" s="58">
        <f t="shared" si="4"/>
        <v>21734706.328440502</v>
      </c>
      <c r="J32" s="58">
        <f t="shared" si="4"/>
        <v>24113640.447743885</v>
      </c>
      <c r="K32" s="58">
        <f t="shared" si="4"/>
        <v>26703491.121974833</v>
      </c>
      <c r="L32" s="58">
        <f t="shared" si="4"/>
        <v>29523806.202798404</v>
      </c>
      <c r="M32" s="58">
        <f t="shared" si="4"/>
        <v>32595999.651066586</v>
      </c>
    </row>
    <row r="33" spans="3:13" ht="16.5" thickTop="1" thickBot="1" x14ac:dyDescent="0.3"/>
    <row r="34" spans="3:13" ht="17.25" thickTop="1" thickBot="1" x14ac:dyDescent="0.3">
      <c r="C34" s="90" t="s">
        <v>76</v>
      </c>
      <c r="D34" s="88"/>
      <c r="E34" s="88"/>
      <c r="F34" s="88"/>
      <c r="G34" s="88"/>
      <c r="H34" s="88"/>
      <c r="I34" s="88"/>
      <c r="J34" s="88"/>
      <c r="K34" s="88"/>
      <c r="L34" s="88"/>
      <c r="M34" s="88"/>
    </row>
    <row r="35" spans="3:13" ht="16.5" thickTop="1" thickBot="1" x14ac:dyDescent="0.3">
      <c r="C35" s="64"/>
      <c r="D35" s="66">
        <v>1</v>
      </c>
      <c r="E35" s="67">
        <v>2</v>
      </c>
      <c r="F35" s="67">
        <v>3</v>
      </c>
      <c r="G35" s="67">
        <v>4</v>
      </c>
      <c r="H35" s="67">
        <v>5</v>
      </c>
      <c r="I35" s="67">
        <v>6</v>
      </c>
      <c r="J35" s="67">
        <v>7</v>
      </c>
      <c r="K35" s="67">
        <v>8</v>
      </c>
      <c r="L35" s="67">
        <v>9</v>
      </c>
      <c r="M35" s="67">
        <v>10</v>
      </c>
    </row>
    <row r="36" spans="3:13" ht="16.5" thickTop="1" thickBot="1" x14ac:dyDescent="0.3">
      <c r="C36" s="61" t="str">
        <f>C16</f>
        <v>INGRESO POR VENTA</v>
      </c>
      <c r="D36" s="35">
        <f>D16</f>
        <v>16000000</v>
      </c>
      <c r="E36" s="35">
        <f t="shared" ref="E36:M36" si="5">E16</f>
        <v>17640000</v>
      </c>
      <c r="F36" s="35">
        <f t="shared" si="5"/>
        <v>19448100</v>
      </c>
      <c r="G36" s="35">
        <f t="shared" si="5"/>
        <v>21441530.25</v>
      </c>
      <c r="H36" s="35">
        <f t="shared" si="5"/>
        <v>23639287.100625001</v>
      </c>
      <c r="I36" s="35">
        <f t="shared" si="5"/>
        <v>26062314.02843906</v>
      </c>
      <c r="J36" s="35">
        <f t="shared" si="5"/>
        <v>28733701.216354061</v>
      </c>
      <c r="K36" s="35">
        <f t="shared" si="5"/>
        <v>31678905.591030348</v>
      </c>
      <c r="L36" s="35">
        <f t="shared" si="5"/>
        <v>34925993.414110959</v>
      </c>
      <c r="M36" s="35">
        <f t="shared" si="5"/>
        <v>38505907.739057332</v>
      </c>
    </row>
    <row r="37" spans="3:13" ht="16.5" thickTop="1" thickBot="1" x14ac:dyDescent="0.3">
      <c r="C37" s="62" t="s">
        <v>77</v>
      </c>
      <c r="D37" s="35">
        <f>D36-(D36/(1+DATOS!$F26))</f>
        <v>2206896.5517241377</v>
      </c>
      <c r="E37" s="35">
        <f>E36-(E36/(1+DATOS!$F26))</f>
        <v>2433103.4482758604</v>
      </c>
      <c r="F37" s="35">
        <f>F36-(F36/(1+DATOS!$F26))</f>
        <v>2682496.5517241359</v>
      </c>
      <c r="G37" s="35">
        <f>G36-(G36/(1+DATOS!$F26))</f>
        <v>2957452.4482758604</v>
      </c>
      <c r="H37" s="35">
        <f>H36-(H36/(1+DATOS!$F26))</f>
        <v>3260591.3242241368</v>
      </c>
      <c r="I37" s="35">
        <f>I36-(I36/(1+DATOS!$F26))</f>
        <v>3594801.9349571094</v>
      </c>
      <c r="J37" s="35">
        <f>J36-(J36/(1+DATOS!$F26))</f>
        <v>3963269.1332902126</v>
      </c>
      <c r="K37" s="35">
        <f>K36-(K36/(1+DATOS!$F26))</f>
        <v>4369504.2194524594</v>
      </c>
      <c r="L37" s="35">
        <f>L36-(L36/(1+DATOS!$F26))</f>
        <v>4817378.401946336</v>
      </c>
      <c r="M37" s="35">
        <f>M36-(M36/(1+DATOS!$F26))</f>
        <v>5311159.688145835</v>
      </c>
    </row>
    <row r="38" spans="3:13" ht="16.5" thickTop="1" thickBot="1" x14ac:dyDescent="0.3">
      <c r="C38" s="32" t="s">
        <v>78</v>
      </c>
      <c r="D38" s="33">
        <f>D36-D37</f>
        <v>13793103.448275862</v>
      </c>
      <c r="E38" s="33">
        <f t="shared" ref="E38:M38" si="6">E36-E37</f>
        <v>15206896.55172414</v>
      </c>
      <c r="F38" s="33">
        <f t="shared" si="6"/>
        <v>16765603.448275864</v>
      </c>
      <c r="G38" s="33">
        <f t="shared" si="6"/>
        <v>18484077.80172414</v>
      </c>
      <c r="H38" s="33">
        <f t="shared" si="6"/>
        <v>20378695.776400864</v>
      </c>
      <c r="I38" s="33">
        <f t="shared" si="6"/>
        <v>22467512.09348195</v>
      </c>
      <c r="J38" s="33">
        <f t="shared" si="6"/>
        <v>24770432.083063848</v>
      </c>
      <c r="K38" s="33">
        <f t="shared" si="6"/>
        <v>27309401.371577889</v>
      </c>
      <c r="L38" s="33">
        <f t="shared" si="6"/>
        <v>30108615.012164623</v>
      </c>
      <c r="M38" s="33">
        <f t="shared" si="6"/>
        <v>33194748.050911497</v>
      </c>
    </row>
    <row r="39" spans="3:13" ht="16.5" thickTop="1" thickBot="1" x14ac:dyDescent="0.3">
      <c r="C39" s="62" t="str">
        <f>C22</f>
        <v>Costo de mano de obra</v>
      </c>
      <c r="D39" s="35">
        <f>D22</f>
        <v>1000000</v>
      </c>
      <c r="E39" s="35">
        <f t="shared" ref="E39:M39" si="7">E22</f>
        <v>1134000</v>
      </c>
      <c r="F39" s="35">
        <f t="shared" si="7"/>
        <v>1285956</v>
      </c>
      <c r="G39" s="35">
        <f t="shared" si="7"/>
        <v>1458274.1040000001</v>
      </c>
      <c r="H39" s="35">
        <f t="shared" si="7"/>
        <v>1653682.8339359998</v>
      </c>
      <c r="I39" s="35">
        <f t="shared" si="7"/>
        <v>1836660.0959999999</v>
      </c>
      <c r="J39" s="35">
        <f t="shared" si="7"/>
        <v>1983592.90368</v>
      </c>
      <c r="K39" s="35">
        <f t="shared" si="7"/>
        <v>2142280.3359743999</v>
      </c>
      <c r="L39" s="35">
        <f t="shared" si="7"/>
        <v>2313662.7628523516</v>
      </c>
      <c r="M39" s="35">
        <f t="shared" si="7"/>
        <v>2498755.7838805397</v>
      </c>
    </row>
    <row r="40" spans="3:13" ht="16.5" thickTop="1" thickBot="1" x14ac:dyDescent="0.3">
      <c r="C40" s="62" t="str">
        <f t="shared" ref="C40:D45" si="8">C23</f>
        <v>Costo de materia prima</v>
      </c>
      <c r="D40" s="35">
        <f t="shared" si="8"/>
        <v>4000000</v>
      </c>
      <c r="E40" s="35">
        <f t="shared" ref="E40:M40" si="9">E23</f>
        <v>4536000</v>
      </c>
      <c r="F40" s="35">
        <f t="shared" si="9"/>
        <v>5143824</v>
      </c>
      <c r="G40" s="35">
        <f t="shared" si="9"/>
        <v>5833096.4160000002</v>
      </c>
      <c r="H40" s="35">
        <f t="shared" si="9"/>
        <v>6614731.335744001</v>
      </c>
      <c r="I40" s="35">
        <f t="shared" si="9"/>
        <v>7346640.3839999996</v>
      </c>
      <c r="J40" s="35">
        <f t="shared" si="9"/>
        <v>7934371.61472</v>
      </c>
      <c r="K40" s="35">
        <f t="shared" si="9"/>
        <v>8569121.3438976016</v>
      </c>
      <c r="L40" s="35">
        <f t="shared" si="9"/>
        <v>9254651.0514094085</v>
      </c>
      <c r="M40" s="35">
        <f t="shared" si="9"/>
        <v>9995023.1355221607</v>
      </c>
    </row>
    <row r="41" spans="3:13" ht="16.5" thickTop="1" thickBot="1" x14ac:dyDescent="0.3">
      <c r="C41" s="62" t="str">
        <f t="shared" si="8"/>
        <v>Costo de materiales</v>
      </c>
      <c r="D41" s="35">
        <f t="shared" si="8"/>
        <v>1000000</v>
      </c>
      <c r="E41" s="35">
        <f t="shared" ref="E41:M41" si="10">E24</f>
        <v>1134000</v>
      </c>
      <c r="F41" s="35">
        <f t="shared" si="10"/>
        <v>1285956</v>
      </c>
      <c r="G41" s="35">
        <f t="shared" si="10"/>
        <v>1458274.1040000001</v>
      </c>
      <c r="H41" s="35">
        <f t="shared" si="10"/>
        <v>1653682.8339359998</v>
      </c>
      <c r="I41" s="35">
        <f t="shared" si="10"/>
        <v>1836660.0959999999</v>
      </c>
      <c r="J41" s="35">
        <f t="shared" si="10"/>
        <v>1983592.90368</v>
      </c>
      <c r="K41" s="35">
        <f t="shared" si="10"/>
        <v>2142280.3359743999</v>
      </c>
      <c r="L41" s="35">
        <f t="shared" si="10"/>
        <v>2313662.7628523516</v>
      </c>
      <c r="M41" s="35">
        <f t="shared" si="10"/>
        <v>2498755.7838805397</v>
      </c>
    </row>
    <row r="42" spans="3:13" ht="16.5" thickTop="1" thickBot="1" x14ac:dyDescent="0.3">
      <c r="C42" s="62" t="str">
        <f t="shared" si="8"/>
        <v>Costo de mantenimiento</v>
      </c>
      <c r="D42" s="35">
        <f t="shared" si="8"/>
        <v>150000</v>
      </c>
      <c r="E42" s="35">
        <f t="shared" ref="E42:M42" si="11">E25</f>
        <v>162000</v>
      </c>
      <c r="F42" s="35">
        <f t="shared" si="11"/>
        <v>174960</v>
      </c>
      <c r="G42" s="35">
        <f t="shared" si="11"/>
        <v>188956.79999999999</v>
      </c>
      <c r="H42" s="35">
        <f t="shared" si="11"/>
        <v>204073.34399999998</v>
      </c>
      <c r="I42" s="35">
        <f t="shared" si="11"/>
        <v>220399.21151999998</v>
      </c>
      <c r="J42" s="35">
        <f t="shared" si="11"/>
        <v>238031.14844159997</v>
      </c>
      <c r="K42" s="35">
        <f t="shared" si="11"/>
        <v>257073.64031692798</v>
      </c>
      <c r="L42" s="35">
        <f t="shared" si="11"/>
        <v>277639.5315422822</v>
      </c>
      <c r="M42" s="35">
        <f t="shared" si="11"/>
        <v>299850.69406566478</v>
      </c>
    </row>
    <row r="43" spans="3:13" ht="16.5" thickTop="1" thickBot="1" x14ac:dyDescent="0.3">
      <c r="C43" s="62" t="str">
        <f t="shared" si="8"/>
        <v>Costo de maquila</v>
      </c>
      <c r="D43" s="35">
        <f t="shared" si="8"/>
        <v>0</v>
      </c>
      <c r="E43" s="35">
        <f t="shared" ref="E43:M43" si="12">E26</f>
        <v>0</v>
      </c>
      <c r="F43" s="35">
        <f t="shared" si="12"/>
        <v>0</v>
      </c>
      <c r="G43" s="35">
        <f t="shared" si="12"/>
        <v>0</v>
      </c>
      <c r="H43" s="35">
        <f t="shared" si="12"/>
        <v>0</v>
      </c>
      <c r="I43" s="35">
        <f t="shared" si="12"/>
        <v>210252.49999999942</v>
      </c>
      <c r="J43" s="35">
        <f t="shared" si="12"/>
        <v>720765.12499999953</v>
      </c>
      <c r="K43" s="35">
        <f t="shared" si="12"/>
        <v>1256803.3812499999</v>
      </c>
      <c r="L43" s="35">
        <f t="shared" si="12"/>
        <v>1819643.5503125002</v>
      </c>
      <c r="M43" s="35">
        <f t="shared" si="12"/>
        <v>2410625.727828125</v>
      </c>
    </row>
    <row r="44" spans="3:13" ht="16.5" thickTop="1" thickBot="1" x14ac:dyDescent="0.3">
      <c r="C44" s="62" t="str">
        <f t="shared" si="8"/>
        <v>Depreciación de maquinaria</v>
      </c>
      <c r="D44" s="35">
        <f t="shared" si="8"/>
        <v>180000</v>
      </c>
      <c r="E44" s="35">
        <f t="shared" ref="E44:M44" si="13">E27</f>
        <v>180000</v>
      </c>
      <c r="F44" s="35">
        <f t="shared" si="13"/>
        <v>180000</v>
      </c>
      <c r="G44" s="35">
        <f t="shared" si="13"/>
        <v>180000</v>
      </c>
      <c r="H44" s="35">
        <f t="shared" si="13"/>
        <v>180000</v>
      </c>
      <c r="I44" s="35">
        <f t="shared" si="13"/>
        <v>180000</v>
      </c>
      <c r="J44" s="35">
        <f t="shared" si="13"/>
        <v>180000</v>
      </c>
      <c r="K44" s="35">
        <f t="shared" si="13"/>
        <v>180000</v>
      </c>
      <c r="L44" s="35">
        <f t="shared" si="13"/>
        <v>180000</v>
      </c>
      <c r="M44" s="35">
        <f t="shared" si="13"/>
        <v>180000</v>
      </c>
    </row>
    <row r="45" spans="3:13" ht="16.5" thickTop="1" thickBot="1" x14ac:dyDescent="0.3">
      <c r="C45" s="62" t="str">
        <f t="shared" si="8"/>
        <v>Depreciación de infraestructura</v>
      </c>
      <c r="D45" s="35">
        <f t="shared" si="8"/>
        <v>16666.666666666668</v>
      </c>
      <c r="E45" s="35">
        <f t="shared" ref="E45:M45" si="14">E28</f>
        <v>16666.666666666668</v>
      </c>
      <c r="F45" s="35">
        <f t="shared" si="14"/>
        <v>16666.666666666668</v>
      </c>
      <c r="G45" s="35">
        <f t="shared" si="14"/>
        <v>16666.666666666668</v>
      </c>
      <c r="H45" s="35">
        <f t="shared" si="14"/>
        <v>16666.666666666668</v>
      </c>
      <c r="I45" s="35">
        <f t="shared" si="14"/>
        <v>16666.666666666668</v>
      </c>
      <c r="J45" s="35">
        <f t="shared" si="14"/>
        <v>16666.666666666668</v>
      </c>
      <c r="K45" s="35">
        <f t="shared" si="14"/>
        <v>16666.666666666668</v>
      </c>
      <c r="L45" s="35">
        <f t="shared" si="14"/>
        <v>16666.666666666668</v>
      </c>
      <c r="M45" s="35">
        <f t="shared" si="14"/>
        <v>16666.666666666668</v>
      </c>
    </row>
    <row r="46" spans="3:13" ht="16.5" thickTop="1" thickBot="1" x14ac:dyDescent="0.3">
      <c r="C46" s="32" t="s">
        <v>79</v>
      </c>
      <c r="D46" s="33">
        <f t="shared" ref="D46:M46" si="15">SUM(D39:D45)</f>
        <v>6346666.666666667</v>
      </c>
      <c r="E46" s="33">
        <f t="shared" si="15"/>
        <v>7162666.666666667</v>
      </c>
      <c r="F46" s="33">
        <f t="shared" si="15"/>
        <v>8087362.666666667</v>
      </c>
      <c r="G46" s="33">
        <f t="shared" si="15"/>
        <v>9135268.0906666666</v>
      </c>
      <c r="H46" s="33">
        <f t="shared" si="15"/>
        <v>10322837.014282668</v>
      </c>
      <c r="I46" s="33">
        <f t="shared" si="15"/>
        <v>11647278.954186667</v>
      </c>
      <c r="J46" s="33">
        <f t="shared" si="15"/>
        <v>13057020.362188267</v>
      </c>
      <c r="K46" s="33">
        <f t="shared" si="15"/>
        <v>14564225.704079995</v>
      </c>
      <c r="L46" s="33">
        <f t="shared" si="15"/>
        <v>16175926.325635562</v>
      </c>
      <c r="M46" s="33">
        <f t="shared" si="15"/>
        <v>17899677.791843697</v>
      </c>
    </row>
    <row r="47" spans="3:13" ht="16.5" thickTop="1" thickBot="1" x14ac:dyDescent="0.3">
      <c r="C47" s="32" t="s">
        <v>80</v>
      </c>
      <c r="D47" s="33">
        <f t="shared" ref="D47:M47" si="16">D38-D46</f>
        <v>7446436.7816091953</v>
      </c>
      <c r="E47" s="33">
        <f t="shared" si="16"/>
        <v>8044229.8850574726</v>
      </c>
      <c r="F47" s="33">
        <f t="shared" si="16"/>
        <v>8678240.7816091962</v>
      </c>
      <c r="G47" s="33">
        <f t="shared" si="16"/>
        <v>9348809.711057473</v>
      </c>
      <c r="H47" s="33">
        <f t="shared" si="16"/>
        <v>10055858.762118196</v>
      </c>
      <c r="I47" s="33">
        <f t="shared" si="16"/>
        <v>10820233.139295284</v>
      </c>
      <c r="J47" s="33">
        <f t="shared" si="16"/>
        <v>11713411.720875582</v>
      </c>
      <c r="K47" s="33">
        <f t="shared" si="16"/>
        <v>12745175.667497894</v>
      </c>
      <c r="L47" s="33">
        <f t="shared" si="16"/>
        <v>13932688.686529061</v>
      </c>
      <c r="M47" s="33">
        <f t="shared" si="16"/>
        <v>15295070.2590678</v>
      </c>
    </row>
    <row r="48" spans="3:13" ht="16.5" thickTop="1" thickBot="1" x14ac:dyDescent="0.3">
      <c r="C48" s="62" t="str">
        <f>C29</f>
        <v>Gastos de venta</v>
      </c>
      <c r="D48" s="35">
        <f>D29</f>
        <v>4000000</v>
      </c>
      <c r="E48" s="35">
        <f t="shared" ref="E48:M48" si="17">E29</f>
        <v>4410000</v>
      </c>
      <c r="F48" s="35">
        <f t="shared" si="17"/>
        <v>4862025</v>
      </c>
      <c r="G48" s="35">
        <f t="shared" si="17"/>
        <v>5360382.5625</v>
      </c>
      <c r="H48" s="35">
        <f t="shared" si="17"/>
        <v>5909821.7751562502</v>
      </c>
      <c r="I48" s="35">
        <f t="shared" si="17"/>
        <v>6515578.507109765</v>
      </c>
      <c r="J48" s="35">
        <f t="shared" si="17"/>
        <v>7183425.3040885152</v>
      </c>
      <c r="K48" s="35">
        <f t="shared" si="17"/>
        <v>7919726.397757587</v>
      </c>
      <c r="L48" s="35">
        <f t="shared" si="17"/>
        <v>8731498.3535277396</v>
      </c>
      <c r="M48" s="35">
        <f t="shared" si="17"/>
        <v>9626476.9347643331</v>
      </c>
    </row>
    <row r="49" spans="3:13" ht="16.5" thickTop="1" thickBot="1" x14ac:dyDescent="0.3">
      <c r="C49" s="62" t="str">
        <f>C30</f>
        <v>Gastos administrativos</v>
      </c>
      <c r="D49" s="35">
        <f>D30</f>
        <v>2000000</v>
      </c>
      <c r="E49" s="35">
        <f t="shared" ref="E49:M49" si="18">E30</f>
        <v>2205000</v>
      </c>
      <c r="F49" s="35">
        <f t="shared" si="18"/>
        <v>2431012.5</v>
      </c>
      <c r="G49" s="35">
        <f t="shared" si="18"/>
        <v>2680191.28125</v>
      </c>
      <c r="H49" s="35">
        <f t="shared" si="18"/>
        <v>2954910.8875781251</v>
      </c>
      <c r="I49" s="35">
        <f t="shared" si="18"/>
        <v>3257789.2535548825</v>
      </c>
      <c r="J49" s="35">
        <f t="shared" si="18"/>
        <v>3591712.6520442576</v>
      </c>
      <c r="K49" s="35">
        <f t="shared" si="18"/>
        <v>3959863.1988787935</v>
      </c>
      <c r="L49" s="35">
        <f t="shared" si="18"/>
        <v>4365749.1767638698</v>
      </c>
      <c r="M49" s="35">
        <f t="shared" si="18"/>
        <v>4813238.4673821665</v>
      </c>
    </row>
    <row r="50" spans="3:13" ht="16.5" thickTop="1" thickBot="1" x14ac:dyDescent="0.3">
      <c r="C50" s="63" t="s">
        <v>81</v>
      </c>
      <c r="D50" s="31">
        <f t="shared" ref="D50:M50" si="19">SUM(D48:D49)</f>
        <v>6000000</v>
      </c>
      <c r="E50" s="31">
        <f t="shared" si="19"/>
        <v>6615000</v>
      </c>
      <c r="F50" s="31">
        <f t="shared" si="19"/>
        <v>7293037.5</v>
      </c>
      <c r="G50" s="31">
        <f t="shared" si="19"/>
        <v>8040573.84375</v>
      </c>
      <c r="H50" s="31">
        <f t="shared" si="19"/>
        <v>8864732.6627343744</v>
      </c>
      <c r="I50" s="31">
        <f t="shared" si="19"/>
        <v>9773367.7606646474</v>
      </c>
      <c r="J50" s="31">
        <f t="shared" si="19"/>
        <v>10775137.956132773</v>
      </c>
      <c r="K50" s="31">
        <f t="shared" si="19"/>
        <v>11879589.596636381</v>
      </c>
      <c r="L50" s="31">
        <f t="shared" si="19"/>
        <v>13097247.530291609</v>
      </c>
      <c r="M50" s="31">
        <f t="shared" si="19"/>
        <v>14439715.4021465</v>
      </c>
    </row>
    <row r="51" spans="3:13" ht="16.5" thickTop="1" thickBot="1" x14ac:dyDescent="0.3">
      <c r="C51" s="32" t="s">
        <v>82</v>
      </c>
      <c r="D51" s="33">
        <f t="shared" ref="D51:M51" si="20">D47-D50</f>
        <v>1446436.7816091953</v>
      </c>
      <c r="E51" s="33">
        <f t="shared" si="20"/>
        <v>1429229.8850574726</v>
      </c>
      <c r="F51" s="33">
        <f t="shared" si="20"/>
        <v>1385203.2816091962</v>
      </c>
      <c r="G51" s="33">
        <f t="shared" si="20"/>
        <v>1308235.867307473</v>
      </c>
      <c r="H51" s="33">
        <f t="shared" si="20"/>
        <v>1191126.0993838217</v>
      </c>
      <c r="I51" s="33">
        <f t="shared" si="20"/>
        <v>1046865.3786306363</v>
      </c>
      <c r="J51" s="33">
        <f t="shared" si="20"/>
        <v>938273.76474280842</v>
      </c>
      <c r="K51" s="33">
        <f t="shared" si="20"/>
        <v>865586.0708615128</v>
      </c>
      <c r="L51" s="33">
        <f t="shared" si="20"/>
        <v>835441.15623745136</v>
      </c>
      <c r="M51" s="33">
        <f t="shared" si="20"/>
        <v>855354.85692130029</v>
      </c>
    </row>
    <row r="52" spans="3:13" ht="16.5" thickTop="1" thickBot="1" x14ac:dyDescent="0.3">
      <c r="C52" s="62" t="str">
        <f>C31</f>
        <v>Impuestos</v>
      </c>
      <c r="D52" s="35">
        <f>D31</f>
        <v>506252.87356321834</v>
      </c>
      <c r="E52" s="35">
        <f t="shared" ref="E52:M52" si="21">E31</f>
        <v>500230.45977011538</v>
      </c>
      <c r="F52" s="35">
        <f t="shared" si="21"/>
        <v>484821.14856321865</v>
      </c>
      <c r="G52" s="35">
        <f t="shared" si="21"/>
        <v>457882.55355761549</v>
      </c>
      <c r="H52" s="35">
        <f t="shared" si="21"/>
        <v>416894.1347843376</v>
      </c>
      <c r="I52" s="35">
        <f t="shared" si="21"/>
        <v>314059.61358919088</v>
      </c>
      <c r="J52" s="35">
        <f t="shared" si="21"/>
        <v>281482.12942284264</v>
      </c>
      <c r="K52" s="35">
        <f t="shared" si="21"/>
        <v>259675.82125845397</v>
      </c>
      <c r="L52" s="35">
        <f t="shared" si="21"/>
        <v>250632.34687123541</v>
      </c>
      <c r="M52" s="35">
        <f t="shared" si="21"/>
        <v>256606.45707639007</v>
      </c>
    </row>
    <row r="53" spans="3:13" ht="16.5" thickTop="1" thickBot="1" x14ac:dyDescent="0.3">
      <c r="C53" s="32" t="s">
        <v>83</v>
      </c>
      <c r="D53" s="34">
        <f>D51-D52</f>
        <v>940183.90804597689</v>
      </c>
      <c r="E53" s="34">
        <f>E51-E52</f>
        <v>928999.4252873573</v>
      </c>
      <c r="F53" s="34">
        <f t="shared" ref="F53:M53" si="22">F51-F52</f>
        <v>900382.13304597756</v>
      </c>
      <c r="G53" s="34">
        <f t="shared" si="22"/>
        <v>850353.31374985748</v>
      </c>
      <c r="H53" s="34">
        <f t="shared" si="22"/>
        <v>774231.96459948411</v>
      </c>
      <c r="I53" s="34">
        <f>I51-I52</f>
        <v>732805.76504144538</v>
      </c>
      <c r="J53" s="34">
        <f t="shared" si="22"/>
        <v>656791.63531996578</v>
      </c>
      <c r="K53" s="34">
        <f t="shared" si="22"/>
        <v>605910.24960305879</v>
      </c>
      <c r="L53" s="34">
        <f t="shared" si="22"/>
        <v>584808.80936621595</v>
      </c>
      <c r="M53" s="34">
        <f t="shared" si="22"/>
        <v>598748.39984491025</v>
      </c>
    </row>
    <row r="54" spans="3:13" ht="16.5" thickTop="1" thickBot="1" x14ac:dyDescent="0.3"/>
    <row r="55" spans="3:13" ht="17.25" thickTop="1" thickBot="1" x14ac:dyDescent="0.3">
      <c r="C55" s="88" t="s">
        <v>84</v>
      </c>
      <c r="D55" s="88"/>
      <c r="E55" s="88"/>
      <c r="F55" s="88"/>
      <c r="G55" s="88"/>
      <c r="H55" s="88"/>
      <c r="I55" s="88"/>
      <c r="J55" s="88"/>
      <c r="K55" s="88"/>
      <c r="L55" s="88"/>
      <c r="M55" s="88"/>
    </row>
    <row r="56" spans="3:13" ht="16.5" thickTop="1" thickBot="1" x14ac:dyDescent="0.3">
      <c r="C56" s="64"/>
      <c r="D56" s="66">
        <v>1</v>
      </c>
      <c r="E56" s="67">
        <v>2</v>
      </c>
      <c r="F56" s="67">
        <v>3</v>
      </c>
      <c r="G56" s="67">
        <v>4</v>
      </c>
      <c r="H56" s="67">
        <v>5</v>
      </c>
      <c r="I56" s="67">
        <v>6</v>
      </c>
      <c r="J56" s="67">
        <v>7</v>
      </c>
      <c r="K56" s="67">
        <v>8</v>
      </c>
      <c r="L56" s="67">
        <v>9</v>
      </c>
      <c r="M56" s="67">
        <v>10</v>
      </c>
    </row>
    <row r="57" spans="3:13" ht="16.5" thickTop="1" thickBot="1" x14ac:dyDescent="0.3">
      <c r="C57" s="76" t="str">
        <f>C53</f>
        <v>UTILIDAD DEL EJERCICIO</v>
      </c>
      <c r="D57" s="35">
        <f>D53</f>
        <v>940183.90804597689</v>
      </c>
      <c r="E57" s="35">
        <f t="shared" ref="E57:M57" si="23">E53</f>
        <v>928999.4252873573</v>
      </c>
      <c r="F57" s="35">
        <f t="shared" si="23"/>
        <v>900382.13304597756</v>
      </c>
      <c r="G57" s="35">
        <f t="shared" si="23"/>
        <v>850353.31374985748</v>
      </c>
      <c r="H57" s="35">
        <f t="shared" si="23"/>
        <v>774231.96459948411</v>
      </c>
      <c r="I57" s="35">
        <f t="shared" si="23"/>
        <v>732805.76504144538</v>
      </c>
      <c r="J57" s="35">
        <f t="shared" si="23"/>
        <v>656791.63531996578</v>
      </c>
      <c r="K57" s="35">
        <f t="shared" si="23"/>
        <v>605910.24960305879</v>
      </c>
      <c r="L57" s="35">
        <f t="shared" si="23"/>
        <v>584808.80936621595</v>
      </c>
      <c r="M57" s="35">
        <f t="shared" si="23"/>
        <v>598748.39984491025</v>
      </c>
    </row>
    <row r="58" spans="3:13" ht="16.5" thickTop="1" thickBot="1" x14ac:dyDescent="0.3">
      <c r="C58" s="65" t="s">
        <v>85</v>
      </c>
      <c r="D58" s="35">
        <f>SUM(D27:D28)</f>
        <v>196666.66666666666</v>
      </c>
      <c r="E58" s="35">
        <f t="shared" ref="E58:M58" si="24">SUM(E27:E28)</f>
        <v>196666.66666666666</v>
      </c>
      <c r="F58" s="35">
        <f t="shared" si="24"/>
        <v>196666.66666666666</v>
      </c>
      <c r="G58" s="35">
        <f t="shared" si="24"/>
        <v>196666.66666666666</v>
      </c>
      <c r="H58" s="35">
        <f t="shared" si="24"/>
        <v>196666.66666666666</v>
      </c>
      <c r="I58" s="35">
        <f t="shared" si="24"/>
        <v>196666.66666666666</v>
      </c>
      <c r="J58" s="35">
        <f t="shared" si="24"/>
        <v>196666.66666666666</v>
      </c>
      <c r="K58" s="35">
        <f t="shared" si="24"/>
        <v>196666.66666666666</v>
      </c>
      <c r="L58" s="35">
        <f t="shared" si="24"/>
        <v>196666.66666666666</v>
      </c>
      <c r="M58" s="35">
        <f t="shared" si="24"/>
        <v>196666.66666666666</v>
      </c>
    </row>
    <row r="59" spans="3:13" ht="16.5" thickTop="1" thickBot="1" x14ac:dyDescent="0.3">
      <c r="C59" s="63" t="s">
        <v>86</v>
      </c>
      <c r="D59" s="31"/>
      <c r="E59" s="31"/>
      <c r="F59" s="31"/>
      <c r="G59" s="31"/>
      <c r="H59" s="31"/>
      <c r="I59" s="35">
        <v>900000</v>
      </c>
      <c r="J59" s="31"/>
      <c r="K59" s="31"/>
      <c r="L59" s="31"/>
      <c r="M59" s="31"/>
    </row>
    <row r="60" spans="3:13" ht="16.5" thickTop="1" thickBot="1" x14ac:dyDescent="0.3">
      <c r="C60" s="32" t="s">
        <v>87</v>
      </c>
      <c r="D60" s="33">
        <f>SUM(D57:D59)</f>
        <v>1136850.5747126436</v>
      </c>
      <c r="E60" s="33">
        <f t="shared" ref="E60:M60" si="25">SUM(E57:E59)</f>
        <v>1125666.091954024</v>
      </c>
      <c r="F60" s="33">
        <f t="shared" si="25"/>
        <v>1097048.7997126442</v>
      </c>
      <c r="G60" s="33">
        <f t="shared" si="25"/>
        <v>1047019.9804165241</v>
      </c>
      <c r="H60" s="33">
        <f t="shared" si="25"/>
        <v>970898.63126615074</v>
      </c>
      <c r="I60" s="33">
        <f>SUM(I57:I58)-I59</f>
        <v>29472.43170811201</v>
      </c>
      <c r="J60" s="33">
        <f t="shared" si="25"/>
        <v>853458.3019866324</v>
      </c>
      <c r="K60" s="33">
        <f t="shared" si="25"/>
        <v>802576.91626972542</v>
      </c>
      <c r="L60" s="33">
        <f t="shared" si="25"/>
        <v>781475.47603288258</v>
      </c>
      <c r="M60" s="33">
        <f t="shared" si="25"/>
        <v>795415.06651157688</v>
      </c>
    </row>
    <row r="61" spans="3:13" ht="16.5" thickTop="1" thickBot="1" x14ac:dyDescent="0.3"/>
    <row r="62" spans="3:13" ht="17.25" thickTop="1" thickBot="1" x14ac:dyDescent="0.3">
      <c r="C62" s="88" t="s">
        <v>88</v>
      </c>
      <c r="D62" s="88"/>
      <c r="E62" s="88"/>
      <c r="F62" s="88"/>
      <c r="G62" s="88"/>
      <c r="H62" s="88"/>
      <c r="I62" s="88"/>
      <c r="J62" s="88"/>
      <c r="K62" s="88"/>
      <c r="L62" s="88"/>
      <c r="M62" s="88"/>
    </row>
    <row r="63" spans="3:13" ht="16.5" thickTop="1" thickBot="1" x14ac:dyDescent="0.3">
      <c r="C63" s="75" t="s">
        <v>60</v>
      </c>
      <c r="D63" s="66">
        <v>1</v>
      </c>
      <c r="E63" s="67">
        <v>2</v>
      </c>
      <c r="F63" s="67">
        <v>3</v>
      </c>
      <c r="G63" s="67">
        <v>4</v>
      </c>
      <c r="H63" s="67">
        <v>5</v>
      </c>
      <c r="I63" s="67">
        <v>6</v>
      </c>
      <c r="J63" s="67">
        <v>7</v>
      </c>
      <c r="K63" s="67">
        <v>8</v>
      </c>
      <c r="L63" s="67">
        <v>9</v>
      </c>
      <c r="M63" s="67">
        <v>10</v>
      </c>
    </row>
    <row r="64" spans="3:13" ht="16.5" thickTop="1" thickBot="1" x14ac:dyDescent="0.3">
      <c r="C64" s="76" t="s">
        <v>89</v>
      </c>
      <c r="D64" s="35"/>
      <c r="E64" s="35">
        <f>SUM($D60:E60)</f>
        <v>2262516.6666666679</v>
      </c>
      <c r="F64" s="35">
        <f>SUM($D60:F60)</f>
        <v>3359565.4663793119</v>
      </c>
      <c r="G64" s="35">
        <f>SUM($D60:G60)</f>
        <v>4406585.4467958361</v>
      </c>
      <c r="H64" s="35">
        <f>SUM($D60:H60)</f>
        <v>5377484.0780619867</v>
      </c>
      <c r="I64" s="35">
        <f>SUM($D60:I60)</f>
        <v>5406956.5097700991</v>
      </c>
      <c r="J64" s="35">
        <f>SUM($D60:J60)</f>
        <v>6260414.8117567319</v>
      </c>
      <c r="K64" s="35">
        <f>SUM($D60:K60)</f>
        <v>7062991.7280264571</v>
      </c>
      <c r="L64" s="35">
        <f>SUM($D60:L60)</f>
        <v>7844467.2040593401</v>
      </c>
      <c r="M64" s="35">
        <f>SUM($D60:M60)</f>
        <v>8639882.2705709171</v>
      </c>
    </row>
    <row r="65" spans="3:13" ht="16.5" thickTop="1" thickBot="1" x14ac:dyDescent="0.3">
      <c r="C65" s="65" t="s">
        <v>90</v>
      </c>
      <c r="D65" s="35">
        <f>F8</f>
        <v>1800000</v>
      </c>
      <c r="E65" s="21"/>
      <c r="F65" s="21"/>
      <c r="G65" s="21"/>
      <c r="H65" s="21"/>
      <c r="I65" s="21"/>
      <c r="J65" s="21"/>
      <c r="K65" s="21"/>
      <c r="L65" s="21"/>
      <c r="M65" s="21"/>
    </row>
    <row r="66" spans="3:13" ht="16.5" thickTop="1" thickBot="1" x14ac:dyDescent="0.3">
      <c r="C66" s="32" t="s">
        <v>91</v>
      </c>
      <c r="D66" s="54">
        <v>0.45</v>
      </c>
      <c r="E66" s="21"/>
      <c r="F66" s="21"/>
      <c r="G66" s="21"/>
      <c r="H66" s="21"/>
      <c r="I66" s="21"/>
      <c r="J66" s="21"/>
      <c r="K66" s="21"/>
      <c r="L66" s="21"/>
      <c r="M66" s="21"/>
    </row>
    <row r="67" spans="3:13" ht="16.5" thickTop="1" thickBot="1" x14ac:dyDescent="0.3"/>
    <row r="68" spans="3:13" ht="17.25" thickTop="1" thickBot="1" x14ac:dyDescent="0.3">
      <c r="C68" s="91" t="s">
        <v>92</v>
      </c>
      <c r="D68" s="91"/>
      <c r="E68" s="91"/>
      <c r="F68" s="91"/>
      <c r="G68" s="91"/>
      <c r="H68" s="91"/>
      <c r="I68" s="91"/>
      <c r="J68" s="91"/>
      <c r="K68" s="91"/>
      <c r="L68" s="91"/>
      <c r="M68" s="91"/>
    </row>
    <row r="69" spans="3:13" ht="16.5" thickTop="1" thickBot="1" x14ac:dyDescent="0.3">
      <c r="C69" s="75" t="s">
        <v>60</v>
      </c>
      <c r="D69" s="66">
        <v>1</v>
      </c>
      <c r="E69" s="67">
        <v>2</v>
      </c>
      <c r="F69" s="67">
        <v>3</v>
      </c>
      <c r="G69" s="67">
        <v>4</v>
      </c>
      <c r="H69" s="67">
        <v>5</v>
      </c>
      <c r="I69" s="67">
        <v>6</v>
      </c>
      <c r="J69" s="67">
        <v>7</v>
      </c>
      <c r="K69" s="67">
        <v>8</v>
      </c>
      <c r="L69" s="67">
        <v>9</v>
      </c>
      <c r="M69" s="67">
        <v>10</v>
      </c>
    </row>
    <row r="70" spans="3:13" ht="16.5" thickTop="1" thickBot="1" x14ac:dyDescent="0.3">
      <c r="C70" s="76" t="s">
        <v>93</v>
      </c>
      <c r="D70" s="35">
        <f>D60</f>
        <v>1136850.5747126436</v>
      </c>
      <c r="E70" s="35">
        <f t="shared" ref="E70:M70" si="26">E60</f>
        <v>1125666.091954024</v>
      </c>
      <c r="F70" s="35">
        <f t="shared" si="26"/>
        <v>1097048.7997126442</v>
      </c>
      <c r="G70" s="35">
        <f t="shared" si="26"/>
        <v>1047019.9804165241</v>
      </c>
      <c r="H70" s="35">
        <f t="shared" si="26"/>
        <v>970898.63126615074</v>
      </c>
      <c r="I70" s="35">
        <f t="shared" si="26"/>
        <v>29472.43170811201</v>
      </c>
      <c r="J70" s="35">
        <f t="shared" si="26"/>
        <v>853458.3019866324</v>
      </c>
      <c r="K70" s="35">
        <f t="shared" si="26"/>
        <v>802576.91626972542</v>
      </c>
      <c r="L70" s="35">
        <f t="shared" si="26"/>
        <v>781475.47603288258</v>
      </c>
      <c r="M70" s="35">
        <f t="shared" si="26"/>
        <v>795415.06651157688</v>
      </c>
    </row>
    <row r="71" spans="3:13" ht="16.5" thickTop="1" thickBot="1" x14ac:dyDescent="0.3">
      <c r="C71" s="65" t="s">
        <v>94</v>
      </c>
      <c r="D71" s="35" t="s">
        <v>96</v>
      </c>
      <c r="E71" s="35">
        <f>E64</f>
        <v>2262516.6666666679</v>
      </c>
      <c r="F71" s="35">
        <f t="shared" ref="F71:M71" si="27">F64</f>
        <v>3359565.4663793119</v>
      </c>
      <c r="G71" s="35">
        <f t="shared" si="27"/>
        <v>4406585.4467958361</v>
      </c>
      <c r="H71" s="35">
        <f t="shared" si="27"/>
        <v>5377484.0780619867</v>
      </c>
      <c r="I71" s="35">
        <f t="shared" si="27"/>
        <v>5406956.5097700991</v>
      </c>
      <c r="J71" s="35">
        <f t="shared" si="27"/>
        <v>6260414.8117567319</v>
      </c>
      <c r="K71" s="35">
        <f t="shared" si="27"/>
        <v>7062991.7280264571</v>
      </c>
      <c r="L71" s="35">
        <f t="shared" si="27"/>
        <v>7844467.2040593401</v>
      </c>
      <c r="M71" s="35">
        <f t="shared" si="27"/>
        <v>8639882.2705709171</v>
      </c>
    </row>
    <row r="72" spans="3:13" ht="16.5" thickTop="1" thickBot="1" x14ac:dyDescent="0.3">
      <c r="C72" s="32" t="s">
        <v>95</v>
      </c>
      <c r="D72" s="33"/>
      <c r="E72" s="77">
        <f>D69+(F8-D70)/E71</f>
        <v>1.2931025592241778</v>
      </c>
      <c r="F72" s="33"/>
      <c r="G72" s="33"/>
      <c r="H72" s="33"/>
      <c r="I72" s="33"/>
      <c r="J72" s="33"/>
      <c r="K72" s="33"/>
      <c r="L72" s="33"/>
      <c r="M72" s="33"/>
    </row>
    <row r="73" spans="3:13" ht="15.75" thickTop="1" x14ac:dyDescent="0.25"/>
  </sheetData>
  <mergeCells count="15">
    <mergeCell ref="C3:M3"/>
    <mergeCell ref="C4:C8"/>
    <mergeCell ref="D4:E4"/>
    <mergeCell ref="D5:E5"/>
    <mergeCell ref="D6:E6"/>
    <mergeCell ref="D7:E7"/>
    <mergeCell ref="D8:E8"/>
    <mergeCell ref="C34:M34"/>
    <mergeCell ref="C55:M55"/>
    <mergeCell ref="C62:M62"/>
    <mergeCell ref="C68:M68"/>
    <mergeCell ref="C9:M9"/>
    <mergeCell ref="D13:M13"/>
    <mergeCell ref="D15:M15"/>
    <mergeCell ref="C20:M20"/>
  </mergeCell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D A A B Q S w M E F A A C A A g A m E W / U g I M S V e j A A A A 9 Q A A A B I A H A B D b 2 5 m a W c v U G F j a 2 F n Z S 5 4 b W w g o h g A K K A U A A A A A A A A A A A A A A A A A A A A A A A A A A A A h Y 8 x D o I w G I W v Q r r T l u K g 5 K c M r p K Y E I 1 r U y o 0 Q j G 0 W O 7 m 4 J G 8 g h h F 3 R z f 9 7 7 h v f v 1 B t n Y N s F F 9 V Z 3 J k U R p i h Q R n a l N l W K B n c M l y j j s B X y J C o V T L K x y W j L F N X O n R N C v P f Y x 7 j r K 8 I o j c g h 3 x S y V q 1 A H 1 n / l 0 N t r B N G K s R h / x r D G V 7 F e M E Y p k B m B r k 2 3 5 5 N c 5 / t D 4 T 1 0 L i h V 1 y Z c F c A m S O Q 9 w X + A F B L A w Q U A A I A C A C Y R b 9 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E W / U p W v S M z R A A A A J w E A A B M A H A B G b 3 J t d W x h c y 9 T Z W N 0 a W 9 u M S 5 t I K I Y A C i g F A A A A A A A A A A A A A A A A A A A A A A A A A A A A G 2 O T W v C Q B C G 7 4 H 8 h 2 F 7 S S A I n s W D B A + 9 t K C h P Y i H S R z t 4 u 5 M m N 2 A E v L f u z Y U P D i X g Z f n / Q j U R S s M + / k v V 3 m W Z + E H l U 7 Q Y O t w C W t w F P M M 0 n 2 q v R A n Z X v r y C 3 q Q Z U 4 f o t e W 5 F r U Y 6 H D / S 0 N r P T H K d D L R w T c q z m g D f T 2 F 6 g Q 9 9 a P I l J U Q + W F o 0 i h 7 O o r 8 U N n p t 7 T 6 G Y 6 6 p x N L u h V T E V x K R D p F u c K h j N F z p R e O f O o n V Q p G X J J a H 8 B 5 H v f 1 w i l H y a I b D h A R 1 s Q 0 / 6 6 H 8 C p z L P L L + e u f o F U E s B A i 0 A F A A C A A g A m E W / U g I M S V e j A A A A 9 Q A A A B I A A A A A A A A A A A A A A A A A A A A A A E N v b m Z p Z y 9 Q Y W N r Y W d l L n h t b F B L A Q I t A B Q A A g A I A J h F v 1 I P y u m r p A A A A O k A A A A T A A A A A A A A A A A A A A A A A O 8 A A A B b Q 2 9 u d G V u d F 9 U e X B l c 1 0 u e G 1 s U E s B A i 0 A F A A C A A g A m E W / U p W v S M z R A A A A J w E A A B M A A A A A A A A A A A A A A A A A 4 A E A A E Z v c m 1 1 b G F z L 1 N l Y 3 R p b 2 4 x L m 1 Q S w U G A A A A A A M A A w D C A A A A / 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A k A A A A A A A A e 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h 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S 0 w N S 0 z M V Q x M z o 0 N D o z M y 4 3 O D Y 2 N D Y 5 W i I g L z 4 8 R W 5 0 c n k g V H l w Z T 0 i R m l s b E N v b H V t b l R 5 c G V z I i B W Y W x 1 Z T 0 i c 0 J n Q U E i I C 8 + P E V u d H J 5 I F R 5 c G U 9 I k Z p b G x D b 2 x 1 b W 5 O Y W 1 l c y I g V m F s d W U 9 I n N b J n F 1 b 3 Q 7 U n V i c m 8 m c X V v d D s s J n F 1 b 3 Q 7 V m F s b 3 I g S W 5 j a W F p b C A o Z W 4 g c G V z b 3 M p J n F 1 b 3 Q 7 L C Z x d W 9 0 O 0 l u Y 3 J l b W V u d G 8 g Q W 5 1 Y W w g R X N w Z X J h Z G 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Y T E v Q X V 0 b 1 J l b W 9 2 Z W R D b 2 x 1 b W 5 z M S 5 7 U n V i c m 8 s M H 0 m c X V v d D s s J n F 1 b 3 Q 7 U 2 V j d G l v b j E v V G F i b G E x L 0 F 1 d G 9 S Z W 1 v d m V k Q 2 9 s d W 1 u c z E u e 1 Z h b G 9 y I E l u Y 2 l h a W w g K G V u I H B l c 2 9 z K S w x f S Z x d W 9 0 O y w m c X V v d D t T Z W N 0 a W 9 u M S 9 U Y W J s Y T E v Q X V 0 b 1 J l b W 9 2 Z W R D b 2 x 1 b W 5 z M S 5 7 S W 5 j c m V t Z W 5 0 b y B B b n V h b C B F c 3 B l c m F k b y w y f S Z x d W 9 0 O 1 0 s J n F 1 b 3 Q 7 Q 2 9 s d W 1 u Q 2 9 1 b n Q m c X V v d D s 6 M y w m c X V v d D t L Z X l D b 2 x 1 b W 5 O Y W 1 l c y Z x d W 9 0 O z p b X S w m c X V v d D t D b 2 x 1 b W 5 J Z G V u d G l 0 a W V z J n F 1 b 3 Q 7 O l s m c X V v d D t T Z W N 0 a W 9 u M S 9 U Y W J s Y T E v Q X V 0 b 1 J l b W 9 2 Z W R D b 2 x 1 b W 5 z M S 5 7 U n V i c m 8 s M H 0 m c X V v d D s s J n F 1 b 3 Q 7 U 2 V j d G l v b j E v V G F i b G E x L 0 F 1 d G 9 S Z W 1 v d m V k Q 2 9 s d W 1 u c z E u e 1 Z h b G 9 y I E l u Y 2 l h a W w g K G V u I H B l c 2 9 z K S w x f S Z x d W 9 0 O y w m c X V v d D t T Z W N 0 a W 9 u M S 9 U Y W J s Y T E v Q X V 0 b 1 J l b W 9 2 Z W R D b 2 x 1 b W 5 z M S 5 7 S W 5 j c m V t Z W 5 0 b y B B b n V h b C B F c 3 B l c m F k b y w y f S Z x d W 9 0 O 1 0 s J n F 1 b 3 Q 7 U m V s Y X R p b 2 5 z a G l w S W 5 m b y Z x d W 9 0 O z p b X X 0 i I C 8 + P C 9 T d G F i b G V F b n R y a W V z P j w v S X R l b T 4 8 S X R l b T 4 8 S X R l b U x v Y 2 F 0 a W 9 u P j x J d G V t V H l w Z T 5 G b 3 J t d W x h P C 9 J d G V t V H l w Z T 4 8 S X R l b V B h d G g + U 2 V j d G l v b j E v V G F i b G E x L 0 9 y a W d l b j w v S X R l b V B h d G g + P C 9 J d G V t T G 9 j Y X R p b 2 4 + P F N 0 Y W J s Z U V u d H J p Z X M g L z 4 8 L 0 l 0 Z W 0 + P E l 0 Z W 0 + P E l 0 Z W 1 M b 2 N h d G l v b j 4 8 S X R l b V R 5 c G U + R m 9 y b X V s Y T w v S X R l b V R 5 c G U + P E l 0 Z W 1 Q Y X R o P l N l Y 3 R p b 2 4 x L 1 R h Y m x h M S 9 U a X B v J T I w Y 2 F t Y m l h Z G 8 8 L 0 l 0 Z W 1 Q Y X R o P j w v S X R l b U x v Y 2 F 0 a W 9 u P j x T d G F i b G V F b n R y a W V z I C 8 + P C 9 J d G V t P j w v S X R l b X M + P C 9 M b 2 N h b F B h Y 2 t h Z 2 V N Z X R h Z G F 0 Y U Z p b G U + F g A A A F B L B Q Y A A A A A A A A A A A A A A A A A A A A A A A A m A Q A A A Q A A A N C M n d 8 B F d E R j H o A w E / C l + s B A A A A W P z f F j H 0 Y E e N 5 f X u v A n y q A A A A A A C A A A A A A A Q Z g A A A A E A A C A A A A B t x Q 9 l 5 b P K V 7 a d 1 t c E Q A / 5 v r F h L 4 / Z 1 e w 8 l i 5 P C 1 w P 0 w A A A A A O g A A A A A I A A C A A A A C X E 1 f M e v / 4 2 W I d P S J J i I 5 G R N U l B Y L Z Z t u M 3 w h y P n W 1 S F A A A A C K Z W F u T y P 1 I z H n L 9 K b 0 4 D + O a O F Y T 4 U W r M O x A + a 9 3 M 7 i Y n E 6 P E r e q G + k 4 a 2 + e o j j 5 7 f k w y G J s i l o 9 W 6 D N u W G F 9 f v I s v C B h g 4 9 + Z g e Z V G z 8 D 7 U A A A A D q n s 6 z 6 D P H A l A N 7 b I C i 9 I r s F s E V + m f / L g B l m u K i O M i l P E n w W Q L K / B a 3 1 5 T W j Y V m o m 8 W Q x + I x f y E y 3 W s 4 1 m c j v C < / D a t a M a s h u p > 
</file>

<file path=customXml/itemProps1.xml><?xml version="1.0" encoding="utf-8"?>
<ds:datastoreItem xmlns:ds="http://schemas.openxmlformats.org/officeDocument/2006/customXml" ds:itemID="{3011C166-2D78-4722-AE59-5AAE007976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Portada</vt:lpstr>
      <vt:lpstr>Antescedentes</vt:lpstr>
      <vt:lpstr>Actividad</vt:lpstr>
      <vt:lpstr>DATOS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AYALA</dc:creator>
  <cp:lastModifiedBy>TONY AYALA</cp:lastModifiedBy>
  <dcterms:created xsi:type="dcterms:W3CDTF">2021-03-08T14:10:48Z</dcterms:created>
  <dcterms:modified xsi:type="dcterms:W3CDTF">2021-06-03T21:17:28Z</dcterms:modified>
</cp:coreProperties>
</file>