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TONY AYALA\Desktop\"/>
    </mc:Choice>
  </mc:AlternateContent>
  <xr:revisionPtr revIDLastSave="0" documentId="13_ncr:1_{72B0ACC8-AC81-40B0-BED8-C7F2A06F4E47}" xr6:coauthVersionLast="47" xr6:coauthVersionMax="47" xr10:uidLastSave="{00000000-0000-0000-0000-000000000000}"/>
  <bookViews>
    <workbookView xWindow="-120" yWindow="-120" windowWidth="29040" windowHeight="15990" firstSheet="1" activeTab="5" xr2:uid="{FC4BBEBC-7515-4C5F-827F-9961530B77B9}"/>
  </bookViews>
  <sheets>
    <sheet name="Portada" sheetId="1" r:id="rId1"/>
    <sheet name="Antecedentes" sheetId="8" r:id="rId2"/>
    <sheet name="Datos" sheetId="2" r:id="rId3"/>
    <sheet name="EdoResultados" sheetId="4" r:id="rId4"/>
    <sheet name="FlujoEfec" sheetId="5" r:id="rId5"/>
    <sheet name="BalanceGral" sheetId="6" r:id="rId6"/>
    <sheet name="PuntoEq" sheetId="7" r:id="rId7"/>
    <sheet name="Metodos" sheetId="9" r:id="rId8"/>
    <sheet name="Resultados" sheetId="10" r:id="rId9"/>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9" i="9" l="1"/>
  <c r="C70" i="9"/>
  <c r="C18" i="10"/>
  <c r="C17" i="10"/>
  <c r="C27" i="5"/>
  <c r="C33" i="6"/>
  <c r="C68" i="9"/>
  <c r="D22" i="5"/>
  <c r="E22" i="5"/>
  <c r="F22" i="5"/>
  <c r="G22" i="5"/>
  <c r="H22" i="5"/>
  <c r="I22" i="5"/>
  <c r="J22" i="5"/>
  <c r="K22" i="5"/>
  <c r="L22" i="5"/>
  <c r="C22" i="5"/>
  <c r="C29" i="6"/>
  <c r="C13" i="6"/>
  <c r="C17" i="6"/>
  <c r="C18" i="6"/>
  <c r="D18" i="6"/>
  <c r="E18" i="6"/>
  <c r="F18" i="6"/>
  <c r="C20" i="6"/>
  <c r="D20" i="6"/>
  <c r="E20" i="6"/>
  <c r="F20" i="6"/>
  <c r="G20" i="6"/>
  <c r="H20" i="6"/>
  <c r="I20" i="6"/>
  <c r="J20" i="6"/>
  <c r="K20" i="6"/>
  <c r="L20" i="6"/>
  <c r="M20" i="6"/>
  <c r="C21" i="6"/>
  <c r="K15" i="2"/>
  <c r="K14" i="2"/>
  <c r="D19" i="6"/>
  <c r="E19" i="6"/>
  <c r="F19" i="6"/>
  <c r="G19" i="6"/>
  <c r="H19" i="6"/>
  <c r="I19" i="6"/>
  <c r="J19" i="6"/>
  <c r="K19" i="6"/>
  <c r="L19" i="6"/>
  <c r="M19" i="6"/>
  <c r="D32" i="2"/>
  <c r="D33" i="2"/>
  <c r="D34" i="2"/>
  <c r="D35" i="2"/>
  <c r="D36" i="2"/>
  <c r="D37" i="2"/>
  <c r="D38" i="2"/>
  <c r="D39" i="2"/>
  <c r="D40" i="2"/>
  <c r="D41" i="2"/>
  <c r="H22" i="7"/>
  <c r="E32" i="2"/>
  <c r="G32" i="2"/>
  <c r="G33" i="2"/>
  <c r="G34" i="2"/>
  <c r="G35" i="2"/>
  <c r="G36" i="2"/>
  <c r="G37" i="2"/>
  <c r="G38" i="2"/>
  <c r="G39" i="2"/>
  <c r="G40" i="2"/>
  <c r="G41" i="2"/>
  <c r="I32" i="2"/>
  <c r="I33" i="2"/>
  <c r="I34" i="2"/>
  <c r="I35" i="2"/>
  <c r="I36" i="2"/>
  <c r="I37" i="2"/>
  <c r="I38" i="2"/>
  <c r="I39" i="2"/>
  <c r="I40" i="2"/>
  <c r="I41" i="2"/>
  <c r="K32" i="2"/>
  <c r="M32" i="2"/>
  <c r="N32" i="2"/>
  <c r="N33" i="2"/>
  <c r="N34" i="2"/>
  <c r="N35" i="2"/>
  <c r="N36" i="2"/>
  <c r="N37" i="2"/>
  <c r="N38" i="2"/>
  <c r="N39" i="2"/>
  <c r="N40" i="2"/>
  <c r="N41" i="2"/>
  <c r="P32" i="2"/>
  <c r="P33" i="2"/>
  <c r="P34" i="2"/>
  <c r="P35" i="2"/>
  <c r="P36" i="2"/>
  <c r="P37" i="2"/>
  <c r="P38" i="2"/>
  <c r="P39" i="2"/>
  <c r="P40" i="2"/>
  <c r="P41" i="2"/>
  <c r="K33" i="2"/>
  <c r="K34" i="2"/>
  <c r="K35" i="2"/>
  <c r="K36" i="2"/>
  <c r="K37" i="2"/>
  <c r="K38" i="2"/>
  <c r="K39" i="2"/>
  <c r="K40" i="2"/>
  <c r="K41" i="2"/>
  <c r="H13" i="7"/>
  <c r="H18" i="7"/>
  <c r="H16" i="7"/>
  <c r="H20" i="7"/>
  <c r="H15" i="7"/>
  <c r="H19" i="7"/>
  <c r="H14" i="7"/>
  <c r="G13" i="7"/>
  <c r="D21" i="6"/>
  <c r="I21" i="6"/>
  <c r="M33" i="2"/>
  <c r="M34" i="2"/>
  <c r="M35" i="2"/>
  <c r="M36" i="2"/>
  <c r="M37" i="2"/>
  <c r="M38" i="2"/>
  <c r="M39" i="2"/>
  <c r="M40" i="2"/>
  <c r="M41" i="2"/>
  <c r="E33" i="2"/>
  <c r="H21" i="7"/>
  <c r="H17" i="7"/>
  <c r="Q32" i="2"/>
  <c r="C22" i="4"/>
  <c r="C21" i="5"/>
  <c r="L32" i="2"/>
  <c r="O32" i="2"/>
  <c r="C22" i="6"/>
  <c r="C14" i="6"/>
  <c r="C31" i="6"/>
  <c r="D17" i="6"/>
  <c r="E17" i="6"/>
  <c r="G18" i="6"/>
  <c r="D19" i="4"/>
  <c r="E19" i="4"/>
  <c r="F19" i="4"/>
  <c r="G19" i="4"/>
  <c r="H19" i="4"/>
  <c r="I19" i="4"/>
  <c r="J19" i="4"/>
  <c r="K19" i="4"/>
  <c r="L19" i="4"/>
  <c r="C19" i="4"/>
  <c r="C18" i="4"/>
  <c r="C18" i="5"/>
  <c r="C14" i="4"/>
  <c r="C14" i="10"/>
  <c r="J32" i="2"/>
  <c r="F32" i="2"/>
  <c r="C33" i="2"/>
  <c r="H32" i="2"/>
  <c r="C14" i="5"/>
  <c r="F13" i="7"/>
  <c r="E21" i="6"/>
  <c r="F21" i="6"/>
  <c r="G14" i="7"/>
  <c r="E34" i="2"/>
  <c r="C21" i="4"/>
  <c r="C20" i="5"/>
  <c r="C16" i="4"/>
  <c r="D22" i="6"/>
  <c r="C24" i="6"/>
  <c r="F17" i="6"/>
  <c r="E22" i="6"/>
  <c r="H18" i="6"/>
  <c r="D18" i="4"/>
  <c r="D18" i="5"/>
  <c r="D14" i="4"/>
  <c r="D14" i="10"/>
  <c r="Q33" i="2"/>
  <c r="D22" i="4"/>
  <c r="D21" i="5"/>
  <c r="C17" i="4"/>
  <c r="C17" i="5"/>
  <c r="F33" i="2"/>
  <c r="H33" i="2"/>
  <c r="J33" i="2"/>
  <c r="L33" i="2"/>
  <c r="O33" i="2"/>
  <c r="C34" i="2"/>
  <c r="D14" i="5"/>
  <c r="J21" i="6"/>
  <c r="G15" i="7"/>
  <c r="E35" i="2"/>
  <c r="C20" i="4"/>
  <c r="C23" i="4"/>
  <c r="C25" i="4"/>
  <c r="C26" i="4"/>
  <c r="C23" i="5"/>
  <c r="D21" i="4"/>
  <c r="D20" i="5"/>
  <c r="F14" i="7"/>
  <c r="C15" i="4"/>
  <c r="C16" i="5"/>
  <c r="K21" i="6"/>
  <c r="G21" i="6"/>
  <c r="G17" i="6"/>
  <c r="F22" i="6"/>
  <c r="I18" i="6"/>
  <c r="D16" i="4"/>
  <c r="D15" i="4"/>
  <c r="D16" i="5"/>
  <c r="E18" i="4"/>
  <c r="E18" i="5"/>
  <c r="E14" i="4"/>
  <c r="E14" i="10"/>
  <c r="Q34" i="2"/>
  <c r="E22" i="4"/>
  <c r="E21" i="5"/>
  <c r="D17" i="4"/>
  <c r="F34" i="2"/>
  <c r="H34" i="2"/>
  <c r="J34" i="2"/>
  <c r="L34" i="2"/>
  <c r="O34" i="2"/>
  <c r="C35" i="2"/>
  <c r="C24" i="5"/>
  <c r="C26" i="5"/>
  <c r="C28" i="5"/>
  <c r="C16" i="10"/>
  <c r="D20" i="4"/>
  <c r="D23" i="4"/>
  <c r="D25" i="4"/>
  <c r="D26" i="4"/>
  <c r="D23" i="5"/>
  <c r="D17" i="5"/>
  <c r="E14" i="5"/>
  <c r="E36" i="2"/>
  <c r="G16" i="7"/>
  <c r="C27" i="4"/>
  <c r="J14" i="7"/>
  <c r="D20" i="10"/>
  <c r="I14" i="7"/>
  <c r="D19" i="10"/>
  <c r="E21" i="4"/>
  <c r="E20" i="5"/>
  <c r="F15" i="7"/>
  <c r="L21" i="6"/>
  <c r="H21" i="6"/>
  <c r="M21" i="6"/>
  <c r="H17" i="6"/>
  <c r="G22" i="6"/>
  <c r="J18" i="6"/>
  <c r="F18" i="4"/>
  <c r="F18" i="5"/>
  <c r="F14" i="4"/>
  <c r="F14" i="10"/>
  <c r="Q35" i="2"/>
  <c r="F22" i="4"/>
  <c r="F21" i="5"/>
  <c r="E17" i="4"/>
  <c r="E17" i="5"/>
  <c r="E16" i="4"/>
  <c r="F35" i="2"/>
  <c r="H35" i="2"/>
  <c r="J35" i="2"/>
  <c r="L35" i="2"/>
  <c r="O35" i="2"/>
  <c r="C36" i="2"/>
  <c r="D29" i="6"/>
  <c r="D31" i="6"/>
  <c r="D18" i="10"/>
  <c r="C15" i="10"/>
  <c r="D24" i="5"/>
  <c r="D26" i="5"/>
  <c r="C64" i="9"/>
  <c r="C66" i="9"/>
  <c r="C35" i="9"/>
  <c r="D27" i="5"/>
  <c r="C54" i="9"/>
  <c r="C55" i="9"/>
  <c r="C44" i="9"/>
  <c r="C45" i="9"/>
  <c r="C25" i="9"/>
  <c r="C26" i="9"/>
  <c r="C27" i="9"/>
  <c r="C15" i="9"/>
  <c r="C16" i="9"/>
  <c r="D13" i="6"/>
  <c r="D27" i="4"/>
  <c r="F14" i="5"/>
  <c r="E37" i="2"/>
  <c r="G17" i="7"/>
  <c r="D14" i="6"/>
  <c r="D24" i="6"/>
  <c r="I13" i="7"/>
  <c r="C19" i="10"/>
  <c r="J13" i="7"/>
  <c r="C20" i="10"/>
  <c r="F21" i="4"/>
  <c r="F20" i="5"/>
  <c r="F16" i="7"/>
  <c r="J15" i="7"/>
  <c r="E20" i="10"/>
  <c r="I15" i="7"/>
  <c r="E19" i="10"/>
  <c r="E20" i="4"/>
  <c r="E23" i="4"/>
  <c r="E25" i="4"/>
  <c r="E26" i="4"/>
  <c r="E23" i="5"/>
  <c r="E15" i="4"/>
  <c r="E16" i="5"/>
  <c r="I17" i="6"/>
  <c r="H22" i="6"/>
  <c r="K18" i="6"/>
  <c r="G18" i="4"/>
  <c r="G18" i="5"/>
  <c r="G14" i="4"/>
  <c r="G14" i="10"/>
  <c r="Q36" i="2"/>
  <c r="G22" i="4"/>
  <c r="G21" i="5"/>
  <c r="F17" i="4"/>
  <c r="F17" i="5"/>
  <c r="F16" i="4"/>
  <c r="F36" i="2"/>
  <c r="H36" i="2"/>
  <c r="J36" i="2"/>
  <c r="L36" i="2"/>
  <c r="O36" i="2"/>
  <c r="C37" i="2"/>
  <c r="D33" i="6"/>
  <c r="D17" i="10"/>
  <c r="E29" i="6"/>
  <c r="E31" i="6"/>
  <c r="E18" i="10"/>
  <c r="D15" i="10"/>
  <c r="D28" i="5"/>
  <c r="D15" i="9"/>
  <c r="D16" i="9"/>
  <c r="E24" i="5"/>
  <c r="E26" i="5"/>
  <c r="G14" i="5"/>
  <c r="G18" i="7"/>
  <c r="E38" i="2"/>
  <c r="F20" i="4"/>
  <c r="F23" i="4"/>
  <c r="F25" i="4"/>
  <c r="F26" i="4"/>
  <c r="F23" i="5"/>
  <c r="I16" i="7"/>
  <c r="F19" i="10"/>
  <c r="J16" i="7"/>
  <c r="F20" i="10"/>
  <c r="G21" i="4"/>
  <c r="G20" i="5"/>
  <c r="F17" i="7"/>
  <c r="F15" i="4"/>
  <c r="F16" i="5"/>
  <c r="J17" i="6"/>
  <c r="I22" i="6"/>
  <c r="L18" i="6"/>
  <c r="E27" i="4"/>
  <c r="H18" i="4"/>
  <c r="H18" i="5"/>
  <c r="H14" i="4"/>
  <c r="H14" i="10"/>
  <c r="Q37" i="2"/>
  <c r="H22" i="4"/>
  <c r="H21" i="5"/>
  <c r="G17" i="4"/>
  <c r="G17" i="5"/>
  <c r="G16" i="4"/>
  <c r="G15" i="4"/>
  <c r="G16" i="5"/>
  <c r="F37" i="2"/>
  <c r="H37" i="2"/>
  <c r="J37" i="2"/>
  <c r="L37" i="2"/>
  <c r="O37" i="2"/>
  <c r="C38" i="2"/>
  <c r="C17" i="9"/>
  <c r="D26" i="10"/>
  <c r="F29" i="6"/>
  <c r="E15" i="10"/>
  <c r="D64" i="9"/>
  <c r="D66" i="9"/>
  <c r="D16" i="10"/>
  <c r="E27" i="5"/>
  <c r="E28" i="5"/>
  <c r="E16" i="10"/>
  <c r="D25" i="9"/>
  <c r="D26" i="9"/>
  <c r="D27" i="9"/>
  <c r="D44" i="9"/>
  <c r="D45" i="9"/>
  <c r="D35" i="9"/>
  <c r="E13" i="6"/>
  <c r="E14" i="6"/>
  <c r="E24" i="6"/>
  <c r="D54" i="9"/>
  <c r="D55" i="9"/>
  <c r="F24" i="5"/>
  <c r="F26" i="5"/>
  <c r="H14" i="5"/>
  <c r="G19" i="7"/>
  <c r="E39" i="2"/>
  <c r="J17" i="7"/>
  <c r="G20" i="10"/>
  <c r="I17" i="7"/>
  <c r="G19" i="10"/>
  <c r="H21" i="4"/>
  <c r="H20" i="5"/>
  <c r="F18" i="7"/>
  <c r="F31" i="6"/>
  <c r="F18" i="10"/>
  <c r="G20" i="4"/>
  <c r="G23" i="4"/>
  <c r="G25" i="4"/>
  <c r="G26" i="4"/>
  <c r="K17" i="6"/>
  <c r="J22" i="6"/>
  <c r="M18" i="6"/>
  <c r="F27" i="4"/>
  <c r="I18" i="4"/>
  <c r="I18" i="5"/>
  <c r="I14" i="4"/>
  <c r="I14" i="10"/>
  <c r="Q38" i="2"/>
  <c r="I22" i="4"/>
  <c r="I21" i="5"/>
  <c r="H17" i="4"/>
  <c r="H17" i="5"/>
  <c r="H16" i="4"/>
  <c r="F38" i="2"/>
  <c r="H38" i="2"/>
  <c r="J38" i="2"/>
  <c r="L38" i="2"/>
  <c r="O38" i="2"/>
  <c r="C39" i="2"/>
  <c r="G29" i="6"/>
  <c r="G31" i="6"/>
  <c r="G18" i="10"/>
  <c r="F15" i="10"/>
  <c r="E33" i="6"/>
  <c r="E17" i="10"/>
  <c r="E64" i="9"/>
  <c r="E66" i="9"/>
  <c r="E44" i="9"/>
  <c r="E45" i="9"/>
  <c r="E35" i="9"/>
  <c r="E25" i="9"/>
  <c r="E26" i="9"/>
  <c r="E27" i="9"/>
  <c r="C28" i="9"/>
  <c r="D27" i="10"/>
  <c r="F27" i="5"/>
  <c r="E15" i="9"/>
  <c r="E16" i="9"/>
  <c r="E54" i="9"/>
  <c r="E55" i="9"/>
  <c r="F13" i="6"/>
  <c r="F14" i="6"/>
  <c r="F24" i="6"/>
  <c r="F28" i="5"/>
  <c r="F16" i="10"/>
  <c r="I14" i="5"/>
  <c r="G23" i="5"/>
  <c r="E40" i="2"/>
  <c r="G20" i="7"/>
  <c r="H20" i="4"/>
  <c r="H23" i="4"/>
  <c r="H25" i="4"/>
  <c r="H26" i="4"/>
  <c r="H23" i="5"/>
  <c r="I18" i="7"/>
  <c r="H19" i="10"/>
  <c r="J18" i="7"/>
  <c r="H20" i="10"/>
  <c r="I21" i="4"/>
  <c r="I20" i="5"/>
  <c r="F19" i="7"/>
  <c r="H15" i="4"/>
  <c r="H16" i="5"/>
  <c r="L17" i="6"/>
  <c r="K22" i="6"/>
  <c r="G27" i="4"/>
  <c r="J18" i="4"/>
  <c r="J18" i="5"/>
  <c r="J14" i="4"/>
  <c r="J14" i="10"/>
  <c r="Q39" i="2"/>
  <c r="J22" i="4"/>
  <c r="J21" i="5"/>
  <c r="I17" i="4"/>
  <c r="I17" i="5"/>
  <c r="I16" i="4"/>
  <c r="I15" i="4"/>
  <c r="I16" i="5"/>
  <c r="F39" i="2"/>
  <c r="H39" i="2"/>
  <c r="J39" i="2"/>
  <c r="L39" i="2"/>
  <c r="O39" i="2"/>
  <c r="C40" i="2"/>
  <c r="F15" i="9"/>
  <c r="F54" i="9"/>
  <c r="F55" i="9"/>
  <c r="F35" i="9"/>
  <c r="F25" i="9"/>
  <c r="F26" i="9"/>
  <c r="F27" i="9"/>
  <c r="G13" i="6"/>
  <c r="G14" i="6"/>
  <c r="G24" i="6"/>
  <c r="G17" i="10"/>
  <c r="G27" i="5"/>
  <c r="F44" i="9"/>
  <c r="F45" i="9"/>
  <c r="F64" i="9"/>
  <c r="F66" i="9"/>
  <c r="H29" i="6"/>
  <c r="H31" i="6"/>
  <c r="H18" i="10"/>
  <c r="G15" i="10"/>
  <c r="F33" i="6"/>
  <c r="F17" i="10"/>
  <c r="F16" i="9"/>
  <c r="H24" i="5"/>
  <c r="H26" i="5"/>
  <c r="G24" i="5"/>
  <c r="G26" i="5"/>
  <c r="G33" i="6"/>
  <c r="J14" i="5"/>
  <c r="E41" i="2"/>
  <c r="G22" i="7"/>
  <c r="G21" i="7"/>
  <c r="J19" i="7"/>
  <c r="I20" i="10"/>
  <c r="I19" i="7"/>
  <c r="I19" i="10"/>
  <c r="J21" i="4"/>
  <c r="J20" i="5"/>
  <c r="F20" i="7"/>
  <c r="I20" i="4"/>
  <c r="M17" i="6"/>
  <c r="M22" i="6"/>
  <c r="L22" i="6"/>
  <c r="H27" i="4"/>
  <c r="K18" i="4"/>
  <c r="K18" i="5"/>
  <c r="K14" i="4"/>
  <c r="K14" i="10"/>
  <c r="Q40" i="2"/>
  <c r="K22" i="4"/>
  <c r="K21" i="5"/>
  <c r="J17" i="4"/>
  <c r="J17" i="5"/>
  <c r="J16" i="4"/>
  <c r="J15" i="4"/>
  <c r="J16" i="5"/>
  <c r="F40" i="2"/>
  <c r="H40" i="2"/>
  <c r="J40" i="2"/>
  <c r="L40" i="2"/>
  <c r="O40" i="2"/>
  <c r="C41" i="2"/>
  <c r="G28" i="5"/>
  <c r="G16" i="10"/>
  <c r="I29" i="6"/>
  <c r="H15" i="10"/>
  <c r="I23" i="4"/>
  <c r="I25" i="4"/>
  <c r="G64" i="9"/>
  <c r="G66" i="9"/>
  <c r="G35" i="9"/>
  <c r="G54" i="9"/>
  <c r="G55" i="9"/>
  <c r="G44" i="9"/>
  <c r="G45" i="9"/>
  <c r="G25" i="9"/>
  <c r="G26" i="9"/>
  <c r="G27" i="9"/>
  <c r="G15" i="9"/>
  <c r="G16" i="9"/>
  <c r="H13" i="6"/>
  <c r="H14" i="6"/>
  <c r="H24" i="6"/>
  <c r="K14" i="5"/>
  <c r="J20" i="7"/>
  <c r="J20" i="10"/>
  <c r="I20" i="7"/>
  <c r="J19" i="10"/>
  <c r="K21" i="4"/>
  <c r="K20" i="5"/>
  <c r="F21" i="7"/>
  <c r="I31" i="6"/>
  <c r="I18" i="10"/>
  <c r="J20" i="4"/>
  <c r="J23" i="4"/>
  <c r="J25" i="4"/>
  <c r="J26" i="4"/>
  <c r="L18" i="4"/>
  <c r="L18" i="5"/>
  <c r="L14" i="4"/>
  <c r="L14" i="10"/>
  <c r="Q41" i="2"/>
  <c r="L22" i="4"/>
  <c r="L21" i="5"/>
  <c r="K17" i="4"/>
  <c r="K17" i="5"/>
  <c r="K16" i="4"/>
  <c r="F41" i="2"/>
  <c r="H41" i="2"/>
  <c r="J41" i="2"/>
  <c r="L41" i="2"/>
  <c r="O41" i="2"/>
  <c r="H27" i="5"/>
  <c r="H28" i="5"/>
  <c r="H16" i="10"/>
  <c r="H33" i="6"/>
  <c r="H17" i="10"/>
  <c r="I26" i="4"/>
  <c r="I23" i="5"/>
  <c r="I24" i="5"/>
  <c r="I26" i="5"/>
  <c r="H64" i="9"/>
  <c r="H66" i="9"/>
  <c r="H54" i="9"/>
  <c r="H55" i="9"/>
  <c r="H44" i="9"/>
  <c r="H45" i="9"/>
  <c r="H25" i="9"/>
  <c r="H26" i="9"/>
  <c r="H27" i="9"/>
  <c r="H15" i="9"/>
  <c r="H16" i="9"/>
  <c r="I13" i="6"/>
  <c r="I14" i="6"/>
  <c r="I24" i="6"/>
  <c r="J23" i="5"/>
  <c r="L14" i="5"/>
  <c r="J21" i="7"/>
  <c r="K20" i="10"/>
  <c r="I21" i="7"/>
  <c r="K19" i="10"/>
  <c r="L21" i="4"/>
  <c r="L20" i="5"/>
  <c r="F22" i="7"/>
  <c r="K20" i="4"/>
  <c r="K23" i="4"/>
  <c r="K25" i="4"/>
  <c r="K26" i="4"/>
  <c r="K23" i="5"/>
  <c r="K15" i="4"/>
  <c r="K16" i="5"/>
  <c r="J27" i="4"/>
  <c r="J15" i="10"/>
  <c r="L17" i="4"/>
  <c r="L17" i="5"/>
  <c r="L16" i="4"/>
  <c r="I27" i="5"/>
  <c r="H35" i="9"/>
  <c r="I33" i="6"/>
  <c r="I17" i="10"/>
  <c r="I27" i="4"/>
  <c r="K24" i="5"/>
  <c r="K26" i="5"/>
  <c r="J24" i="5"/>
  <c r="J26" i="5"/>
  <c r="I28" i="5"/>
  <c r="I16" i="10"/>
  <c r="L20" i="4"/>
  <c r="L23" i="4"/>
  <c r="L25" i="4"/>
  <c r="L26" i="4"/>
  <c r="L23" i="5"/>
  <c r="J22" i="7"/>
  <c r="L20" i="10"/>
  <c r="I22" i="7"/>
  <c r="L19" i="10"/>
  <c r="L15" i="4"/>
  <c r="L16" i="5"/>
  <c r="K27" i="4"/>
  <c r="K15" i="10"/>
  <c r="J29" i="6"/>
  <c r="J31" i="6"/>
  <c r="J18" i="10"/>
  <c r="I15" i="10"/>
  <c r="L24" i="5"/>
  <c r="L26" i="5"/>
  <c r="I64" i="9"/>
  <c r="I66" i="9"/>
  <c r="I35" i="9"/>
  <c r="J27" i="5"/>
  <c r="J28" i="5"/>
  <c r="J16" i="10"/>
  <c r="I54" i="9"/>
  <c r="I55" i="9"/>
  <c r="I44" i="9"/>
  <c r="I45" i="9"/>
  <c r="I25" i="9"/>
  <c r="I26" i="9"/>
  <c r="I27" i="9"/>
  <c r="I15" i="9"/>
  <c r="I16" i="9"/>
  <c r="J13" i="6"/>
  <c r="J14" i="6"/>
  <c r="J24" i="6"/>
  <c r="L27" i="4"/>
  <c r="L15" i="10"/>
  <c r="K29" i="6"/>
  <c r="K31" i="6"/>
  <c r="K18" i="10"/>
  <c r="J33" i="6"/>
  <c r="J17" i="10"/>
  <c r="J64" i="9"/>
  <c r="J66" i="9"/>
  <c r="J35" i="9"/>
  <c r="K27" i="5"/>
  <c r="K28" i="5"/>
  <c r="K16" i="10"/>
  <c r="J54" i="9"/>
  <c r="J55" i="9"/>
  <c r="J44" i="9"/>
  <c r="J45" i="9"/>
  <c r="J25" i="9"/>
  <c r="J26" i="9"/>
  <c r="J27" i="9"/>
  <c r="J15" i="9"/>
  <c r="J16" i="9"/>
  <c r="K13" i="6"/>
  <c r="K14" i="6"/>
  <c r="K24" i="6"/>
  <c r="L29" i="6"/>
  <c r="L31" i="6"/>
  <c r="L18" i="10"/>
  <c r="K33" i="6"/>
  <c r="K17" i="10"/>
  <c r="M29" i="6"/>
  <c r="M31" i="6"/>
  <c r="K64" i="9"/>
  <c r="K66" i="9"/>
  <c r="K35" i="9"/>
  <c r="L27" i="5"/>
  <c r="L28" i="5"/>
  <c r="L16" i="10"/>
  <c r="K54" i="9"/>
  <c r="K55" i="9"/>
  <c r="K44" i="9"/>
  <c r="K45" i="9"/>
  <c r="K25" i="9"/>
  <c r="K26" i="9"/>
  <c r="K27" i="9"/>
  <c r="K15" i="9"/>
  <c r="K16" i="9"/>
  <c r="L13" i="6"/>
  <c r="L14" i="6"/>
  <c r="L24" i="6"/>
  <c r="L33" i="6"/>
  <c r="L17" i="10"/>
  <c r="L64" i="9"/>
  <c r="L66" i="9"/>
  <c r="D70" i="9"/>
  <c r="L35" i="9"/>
  <c r="C36" i="9"/>
  <c r="L54" i="9"/>
  <c r="L55" i="9"/>
  <c r="C56" i="9"/>
  <c r="C57" i="9"/>
  <c r="D30" i="10"/>
  <c r="L44" i="9"/>
  <c r="L45" i="9"/>
  <c r="C46" i="9"/>
  <c r="C47" i="9"/>
  <c r="D29" i="10"/>
  <c r="L25" i="9"/>
  <c r="L26" i="9"/>
  <c r="L27" i="9"/>
  <c r="L15" i="9"/>
  <c r="L16" i="9"/>
  <c r="M13" i="6"/>
  <c r="M14" i="6"/>
  <c r="M24" i="6"/>
  <c r="M33" i="6"/>
  <c r="C37" i="9"/>
  <c r="D28" i="10"/>
  <c r="K65" i="9"/>
  <c r="D65" i="9"/>
  <c r="G65" i="9"/>
  <c r="H65" i="9"/>
  <c r="I65" i="9"/>
  <c r="L65" i="9"/>
  <c r="E65" i="9"/>
  <c r="F65" i="9"/>
  <c r="J65" i="9"/>
  <c r="C65" i="9"/>
  <c r="D68" i="9"/>
  <c r="E68" i="9"/>
  <c r="E71" i="9"/>
  <c r="D71" i="9"/>
  <c r="D73" i="9"/>
  <c r="D74" i="9"/>
  <c r="D75" i="9"/>
  <c r="D31" i="10"/>
</calcChain>
</file>

<file path=xl/sharedStrings.xml><?xml version="1.0" encoding="utf-8"?>
<sst xmlns="http://schemas.openxmlformats.org/spreadsheetml/2006/main" count="192" uniqueCount="150">
  <si>
    <t>Elaboró:</t>
  </si>
  <si>
    <t>Levi Abdul Basilio Orihuela</t>
  </si>
  <si>
    <t>Heidi Fernanda Figueroa de la Torre</t>
  </si>
  <si>
    <t>Lilia Anayeli Tello Gómez</t>
  </si>
  <si>
    <t>Metodo de evaluacion</t>
  </si>
  <si>
    <t>Decripcion</t>
  </si>
  <si>
    <t>Criterio</t>
  </si>
  <si>
    <t xml:space="preserve">Metodo del periodo de recuperacion </t>
  </si>
  <si>
    <t>El periodo de recuperacion es el tiempo, en años y fracciones de años, que se requiere para recuperar la inversion inicial de un proyecto. Consiste en sumar los flujos de efectivo netos del proyecto hasta recuperar la inversion inicial</t>
  </si>
  <si>
    <t>Metodo del periodo de recuperacion de la inversion descontado</t>
  </si>
  <si>
    <t>Es el tiempo, en años y fracciones de año, que se requiere para recuperar la inversion inicial de un proyecto pero apartir de la suma de los flujos de efectivo netos descontados con la tasa de costo de capital k. Consiste en sumar los flujos de efectivo netos descontados del proyecto hasta recuperar la inversion inicial</t>
  </si>
  <si>
    <t>Metodo del rendimiento anual promerio (RAP)</t>
  </si>
  <si>
    <t xml:space="preserve">El rendimiento anual promedio es la razon exixtente entre los flujos de efectivo netos promedio del proyecto y la inversion inicial requerida. </t>
  </si>
  <si>
    <t>Si RAP=K es indiferente.            Si RAP&gt;K se aceptara.               Si RAP&lt;K debe ser rechazado</t>
  </si>
  <si>
    <t xml:space="preserve">Metodo del indice (IR) </t>
  </si>
  <si>
    <t>El índice de rentabilidad se define como la razón existente entre la suma de los valores presentes de los flujos de efectivo netos de un proyecto, descontados con la tasa de costo de capital k, y la inversión inicial requerida.</t>
  </si>
  <si>
    <t>Si IR=1 es indiferente.                Si IR&gt;1 se aceptara.                  Si IR&lt;1 debe ser rechazado</t>
  </si>
  <si>
    <t>Valor presente neto del proyecto (VPN)</t>
  </si>
  <si>
    <t>El valor presente neto (VPN) es el valor de los flujos de efectivo proyectados, descontados al presente.</t>
  </si>
  <si>
    <t>Si VPN=0 es indiferente.                Si VPN&gt;0 se aceptara.                  Si VPN&lt;0 debe ser rechazado</t>
  </si>
  <si>
    <t>Metodo de la tasa interna de rendimiento (TIR)</t>
  </si>
  <si>
    <t>La tasa interna de retorno (TIR) es la tasa de interés o rentabilidad que ofrece una inversión. Es decir, es el porcentaje de beneficio o pérdida que tendrá una inversión para las cantidades que no se han retirado del proyecto</t>
  </si>
  <si>
    <t>Si TIR=K es indiferente.            Si TIR&gt;K se aceptara.                  Si TIR&lt;K debe ser rechazado</t>
  </si>
  <si>
    <t>Rubro</t>
  </si>
  <si>
    <t>Valor inicial</t>
  </si>
  <si>
    <t>Tasa</t>
  </si>
  <si>
    <t>Depreciación</t>
  </si>
  <si>
    <t xml:space="preserve">Nivel de utilidad en pesos </t>
  </si>
  <si>
    <t xml:space="preserve">Tasa de Impuestos </t>
  </si>
  <si>
    <t>Ventas inicial</t>
  </si>
  <si>
    <t>Costo</t>
  </si>
  <si>
    <t>Años de vida</t>
  </si>
  <si>
    <t>Valor de recuperación</t>
  </si>
  <si>
    <t>Depreciación / año</t>
  </si>
  <si>
    <t xml:space="preserve">Límite inferior </t>
  </si>
  <si>
    <t>Límite superior</t>
  </si>
  <si>
    <t>Precio</t>
  </si>
  <si>
    <t>Infraestructura</t>
  </si>
  <si>
    <t>Costo de materia prima A/unidad</t>
  </si>
  <si>
    <t>Según inflación</t>
  </si>
  <si>
    <t>Maquinaria</t>
  </si>
  <si>
    <t>Costo de materia prima B/unidad</t>
  </si>
  <si>
    <t>Costo de materiales/ unidad</t>
  </si>
  <si>
    <t>Pronóstico de reducción de ventas</t>
  </si>
  <si>
    <t>Costo de mano de obra / unidad</t>
  </si>
  <si>
    <t>Costo de mantenimiento del equipo/año</t>
  </si>
  <si>
    <t>Costo de capital (K)</t>
  </si>
  <si>
    <t>Gasto administrativo / unidad</t>
  </si>
  <si>
    <t>Inversión inicial</t>
  </si>
  <si>
    <t>Gasto de venta / unidad</t>
  </si>
  <si>
    <t>Tiempo de vida (años)</t>
  </si>
  <si>
    <t>Valor de recuperacion</t>
  </si>
  <si>
    <t>Capital de trabajo requerido</t>
  </si>
  <si>
    <t>Terreno</t>
  </si>
  <si>
    <t>Inflación</t>
  </si>
  <si>
    <t>Producción máxima de maquinaria por año</t>
  </si>
  <si>
    <t>Costo de subcontratación</t>
  </si>
  <si>
    <t>Año</t>
  </si>
  <si>
    <t>Unidades</t>
  </si>
  <si>
    <t>COSTOS</t>
  </si>
  <si>
    <t>Gastos</t>
  </si>
  <si>
    <t>Materia prima A / unidad</t>
  </si>
  <si>
    <t>Materia prima A total</t>
  </si>
  <si>
    <t>Materia prima B / unidad</t>
  </si>
  <si>
    <t>Materia prima B total</t>
  </si>
  <si>
    <t>Materiales / unidad</t>
  </si>
  <si>
    <t>Materiales total</t>
  </si>
  <si>
    <t>Mano de obra / unidad</t>
  </si>
  <si>
    <t>Mano de obra total</t>
  </si>
  <si>
    <t>Mantenimiento del equipo por año</t>
  </si>
  <si>
    <t>Administrativos / unidad</t>
  </si>
  <si>
    <t>Administrativos total</t>
  </si>
  <si>
    <t>Venta /unidad</t>
  </si>
  <si>
    <t>Venta total</t>
  </si>
  <si>
    <t>Ventas</t>
  </si>
  <si>
    <t>(-)IVA</t>
  </si>
  <si>
    <t>(=)Ventas netas</t>
  </si>
  <si>
    <t>(-)Costos de producción</t>
  </si>
  <si>
    <t>(-)Maquila</t>
  </si>
  <si>
    <t>(-)Depreciación</t>
  </si>
  <si>
    <t>(=)Utilidad bruta</t>
  </si>
  <si>
    <t>(-)Gastos de administración</t>
  </si>
  <si>
    <t>(-)Gastos de venta</t>
  </si>
  <si>
    <t>(=)Utilidad en operaciones</t>
  </si>
  <si>
    <t>(-)Gastos financieros</t>
  </si>
  <si>
    <t>(=)Utilidad antes del impuesto</t>
  </si>
  <si>
    <t>(-)Impuestos</t>
  </si>
  <si>
    <t>(=)Utilidad/pérdida del ejercicio</t>
  </si>
  <si>
    <t>Periodo</t>
  </si>
  <si>
    <t>Ingresos</t>
  </si>
  <si>
    <t>Egresos</t>
  </si>
  <si>
    <t>IVA</t>
  </si>
  <si>
    <t>Costos de producción</t>
  </si>
  <si>
    <t>Maquila</t>
  </si>
  <si>
    <t>Compra de maquinaria</t>
  </si>
  <si>
    <t>Gastos de administración</t>
  </si>
  <si>
    <t>Gastos de venta</t>
  </si>
  <si>
    <t>Gastos financieros</t>
  </si>
  <si>
    <t>Impuestos</t>
  </si>
  <si>
    <t>Total de egresos</t>
  </si>
  <si>
    <t>Flujo de efectivo</t>
  </si>
  <si>
    <t>Efectivo</t>
  </si>
  <si>
    <t>Flujo neto de efectivo</t>
  </si>
  <si>
    <t>Activo circulante</t>
  </si>
  <si>
    <t>Efectivo/ banco</t>
  </si>
  <si>
    <t>Total de activo circulante</t>
  </si>
  <si>
    <t>Activo no circulante</t>
  </si>
  <si>
    <t>Depreciación infraestructura</t>
  </si>
  <si>
    <t>Maquinaria y equipo</t>
  </si>
  <si>
    <t>Depreciación maquinaria</t>
  </si>
  <si>
    <t>Total de activo no circulante</t>
  </si>
  <si>
    <t>Total Activo</t>
  </si>
  <si>
    <t>Pasivos</t>
  </si>
  <si>
    <t>Capital contable</t>
  </si>
  <si>
    <t xml:space="preserve">Capital social </t>
  </si>
  <si>
    <t>Pasivos + Capital contable</t>
  </si>
  <si>
    <t>Costos fijos</t>
  </si>
  <si>
    <t>Costos variables por unidad</t>
  </si>
  <si>
    <t>Punto de equilibrio por cantidad</t>
  </si>
  <si>
    <t>Punto de equilibrio por ingreso</t>
  </si>
  <si>
    <t>Periodo de recuperación</t>
  </si>
  <si>
    <t>SUMA DEL FLUJO</t>
  </si>
  <si>
    <t>Periodo de recuperación de la inversión descontado​</t>
  </si>
  <si>
    <t>Flujo de efectivo descontando</t>
  </si>
  <si>
    <t>Suma del flujo descontado</t>
  </si>
  <si>
    <t>Rendimiento anual promedio (RAP) o tasa contable de rendimiento (TCR)​</t>
  </si>
  <si>
    <t>Rendimiento anual promedio (RAP)</t>
  </si>
  <si>
    <t>Índice de rentabilidad (IR) o razón de beneficio/costo</t>
  </si>
  <si>
    <t>Valor presente del flujo</t>
  </si>
  <si>
    <t>Indice de rentabilidad (IR)</t>
  </si>
  <si>
    <t xml:space="preserve"> Valor presente neto del proyecto (VPN)</t>
  </si>
  <si>
    <t>VPN</t>
  </si>
  <si>
    <t>Valor presente neto del proyecto</t>
  </si>
  <si>
    <t>Tasa interna de retorno (TIR)</t>
  </si>
  <si>
    <t>Valor presente superior</t>
  </si>
  <si>
    <t>Valor presente inferior</t>
  </si>
  <si>
    <t>Porcentaje aproximado superior</t>
  </si>
  <si>
    <t>r</t>
  </si>
  <si>
    <t>r%</t>
  </si>
  <si>
    <t>Porcentaje aproximado inferior</t>
  </si>
  <si>
    <t>Restas</t>
  </si>
  <si>
    <t>Division</t>
  </si>
  <si>
    <t>TIR</t>
  </si>
  <si>
    <t>Resultados</t>
  </si>
  <si>
    <t>Utilidad/perdida del ejercicio</t>
  </si>
  <si>
    <t>Total activos</t>
  </si>
  <si>
    <t>Total pasivos + capital contable</t>
  </si>
  <si>
    <t>Metodos de evaluacion</t>
  </si>
  <si>
    <t xml:space="preserve">Metodo </t>
  </si>
  <si>
    <t>Resultado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</si>
</sst>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00_-;\-&quot;$&quot;* #,##0.00_-;_-&quot;$&quot;* &quot;-&quot;??_-;_-@_-"/>
    <numFmt numFmtId="165" formatCode="_-[$$-80A]* #,##0.00_-;\-[$$-80A]* #,##0.00_-;_-[$$-80A]* &quot;-&quot;??_-;_-@_-"/>
  </numFmts>
  <fonts count="31" x14ac:knownFonts="1">
    <font>
      <sz val="11"/>
      <color theme="1"/>
      <name val="Calibri"/>
      <family val="2"/>
      <scheme val="minor"/>
    </font>
    <font>
      <sz val="11"/>
      <color theme="1"/>
      <name val="Calibri"/>
      <family val="2"/>
      <scheme val="minor"/>
    </font>
    <font>
      <sz val="11"/>
      <name val="Calibri"/>
      <family val="2"/>
    </font>
    <font>
      <sz val="11"/>
      <color rgb="FF000000"/>
      <name val="Calibri"/>
      <family val="2"/>
      <scheme val="minor"/>
    </font>
    <font>
      <b/>
      <sz val="11"/>
      <color theme="0"/>
      <name val="Calibri"/>
      <family val="2"/>
      <scheme val="minor"/>
    </font>
    <font>
      <sz val="11"/>
      <color theme="0"/>
      <name val="Calibri"/>
      <family val="2"/>
      <scheme val="minor"/>
    </font>
    <font>
      <sz val="14"/>
      <color theme="1"/>
      <name val="Bernard MT Condensed"/>
      <family val="1"/>
    </font>
    <font>
      <sz val="14"/>
      <color theme="1"/>
      <name val="Calibri"/>
      <family val="2"/>
      <scheme val="minor"/>
    </font>
    <font>
      <b/>
      <sz val="12"/>
      <color theme="1"/>
      <name val="Calibri"/>
      <family val="2"/>
      <scheme val="minor"/>
    </font>
    <font>
      <b/>
      <sz val="14"/>
      <color theme="0"/>
      <name val="Calibri"/>
      <family val="2"/>
      <scheme val="minor"/>
    </font>
    <font>
      <b/>
      <sz val="12"/>
      <color theme="0"/>
      <name val="Calibri"/>
      <family val="2"/>
      <scheme val="minor"/>
    </font>
    <font>
      <b/>
      <sz val="14"/>
      <color theme="0"/>
      <name val="Aharoni"/>
      <charset val="177"/>
    </font>
    <font>
      <b/>
      <sz val="16"/>
      <color theme="0"/>
      <name val="Calibri"/>
      <family val="2"/>
      <scheme val="minor"/>
    </font>
    <font>
      <sz val="12"/>
      <color theme="1"/>
      <name val="Calibri"/>
      <family val="2"/>
      <scheme val="minor"/>
    </font>
    <font>
      <b/>
      <sz val="12"/>
      <color theme="0"/>
      <name val="Aharoni"/>
      <charset val="177"/>
    </font>
    <font>
      <b/>
      <sz val="11"/>
      <color theme="0"/>
      <name val="Aharoni"/>
      <charset val="177"/>
    </font>
    <font>
      <sz val="14"/>
      <color theme="0"/>
      <name val="Aharoni"/>
      <charset val="177"/>
    </font>
    <font>
      <sz val="11"/>
      <color theme="0"/>
      <name val="Aharoni"/>
      <charset val="177"/>
    </font>
    <font>
      <sz val="12"/>
      <color theme="0"/>
      <name val="Aharoni"/>
      <charset val="177"/>
    </font>
    <font>
      <b/>
      <sz val="18"/>
      <color theme="1"/>
      <name val="Calibri"/>
      <family val="2"/>
      <scheme val="minor"/>
    </font>
    <font>
      <b/>
      <sz val="20"/>
      <color theme="1"/>
      <name val="Calibri"/>
      <family val="2"/>
      <scheme val="minor"/>
    </font>
    <font>
      <sz val="11"/>
      <color theme="0"/>
      <name val="Aharoni"/>
    </font>
    <font>
      <sz val="12"/>
      <color theme="0"/>
      <name val="Aharoni"/>
    </font>
    <font>
      <sz val="11"/>
      <name val="Calibri"/>
      <family val="2"/>
      <scheme val="minor"/>
    </font>
    <font>
      <sz val="12"/>
      <name val="Calibri"/>
      <family val="2"/>
      <scheme val="minor"/>
    </font>
    <font>
      <b/>
      <sz val="11"/>
      <color theme="0"/>
      <name val="Aharoni"/>
    </font>
    <font>
      <sz val="11"/>
      <color theme="1"/>
      <name val="Aharoni"/>
    </font>
    <font>
      <sz val="14"/>
      <color theme="1"/>
      <name val="Aharoni"/>
    </font>
    <font>
      <sz val="11"/>
      <color rgb="FF444444"/>
      <name val="Calibri"/>
      <charset val="1"/>
    </font>
    <font>
      <sz val="14"/>
      <color theme="0"/>
      <name val="Aharoni"/>
    </font>
    <font>
      <b/>
      <sz val="11"/>
      <color rgb="FFFFFFFF"/>
      <name val="Calibri"/>
      <family val="2"/>
      <scheme val="minor"/>
    </font>
  </fonts>
  <fills count="6">
    <fill>
      <patternFill patternType="none"/>
    </fill>
    <fill>
      <patternFill patternType="gray125"/>
    </fill>
    <fill>
      <patternFill patternType="solid">
        <fgColor rgb="FFB56727"/>
        <bgColor indexed="64"/>
      </patternFill>
    </fill>
    <fill>
      <patternFill patternType="solid">
        <fgColor theme="7" tint="0.59999389629810485"/>
        <bgColor indexed="64"/>
      </patternFill>
    </fill>
    <fill>
      <patternFill patternType="solid">
        <fgColor rgb="FF8D4004"/>
        <bgColor indexed="64"/>
      </patternFill>
    </fill>
    <fill>
      <patternFill patternType="solid">
        <fgColor rgb="FFA18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bottom/>
      <diagonal/>
    </border>
  </borders>
  <cellStyleXfs count="2">
    <xf numFmtId="0" fontId="0" fillId="0" borderId="0"/>
    <xf numFmtId="9" fontId="1" fillId="0" borderId="0" applyFont="0" applyFill="0" applyBorder="0" applyAlignment="0" applyProtection="0"/>
  </cellStyleXfs>
  <cellXfs count="167">
    <xf numFmtId="0" fontId="0" fillId="0" borderId="0" xfId="0"/>
    <xf numFmtId="9" fontId="0" fillId="0" borderId="0" xfId="0" applyNumberFormat="1"/>
    <xf numFmtId="0" fontId="0" fillId="0" borderId="0" xfId="0" applyAlignment="1">
      <alignment wrapText="1"/>
    </xf>
    <xf numFmtId="0" fontId="3" fillId="0" borderId="0" xfId="0" applyFont="1"/>
    <xf numFmtId="165" fontId="0" fillId="0" borderId="0" xfId="0" applyNumberFormat="1" applyBorder="1"/>
    <xf numFmtId="165" fontId="0" fillId="0" borderId="0" xfId="0" applyNumberFormat="1"/>
    <xf numFmtId="0" fontId="7" fillId="2" borderId="0" xfId="0" applyFont="1" applyFill="1"/>
    <xf numFmtId="10" fontId="0" fillId="3" borderId="1" xfId="0" applyNumberFormat="1" applyFill="1" applyBorder="1" applyAlignment="1">
      <alignment horizontal="center" vertical="center"/>
    </xf>
    <xf numFmtId="164" fontId="0" fillId="3" borderId="1" xfId="0" applyNumberFormat="1" applyFill="1" applyBorder="1" applyAlignment="1">
      <alignment horizontal="center" vertical="center" wrapText="1"/>
    </xf>
    <xf numFmtId="165" fontId="0" fillId="3" borderId="9" xfId="0" applyNumberFormat="1" applyFill="1" applyBorder="1" applyAlignment="1">
      <alignment vertical="center"/>
    </xf>
    <xf numFmtId="0" fontId="0" fillId="3" borderId="1" xfId="0" applyFill="1" applyBorder="1" applyAlignment="1">
      <alignment horizontal="center" vertical="center" wrapText="1"/>
    </xf>
    <xf numFmtId="9" fontId="0" fillId="3" borderId="1" xfId="1" applyFont="1" applyFill="1" applyBorder="1" applyAlignment="1">
      <alignment horizontal="center" vertical="center" wrapText="1"/>
    </xf>
    <xf numFmtId="164" fontId="0" fillId="3" borderId="1" xfId="0" applyNumberFormat="1" applyFill="1" applyBorder="1" applyAlignment="1">
      <alignment horizontal="center" vertical="center"/>
    </xf>
    <xf numFmtId="165" fontId="0" fillId="3" borderId="1" xfId="0" applyNumberFormat="1" applyFill="1" applyBorder="1"/>
    <xf numFmtId="165" fontId="3" fillId="3" borderId="9" xfId="0" applyNumberFormat="1" applyFont="1" applyFill="1" applyBorder="1" applyAlignment="1">
      <alignment vertical="center"/>
    </xf>
    <xf numFmtId="0" fontId="0" fillId="0" borderId="0" xfId="0" applyFill="1"/>
    <xf numFmtId="0" fontId="8" fillId="0" borderId="0" xfId="0" applyFont="1" applyFill="1" applyBorder="1" applyAlignment="1">
      <alignment vertical="center" wrapText="1"/>
    </xf>
    <xf numFmtId="0" fontId="9" fillId="2" borderId="1" xfId="0" applyFont="1" applyFill="1" applyBorder="1" applyAlignment="1">
      <alignment horizontal="center" vertical="center"/>
    </xf>
    <xf numFmtId="0" fontId="9" fillId="4" borderId="1" xfId="0" applyFont="1" applyFill="1" applyBorder="1" applyAlignment="1">
      <alignment vertical="center"/>
    </xf>
    <xf numFmtId="0" fontId="9" fillId="4" borderId="1" xfId="0" applyFont="1" applyFill="1" applyBorder="1" applyAlignment="1">
      <alignment horizontal="center" vertical="center"/>
    </xf>
    <xf numFmtId="0" fontId="5" fillId="2" borderId="9" xfId="0" applyFont="1" applyFill="1" applyBorder="1" applyAlignment="1">
      <alignment vertical="center"/>
    </xf>
    <xf numFmtId="0" fontId="4" fillId="2" borderId="9" xfId="0" applyFont="1" applyFill="1" applyBorder="1" applyAlignment="1">
      <alignment vertical="center"/>
    </xf>
    <xf numFmtId="0" fontId="10" fillId="2" borderId="9" xfId="0" applyFont="1" applyFill="1" applyBorder="1" applyAlignment="1">
      <alignment vertical="center"/>
    </xf>
    <xf numFmtId="0" fontId="9" fillId="2" borderId="9" xfId="0" applyFont="1" applyFill="1" applyBorder="1" applyAlignment="1">
      <alignment vertical="center"/>
    </xf>
    <xf numFmtId="0" fontId="0" fillId="0" borderId="0" xfId="0" applyBorder="1" applyAlignment="1"/>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0" fillId="3" borderId="1" xfId="0" applyFill="1" applyBorder="1"/>
    <xf numFmtId="0" fontId="10" fillId="2" borderId="1" xfId="0" applyFont="1" applyFill="1" applyBorder="1" applyAlignment="1">
      <alignment horizontal="center" vertical="center"/>
    </xf>
    <xf numFmtId="0" fontId="10" fillId="2" borderId="4" xfId="0" applyFont="1" applyFill="1" applyBorder="1" applyAlignment="1">
      <alignment horizontal="left" vertical="center"/>
    </xf>
    <xf numFmtId="0" fontId="10" fillId="2" borderId="8" xfId="0" applyFont="1" applyFill="1" applyBorder="1" applyAlignment="1">
      <alignment horizontal="left" vertical="center"/>
    </xf>
    <xf numFmtId="0" fontId="10" fillId="2" borderId="4" xfId="0" applyFont="1" applyFill="1" applyBorder="1"/>
    <xf numFmtId="0" fontId="10" fillId="2" borderId="7" xfId="0" applyFont="1" applyFill="1" applyBorder="1" applyAlignment="1">
      <alignment horizontal="left" vertical="center"/>
    </xf>
    <xf numFmtId="0" fontId="12"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9" xfId="0" applyFont="1" applyFill="1" applyBorder="1"/>
    <xf numFmtId="1" fontId="13" fillId="3" borderId="1" xfId="0" applyNumberFormat="1" applyFont="1" applyFill="1" applyBorder="1" applyAlignment="1">
      <alignment horizontal="center" vertical="center" wrapText="1"/>
    </xf>
    <xf numFmtId="10" fontId="13" fillId="3" borderId="1" xfId="0" applyNumberFormat="1" applyFont="1" applyFill="1" applyBorder="1" applyAlignment="1">
      <alignment horizontal="center" vertical="center" wrapText="1"/>
    </xf>
    <xf numFmtId="164" fontId="13" fillId="3" borderId="1" xfId="0" applyNumberFormat="1" applyFont="1" applyFill="1" applyBorder="1" applyAlignment="1">
      <alignment horizontal="center" vertical="center" wrapText="1"/>
    </xf>
    <xf numFmtId="164" fontId="13" fillId="3" borderId="2" xfId="0" applyNumberFormat="1" applyFont="1" applyFill="1" applyBorder="1" applyAlignment="1">
      <alignment horizontal="center" vertical="center" wrapText="1"/>
    </xf>
    <xf numFmtId="10" fontId="13" fillId="3" borderId="2" xfId="0" applyNumberFormat="1" applyFont="1" applyFill="1" applyBorder="1" applyAlignment="1">
      <alignment horizontal="center" vertical="center" wrapText="1"/>
    </xf>
    <xf numFmtId="44" fontId="13" fillId="3" borderId="9" xfId="0" applyNumberFormat="1" applyFont="1" applyFill="1" applyBorder="1"/>
    <xf numFmtId="0" fontId="13" fillId="3" borderId="9" xfId="0" applyFont="1" applyFill="1" applyBorder="1"/>
    <xf numFmtId="2" fontId="13" fillId="3" borderId="9" xfId="0" applyNumberFormat="1" applyFont="1" applyFill="1" applyBorder="1" applyAlignment="1">
      <alignment horizontal="center" vertical="center" wrapText="1"/>
    </xf>
    <xf numFmtId="165" fontId="13" fillId="3" borderId="9" xfId="0" applyNumberFormat="1" applyFont="1" applyFill="1" applyBorder="1" applyAlignment="1">
      <alignment horizontal="center" vertical="center" wrapText="1"/>
    </xf>
    <xf numFmtId="10" fontId="13" fillId="3" borderId="9" xfId="0" applyNumberFormat="1" applyFont="1" applyFill="1" applyBorder="1" applyAlignment="1">
      <alignment horizontal="center" vertical="center" wrapText="1"/>
    </xf>
    <xf numFmtId="0" fontId="13" fillId="3" borderId="9" xfId="0" applyFont="1" applyFill="1" applyBorder="1" applyAlignment="1">
      <alignment horizontal="center"/>
    </xf>
    <xf numFmtId="0" fontId="13" fillId="3" borderId="9" xfId="0" applyFont="1" applyFill="1" applyBorder="1" applyAlignment="1">
      <alignment horizontal="center" vertical="center"/>
    </xf>
    <xf numFmtId="165" fontId="13" fillId="3" borderId="9" xfId="0" applyNumberFormat="1" applyFont="1" applyFill="1" applyBorder="1" applyAlignment="1">
      <alignment horizontal="right" vertical="center"/>
    </xf>
    <xf numFmtId="165" fontId="13" fillId="3" borderId="9" xfId="0" applyNumberFormat="1" applyFont="1" applyFill="1" applyBorder="1" applyAlignment="1">
      <alignment horizontal="right"/>
    </xf>
    <xf numFmtId="0" fontId="14" fillId="2" borderId="9" xfId="0" applyFont="1" applyFill="1" applyBorder="1" applyAlignment="1">
      <alignment horizontal="center" vertical="center" wrapText="1"/>
    </xf>
    <xf numFmtId="0" fontId="14" fillId="2" borderId="9" xfId="0" applyFont="1" applyFill="1" applyBorder="1" applyAlignment="1">
      <alignment vertical="center"/>
    </xf>
    <xf numFmtId="0" fontId="14" fillId="2"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1" fillId="4" borderId="1" xfId="0" applyFont="1" applyFill="1" applyBorder="1" applyAlignment="1">
      <alignment horizontal="center" vertical="center"/>
    </xf>
    <xf numFmtId="9" fontId="0" fillId="3" borderId="1" xfId="0" applyNumberFormat="1" applyFill="1" applyBorder="1" applyAlignment="1">
      <alignment horizontal="center" vertical="center"/>
    </xf>
    <xf numFmtId="165"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18" fillId="2" borderId="1" xfId="0" applyFont="1" applyFill="1" applyBorder="1" applyAlignment="1">
      <alignment horizontal="center" vertical="center" wrapText="1"/>
    </xf>
    <xf numFmtId="165" fontId="0" fillId="3" borderId="1" xfId="0" applyNumberFormat="1" applyFill="1" applyBorder="1" applyAlignment="1">
      <alignment horizontal="right" vertical="center"/>
    </xf>
    <xf numFmtId="0" fontId="17" fillId="2" borderId="0" xfId="0" applyFont="1" applyFill="1" applyAlignment="1">
      <alignment horizontal="center" vertical="center" wrapText="1"/>
    </xf>
    <xf numFmtId="0" fontId="17" fillId="2" borderId="1" xfId="0" applyFont="1" applyFill="1" applyBorder="1" applyAlignment="1">
      <alignment horizontal="center" vertical="center" wrapText="1"/>
    </xf>
    <xf numFmtId="0" fontId="9" fillId="4" borderId="1" xfId="0" applyFont="1" applyFill="1" applyBorder="1"/>
    <xf numFmtId="0" fontId="21" fillId="2" borderId="1" xfId="0" applyFont="1" applyFill="1" applyBorder="1" applyAlignment="1">
      <alignment wrapText="1"/>
    </xf>
    <xf numFmtId="0" fontId="22" fillId="2" borderId="1" xfId="0" applyFont="1" applyFill="1" applyBorder="1"/>
    <xf numFmtId="165" fontId="2" fillId="3" borderId="1" xfId="0" quotePrefix="1" applyNumberFormat="1" applyFont="1" applyFill="1" applyBorder="1" applyAlignment="1">
      <alignment wrapText="1"/>
    </xf>
    <xf numFmtId="165" fontId="2" fillId="3" borderId="1" xfId="0" applyNumberFormat="1" applyFont="1" applyFill="1" applyBorder="1"/>
    <xf numFmtId="165" fontId="23" fillId="3" borderId="1" xfId="0" applyNumberFormat="1" applyFont="1" applyFill="1" applyBorder="1"/>
    <xf numFmtId="165" fontId="23" fillId="3" borderId="2" xfId="0" applyNumberFormat="1" applyFont="1" applyFill="1" applyBorder="1"/>
    <xf numFmtId="165" fontId="23" fillId="3" borderId="5" xfId="0" applyNumberFormat="1" applyFont="1" applyFill="1" applyBorder="1"/>
    <xf numFmtId="1" fontId="0" fillId="3" borderId="1" xfId="0" applyNumberFormat="1" applyFill="1" applyBorder="1" applyAlignment="1">
      <alignment horizontal="center" vertical="center"/>
    </xf>
    <xf numFmtId="0" fontId="24" fillId="0" borderId="0" xfId="0" applyFont="1"/>
    <xf numFmtId="0" fontId="25" fillId="2" borderId="1" xfId="0" applyFont="1" applyFill="1" applyBorder="1" applyAlignment="1">
      <alignment wrapText="1"/>
    </xf>
    <xf numFmtId="1" fontId="0" fillId="3" borderId="1" xfId="0" applyNumberFormat="1" applyFill="1" applyBorder="1"/>
    <xf numFmtId="0" fontId="26" fillId="0" borderId="0" xfId="0" applyFont="1"/>
    <xf numFmtId="0" fontId="29" fillId="4" borderId="1" xfId="0" applyFont="1" applyFill="1" applyBorder="1" applyAlignment="1">
      <alignment horizontal="center" vertical="center"/>
    </xf>
    <xf numFmtId="0" fontId="30" fillId="2" borderId="9" xfId="0" applyFont="1" applyFill="1" applyBorder="1" applyAlignment="1">
      <alignment horizontal="center" vertical="center"/>
    </xf>
    <xf numFmtId="0" fontId="30" fillId="2" borderId="9" xfId="0" applyFont="1" applyFill="1" applyBorder="1"/>
    <xf numFmtId="0" fontId="30" fillId="2" borderId="9" xfId="0" applyFont="1" applyFill="1" applyBorder="1" applyAlignment="1">
      <alignment horizontal="center" wrapText="1"/>
    </xf>
    <xf numFmtId="10" fontId="0" fillId="0" borderId="0" xfId="0" applyNumberFormat="1"/>
    <xf numFmtId="0" fontId="25" fillId="2" borderId="1" xfId="0" applyFont="1" applyFill="1" applyBorder="1" applyAlignment="1">
      <alignment horizontal="center" vertical="center" wrapText="1"/>
    </xf>
    <xf numFmtId="0" fontId="10" fillId="2" borderId="9" xfId="0" applyFont="1" applyFill="1" applyBorder="1" applyAlignment="1">
      <alignment horizontal="center" vertical="center"/>
    </xf>
    <xf numFmtId="0" fontId="9" fillId="2" borderId="9" xfId="0" applyFont="1" applyFill="1" applyBorder="1" applyAlignment="1">
      <alignment horizontal="center" vertical="center"/>
    </xf>
    <xf numFmtId="0" fontId="17" fillId="2" borderId="9" xfId="0" applyFont="1" applyFill="1" applyBorder="1" applyAlignment="1">
      <alignment horizontal="center" vertical="center" wrapText="1"/>
    </xf>
    <xf numFmtId="165" fontId="0" fillId="3" borderId="9" xfId="0" applyNumberFormat="1" applyFill="1" applyBorder="1" applyAlignment="1">
      <alignment horizontal="center" vertical="center"/>
    </xf>
    <xf numFmtId="0" fontId="25" fillId="2" borderId="9" xfId="0" applyFont="1" applyFill="1" applyBorder="1" applyAlignment="1">
      <alignment horizontal="center" vertical="center" wrapText="1"/>
    </xf>
    <xf numFmtId="0" fontId="30" fillId="2" borderId="9" xfId="0" applyFont="1" applyFill="1" applyBorder="1" applyAlignment="1">
      <alignment horizontal="center" vertical="center" wrapText="1" indent="1"/>
    </xf>
    <xf numFmtId="44" fontId="0" fillId="3" borderId="9" xfId="0" applyNumberFormat="1" applyFill="1" applyBorder="1" applyAlignment="1">
      <alignment horizontal="center" vertical="center"/>
    </xf>
    <xf numFmtId="0" fontId="0" fillId="3" borderId="9" xfId="0" applyFill="1" applyBorder="1" applyAlignment="1">
      <alignment horizontal="center" vertical="center"/>
    </xf>
    <xf numFmtId="1" fontId="28" fillId="3" borderId="9" xfId="0" applyNumberFormat="1" applyFont="1" applyFill="1" applyBorder="1" applyAlignment="1">
      <alignment horizontal="center" vertical="center" wrapText="1"/>
    </xf>
    <xf numFmtId="165" fontId="0" fillId="3" borderId="9" xfId="0" applyNumberFormat="1" applyFill="1" applyBorder="1"/>
    <xf numFmtId="10" fontId="0" fillId="3" borderId="9" xfId="0" applyNumberFormat="1" applyFill="1" applyBorder="1"/>
    <xf numFmtId="165" fontId="28" fillId="3" borderId="9" xfId="0" applyNumberFormat="1" applyFont="1" applyFill="1" applyBorder="1" applyAlignment="1">
      <alignment wrapText="1"/>
    </xf>
    <xf numFmtId="165" fontId="0" fillId="3" borderId="9" xfId="0" applyNumberFormat="1" applyFill="1" applyBorder="1" applyAlignment="1">
      <alignment horizontal="center"/>
    </xf>
    <xf numFmtId="0" fontId="0" fillId="3" borderId="9" xfId="0" applyFill="1" applyBorder="1"/>
    <xf numFmtId="44" fontId="0" fillId="3" borderId="9" xfId="0" applyNumberFormat="1" applyFill="1" applyBorder="1"/>
    <xf numFmtId="0" fontId="0" fillId="3" borderId="9" xfId="0" applyFill="1" applyBorder="1" applyAlignment="1">
      <alignment horizontal="center" vertical="center" wrapText="1"/>
    </xf>
    <xf numFmtId="0" fontId="30" fillId="2" borderId="9"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6" fillId="2" borderId="0" xfId="0" applyFont="1" applyFill="1" applyAlignment="1">
      <alignment horizontal="center"/>
    </xf>
    <xf numFmtId="0" fontId="0" fillId="3" borderId="9" xfId="0" applyFill="1" applyBorder="1" applyAlignment="1">
      <alignment horizontal="center" wrapText="1"/>
    </xf>
    <xf numFmtId="0" fontId="0" fillId="3" borderId="9" xfId="0" applyFill="1" applyBorder="1" applyAlignment="1">
      <alignment horizontal="center" vertical="center" wrapText="1"/>
    </xf>
    <xf numFmtId="0" fontId="30" fillId="2" borderId="11" xfId="0" applyFont="1" applyFill="1" applyBorder="1" applyAlignment="1">
      <alignment horizontal="center" vertical="center"/>
    </xf>
    <xf numFmtId="0" fontId="30" fillId="2" borderId="12" xfId="0" applyFont="1" applyFill="1" applyBorder="1" applyAlignment="1">
      <alignment horizontal="center" vertical="center"/>
    </xf>
    <xf numFmtId="0" fontId="30" fillId="2" borderId="13" xfId="0" applyFont="1" applyFill="1" applyBorder="1" applyAlignment="1">
      <alignment horizontal="center" vertical="center"/>
    </xf>
    <xf numFmtId="0" fontId="30" fillId="2" borderId="9" xfId="0" applyFont="1" applyFill="1" applyBorder="1" applyAlignment="1">
      <alignment horizontal="center" vertical="center" wrapText="1"/>
    </xf>
    <xf numFmtId="0" fontId="30" fillId="2" borderId="9" xfId="0" applyFont="1" applyFill="1" applyBorder="1" applyAlignment="1">
      <alignment horizontal="center"/>
    </xf>
    <xf numFmtId="0" fontId="0" fillId="0" borderId="17" xfId="0" applyBorder="1" applyAlignment="1">
      <alignment horizontal="center" vertical="center" wrapText="1"/>
    </xf>
    <xf numFmtId="0" fontId="0" fillId="0" borderId="0" xfId="0" applyAlignment="1">
      <alignment horizontal="center" vertical="center" wrapText="1"/>
    </xf>
    <xf numFmtId="0" fontId="30" fillId="2" borderId="17" xfId="0" applyFont="1" applyFill="1" applyBorder="1" applyAlignment="1">
      <alignment horizontal="center"/>
    </xf>
    <xf numFmtId="0" fontId="30" fillId="2" borderId="0" xfId="0" applyFont="1" applyFill="1" applyAlignment="1">
      <alignment horizontal="center"/>
    </xf>
    <xf numFmtId="0" fontId="0" fillId="5" borderId="17" xfId="0" applyFill="1" applyBorder="1" applyAlignment="1">
      <alignment horizontal="center"/>
    </xf>
    <xf numFmtId="0" fontId="0" fillId="5" borderId="0" xfId="0" applyFill="1" applyAlignment="1">
      <alignment horizontal="center"/>
    </xf>
    <xf numFmtId="0" fontId="0" fillId="0" borderId="17" xfId="0" applyBorder="1" applyAlignment="1">
      <alignment horizontal="center"/>
    </xf>
    <xf numFmtId="0" fontId="0" fillId="0" borderId="0" xfId="0" applyAlignment="1">
      <alignment horizontal="center"/>
    </xf>
    <xf numFmtId="0" fontId="11" fillId="4" borderId="10" xfId="0" applyFont="1" applyFill="1" applyBorder="1" applyAlignment="1">
      <alignment horizontal="center" vertical="center"/>
    </xf>
    <xf numFmtId="0" fontId="11" fillId="2" borderId="9"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6" fillId="2" borderId="1" xfId="0" applyFont="1" applyFill="1" applyBorder="1" applyAlignment="1">
      <alignment horizontal="center" vertical="center"/>
    </xf>
    <xf numFmtId="0" fontId="11" fillId="4" borderId="6"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14" fillId="4" borderId="2" xfId="0" applyFont="1" applyFill="1" applyBorder="1" applyAlignment="1">
      <alignment horizontal="center" vertical="center"/>
    </xf>
    <xf numFmtId="0" fontId="14" fillId="4" borderId="3" xfId="0" applyFont="1" applyFill="1" applyBorder="1" applyAlignment="1">
      <alignment horizontal="center" vertical="center"/>
    </xf>
    <xf numFmtId="0" fontId="14" fillId="4" borderId="2" xfId="0" applyFont="1" applyFill="1" applyBorder="1" applyAlignment="1">
      <alignment horizontal="center" vertical="center" wrapText="1"/>
    </xf>
    <xf numFmtId="0" fontId="14" fillId="4" borderId="3" xfId="0" applyFont="1" applyFill="1" applyBorder="1" applyAlignment="1">
      <alignment horizontal="center" vertical="center" wrapText="1"/>
    </xf>
    <xf numFmtId="0" fontId="10" fillId="2" borderId="1" xfId="0" applyFont="1" applyFill="1" applyBorder="1" applyAlignment="1">
      <alignment horizontal="center"/>
    </xf>
    <xf numFmtId="0" fontId="22" fillId="2" borderId="1" xfId="0" applyFont="1" applyFill="1" applyBorder="1" applyAlignment="1">
      <alignment horizontal="center"/>
    </xf>
    <xf numFmtId="0" fontId="21" fillId="2" borderId="4" xfId="0" applyFont="1" applyFill="1" applyBorder="1" applyAlignment="1">
      <alignment horizontal="center" wrapText="1"/>
    </xf>
    <xf numFmtId="0" fontId="21" fillId="2" borderId="6" xfId="0" applyFont="1" applyFill="1" applyBorder="1" applyAlignment="1">
      <alignment horizontal="center" wrapText="1"/>
    </xf>
    <xf numFmtId="0" fontId="21" fillId="2" borderId="5" xfId="0" applyFont="1" applyFill="1" applyBorder="1" applyAlignment="1">
      <alignment horizontal="center" wrapText="1"/>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9" fillId="2" borderId="14" xfId="0" applyFont="1" applyFill="1" applyBorder="1" applyAlignment="1">
      <alignment horizontal="center" vertical="center"/>
    </xf>
    <xf numFmtId="0" fontId="9" fillId="2" borderId="15" xfId="0" applyFont="1" applyFill="1" applyBorder="1" applyAlignment="1">
      <alignment horizontal="center" vertical="center"/>
    </xf>
    <xf numFmtId="0" fontId="9" fillId="2" borderId="16" xfId="0" applyFont="1" applyFill="1" applyBorder="1" applyAlignment="1">
      <alignment horizontal="center" vertical="center"/>
    </xf>
    <xf numFmtId="0" fontId="9" fillId="2" borderId="11" xfId="0" applyFont="1" applyFill="1" applyBorder="1" applyAlignment="1">
      <alignment horizontal="center" vertical="center"/>
    </xf>
    <xf numFmtId="0" fontId="9" fillId="2" borderId="12" xfId="0" applyFont="1" applyFill="1" applyBorder="1" applyAlignment="1">
      <alignment horizontal="center" vertical="center"/>
    </xf>
    <xf numFmtId="0" fontId="9" fillId="2" borderId="13" xfId="0" applyFont="1" applyFill="1" applyBorder="1" applyAlignment="1">
      <alignment horizontal="center" vertical="center"/>
    </xf>
    <xf numFmtId="0" fontId="0" fillId="0" borderId="9" xfId="0" applyBorder="1" applyAlignment="1">
      <alignment horizontal="center" vertical="center"/>
    </xf>
    <xf numFmtId="0" fontId="11" fillId="4" borderId="9" xfId="0" applyFont="1" applyFill="1" applyBorder="1" applyAlignment="1">
      <alignment horizontal="center"/>
    </xf>
    <xf numFmtId="0" fontId="11" fillId="4" borderId="1" xfId="0" applyFont="1" applyFill="1" applyBorder="1" applyAlignment="1">
      <alignment horizontal="center"/>
    </xf>
    <xf numFmtId="9" fontId="19" fillId="3" borderId="2" xfId="1" applyFont="1" applyFill="1" applyBorder="1" applyAlignment="1">
      <alignment horizontal="center" vertical="center"/>
    </xf>
    <xf numFmtId="0" fontId="27" fillId="3" borderId="1" xfId="0" applyFont="1" applyFill="1" applyBorder="1" applyAlignment="1">
      <alignment horizontal="center" vertical="center"/>
    </xf>
    <xf numFmtId="0" fontId="27" fillId="3" borderId="1" xfId="0" applyFont="1" applyFill="1" applyBorder="1" applyAlignment="1">
      <alignment horizontal="center" wrapText="1"/>
    </xf>
    <xf numFmtId="2" fontId="20" fillId="3" borderId="4" xfId="0" applyNumberFormat="1" applyFont="1" applyFill="1" applyBorder="1" applyAlignment="1">
      <alignment horizontal="center" vertical="center"/>
    </xf>
    <xf numFmtId="2" fontId="20" fillId="3" borderId="6" xfId="0" applyNumberFormat="1" applyFont="1" applyFill="1" applyBorder="1" applyAlignment="1">
      <alignment horizontal="center" vertical="center"/>
    </xf>
    <xf numFmtId="2" fontId="20" fillId="3" borderId="5" xfId="0" applyNumberFormat="1" applyFont="1" applyFill="1" applyBorder="1" applyAlignment="1">
      <alignment horizontal="center" vertical="center"/>
    </xf>
    <xf numFmtId="165" fontId="20" fillId="3" borderId="1" xfId="0" applyNumberFormat="1" applyFont="1" applyFill="1" applyBorder="1" applyAlignment="1">
      <alignment horizontal="center" vertical="center"/>
    </xf>
    <xf numFmtId="0" fontId="20" fillId="3" borderId="1" xfId="0" applyFont="1" applyFill="1" applyBorder="1" applyAlignment="1">
      <alignment horizontal="center" vertical="center"/>
    </xf>
    <xf numFmtId="0" fontId="30" fillId="4" borderId="10" xfId="0" applyFont="1" applyFill="1" applyBorder="1" applyAlignment="1">
      <alignment horizontal="center"/>
    </xf>
    <xf numFmtId="0" fontId="30" fillId="4" borderId="11" xfId="0" applyFont="1" applyFill="1" applyBorder="1" applyAlignment="1">
      <alignment horizontal="center" vertical="center"/>
    </xf>
    <xf numFmtId="0" fontId="30" fillId="4" borderId="12" xfId="0" applyFont="1" applyFill="1" applyBorder="1" applyAlignment="1">
      <alignment horizontal="center" vertical="center"/>
    </xf>
    <xf numFmtId="0" fontId="30" fillId="4" borderId="13" xfId="0" applyFont="1" applyFill="1" applyBorder="1" applyAlignment="1">
      <alignment horizontal="center" vertical="center"/>
    </xf>
    <xf numFmtId="0" fontId="30" fillId="2" borderId="11" xfId="0" applyFont="1" applyFill="1" applyBorder="1" applyAlignment="1">
      <alignment horizontal="center" vertical="center" wrapText="1"/>
    </xf>
    <xf numFmtId="0" fontId="30" fillId="2" borderId="12" xfId="0" applyFont="1" applyFill="1" applyBorder="1" applyAlignment="1">
      <alignment horizontal="center" vertical="center" wrapText="1"/>
    </xf>
    <xf numFmtId="0" fontId="30" fillId="2" borderId="13" xfId="0" applyFont="1" applyFill="1"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Light16"/>
  <colors>
    <mruColors>
      <color rgb="FFA18262"/>
      <color rgb="FFB56727"/>
      <color rgb="FF8D4004"/>
      <color rgb="FFD7C1A8"/>
      <color rgb="FFF7CCA1"/>
      <color rgb="FFFEF8CE"/>
      <color rgb="FFD67229"/>
      <color rgb="FFB256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hyperlink" Target="#Resultados!A1"/><Relationship Id="rId3" Type="http://schemas.openxmlformats.org/officeDocument/2006/relationships/hyperlink" Target="#EdoResultados!A1"/><Relationship Id="rId7" Type="http://schemas.openxmlformats.org/officeDocument/2006/relationships/hyperlink" Target="#Metodos!A1"/><Relationship Id="rId2" Type="http://schemas.openxmlformats.org/officeDocument/2006/relationships/hyperlink" Target="#Datos!A1"/><Relationship Id="rId1" Type="http://schemas.openxmlformats.org/officeDocument/2006/relationships/hyperlink" Target="#Antecedentes!A1"/><Relationship Id="rId6" Type="http://schemas.openxmlformats.org/officeDocument/2006/relationships/hyperlink" Target="#PuntoEq!A1"/><Relationship Id="rId5" Type="http://schemas.openxmlformats.org/officeDocument/2006/relationships/hyperlink" Target="#BalanceGral!A1"/><Relationship Id="rId4" Type="http://schemas.openxmlformats.org/officeDocument/2006/relationships/hyperlink" Target="#FlujoEfec!A1"/></Relationships>
</file>

<file path=xl/drawings/_rels/drawing2.xml.rels><?xml version="1.0" encoding="UTF-8" standalone="yes"?>
<Relationships xmlns="http://schemas.openxmlformats.org/package/2006/relationships"><Relationship Id="rId8" Type="http://schemas.openxmlformats.org/officeDocument/2006/relationships/hyperlink" Target="#Resultados!A1"/><Relationship Id="rId3" Type="http://schemas.openxmlformats.org/officeDocument/2006/relationships/hyperlink" Target="#EdoResultados!A1"/><Relationship Id="rId7" Type="http://schemas.openxmlformats.org/officeDocument/2006/relationships/hyperlink" Target="#Metodos!A1"/><Relationship Id="rId2" Type="http://schemas.openxmlformats.org/officeDocument/2006/relationships/hyperlink" Target="#Datos!A1"/><Relationship Id="rId1" Type="http://schemas.openxmlformats.org/officeDocument/2006/relationships/hyperlink" Target="#Antecedentes!A1"/><Relationship Id="rId6" Type="http://schemas.openxmlformats.org/officeDocument/2006/relationships/hyperlink" Target="#PuntoEq!A1"/><Relationship Id="rId5" Type="http://schemas.openxmlformats.org/officeDocument/2006/relationships/hyperlink" Target="#BalanceGral!A1"/><Relationship Id="rId4" Type="http://schemas.openxmlformats.org/officeDocument/2006/relationships/hyperlink" Target="#FlujoEfec!A1"/></Relationships>
</file>

<file path=xl/drawings/_rels/drawing3.xml.rels><?xml version="1.0" encoding="UTF-8" standalone="yes"?>
<Relationships xmlns="http://schemas.openxmlformats.org/package/2006/relationships"><Relationship Id="rId8" Type="http://schemas.openxmlformats.org/officeDocument/2006/relationships/hyperlink" Target="#Resultados!A1"/><Relationship Id="rId3" Type="http://schemas.openxmlformats.org/officeDocument/2006/relationships/hyperlink" Target="#EdoResultados!A1"/><Relationship Id="rId7" Type="http://schemas.openxmlformats.org/officeDocument/2006/relationships/hyperlink" Target="#Metodos!A1"/><Relationship Id="rId2" Type="http://schemas.openxmlformats.org/officeDocument/2006/relationships/hyperlink" Target="#Datos!A1"/><Relationship Id="rId1" Type="http://schemas.openxmlformats.org/officeDocument/2006/relationships/hyperlink" Target="#Antecedentes!A1"/><Relationship Id="rId6" Type="http://schemas.openxmlformats.org/officeDocument/2006/relationships/hyperlink" Target="#PuntoEq!A1"/><Relationship Id="rId5" Type="http://schemas.openxmlformats.org/officeDocument/2006/relationships/hyperlink" Target="#BalanceGral!A1"/><Relationship Id="rId4" Type="http://schemas.openxmlformats.org/officeDocument/2006/relationships/hyperlink" Target="#FlujoEfec!A1"/></Relationships>
</file>

<file path=xl/drawings/_rels/drawing4.xml.rels><?xml version="1.0" encoding="UTF-8" standalone="yes"?>
<Relationships xmlns="http://schemas.openxmlformats.org/package/2006/relationships"><Relationship Id="rId8" Type="http://schemas.openxmlformats.org/officeDocument/2006/relationships/hyperlink" Target="#Resultados!A1"/><Relationship Id="rId3" Type="http://schemas.openxmlformats.org/officeDocument/2006/relationships/hyperlink" Target="#EdoResultados!A1"/><Relationship Id="rId7" Type="http://schemas.openxmlformats.org/officeDocument/2006/relationships/hyperlink" Target="#Metodos!A1"/><Relationship Id="rId2" Type="http://schemas.openxmlformats.org/officeDocument/2006/relationships/hyperlink" Target="#Datos!A1"/><Relationship Id="rId1" Type="http://schemas.openxmlformats.org/officeDocument/2006/relationships/hyperlink" Target="#Antecedentes!A1"/><Relationship Id="rId6" Type="http://schemas.openxmlformats.org/officeDocument/2006/relationships/hyperlink" Target="#PuntoEq!A1"/><Relationship Id="rId5" Type="http://schemas.openxmlformats.org/officeDocument/2006/relationships/hyperlink" Target="#BalanceGral!A1"/><Relationship Id="rId4" Type="http://schemas.openxmlformats.org/officeDocument/2006/relationships/hyperlink" Target="#FlujoEfec!A1"/></Relationships>
</file>

<file path=xl/drawings/_rels/drawing5.xml.rels><?xml version="1.0" encoding="UTF-8" standalone="yes"?>
<Relationships xmlns="http://schemas.openxmlformats.org/package/2006/relationships"><Relationship Id="rId8" Type="http://schemas.openxmlformats.org/officeDocument/2006/relationships/hyperlink" Target="#Resultados!A1"/><Relationship Id="rId3" Type="http://schemas.openxmlformats.org/officeDocument/2006/relationships/hyperlink" Target="#EdoResultados!A1"/><Relationship Id="rId7" Type="http://schemas.openxmlformats.org/officeDocument/2006/relationships/hyperlink" Target="#Metodos!A1"/><Relationship Id="rId2" Type="http://schemas.openxmlformats.org/officeDocument/2006/relationships/hyperlink" Target="#Datos!A1"/><Relationship Id="rId1" Type="http://schemas.openxmlformats.org/officeDocument/2006/relationships/hyperlink" Target="#Antecedentes!A1"/><Relationship Id="rId6" Type="http://schemas.openxmlformats.org/officeDocument/2006/relationships/hyperlink" Target="#PuntoEq!A1"/><Relationship Id="rId5" Type="http://schemas.openxmlformats.org/officeDocument/2006/relationships/hyperlink" Target="#BalanceGral!A1"/><Relationship Id="rId4" Type="http://schemas.openxmlformats.org/officeDocument/2006/relationships/hyperlink" Target="#FlujoEfec!A1"/></Relationships>
</file>

<file path=xl/drawings/_rels/drawing6.xml.rels><?xml version="1.0" encoding="UTF-8" standalone="yes"?>
<Relationships xmlns="http://schemas.openxmlformats.org/package/2006/relationships"><Relationship Id="rId8" Type="http://schemas.openxmlformats.org/officeDocument/2006/relationships/hyperlink" Target="#Resultados!A1"/><Relationship Id="rId3" Type="http://schemas.openxmlformats.org/officeDocument/2006/relationships/hyperlink" Target="#EdoResultados!A1"/><Relationship Id="rId7" Type="http://schemas.openxmlformats.org/officeDocument/2006/relationships/hyperlink" Target="#Metodos!A1"/><Relationship Id="rId2" Type="http://schemas.openxmlformats.org/officeDocument/2006/relationships/hyperlink" Target="#Datos!A1"/><Relationship Id="rId1" Type="http://schemas.openxmlformats.org/officeDocument/2006/relationships/hyperlink" Target="#Antecedentes!A1"/><Relationship Id="rId6" Type="http://schemas.openxmlformats.org/officeDocument/2006/relationships/hyperlink" Target="#PuntoEq!A1"/><Relationship Id="rId5" Type="http://schemas.openxmlformats.org/officeDocument/2006/relationships/hyperlink" Target="#BalanceGral!A1"/><Relationship Id="rId4" Type="http://schemas.openxmlformats.org/officeDocument/2006/relationships/hyperlink" Target="#FlujoEfec!A1"/></Relationships>
</file>

<file path=xl/drawings/_rels/drawing7.xml.rels><?xml version="1.0" encoding="UTF-8" standalone="yes"?>
<Relationships xmlns="http://schemas.openxmlformats.org/package/2006/relationships"><Relationship Id="rId8" Type="http://schemas.openxmlformats.org/officeDocument/2006/relationships/hyperlink" Target="#Resultados!A1"/><Relationship Id="rId3" Type="http://schemas.openxmlformats.org/officeDocument/2006/relationships/hyperlink" Target="#EdoResultados!A1"/><Relationship Id="rId7" Type="http://schemas.openxmlformats.org/officeDocument/2006/relationships/hyperlink" Target="#Metodos!A1"/><Relationship Id="rId2" Type="http://schemas.openxmlformats.org/officeDocument/2006/relationships/hyperlink" Target="#Datos!A1"/><Relationship Id="rId1" Type="http://schemas.openxmlformats.org/officeDocument/2006/relationships/hyperlink" Target="#Antecedentes!A1"/><Relationship Id="rId6" Type="http://schemas.openxmlformats.org/officeDocument/2006/relationships/hyperlink" Target="#PuntoEq!A1"/><Relationship Id="rId5" Type="http://schemas.openxmlformats.org/officeDocument/2006/relationships/hyperlink" Target="#BalanceGral!A1"/><Relationship Id="rId4" Type="http://schemas.openxmlformats.org/officeDocument/2006/relationships/hyperlink" Target="#FlujoEfec!A1"/></Relationships>
</file>

<file path=xl/drawings/_rels/drawing8.xml.rels><?xml version="1.0" encoding="UTF-8" standalone="yes"?>
<Relationships xmlns="http://schemas.openxmlformats.org/package/2006/relationships"><Relationship Id="rId8" Type="http://schemas.openxmlformats.org/officeDocument/2006/relationships/hyperlink" Target="#Resultados!A1"/><Relationship Id="rId3" Type="http://schemas.openxmlformats.org/officeDocument/2006/relationships/hyperlink" Target="#EdoResultados!A1"/><Relationship Id="rId7" Type="http://schemas.openxmlformats.org/officeDocument/2006/relationships/hyperlink" Target="#Metodos!A1"/><Relationship Id="rId2" Type="http://schemas.openxmlformats.org/officeDocument/2006/relationships/hyperlink" Target="#Datos!A1"/><Relationship Id="rId1" Type="http://schemas.openxmlformats.org/officeDocument/2006/relationships/hyperlink" Target="#Antecedentes!A1"/><Relationship Id="rId6" Type="http://schemas.openxmlformats.org/officeDocument/2006/relationships/hyperlink" Target="#PuntoEq!A1"/><Relationship Id="rId5" Type="http://schemas.openxmlformats.org/officeDocument/2006/relationships/hyperlink" Target="#BalanceGral!A1"/><Relationship Id="rId4" Type="http://schemas.openxmlformats.org/officeDocument/2006/relationships/hyperlink" Target="#FlujoEfec!A1"/></Relationships>
</file>

<file path=xl/drawings/_rels/drawing9.xml.rels><?xml version="1.0" encoding="UTF-8" standalone="yes"?>
<Relationships xmlns="http://schemas.openxmlformats.org/package/2006/relationships"><Relationship Id="rId8" Type="http://schemas.openxmlformats.org/officeDocument/2006/relationships/hyperlink" Target="#Resultados!A1"/><Relationship Id="rId3" Type="http://schemas.openxmlformats.org/officeDocument/2006/relationships/hyperlink" Target="#EdoResultados!A1"/><Relationship Id="rId7" Type="http://schemas.openxmlformats.org/officeDocument/2006/relationships/hyperlink" Target="#Metodos!A1"/><Relationship Id="rId2" Type="http://schemas.openxmlformats.org/officeDocument/2006/relationships/hyperlink" Target="#Datos!A1"/><Relationship Id="rId1" Type="http://schemas.openxmlformats.org/officeDocument/2006/relationships/hyperlink" Target="#Antecedentes!A1"/><Relationship Id="rId6" Type="http://schemas.openxmlformats.org/officeDocument/2006/relationships/hyperlink" Target="#PuntoEq!A1"/><Relationship Id="rId5" Type="http://schemas.openxmlformats.org/officeDocument/2006/relationships/hyperlink" Target="#BalanceGral!A1"/><Relationship Id="rId4" Type="http://schemas.openxmlformats.org/officeDocument/2006/relationships/hyperlink" Target="#FlujoEfec!A1"/></Relationships>
</file>

<file path=xl/drawings/drawing1.xml><?xml version="1.0" encoding="utf-8"?>
<xdr:wsDr xmlns:xdr="http://schemas.openxmlformats.org/drawingml/2006/spreadsheetDrawing" xmlns:a="http://schemas.openxmlformats.org/drawingml/2006/main">
  <xdr:twoCellAnchor>
    <xdr:from>
      <xdr:col>0</xdr:col>
      <xdr:colOff>323850</xdr:colOff>
      <xdr:row>0</xdr:row>
      <xdr:rowOff>171450</xdr:rowOff>
    </xdr:from>
    <xdr:to>
      <xdr:col>15</xdr:col>
      <xdr:colOff>85725</xdr:colOff>
      <xdr:row>6</xdr:row>
      <xdr:rowOff>38100</xdr:rowOff>
    </xdr:to>
    <xdr:sp macro="" textlink="">
      <xdr:nvSpPr>
        <xdr:cNvPr id="2" name="Rectángulo: esquinas redondeadas 1">
          <a:extLst>
            <a:ext uri="{FF2B5EF4-FFF2-40B4-BE49-F238E27FC236}">
              <a16:creationId xmlns:a16="http://schemas.microsoft.com/office/drawing/2014/main" id="{A38612FF-2C1D-4E61-80F6-2F4E00039F91}"/>
            </a:ext>
          </a:extLst>
        </xdr:cNvPr>
        <xdr:cNvSpPr/>
      </xdr:nvSpPr>
      <xdr:spPr>
        <a:xfrm>
          <a:off x="323850" y="171450"/>
          <a:ext cx="11868150" cy="1009650"/>
        </a:xfrm>
        <a:prstGeom prst="roundRect">
          <a:avLst/>
        </a:prstGeom>
        <a:solidFill>
          <a:srgbClr val="8D4004"/>
        </a:solidFill>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4400" b="1" i="0" u="none" strike="noStrike">
              <a:solidFill>
                <a:schemeClr val="lt1"/>
              </a:solidFill>
              <a:effectLst/>
              <a:latin typeface="Bernard MT Condensed" panose="02050806060905020404" pitchFamily="18" charset="0"/>
              <a:ea typeface="+mn-ea"/>
              <a:cs typeface="+mn-cs"/>
            </a:rPr>
            <a:t>Evaluación financiera de un proyecto de inversión</a:t>
          </a:r>
          <a:endParaRPr lang="es-MX" sz="4400">
            <a:latin typeface="Bernard MT Condensed" panose="02050806060905020404" pitchFamily="18" charset="0"/>
          </a:endParaRPr>
        </a:p>
      </xdr:txBody>
    </xdr:sp>
    <xdr:clientData/>
  </xdr:twoCellAnchor>
  <xdr:twoCellAnchor>
    <xdr:from>
      <xdr:col>0</xdr:col>
      <xdr:colOff>552450</xdr:colOff>
      <xdr:row>8</xdr:row>
      <xdr:rowOff>171450</xdr:rowOff>
    </xdr:from>
    <xdr:to>
      <xdr:col>4</xdr:col>
      <xdr:colOff>114300</xdr:colOff>
      <xdr:row>14</xdr:row>
      <xdr:rowOff>9525</xdr:rowOff>
    </xdr:to>
    <xdr:sp macro="" textlink="">
      <xdr:nvSpPr>
        <xdr:cNvPr id="3" name="Marco 2">
          <a:hlinkClick xmlns:r="http://schemas.openxmlformats.org/officeDocument/2006/relationships" r:id="rId1"/>
          <a:extLst>
            <a:ext uri="{FF2B5EF4-FFF2-40B4-BE49-F238E27FC236}">
              <a16:creationId xmlns:a16="http://schemas.microsoft.com/office/drawing/2014/main" id="{15D3E0C3-23F8-4CA1-84EF-B40CD8D07FEA}"/>
            </a:ext>
          </a:extLst>
        </xdr:cNvPr>
        <xdr:cNvSpPr/>
      </xdr:nvSpPr>
      <xdr:spPr>
        <a:xfrm>
          <a:off x="552450" y="1695450"/>
          <a:ext cx="3286125" cy="981075"/>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3600">
              <a:solidFill>
                <a:schemeClr val="tx1"/>
              </a:solidFill>
              <a:latin typeface="Bernard MT Condensed" panose="02050806060905020404" pitchFamily="18" charset="0"/>
            </a:rPr>
            <a:t>Antecedentes</a:t>
          </a:r>
        </a:p>
      </xdr:txBody>
    </xdr:sp>
    <xdr:clientData/>
  </xdr:twoCellAnchor>
  <xdr:twoCellAnchor>
    <xdr:from>
      <xdr:col>5</xdr:col>
      <xdr:colOff>314324</xdr:colOff>
      <xdr:row>9</xdr:row>
      <xdr:rowOff>9525</xdr:rowOff>
    </xdr:from>
    <xdr:to>
      <xdr:col>9</xdr:col>
      <xdr:colOff>560324</xdr:colOff>
      <xdr:row>14</xdr:row>
      <xdr:rowOff>38100</xdr:rowOff>
    </xdr:to>
    <xdr:sp macro="" textlink="">
      <xdr:nvSpPr>
        <xdr:cNvPr id="4" name="Marco 3">
          <a:hlinkClick xmlns:r="http://schemas.openxmlformats.org/officeDocument/2006/relationships" r:id="rId2"/>
          <a:extLst>
            <a:ext uri="{FF2B5EF4-FFF2-40B4-BE49-F238E27FC236}">
              <a16:creationId xmlns:a16="http://schemas.microsoft.com/office/drawing/2014/main" id="{725CEB19-D49C-4BEC-AA47-B7BA8A7BF804}"/>
            </a:ext>
          </a:extLst>
        </xdr:cNvPr>
        <xdr:cNvSpPr/>
      </xdr:nvSpPr>
      <xdr:spPr>
        <a:xfrm>
          <a:off x="4800599" y="1724025"/>
          <a:ext cx="3294000" cy="981075"/>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3600">
              <a:solidFill>
                <a:schemeClr val="tx1"/>
              </a:solidFill>
              <a:latin typeface="Bernard MT Condensed" panose="02050806060905020404" pitchFamily="18" charset="0"/>
            </a:rPr>
            <a:t>Datos</a:t>
          </a:r>
        </a:p>
      </xdr:txBody>
    </xdr:sp>
    <xdr:clientData/>
  </xdr:twoCellAnchor>
  <xdr:twoCellAnchor>
    <xdr:from>
      <xdr:col>10</xdr:col>
      <xdr:colOff>542924</xdr:colOff>
      <xdr:row>9</xdr:row>
      <xdr:rowOff>9525</xdr:rowOff>
    </xdr:from>
    <xdr:to>
      <xdr:col>15</xdr:col>
      <xdr:colOff>26924</xdr:colOff>
      <xdr:row>14</xdr:row>
      <xdr:rowOff>38100</xdr:rowOff>
    </xdr:to>
    <xdr:sp macro="" textlink="">
      <xdr:nvSpPr>
        <xdr:cNvPr id="5" name="Marco 4">
          <a:hlinkClick xmlns:r="http://schemas.openxmlformats.org/officeDocument/2006/relationships" r:id="rId3"/>
          <a:extLst>
            <a:ext uri="{FF2B5EF4-FFF2-40B4-BE49-F238E27FC236}">
              <a16:creationId xmlns:a16="http://schemas.microsoft.com/office/drawing/2014/main" id="{817F284C-A110-423F-9C69-900B4A7C2F5E}"/>
            </a:ext>
          </a:extLst>
        </xdr:cNvPr>
        <xdr:cNvSpPr/>
      </xdr:nvSpPr>
      <xdr:spPr>
        <a:xfrm>
          <a:off x="8839199" y="1724025"/>
          <a:ext cx="3294000" cy="981075"/>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800">
              <a:solidFill>
                <a:schemeClr val="tx1"/>
              </a:solidFill>
              <a:latin typeface="Bernard MT Condensed" panose="02050806060905020404" pitchFamily="18" charset="0"/>
            </a:rPr>
            <a:t>Estado de resultados</a:t>
          </a:r>
        </a:p>
      </xdr:txBody>
    </xdr:sp>
    <xdr:clientData/>
  </xdr:twoCellAnchor>
  <xdr:twoCellAnchor>
    <xdr:from>
      <xdr:col>0</xdr:col>
      <xdr:colOff>561974</xdr:colOff>
      <xdr:row>17</xdr:row>
      <xdr:rowOff>9525</xdr:rowOff>
    </xdr:from>
    <xdr:to>
      <xdr:col>4</xdr:col>
      <xdr:colOff>131699</xdr:colOff>
      <xdr:row>22</xdr:row>
      <xdr:rowOff>38100</xdr:rowOff>
    </xdr:to>
    <xdr:sp macro="" textlink="">
      <xdr:nvSpPr>
        <xdr:cNvPr id="6" name="Marco 5">
          <a:hlinkClick xmlns:r="http://schemas.openxmlformats.org/officeDocument/2006/relationships" r:id="rId4"/>
          <a:extLst>
            <a:ext uri="{FF2B5EF4-FFF2-40B4-BE49-F238E27FC236}">
              <a16:creationId xmlns:a16="http://schemas.microsoft.com/office/drawing/2014/main" id="{1A19BEE2-7729-4F61-B2AA-C65A40CFDF7F}"/>
            </a:ext>
          </a:extLst>
        </xdr:cNvPr>
        <xdr:cNvSpPr/>
      </xdr:nvSpPr>
      <xdr:spPr>
        <a:xfrm>
          <a:off x="561974" y="3248025"/>
          <a:ext cx="3294000" cy="981075"/>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800">
              <a:solidFill>
                <a:schemeClr val="tx1"/>
              </a:solidFill>
              <a:latin typeface="Bernard MT Condensed" panose="02050806060905020404" pitchFamily="18" charset="0"/>
            </a:rPr>
            <a:t>Flujo de efectivo</a:t>
          </a:r>
        </a:p>
      </xdr:txBody>
    </xdr:sp>
    <xdr:clientData/>
  </xdr:twoCellAnchor>
  <xdr:twoCellAnchor>
    <xdr:from>
      <xdr:col>5</xdr:col>
      <xdr:colOff>333374</xdr:colOff>
      <xdr:row>17</xdr:row>
      <xdr:rowOff>19050</xdr:rowOff>
    </xdr:from>
    <xdr:to>
      <xdr:col>9</xdr:col>
      <xdr:colOff>579374</xdr:colOff>
      <xdr:row>22</xdr:row>
      <xdr:rowOff>47625</xdr:rowOff>
    </xdr:to>
    <xdr:sp macro="" textlink="">
      <xdr:nvSpPr>
        <xdr:cNvPr id="7" name="Marco 6">
          <a:hlinkClick xmlns:r="http://schemas.openxmlformats.org/officeDocument/2006/relationships" r:id="rId5"/>
          <a:extLst>
            <a:ext uri="{FF2B5EF4-FFF2-40B4-BE49-F238E27FC236}">
              <a16:creationId xmlns:a16="http://schemas.microsoft.com/office/drawing/2014/main" id="{6419A2A5-13FD-423B-9A0E-ECD89EBA1181}"/>
            </a:ext>
          </a:extLst>
        </xdr:cNvPr>
        <xdr:cNvSpPr/>
      </xdr:nvSpPr>
      <xdr:spPr>
        <a:xfrm>
          <a:off x="4819649" y="3257550"/>
          <a:ext cx="3294000" cy="981075"/>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800" b="0">
              <a:solidFill>
                <a:sysClr val="windowText" lastClr="000000"/>
              </a:solidFill>
              <a:latin typeface="Bernard MT Condensed" panose="02050806060905020404" pitchFamily="18" charset="0"/>
            </a:rPr>
            <a:t>Balance general</a:t>
          </a:r>
        </a:p>
      </xdr:txBody>
    </xdr:sp>
    <xdr:clientData/>
  </xdr:twoCellAnchor>
  <xdr:twoCellAnchor>
    <xdr:from>
      <xdr:col>10</xdr:col>
      <xdr:colOff>552449</xdr:colOff>
      <xdr:row>17</xdr:row>
      <xdr:rowOff>0</xdr:rowOff>
    </xdr:from>
    <xdr:to>
      <xdr:col>15</xdr:col>
      <xdr:colOff>36449</xdr:colOff>
      <xdr:row>22</xdr:row>
      <xdr:rowOff>28575</xdr:rowOff>
    </xdr:to>
    <xdr:sp macro="" textlink="">
      <xdr:nvSpPr>
        <xdr:cNvPr id="8" name="Marco 7">
          <a:hlinkClick xmlns:r="http://schemas.openxmlformats.org/officeDocument/2006/relationships" r:id="rId6"/>
          <a:extLst>
            <a:ext uri="{FF2B5EF4-FFF2-40B4-BE49-F238E27FC236}">
              <a16:creationId xmlns:a16="http://schemas.microsoft.com/office/drawing/2014/main" id="{85591CE3-D85D-4E2F-95FF-1F02C721CF05}"/>
            </a:ext>
          </a:extLst>
        </xdr:cNvPr>
        <xdr:cNvSpPr/>
      </xdr:nvSpPr>
      <xdr:spPr>
        <a:xfrm>
          <a:off x="8848724" y="3238500"/>
          <a:ext cx="3294000" cy="981075"/>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800">
              <a:solidFill>
                <a:schemeClr val="tx1"/>
              </a:solidFill>
              <a:latin typeface="Bernard MT Condensed" panose="02050806060905020404" pitchFamily="18" charset="0"/>
            </a:rPr>
            <a:t>Punto de equilibrio</a:t>
          </a:r>
        </a:p>
      </xdr:txBody>
    </xdr:sp>
    <xdr:clientData/>
  </xdr:twoCellAnchor>
  <xdr:twoCellAnchor>
    <xdr:from>
      <xdr:col>0</xdr:col>
      <xdr:colOff>552449</xdr:colOff>
      <xdr:row>25</xdr:row>
      <xdr:rowOff>0</xdr:rowOff>
    </xdr:from>
    <xdr:to>
      <xdr:col>4</xdr:col>
      <xdr:colOff>158174</xdr:colOff>
      <xdr:row>30</xdr:row>
      <xdr:rowOff>28575</xdr:rowOff>
    </xdr:to>
    <xdr:sp macro="" textlink="">
      <xdr:nvSpPr>
        <xdr:cNvPr id="9" name="Marco 8">
          <a:hlinkClick xmlns:r="http://schemas.openxmlformats.org/officeDocument/2006/relationships" r:id="rId7"/>
          <a:extLst>
            <a:ext uri="{FF2B5EF4-FFF2-40B4-BE49-F238E27FC236}">
              <a16:creationId xmlns:a16="http://schemas.microsoft.com/office/drawing/2014/main" id="{7FEF0F5B-190A-4D5B-915C-5265491EA1E8}"/>
            </a:ext>
          </a:extLst>
        </xdr:cNvPr>
        <xdr:cNvSpPr/>
      </xdr:nvSpPr>
      <xdr:spPr>
        <a:xfrm>
          <a:off x="552449" y="4762500"/>
          <a:ext cx="3330000" cy="11811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000" b="0" i="0" u="none" strike="noStrike">
              <a:solidFill>
                <a:sysClr val="windowText" lastClr="000000"/>
              </a:solidFill>
              <a:effectLst/>
              <a:latin typeface="Bernard MT Condensed" panose="02050806060905020404" pitchFamily="18" charset="0"/>
              <a:ea typeface="+mn-ea"/>
              <a:cs typeface="+mn-cs"/>
            </a:rPr>
            <a:t>  Métodos de evaluación</a:t>
          </a:r>
          <a:r>
            <a:rPr lang="es-MX" sz="2000" b="0" i="0">
              <a:solidFill>
                <a:sysClr val="windowText" lastClr="000000"/>
              </a:solidFill>
              <a:effectLst/>
              <a:latin typeface="Bernard MT Condensed" panose="02050806060905020404" pitchFamily="18" charset="0"/>
              <a:ea typeface="+mn-ea"/>
              <a:cs typeface="+mn-cs"/>
            </a:rPr>
            <a:t>​ de un proyecto</a:t>
          </a:r>
          <a:r>
            <a:rPr lang="es-MX" sz="2000" b="0" i="0" baseline="0">
              <a:solidFill>
                <a:sysClr val="windowText" lastClr="000000"/>
              </a:solidFill>
              <a:effectLst/>
              <a:latin typeface="Bernard MT Condensed" panose="02050806060905020404" pitchFamily="18" charset="0"/>
              <a:ea typeface="+mn-ea"/>
              <a:cs typeface="+mn-cs"/>
            </a:rPr>
            <a:t> de inversión</a:t>
          </a:r>
          <a:endParaRPr lang="es-MX" sz="2000" b="0">
            <a:solidFill>
              <a:sysClr val="windowText" lastClr="000000"/>
            </a:solidFill>
            <a:latin typeface="Bernard MT Condensed" panose="02050806060905020404" pitchFamily="18" charset="0"/>
          </a:endParaRPr>
        </a:p>
      </xdr:txBody>
    </xdr:sp>
    <xdr:clientData/>
  </xdr:twoCellAnchor>
  <xdr:twoCellAnchor>
    <xdr:from>
      <xdr:col>5</xdr:col>
      <xdr:colOff>352425</xdr:colOff>
      <xdr:row>25</xdr:row>
      <xdr:rowOff>9525</xdr:rowOff>
    </xdr:from>
    <xdr:to>
      <xdr:col>9</xdr:col>
      <xdr:colOff>598425</xdr:colOff>
      <xdr:row>29</xdr:row>
      <xdr:rowOff>76200</xdr:rowOff>
    </xdr:to>
    <xdr:sp macro="" textlink="">
      <xdr:nvSpPr>
        <xdr:cNvPr id="10" name="Marco 9">
          <a:hlinkClick xmlns:r="http://schemas.openxmlformats.org/officeDocument/2006/relationships" r:id="rId8"/>
          <a:extLst>
            <a:ext uri="{FF2B5EF4-FFF2-40B4-BE49-F238E27FC236}">
              <a16:creationId xmlns:a16="http://schemas.microsoft.com/office/drawing/2014/main" id="{A7BDD966-591D-45D6-B150-7EB52FD9E45A}"/>
            </a:ext>
          </a:extLst>
        </xdr:cNvPr>
        <xdr:cNvSpPr/>
      </xdr:nvSpPr>
      <xdr:spPr>
        <a:xfrm>
          <a:off x="4838700" y="4772025"/>
          <a:ext cx="3294000" cy="981075"/>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800" b="0">
              <a:solidFill>
                <a:sysClr val="windowText" lastClr="000000"/>
              </a:solidFill>
              <a:latin typeface="Bernard MT Condensed" panose="02050806060905020404" pitchFamily="18" charset="0"/>
            </a:rPr>
            <a:t>Resultados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295275</xdr:colOff>
      <xdr:row>1</xdr:row>
      <xdr:rowOff>0</xdr:rowOff>
    </xdr:from>
    <xdr:to>
      <xdr:col>15</xdr:col>
      <xdr:colOff>733425</xdr:colOff>
      <xdr:row>6</xdr:row>
      <xdr:rowOff>57150</xdr:rowOff>
    </xdr:to>
    <xdr:sp macro="" textlink="">
      <xdr:nvSpPr>
        <xdr:cNvPr id="2" name="Rectángulo: esquinas redondeadas 1">
          <a:extLst>
            <a:ext uri="{FF2B5EF4-FFF2-40B4-BE49-F238E27FC236}">
              <a16:creationId xmlns:a16="http://schemas.microsoft.com/office/drawing/2014/main" id="{A6E47C73-1B17-46CF-8BC3-792661351D9E}"/>
            </a:ext>
          </a:extLst>
        </xdr:cNvPr>
        <xdr:cNvSpPr/>
      </xdr:nvSpPr>
      <xdr:spPr>
        <a:xfrm>
          <a:off x="295275" y="190500"/>
          <a:ext cx="11868150" cy="1009650"/>
        </a:xfrm>
        <a:prstGeom prst="roundRect">
          <a:avLst/>
        </a:prstGeom>
        <a:solidFill>
          <a:srgbClr val="8D4004"/>
        </a:solidFill>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4400" b="1" i="0" u="none" strike="noStrike">
              <a:solidFill>
                <a:schemeClr val="lt1"/>
              </a:solidFill>
              <a:effectLst/>
              <a:latin typeface="Bernard MT Condensed" panose="02050806060905020404" pitchFamily="18" charset="0"/>
              <a:ea typeface="+mn-ea"/>
              <a:cs typeface="+mn-cs"/>
            </a:rPr>
            <a:t>Antecedentes</a:t>
          </a:r>
          <a:endParaRPr lang="es-MX" sz="4400">
            <a:latin typeface="Bernard MT Condensed" panose="02050806060905020404" pitchFamily="18" charset="0"/>
          </a:endParaRPr>
        </a:p>
      </xdr:txBody>
    </xdr:sp>
    <xdr:clientData/>
  </xdr:twoCellAnchor>
  <xdr:twoCellAnchor>
    <xdr:from>
      <xdr:col>0</xdr:col>
      <xdr:colOff>638175</xdr:colOff>
      <xdr:row>6</xdr:row>
      <xdr:rowOff>114301</xdr:rowOff>
    </xdr:from>
    <xdr:to>
      <xdr:col>2</xdr:col>
      <xdr:colOff>323850</xdr:colOff>
      <xdr:row>8</xdr:row>
      <xdr:rowOff>165301</xdr:rowOff>
    </xdr:to>
    <xdr:sp macro="" textlink="">
      <xdr:nvSpPr>
        <xdr:cNvPr id="3" name="Marco 2">
          <a:hlinkClick xmlns:r="http://schemas.openxmlformats.org/officeDocument/2006/relationships" r:id="rId1"/>
          <a:extLst>
            <a:ext uri="{FF2B5EF4-FFF2-40B4-BE49-F238E27FC236}">
              <a16:creationId xmlns:a16="http://schemas.microsoft.com/office/drawing/2014/main" id="{1C0868D7-AC60-4CB0-8DB2-AA3E84A60F3D}"/>
            </a:ext>
          </a:extLst>
        </xdr:cNvPr>
        <xdr:cNvSpPr/>
      </xdr:nvSpPr>
      <xdr:spPr>
        <a:xfrm>
          <a:off x="638175" y="1257301"/>
          <a:ext cx="120967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Antecedentes</a:t>
          </a:r>
        </a:p>
      </xdr:txBody>
    </xdr:sp>
    <xdr:clientData/>
  </xdr:twoCellAnchor>
  <xdr:twoCellAnchor>
    <xdr:from>
      <xdr:col>2</xdr:col>
      <xdr:colOff>352425</xdr:colOff>
      <xdr:row>6</xdr:row>
      <xdr:rowOff>114300</xdr:rowOff>
    </xdr:from>
    <xdr:to>
      <xdr:col>3</xdr:col>
      <xdr:colOff>390525</xdr:colOff>
      <xdr:row>8</xdr:row>
      <xdr:rowOff>165300</xdr:rowOff>
    </xdr:to>
    <xdr:sp macro="" textlink="">
      <xdr:nvSpPr>
        <xdr:cNvPr id="4" name="Marco 3">
          <a:hlinkClick xmlns:r="http://schemas.openxmlformats.org/officeDocument/2006/relationships" r:id="rId2"/>
          <a:extLst>
            <a:ext uri="{FF2B5EF4-FFF2-40B4-BE49-F238E27FC236}">
              <a16:creationId xmlns:a16="http://schemas.microsoft.com/office/drawing/2014/main" id="{E66896ED-D341-4AF4-8F15-62B63F9D66F3}"/>
            </a:ext>
          </a:extLst>
        </xdr:cNvPr>
        <xdr:cNvSpPr/>
      </xdr:nvSpPr>
      <xdr:spPr>
        <a:xfrm>
          <a:off x="1876425" y="1257300"/>
          <a:ext cx="800100"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Datos</a:t>
          </a:r>
        </a:p>
      </xdr:txBody>
    </xdr:sp>
    <xdr:clientData/>
  </xdr:twoCellAnchor>
  <xdr:twoCellAnchor>
    <xdr:from>
      <xdr:col>3</xdr:col>
      <xdr:colOff>419099</xdr:colOff>
      <xdr:row>6</xdr:row>
      <xdr:rowOff>114300</xdr:rowOff>
    </xdr:from>
    <xdr:to>
      <xdr:col>5</xdr:col>
      <xdr:colOff>504824</xdr:colOff>
      <xdr:row>8</xdr:row>
      <xdr:rowOff>165300</xdr:rowOff>
    </xdr:to>
    <xdr:sp macro="" textlink="">
      <xdr:nvSpPr>
        <xdr:cNvPr id="5" name="Marco 4">
          <a:hlinkClick xmlns:r="http://schemas.openxmlformats.org/officeDocument/2006/relationships" r:id="rId3"/>
          <a:extLst>
            <a:ext uri="{FF2B5EF4-FFF2-40B4-BE49-F238E27FC236}">
              <a16:creationId xmlns:a16="http://schemas.microsoft.com/office/drawing/2014/main" id="{4947184F-A0E7-403F-825C-0B62E818CA66}"/>
            </a:ext>
          </a:extLst>
        </xdr:cNvPr>
        <xdr:cNvSpPr/>
      </xdr:nvSpPr>
      <xdr:spPr>
        <a:xfrm>
          <a:off x="2705099" y="1257300"/>
          <a:ext cx="160972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Estado de resultados</a:t>
          </a:r>
        </a:p>
      </xdr:txBody>
    </xdr:sp>
    <xdr:clientData/>
  </xdr:twoCellAnchor>
  <xdr:twoCellAnchor>
    <xdr:from>
      <xdr:col>5</xdr:col>
      <xdr:colOff>523875</xdr:colOff>
      <xdr:row>6</xdr:row>
      <xdr:rowOff>114300</xdr:rowOff>
    </xdr:from>
    <xdr:to>
      <xdr:col>7</xdr:col>
      <xdr:colOff>409575</xdr:colOff>
      <xdr:row>8</xdr:row>
      <xdr:rowOff>165300</xdr:rowOff>
    </xdr:to>
    <xdr:sp macro="" textlink="">
      <xdr:nvSpPr>
        <xdr:cNvPr id="6" name="Marco 5">
          <a:hlinkClick xmlns:r="http://schemas.openxmlformats.org/officeDocument/2006/relationships" r:id="rId4"/>
          <a:extLst>
            <a:ext uri="{FF2B5EF4-FFF2-40B4-BE49-F238E27FC236}">
              <a16:creationId xmlns:a16="http://schemas.microsoft.com/office/drawing/2014/main" id="{7810B059-DE5A-46D0-B0A8-5132D4AFBF4D}"/>
            </a:ext>
          </a:extLst>
        </xdr:cNvPr>
        <xdr:cNvSpPr/>
      </xdr:nvSpPr>
      <xdr:spPr>
        <a:xfrm>
          <a:off x="4333875" y="1257300"/>
          <a:ext cx="1409700"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Flujo de efectivo</a:t>
          </a:r>
        </a:p>
      </xdr:txBody>
    </xdr:sp>
    <xdr:clientData/>
  </xdr:twoCellAnchor>
  <xdr:twoCellAnchor>
    <xdr:from>
      <xdr:col>7</xdr:col>
      <xdr:colOff>447675</xdr:colOff>
      <xdr:row>6</xdr:row>
      <xdr:rowOff>114300</xdr:rowOff>
    </xdr:from>
    <xdr:to>
      <xdr:col>9</xdr:col>
      <xdr:colOff>381000</xdr:colOff>
      <xdr:row>8</xdr:row>
      <xdr:rowOff>165300</xdr:rowOff>
    </xdr:to>
    <xdr:sp macro="" textlink="">
      <xdr:nvSpPr>
        <xdr:cNvPr id="7" name="Marco 6">
          <a:hlinkClick xmlns:r="http://schemas.openxmlformats.org/officeDocument/2006/relationships" r:id="rId5"/>
          <a:extLst>
            <a:ext uri="{FF2B5EF4-FFF2-40B4-BE49-F238E27FC236}">
              <a16:creationId xmlns:a16="http://schemas.microsoft.com/office/drawing/2014/main" id="{F0354084-AF31-4675-9698-210E768F240E}"/>
            </a:ext>
          </a:extLst>
        </xdr:cNvPr>
        <xdr:cNvSpPr/>
      </xdr:nvSpPr>
      <xdr:spPr>
        <a:xfrm>
          <a:off x="5781675" y="1257300"/>
          <a:ext cx="145732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0">
              <a:solidFill>
                <a:sysClr val="windowText" lastClr="000000"/>
              </a:solidFill>
              <a:latin typeface="Bernard MT Condensed" panose="02050806060905020404" pitchFamily="18" charset="0"/>
            </a:rPr>
            <a:t>Balance general</a:t>
          </a:r>
        </a:p>
      </xdr:txBody>
    </xdr:sp>
    <xdr:clientData/>
  </xdr:twoCellAnchor>
  <xdr:twoCellAnchor>
    <xdr:from>
      <xdr:col>9</xdr:col>
      <xdr:colOff>409575</xdr:colOff>
      <xdr:row>6</xdr:row>
      <xdr:rowOff>114300</xdr:rowOff>
    </xdr:from>
    <xdr:to>
      <xdr:col>11</xdr:col>
      <xdr:colOff>419100</xdr:colOff>
      <xdr:row>8</xdr:row>
      <xdr:rowOff>165300</xdr:rowOff>
    </xdr:to>
    <xdr:sp macro="" textlink="">
      <xdr:nvSpPr>
        <xdr:cNvPr id="8" name="Marco 7">
          <a:hlinkClick xmlns:r="http://schemas.openxmlformats.org/officeDocument/2006/relationships" r:id="rId6"/>
          <a:extLst>
            <a:ext uri="{FF2B5EF4-FFF2-40B4-BE49-F238E27FC236}">
              <a16:creationId xmlns:a16="http://schemas.microsoft.com/office/drawing/2014/main" id="{A43BF5E3-1921-4F81-82DB-098BF40CF849}"/>
            </a:ext>
          </a:extLst>
        </xdr:cNvPr>
        <xdr:cNvSpPr/>
      </xdr:nvSpPr>
      <xdr:spPr>
        <a:xfrm>
          <a:off x="7267575" y="1257300"/>
          <a:ext cx="153352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Punto de equilibrio</a:t>
          </a:r>
        </a:p>
      </xdr:txBody>
    </xdr:sp>
    <xdr:clientData/>
  </xdr:twoCellAnchor>
  <xdr:twoCellAnchor>
    <xdr:from>
      <xdr:col>11</xdr:col>
      <xdr:colOff>447675</xdr:colOff>
      <xdr:row>6</xdr:row>
      <xdr:rowOff>114300</xdr:rowOff>
    </xdr:from>
    <xdr:to>
      <xdr:col>13</xdr:col>
      <xdr:colOff>628650</xdr:colOff>
      <xdr:row>8</xdr:row>
      <xdr:rowOff>165300</xdr:rowOff>
    </xdr:to>
    <xdr:sp macro="" textlink="">
      <xdr:nvSpPr>
        <xdr:cNvPr id="9" name="Marco 8">
          <a:hlinkClick xmlns:r="http://schemas.openxmlformats.org/officeDocument/2006/relationships" r:id="rId7"/>
          <a:extLst>
            <a:ext uri="{FF2B5EF4-FFF2-40B4-BE49-F238E27FC236}">
              <a16:creationId xmlns:a16="http://schemas.microsoft.com/office/drawing/2014/main" id="{4C61F2BF-B170-4F41-BE11-BFB0BA3D54B1}"/>
            </a:ext>
          </a:extLst>
        </xdr:cNvPr>
        <xdr:cNvSpPr/>
      </xdr:nvSpPr>
      <xdr:spPr>
        <a:xfrm>
          <a:off x="8829675" y="1257300"/>
          <a:ext cx="170497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0" i="0" u="none" strike="noStrike">
              <a:solidFill>
                <a:sysClr val="windowText" lastClr="000000"/>
              </a:solidFill>
              <a:effectLst/>
              <a:latin typeface="Bernard MT Condensed" panose="02050806060905020404" pitchFamily="18" charset="0"/>
              <a:ea typeface="+mn-ea"/>
              <a:cs typeface="+mn-cs"/>
            </a:rPr>
            <a:t>  Métodos</a:t>
          </a:r>
          <a:r>
            <a:rPr lang="es-MX" sz="1200" b="0" i="0" u="none" strike="noStrike" baseline="0">
              <a:solidFill>
                <a:sysClr val="windowText" lastClr="000000"/>
              </a:solidFill>
              <a:effectLst/>
              <a:latin typeface="Bernard MT Condensed" panose="02050806060905020404" pitchFamily="18" charset="0"/>
              <a:ea typeface="+mn-ea"/>
              <a:cs typeface="+mn-cs"/>
            </a:rPr>
            <a:t> de evaluación</a:t>
          </a:r>
          <a:r>
            <a:rPr lang="es-MX" sz="1200" b="0" i="0" u="none" strike="noStrike">
              <a:solidFill>
                <a:sysClr val="windowText" lastClr="000000"/>
              </a:solidFill>
              <a:effectLst/>
              <a:latin typeface="Bernard MT Condensed" panose="02050806060905020404" pitchFamily="18" charset="0"/>
              <a:ea typeface="+mn-ea"/>
              <a:cs typeface="+mn-cs"/>
            </a:rPr>
            <a:t>  </a:t>
          </a:r>
          <a:endParaRPr lang="es-MX" sz="1200" b="0">
            <a:solidFill>
              <a:sysClr val="windowText" lastClr="000000"/>
            </a:solidFill>
            <a:latin typeface="Bernard MT Condensed" panose="02050806060905020404" pitchFamily="18" charset="0"/>
          </a:endParaRPr>
        </a:p>
      </xdr:txBody>
    </xdr:sp>
    <xdr:clientData/>
  </xdr:twoCellAnchor>
  <xdr:twoCellAnchor>
    <xdr:from>
      <xdr:col>13</xdr:col>
      <xdr:colOff>666749</xdr:colOff>
      <xdr:row>6</xdr:row>
      <xdr:rowOff>114300</xdr:rowOff>
    </xdr:from>
    <xdr:to>
      <xdr:col>15</xdr:col>
      <xdr:colOff>381000</xdr:colOff>
      <xdr:row>8</xdr:row>
      <xdr:rowOff>165300</xdr:rowOff>
    </xdr:to>
    <xdr:sp macro="" textlink="">
      <xdr:nvSpPr>
        <xdr:cNvPr id="10" name="Marco 9">
          <a:hlinkClick xmlns:r="http://schemas.openxmlformats.org/officeDocument/2006/relationships" r:id="rId8"/>
          <a:extLst>
            <a:ext uri="{FF2B5EF4-FFF2-40B4-BE49-F238E27FC236}">
              <a16:creationId xmlns:a16="http://schemas.microsoft.com/office/drawing/2014/main" id="{18D3A7B1-0D8F-4E92-9482-5EB045ACD193}"/>
            </a:ext>
          </a:extLst>
        </xdr:cNvPr>
        <xdr:cNvSpPr/>
      </xdr:nvSpPr>
      <xdr:spPr>
        <a:xfrm>
          <a:off x="10572749" y="1257300"/>
          <a:ext cx="1238251"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0">
              <a:solidFill>
                <a:sysClr val="windowText" lastClr="000000"/>
              </a:solidFill>
              <a:latin typeface="Bernard MT Condensed" panose="02050806060905020404" pitchFamily="18" charset="0"/>
            </a:rPr>
            <a:t>Resultados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95250</xdr:colOff>
      <xdr:row>0</xdr:row>
      <xdr:rowOff>59532</xdr:rowOff>
    </xdr:from>
    <xdr:to>
      <xdr:col>17</xdr:col>
      <xdr:colOff>304800</xdr:colOff>
      <xdr:row>5</xdr:row>
      <xdr:rowOff>97632</xdr:rowOff>
    </xdr:to>
    <xdr:sp macro="" textlink="">
      <xdr:nvSpPr>
        <xdr:cNvPr id="2" name="Rectángulo: esquinas redondeadas 1">
          <a:extLst>
            <a:ext uri="{FF2B5EF4-FFF2-40B4-BE49-F238E27FC236}">
              <a16:creationId xmlns:a16="http://schemas.microsoft.com/office/drawing/2014/main" id="{F49DAF83-F56C-4B37-AA28-84776D216B11}"/>
            </a:ext>
          </a:extLst>
        </xdr:cNvPr>
        <xdr:cNvSpPr/>
      </xdr:nvSpPr>
      <xdr:spPr>
        <a:xfrm>
          <a:off x="95250" y="59532"/>
          <a:ext cx="17378363" cy="990600"/>
        </a:xfrm>
        <a:prstGeom prst="roundRect">
          <a:avLst/>
        </a:prstGeom>
        <a:solidFill>
          <a:srgbClr val="8D4004"/>
        </a:solidFill>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4400" b="1" i="0" u="none" strike="noStrike">
              <a:solidFill>
                <a:schemeClr val="lt1"/>
              </a:solidFill>
              <a:effectLst/>
              <a:latin typeface="Bernard MT Condensed" panose="02050806060905020404" pitchFamily="18" charset="0"/>
              <a:ea typeface="+mn-ea"/>
              <a:cs typeface="+mn-cs"/>
            </a:rPr>
            <a:t>Datos</a:t>
          </a:r>
          <a:endParaRPr lang="es-MX" sz="4400">
            <a:latin typeface="Bernard MT Condensed" panose="02050806060905020404" pitchFamily="18" charset="0"/>
          </a:endParaRPr>
        </a:p>
      </xdr:txBody>
    </xdr:sp>
    <xdr:clientData/>
  </xdr:twoCellAnchor>
  <xdr:twoCellAnchor>
    <xdr:from>
      <xdr:col>3</xdr:col>
      <xdr:colOff>881062</xdr:colOff>
      <xdr:row>5</xdr:row>
      <xdr:rowOff>178595</xdr:rowOff>
    </xdr:from>
    <xdr:to>
      <xdr:col>5</xdr:col>
      <xdr:colOff>54768</xdr:colOff>
      <xdr:row>8</xdr:row>
      <xdr:rowOff>39095</xdr:rowOff>
    </xdr:to>
    <xdr:sp macro="" textlink="">
      <xdr:nvSpPr>
        <xdr:cNvPr id="3" name="Marco 2">
          <a:hlinkClick xmlns:r="http://schemas.openxmlformats.org/officeDocument/2006/relationships" r:id="rId1"/>
          <a:extLst>
            <a:ext uri="{FF2B5EF4-FFF2-40B4-BE49-F238E27FC236}">
              <a16:creationId xmlns:a16="http://schemas.microsoft.com/office/drawing/2014/main" id="{F524F65C-76CE-44A8-8CC1-D17A867529DB}"/>
            </a:ext>
          </a:extLst>
        </xdr:cNvPr>
        <xdr:cNvSpPr/>
      </xdr:nvSpPr>
      <xdr:spPr>
        <a:xfrm>
          <a:off x="3774281" y="1131095"/>
          <a:ext cx="120967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Antecedentes</a:t>
          </a:r>
        </a:p>
      </xdr:txBody>
    </xdr:sp>
    <xdr:clientData/>
  </xdr:twoCellAnchor>
  <xdr:twoCellAnchor>
    <xdr:from>
      <xdr:col>5</xdr:col>
      <xdr:colOff>83343</xdr:colOff>
      <xdr:row>5</xdr:row>
      <xdr:rowOff>178594</xdr:rowOff>
    </xdr:from>
    <xdr:to>
      <xdr:col>5</xdr:col>
      <xdr:colOff>883443</xdr:colOff>
      <xdr:row>8</xdr:row>
      <xdr:rowOff>39094</xdr:rowOff>
    </xdr:to>
    <xdr:sp macro="" textlink="">
      <xdr:nvSpPr>
        <xdr:cNvPr id="4" name="Marco 3">
          <a:hlinkClick xmlns:r="http://schemas.openxmlformats.org/officeDocument/2006/relationships" r:id="rId2"/>
          <a:extLst>
            <a:ext uri="{FF2B5EF4-FFF2-40B4-BE49-F238E27FC236}">
              <a16:creationId xmlns:a16="http://schemas.microsoft.com/office/drawing/2014/main" id="{D401210D-AB25-4068-ADB7-CF700FC4D4C7}"/>
            </a:ext>
          </a:extLst>
        </xdr:cNvPr>
        <xdr:cNvSpPr/>
      </xdr:nvSpPr>
      <xdr:spPr>
        <a:xfrm>
          <a:off x="5012531" y="1131094"/>
          <a:ext cx="800100"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Datos</a:t>
          </a:r>
        </a:p>
      </xdr:txBody>
    </xdr:sp>
    <xdr:clientData/>
  </xdr:twoCellAnchor>
  <xdr:twoCellAnchor>
    <xdr:from>
      <xdr:col>5</xdr:col>
      <xdr:colOff>912017</xdr:colOff>
      <xdr:row>5</xdr:row>
      <xdr:rowOff>178594</xdr:rowOff>
    </xdr:from>
    <xdr:to>
      <xdr:col>7</xdr:col>
      <xdr:colOff>307180</xdr:colOff>
      <xdr:row>8</xdr:row>
      <xdr:rowOff>39094</xdr:rowOff>
    </xdr:to>
    <xdr:sp macro="" textlink="">
      <xdr:nvSpPr>
        <xdr:cNvPr id="5" name="Marco 4">
          <a:hlinkClick xmlns:r="http://schemas.openxmlformats.org/officeDocument/2006/relationships" r:id="rId3"/>
          <a:extLst>
            <a:ext uri="{FF2B5EF4-FFF2-40B4-BE49-F238E27FC236}">
              <a16:creationId xmlns:a16="http://schemas.microsoft.com/office/drawing/2014/main" id="{3380F554-F494-45DC-92AF-894ADAA83937}"/>
            </a:ext>
          </a:extLst>
        </xdr:cNvPr>
        <xdr:cNvSpPr/>
      </xdr:nvSpPr>
      <xdr:spPr>
        <a:xfrm>
          <a:off x="5841205" y="1131094"/>
          <a:ext cx="160972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Estado de resultados</a:t>
          </a:r>
        </a:p>
      </xdr:txBody>
    </xdr:sp>
    <xdr:clientData/>
  </xdr:twoCellAnchor>
  <xdr:twoCellAnchor>
    <xdr:from>
      <xdr:col>7</xdr:col>
      <xdr:colOff>326231</xdr:colOff>
      <xdr:row>5</xdr:row>
      <xdr:rowOff>178594</xdr:rowOff>
    </xdr:from>
    <xdr:to>
      <xdr:col>8</xdr:col>
      <xdr:colOff>569118</xdr:colOff>
      <xdr:row>8</xdr:row>
      <xdr:rowOff>39094</xdr:rowOff>
    </xdr:to>
    <xdr:sp macro="" textlink="">
      <xdr:nvSpPr>
        <xdr:cNvPr id="6" name="Marco 5">
          <a:hlinkClick xmlns:r="http://schemas.openxmlformats.org/officeDocument/2006/relationships" r:id="rId4"/>
          <a:extLst>
            <a:ext uri="{FF2B5EF4-FFF2-40B4-BE49-F238E27FC236}">
              <a16:creationId xmlns:a16="http://schemas.microsoft.com/office/drawing/2014/main" id="{A4C4A9D9-D4C7-43FC-9EF4-04F05AC17849}"/>
            </a:ext>
          </a:extLst>
        </xdr:cNvPr>
        <xdr:cNvSpPr/>
      </xdr:nvSpPr>
      <xdr:spPr>
        <a:xfrm>
          <a:off x="7469981" y="1131094"/>
          <a:ext cx="1409700"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Flujo de efectivo</a:t>
          </a:r>
        </a:p>
      </xdr:txBody>
    </xdr:sp>
    <xdr:clientData/>
  </xdr:twoCellAnchor>
  <xdr:twoCellAnchor>
    <xdr:from>
      <xdr:col>8</xdr:col>
      <xdr:colOff>607218</xdr:colOff>
      <xdr:row>5</xdr:row>
      <xdr:rowOff>178594</xdr:rowOff>
    </xdr:from>
    <xdr:to>
      <xdr:col>10</xdr:col>
      <xdr:colOff>100012</xdr:colOff>
      <xdr:row>8</xdr:row>
      <xdr:rowOff>39094</xdr:rowOff>
    </xdr:to>
    <xdr:sp macro="" textlink="">
      <xdr:nvSpPr>
        <xdr:cNvPr id="7" name="Marco 6">
          <a:hlinkClick xmlns:r="http://schemas.openxmlformats.org/officeDocument/2006/relationships" r:id="rId5"/>
          <a:extLst>
            <a:ext uri="{FF2B5EF4-FFF2-40B4-BE49-F238E27FC236}">
              <a16:creationId xmlns:a16="http://schemas.microsoft.com/office/drawing/2014/main" id="{AD7552EB-284C-4299-B509-18E558547D82}"/>
            </a:ext>
          </a:extLst>
        </xdr:cNvPr>
        <xdr:cNvSpPr/>
      </xdr:nvSpPr>
      <xdr:spPr>
        <a:xfrm>
          <a:off x="8917781" y="1131094"/>
          <a:ext cx="145732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0">
              <a:solidFill>
                <a:sysClr val="windowText" lastClr="000000"/>
              </a:solidFill>
              <a:latin typeface="Bernard MT Condensed" panose="02050806060905020404" pitchFamily="18" charset="0"/>
            </a:rPr>
            <a:t>Balance general</a:t>
          </a:r>
        </a:p>
      </xdr:txBody>
    </xdr:sp>
    <xdr:clientData/>
  </xdr:twoCellAnchor>
  <xdr:twoCellAnchor>
    <xdr:from>
      <xdr:col>10</xdr:col>
      <xdr:colOff>128587</xdr:colOff>
      <xdr:row>5</xdr:row>
      <xdr:rowOff>178594</xdr:rowOff>
    </xdr:from>
    <xdr:to>
      <xdr:col>11</xdr:col>
      <xdr:colOff>602456</xdr:colOff>
      <xdr:row>8</xdr:row>
      <xdr:rowOff>39094</xdr:rowOff>
    </xdr:to>
    <xdr:sp macro="" textlink="">
      <xdr:nvSpPr>
        <xdr:cNvPr id="8" name="Marco 7">
          <a:hlinkClick xmlns:r="http://schemas.openxmlformats.org/officeDocument/2006/relationships" r:id="rId6"/>
          <a:extLst>
            <a:ext uri="{FF2B5EF4-FFF2-40B4-BE49-F238E27FC236}">
              <a16:creationId xmlns:a16="http://schemas.microsoft.com/office/drawing/2014/main" id="{75E26BCE-0CDD-4503-9DFA-E6EBDC3D8D0F}"/>
            </a:ext>
          </a:extLst>
        </xdr:cNvPr>
        <xdr:cNvSpPr/>
      </xdr:nvSpPr>
      <xdr:spPr>
        <a:xfrm>
          <a:off x="10403681" y="1131094"/>
          <a:ext cx="153352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Punto de equilibrio</a:t>
          </a:r>
        </a:p>
      </xdr:txBody>
    </xdr:sp>
    <xdr:clientData/>
  </xdr:twoCellAnchor>
  <xdr:twoCellAnchor>
    <xdr:from>
      <xdr:col>11</xdr:col>
      <xdr:colOff>631031</xdr:colOff>
      <xdr:row>5</xdr:row>
      <xdr:rowOff>178594</xdr:rowOff>
    </xdr:from>
    <xdr:to>
      <xdr:col>13</xdr:col>
      <xdr:colOff>61912</xdr:colOff>
      <xdr:row>8</xdr:row>
      <xdr:rowOff>39094</xdr:rowOff>
    </xdr:to>
    <xdr:sp macro="" textlink="">
      <xdr:nvSpPr>
        <xdr:cNvPr id="9" name="Marco 8">
          <a:hlinkClick xmlns:r="http://schemas.openxmlformats.org/officeDocument/2006/relationships" r:id="rId7"/>
          <a:extLst>
            <a:ext uri="{FF2B5EF4-FFF2-40B4-BE49-F238E27FC236}">
              <a16:creationId xmlns:a16="http://schemas.microsoft.com/office/drawing/2014/main" id="{5A956C5A-2DC0-462E-8534-CD628BC18335}"/>
            </a:ext>
          </a:extLst>
        </xdr:cNvPr>
        <xdr:cNvSpPr/>
      </xdr:nvSpPr>
      <xdr:spPr>
        <a:xfrm>
          <a:off x="11965781" y="1131094"/>
          <a:ext cx="170497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0" i="0" u="none" strike="noStrike">
              <a:solidFill>
                <a:sysClr val="windowText" lastClr="000000"/>
              </a:solidFill>
              <a:effectLst/>
              <a:latin typeface="Bernard MT Condensed" panose="02050806060905020404" pitchFamily="18" charset="0"/>
              <a:ea typeface="+mn-ea"/>
              <a:cs typeface="+mn-cs"/>
            </a:rPr>
            <a:t>  Métodos</a:t>
          </a:r>
          <a:r>
            <a:rPr lang="es-MX" sz="1200" b="0" i="0" u="none" strike="noStrike" baseline="0">
              <a:solidFill>
                <a:sysClr val="windowText" lastClr="000000"/>
              </a:solidFill>
              <a:effectLst/>
              <a:latin typeface="Bernard MT Condensed" panose="02050806060905020404" pitchFamily="18" charset="0"/>
              <a:ea typeface="+mn-ea"/>
              <a:cs typeface="+mn-cs"/>
            </a:rPr>
            <a:t> de evaluación</a:t>
          </a:r>
          <a:r>
            <a:rPr lang="es-MX" sz="1200" b="0" i="0" u="none" strike="noStrike">
              <a:solidFill>
                <a:sysClr val="windowText" lastClr="000000"/>
              </a:solidFill>
              <a:effectLst/>
              <a:latin typeface="Bernard MT Condensed" panose="02050806060905020404" pitchFamily="18" charset="0"/>
              <a:ea typeface="+mn-ea"/>
              <a:cs typeface="+mn-cs"/>
            </a:rPr>
            <a:t>  </a:t>
          </a:r>
          <a:endParaRPr lang="es-MX" sz="1200" b="0">
            <a:solidFill>
              <a:sysClr val="windowText" lastClr="000000"/>
            </a:solidFill>
            <a:latin typeface="Bernard MT Condensed" panose="02050806060905020404" pitchFamily="18" charset="0"/>
          </a:endParaRPr>
        </a:p>
      </xdr:txBody>
    </xdr:sp>
    <xdr:clientData/>
  </xdr:twoCellAnchor>
  <xdr:twoCellAnchor>
    <xdr:from>
      <xdr:col>13</xdr:col>
      <xdr:colOff>100011</xdr:colOff>
      <xdr:row>5</xdr:row>
      <xdr:rowOff>178594</xdr:rowOff>
    </xdr:from>
    <xdr:to>
      <xdr:col>14</xdr:col>
      <xdr:colOff>361950</xdr:colOff>
      <xdr:row>8</xdr:row>
      <xdr:rowOff>39094</xdr:rowOff>
    </xdr:to>
    <xdr:sp macro="" textlink="">
      <xdr:nvSpPr>
        <xdr:cNvPr id="10" name="Marco 9">
          <a:hlinkClick xmlns:r="http://schemas.openxmlformats.org/officeDocument/2006/relationships" r:id="rId8"/>
          <a:extLst>
            <a:ext uri="{FF2B5EF4-FFF2-40B4-BE49-F238E27FC236}">
              <a16:creationId xmlns:a16="http://schemas.microsoft.com/office/drawing/2014/main" id="{E23AB720-D0E8-43EE-A13D-2F4E9F3BE6AF}"/>
            </a:ext>
          </a:extLst>
        </xdr:cNvPr>
        <xdr:cNvSpPr/>
      </xdr:nvSpPr>
      <xdr:spPr>
        <a:xfrm>
          <a:off x="13708855" y="1131094"/>
          <a:ext cx="1238251"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0">
              <a:solidFill>
                <a:sysClr val="windowText" lastClr="000000"/>
              </a:solidFill>
              <a:latin typeface="Bernard MT Condensed" panose="02050806060905020404" pitchFamily="18" charset="0"/>
            </a:rPr>
            <a:t>Resultados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276224</xdr:colOff>
      <xdr:row>2</xdr:row>
      <xdr:rowOff>57150</xdr:rowOff>
    </xdr:from>
    <xdr:to>
      <xdr:col>12</xdr:col>
      <xdr:colOff>76199</xdr:colOff>
      <xdr:row>7</xdr:row>
      <xdr:rowOff>114300</xdr:rowOff>
    </xdr:to>
    <xdr:sp macro="" textlink="">
      <xdr:nvSpPr>
        <xdr:cNvPr id="2" name="Rectángulo: esquinas redondeadas 1">
          <a:extLst>
            <a:ext uri="{FF2B5EF4-FFF2-40B4-BE49-F238E27FC236}">
              <a16:creationId xmlns:a16="http://schemas.microsoft.com/office/drawing/2014/main" id="{8154ADDC-5945-4A85-9D32-56FB48A97D49}"/>
            </a:ext>
          </a:extLst>
        </xdr:cNvPr>
        <xdr:cNvSpPr/>
      </xdr:nvSpPr>
      <xdr:spPr>
        <a:xfrm>
          <a:off x="276224" y="438150"/>
          <a:ext cx="14373225" cy="1009650"/>
        </a:xfrm>
        <a:prstGeom prst="roundRect">
          <a:avLst/>
        </a:prstGeom>
        <a:solidFill>
          <a:srgbClr val="8D4004"/>
        </a:solidFill>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4400" b="1" i="0" u="none" strike="noStrike">
              <a:solidFill>
                <a:schemeClr val="lt1"/>
              </a:solidFill>
              <a:effectLst/>
              <a:latin typeface="Bernard MT Condensed" panose="02050806060905020404" pitchFamily="18" charset="0"/>
              <a:ea typeface="+mn-ea"/>
              <a:cs typeface="+mn-cs"/>
            </a:rPr>
            <a:t>Estado de resultados</a:t>
          </a:r>
          <a:endParaRPr lang="es-MX" sz="4400">
            <a:latin typeface="Bernard MT Condensed" panose="02050806060905020404" pitchFamily="18" charset="0"/>
          </a:endParaRPr>
        </a:p>
      </xdr:txBody>
    </xdr:sp>
    <xdr:clientData/>
  </xdr:twoCellAnchor>
  <xdr:twoCellAnchor>
    <xdr:from>
      <xdr:col>1</xdr:col>
      <xdr:colOff>638175</xdr:colOff>
      <xdr:row>7</xdr:row>
      <xdr:rowOff>161926</xdr:rowOff>
    </xdr:from>
    <xdr:to>
      <xdr:col>1</xdr:col>
      <xdr:colOff>1847850</xdr:colOff>
      <xdr:row>10</xdr:row>
      <xdr:rowOff>22426</xdr:rowOff>
    </xdr:to>
    <xdr:sp macro="" textlink="">
      <xdr:nvSpPr>
        <xdr:cNvPr id="3" name="Marco 2">
          <a:hlinkClick xmlns:r="http://schemas.openxmlformats.org/officeDocument/2006/relationships" r:id="rId1"/>
          <a:extLst>
            <a:ext uri="{FF2B5EF4-FFF2-40B4-BE49-F238E27FC236}">
              <a16:creationId xmlns:a16="http://schemas.microsoft.com/office/drawing/2014/main" id="{4C15D32A-FAA8-492F-A19D-32D75AD32F4B}"/>
            </a:ext>
          </a:extLst>
        </xdr:cNvPr>
        <xdr:cNvSpPr/>
      </xdr:nvSpPr>
      <xdr:spPr>
        <a:xfrm>
          <a:off x="971550" y="1495426"/>
          <a:ext cx="120967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Antecedentes</a:t>
          </a:r>
        </a:p>
      </xdr:txBody>
    </xdr:sp>
    <xdr:clientData/>
  </xdr:twoCellAnchor>
  <xdr:twoCellAnchor>
    <xdr:from>
      <xdr:col>1</xdr:col>
      <xdr:colOff>1876425</xdr:colOff>
      <xdr:row>7</xdr:row>
      <xdr:rowOff>161925</xdr:rowOff>
    </xdr:from>
    <xdr:to>
      <xdr:col>2</xdr:col>
      <xdr:colOff>466725</xdr:colOff>
      <xdr:row>10</xdr:row>
      <xdr:rowOff>22425</xdr:rowOff>
    </xdr:to>
    <xdr:sp macro="" textlink="">
      <xdr:nvSpPr>
        <xdr:cNvPr id="4" name="Marco 3">
          <a:hlinkClick xmlns:r="http://schemas.openxmlformats.org/officeDocument/2006/relationships" r:id="rId2"/>
          <a:extLst>
            <a:ext uri="{FF2B5EF4-FFF2-40B4-BE49-F238E27FC236}">
              <a16:creationId xmlns:a16="http://schemas.microsoft.com/office/drawing/2014/main" id="{A63CB07C-A4D5-443A-AFC3-3D6CDA696F16}"/>
            </a:ext>
          </a:extLst>
        </xdr:cNvPr>
        <xdr:cNvSpPr/>
      </xdr:nvSpPr>
      <xdr:spPr>
        <a:xfrm>
          <a:off x="2209800" y="1495425"/>
          <a:ext cx="800100"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Datos</a:t>
          </a:r>
        </a:p>
      </xdr:txBody>
    </xdr:sp>
    <xdr:clientData/>
  </xdr:twoCellAnchor>
  <xdr:twoCellAnchor>
    <xdr:from>
      <xdr:col>2</xdr:col>
      <xdr:colOff>495299</xdr:colOff>
      <xdr:row>7</xdr:row>
      <xdr:rowOff>161925</xdr:rowOff>
    </xdr:from>
    <xdr:to>
      <xdr:col>3</xdr:col>
      <xdr:colOff>876299</xdr:colOff>
      <xdr:row>10</xdr:row>
      <xdr:rowOff>22425</xdr:rowOff>
    </xdr:to>
    <xdr:sp macro="" textlink="">
      <xdr:nvSpPr>
        <xdr:cNvPr id="5" name="Marco 4">
          <a:hlinkClick xmlns:r="http://schemas.openxmlformats.org/officeDocument/2006/relationships" r:id="rId3"/>
          <a:extLst>
            <a:ext uri="{FF2B5EF4-FFF2-40B4-BE49-F238E27FC236}">
              <a16:creationId xmlns:a16="http://schemas.microsoft.com/office/drawing/2014/main" id="{791BB11B-A5F0-482C-BFA3-B8243E969A63}"/>
            </a:ext>
          </a:extLst>
        </xdr:cNvPr>
        <xdr:cNvSpPr/>
      </xdr:nvSpPr>
      <xdr:spPr>
        <a:xfrm>
          <a:off x="3038474" y="1495425"/>
          <a:ext cx="160972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Estado de resultados</a:t>
          </a:r>
        </a:p>
      </xdr:txBody>
    </xdr:sp>
    <xdr:clientData/>
  </xdr:twoCellAnchor>
  <xdr:twoCellAnchor>
    <xdr:from>
      <xdr:col>3</xdr:col>
      <xdr:colOff>895350</xdr:colOff>
      <xdr:row>7</xdr:row>
      <xdr:rowOff>161925</xdr:rowOff>
    </xdr:from>
    <xdr:to>
      <xdr:col>4</xdr:col>
      <xdr:colOff>1076325</xdr:colOff>
      <xdr:row>10</xdr:row>
      <xdr:rowOff>22425</xdr:rowOff>
    </xdr:to>
    <xdr:sp macro="" textlink="">
      <xdr:nvSpPr>
        <xdr:cNvPr id="6" name="Marco 5">
          <a:hlinkClick xmlns:r="http://schemas.openxmlformats.org/officeDocument/2006/relationships" r:id="rId4"/>
          <a:extLst>
            <a:ext uri="{FF2B5EF4-FFF2-40B4-BE49-F238E27FC236}">
              <a16:creationId xmlns:a16="http://schemas.microsoft.com/office/drawing/2014/main" id="{EF4814F0-2996-4D35-AA4C-F4A31B351C70}"/>
            </a:ext>
          </a:extLst>
        </xdr:cNvPr>
        <xdr:cNvSpPr/>
      </xdr:nvSpPr>
      <xdr:spPr>
        <a:xfrm>
          <a:off x="4667250" y="1495425"/>
          <a:ext cx="1409700"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Flujo de efectivo</a:t>
          </a:r>
        </a:p>
      </xdr:txBody>
    </xdr:sp>
    <xdr:clientData/>
  </xdr:twoCellAnchor>
  <xdr:twoCellAnchor>
    <xdr:from>
      <xdr:col>4</xdr:col>
      <xdr:colOff>1114425</xdr:colOff>
      <xdr:row>7</xdr:row>
      <xdr:rowOff>161925</xdr:rowOff>
    </xdr:from>
    <xdr:to>
      <xdr:col>6</xdr:col>
      <xdr:colOff>114300</xdr:colOff>
      <xdr:row>10</xdr:row>
      <xdr:rowOff>22425</xdr:rowOff>
    </xdr:to>
    <xdr:sp macro="" textlink="">
      <xdr:nvSpPr>
        <xdr:cNvPr id="7" name="Marco 6">
          <a:hlinkClick xmlns:r="http://schemas.openxmlformats.org/officeDocument/2006/relationships" r:id="rId5"/>
          <a:extLst>
            <a:ext uri="{FF2B5EF4-FFF2-40B4-BE49-F238E27FC236}">
              <a16:creationId xmlns:a16="http://schemas.microsoft.com/office/drawing/2014/main" id="{30487DD1-A434-4B68-9235-FB62F0BDB454}"/>
            </a:ext>
          </a:extLst>
        </xdr:cNvPr>
        <xdr:cNvSpPr/>
      </xdr:nvSpPr>
      <xdr:spPr>
        <a:xfrm>
          <a:off x="6115050" y="1495425"/>
          <a:ext cx="145732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0">
              <a:solidFill>
                <a:sysClr val="windowText" lastClr="000000"/>
              </a:solidFill>
              <a:latin typeface="Bernard MT Condensed" panose="02050806060905020404" pitchFamily="18" charset="0"/>
            </a:rPr>
            <a:t>Balance general</a:t>
          </a:r>
        </a:p>
      </xdr:txBody>
    </xdr:sp>
    <xdr:clientData/>
  </xdr:twoCellAnchor>
  <xdr:twoCellAnchor>
    <xdr:from>
      <xdr:col>6</xdr:col>
      <xdr:colOff>142875</xdr:colOff>
      <xdr:row>7</xdr:row>
      <xdr:rowOff>161925</xdr:rowOff>
    </xdr:from>
    <xdr:to>
      <xdr:col>7</xdr:col>
      <xdr:colOff>447675</xdr:colOff>
      <xdr:row>10</xdr:row>
      <xdr:rowOff>22425</xdr:rowOff>
    </xdr:to>
    <xdr:sp macro="" textlink="">
      <xdr:nvSpPr>
        <xdr:cNvPr id="8" name="Marco 7">
          <a:hlinkClick xmlns:r="http://schemas.openxmlformats.org/officeDocument/2006/relationships" r:id="rId6"/>
          <a:extLst>
            <a:ext uri="{FF2B5EF4-FFF2-40B4-BE49-F238E27FC236}">
              <a16:creationId xmlns:a16="http://schemas.microsoft.com/office/drawing/2014/main" id="{590604AC-FA72-4767-A986-C3A37795C45D}"/>
            </a:ext>
          </a:extLst>
        </xdr:cNvPr>
        <xdr:cNvSpPr/>
      </xdr:nvSpPr>
      <xdr:spPr>
        <a:xfrm>
          <a:off x="7600950" y="1495425"/>
          <a:ext cx="153352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Punto de equilibrio</a:t>
          </a:r>
        </a:p>
      </xdr:txBody>
    </xdr:sp>
    <xdr:clientData/>
  </xdr:twoCellAnchor>
  <xdr:twoCellAnchor>
    <xdr:from>
      <xdr:col>7</xdr:col>
      <xdr:colOff>476250</xdr:colOff>
      <xdr:row>7</xdr:row>
      <xdr:rowOff>161925</xdr:rowOff>
    </xdr:from>
    <xdr:to>
      <xdr:col>8</xdr:col>
      <xdr:colOff>952500</xdr:colOff>
      <xdr:row>10</xdr:row>
      <xdr:rowOff>22425</xdr:rowOff>
    </xdr:to>
    <xdr:sp macro="" textlink="">
      <xdr:nvSpPr>
        <xdr:cNvPr id="9" name="Marco 8">
          <a:hlinkClick xmlns:r="http://schemas.openxmlformats.org/officeDocument/2006/relationships" r:id="rId7"/>
          <a:extLst>
            <a:ext uri="{FF2B5EF4-FFF2-40B4-BE49-F238E27FC236}">
              <a16:creationId xmlns:a16="http://schemas.microsoft.com/office/drawing/2014/main" id="{51F5C3FD-229A-4D31-A2DB-AB1526B622C0}"/>
            </a:ext>
          </a:extLst>
        </xdr:cNvPr>
        <xdr:cNvSpPr/>
      </xdr:nvSpPr>
      <xdr:spPr>
        <a:xfrm>
          <a:off x="9163050" y="1495425"/>
          <a:ext cx="170497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0" i="0" u="none" strike="noStrike">
              <a:solidFill>
                <a:sysClr val="windowText" lastClr="000000"/>
              </a:solidFill>
              <a:effectLst/>
              <a:latin typeface="Bernard MT Condensed" panose="02050806060905020404" pitchFamily="18" charset="0"/>
              <a:ea typeface="+mn-ea"/>
              <a:cs typeface="+mn-cs"/>
            </a:rPr>
            <a:t>  Métodos</a:t>
          </a:r>
          <a:r>
            <a:rPr lang="es-MX" sz="1200" b="0" i="0" u="none" strike="noStrike" baseline="0">
              <a:solidFill>
                <a:sysClr val="windowText" lastClr="000000"/>
              </a:solidFill>
              <a:effectLst/>
              <a:latin typeface="Bernard MT Condensed" panose="02050806060905020404" pitchFamily="18" charset="0"/>
              <a:ea typeface="+mn-ea"/>
              <a:cs typeface="+mn-cs"/>
            </a:rPr>
            <a:t> de evaluación</a:t>
          </a:r>
          <a:r>
            <a:rPr lang="es-MX" sz="1200" b="0" i="0" u="none" strike="noStrike">
              <a:solidFill>
                <a:sysClr val="windowText" lastClr="000000"/>
              </a:solidFill>
              <a:effectLst/>
              <a:latin typeface="Bernard MT Condensed" panose="02050806060905020404" pitchFamily="18" charset="0"/>
              <a:ea typeface="+mn-ea"/>
              <a:cs typeface="+mn-cs"/>
            </a:rPr>
            <a:t>  </a:t>
          </a:r>
          <a:endParaRPr lang="es-MX" sz="1200" b="0">
            <a:solidFill>
              <a:sysClr val="windowText" lastClr="000000"/>
            </a:solidFill>
            <a:latin typeface="Bernard MT Condensed" panose="02050806060905020404" pitchFamily="18" charset="0"/>
          </a:endParaRPr>
        </a:p>
      </xdr:txBody>
    </xdr:sp>
    <xdr:clientData/>
  </xdr:twoCellAnchor>
  <xdr:twoCellAnchor>
    <xdr:from>
      <xdr:col>8</xdr:col>
      <xdr:colOff>990599</xdr:colOff>
      <xdr:row>7</xdr:row>
      <xdr:rowOff>161925</xdr:rowOff>
    </xdr:from>
    <xdr:to>
      <xdr:col>9</xdr:col>
      <xdr:colOff>1000125</xdr:colOff>
      <xdr:row>10</xdr:row>
      <xdr:rowOff>22425</xdr:rowOff>
    </xdr:to>
    <xdr:sp macro="" textlink="">
      <xdr:nvSpPr>
        <xdr:cNvPr id="10" name="Marco 9">
          <a:hlinkClick xmlns:r="http://schemas.openxmlformats.org/officeDocument/2006/relationships" r:id="rId8"/>
          <a:extLst>
            <a:ext uri="{FF2B5EF4-FFF2-40B4-BE49-F238E27FC236}">
              <a16:creationId xmlns:a16="http://schemas.microsoft.com/office/drawing/2014/main" id="{05EC38D2-43F8-4382-AA84-E7DF578BA477}"/>
            </a:ext>
          </a:extLst>
        </xdr:cNvPr>
        <xdr:cNvSpPr/>
      </xdr:nvSpPr>
      <xdr:spPr>
        <a:xfrm>
          <a:off x="10906124" y="1495425"/>
          <a:ext cx="1238251"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0">
              <a:solidFill>
                <a:sysClr val="windowText" lastClr="000000"/>
              </a:solidFill>
              <a:latin typeface="Bernard MT Condensed" panose="02050806060905020404" pitchFamily="18" charset="0"/>
            </a:rPr>
            <a:t>Resultados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104776</xdr:colOff>
      <xdr:row>0</xdr:row>
      <xdr:rowOff>57150</xdr:rowOff>
    </xdr:from>
    <xdr:to>
      <xdr:col>11</xdr:col>
      <xdr:colOff>1085851</xdr:colOff>
      <xdr:row>5</xdr:row>
      <xdr:rowOff>114300</xdr:rowOff>
    </xdr:to>
    <xdr:sp macro="" textlink="">
      <xdr:nvSpPr>
        <xdr:cNvPr id="2" name="Rectángulo: esquinas redondeadas 1">
          <a:extLst>
            <a:ext uri="{FF2B5EF4-FFF2-40B4-BE49-F238E27FC236}">
              <a16:creationId xmlns:a16="http://schemas.microsoft.com/office/drawing/2014/main" id="{E023AD3C-FA94-414D-8AA7-A5276D05E671}"/>
            </a:ext>
          </a:extLst>
        </xdr:cNvPr>
        <xdr:cNvSpPr/>
      </xdr:nvSpPr>
      <xdr:spPr>
        <a:xfrm>
          <a:off x="104776" y="57150"/>
          <a:ext cx="12458700" cy="1009650"/>
        </a:xfrm>
        <a:prstGeom prst="roundRect">
          <a:avLst/>
        </a:prstGeom>
        <a:solidFill>
          <a:srgbClr val="8D4004"/>
        </a:solidFill>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4400" b="1" i="0" u="none" strike="noStrike">
              <a:solidFill>
                <a:schemeClr val="lt1"/>
              </a:solidFill>
              <a:effectLst/>
              <a:latin typeface="Bernard MT Condensed" panose="02050806060905020404" pitchFamily="18" charset="0"/>
              <a:ea typeface="+mn-ea"/>
              <a:cs typeface="+mn-cs"/>
            </a:rPr>
            <a:t>Flujo</a:t>
          </a:r>
          <a:r>
            <a:rPr lang="es-MX" sz="4400" b="1" i="0" u="none" strike="noStrike" baseline="0">
              <a:solidFill>
                <a:schemeClr val="lt1"/>
              </a:solidFill>
              <a:effectLst/>
              <a:latin typeface="Bernard MT Condensed" panose="02050806060905020404" pitchFamily="18" charset="0"/>
              <a:ea typeface="+mn-ea"/>
              <a:cs typeface="+mn-cs"/>
            </a:rPr>
            <a:t> de efectivo</a:t>
          </a:r>
          <a:endParaRPr lang="es-MX" sz="4400">
            <a:latin typeface="Bernard MT Condensed" panose="02050806060905020404" pitchFamily="18" charset="0"/>
          </a:endParaRPr>
        </a:p>
      </xdr:txBody>
    </xdr:sp>
    <xdr:clientData/>
  </xdr:twoCellAnchor>
  <xdr:twoCellAnchor>
    <xdr:from>
      <xdr:col>1</xdr:col>
      <xdr:colOff>628650</xdr:colOff>
      <xdr:row>5</xdr:row>
      <xdr:rowOff>133351</xdr:rowOff>
    </xdr:from>
    <xdr:to>
      <xdr:col>2</xdr:col>
      <xdr:colOff>342900</xdr:colOff>
      <xdr:row>7</xdr:row>
      <xdr:rowOff>184351</xdr:rowOff>
    </xdr:to>
    <xdr:sp macro="" textlink="">
      <xdr:nvSpPr>
        <xdr:cNvPr id="3" name="Marco 2">
          <a:hlinkClick xmlns:r="http://schemas.openxmlformats.org/officeDocument/2006/relationships" r:id="rId1"/>
          <a:extLst>
            <a:ext uri="{FF2B5EF4-FFF2-40B4-BE49-F238E27FC236}">
              <a16:creationId xmlns:a16="http://schemas.microsoft.com/office/drawing/2014/main" id="{B559CF2B-76EE-4444-85E8-1F24B00F8B53}"/>
            </a:ext>
          </a:extLst>
        </xdr:cNvPr>
        <xdr:cNvSpPr/>
      </xdr:nvSpPr>
      <xdr:spPr>
        <a:xfrm>
          <a:off x="752475" y="1085851"/>
          <a:ext cx="120967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Antecedentes</a:t>
          </a:r>
        </a:p>
      </xdr:txBody>
    </xdr:sp>
    <xdr:clientData/>
  </xdr:twoCellAnchor>
  <xdr:twoCellAnchor>
    <xdr:from>
      <xdr:col>2</xdr:col>
      <xdr:colOff>371475</xdr:colOff>
      <xdr:row>5</xdr:row>
      <xdr:rowOff>133350</xdr:rowOff>
    </xdr:from>
    <xdr:to>
      <xdr:col>3</xdr:col>
      <xdr:colOff>76200</xdr:colOff>
      <xdr:row>7</xdr:row>
      <xdr:rowOff>184350</xdr:rowOff>
    </xdr:to>
    <xdr:sp macro="" textlink="">
      <xdr:nvSpPr>
        <xdr:cNvPr id="4" name="Marco 3">
          <a:hlinkClick xmlns:r="http://schemas.openxmlformats.org/officeDocument/2006/relationships" r:id="rId2"/>
          <a:extLst>
            <a:ext uri="{FF2B5EF4-FFF2-40B4-BE49-F238E27FC236}">
              <a16:creationId xmlns:a16="http://schemas.microsoft.com/office/drawing/2014/main" id="{ED48FBDC-3FC1-4DBB-A2DD-804B274FC356}"/>
            </a:ext>
          </a:extLst>
        </xdr:cNvPr>
        <xdr:cNvSpPr/>
      </xdr:nvSpPr>
      <xdr:spPr>
        <a:xfrm>
          <a:off x="1990725" y="1085850"/>
          <a:ext cx="800100"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Datos</a:t>
          </a:r>
        </a:p>
      </xdr:txBody>
    </xdr:sp>
    <xdr:clientData/>
  </xdr:twoCellAnchor>
  <xdr:twoCellAnchor>
    <xdr:from>
      <xdr:col>3</xdr:col>
      <xdr:colOff>104774</xdr:colOff>
      <xdr:row>5</xdr:row>
      <xdr:rowOff>133350</xdr:rowOff>
    </xdr:from>
    <xdr:to>
      <xdr:col>4</xdr:col>
      <xdr:colOff>619124</xdr:colOff>
      <xdr:row>7</xdr:row>
      <xdr:rowOff>184350</xdr:rowOff>
    </xdr:to>
    <xdr:sp macro="" textlink="">
      <xdr:nvSpPr>
        <xdr:cNvPr id="5" name="Marco 4">
          <a:hlinkClick xmlns:r="http://schemas.openxmlformats.org/officeDocument/2006/relationships" r:id="rId3"/>
          <a:extLst>
            <a:ext uri="{FF2B5EF4-FFF2-40B4-BE49-F238E27FC236}">
              <a16:creationId xmlns:a16="http://schemas.microsoft.com/office/drawing/2014/main" id="{2E2A8E54-5E91-4A9E-9C40-EB81B640F338}"/>
            </a:ext>
          </a:extLst>
        </xdr:cNvPr>
        <xdr:cNvSpPr/>
      </xdr:nvSpPr>
      <xdr:spPr>
        <a:xfrm>
          <a:off x="2819399" y="1085850"/>
          <a:ext cx="160972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Estado de resultados</a:t>
          </a:r>
        </a:p>
      </xdr:txBody>
    </xdr:sp>
    <xdr:clientData/>
  </xdr:twoCellAnchor>
  <xdr:twoCellAnchor>
    <xdr:from>
      <xdr:col>4</xdr:col>
      <xdr:colOff>638175</xdr:colOff>
      <xdr:row>5</xdr:row>
      <xdr:rowOff>133350</xdr:rowOff>
    </xdr:from>
    <xdr:to>
      <xdr:col>5</xdr:col>
      <xdr:colOff>1057275</xdr:colOff>
      <xdr:row>7</xdr:row>
      <xdr:rowOff>184350</xdr:rowOff>
    </xdr:to>
    <xdr:sp macro="" textlink="">
      <xdr:nvSpPr>
        <xdr:cNvPr id="6" name="Marco 5">
          <a:hlinkClick xmlns:r="http://schemas.openxmlformats.org/officeDocument/2006/relationships" r:id="rId4"/>
          <a:extLst>
            <a:ext uri="{FF2B5EF4-FFF2-40B4-BE49-F238E27FC236}">
              <a16:creationId xmlns:a16="http://schemas.microsoft.com/office/drawing/2014/main" id="{0444DC25-E808-4690-9C98-2AAD2AC23C40}"/>
            </a:ext>
          </a:extLst>
        </xdr:cNvPr>
        <xdr:cNvSpPr/>
      </xdr:nvSpPr>
      <xdr:spPr>
        <a:xfrm>
          <a:off x="4448175" y="1085850"/>
          <a:ext cx="1409700"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Flujo de efectivo</a:t>
          </a:r>
        </a:p>
      </xdr:txBody>
    </xdr:sp>
    <xdr:clientData/>
  </xdr:twoCellAnchor>
  <xdr:twoCellAnchor>
    <xdr:from>
      <xdr:col>6</xdr:col>
      <xdr:colOff>0</xdr:colOff>
      <xdr:row>5</xdr:row>
      <xdr:rowOff>133350</xdr:rowOff>
    </xdr:from>
    <xdr:to>
      <xdr:col>7</xdr:col>
      <xdr:colOff>361950</xdr:colOff>
      <xdr:row>7</xdr:row>
      <xdr:rowOff>184350</xdr:rowOff>
    </xdr:to>
    <xdr:sp macro="" textlink="">
      <xdr:nvSpPr>
        <xdr:cNvPr id="7" name="Marco 6">
          <a:hlinkClick xmlns:r="http://schemas.openxmlformats.org/officeDocument/2006/relationships" r:id="rId5"/>
          <a:extLst>
            <a:ext uri="{FF2B5EF4-FFF2-40B4-BE49-F238E27FC236}">
              <a16:creationId xmlns:a16="http://schemas.microsoft.com/office/drawing/2014/main" id="{501869EE-DD0E-43D9-A18A-3C2FDF0F163E}"/>
            </a:ext>
          </a:extLst>
        </xdr:cNvPr>
        <xdr:cNvSpPr/>
      </xdr:nvSpPr>
      <xdr:spPr>
        <a:xfrm>
          <a:off x="5895975" y="1085850"/>
          <a:ext cx="145732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0">
              <a:solidFill>
                <a:sysClr val="windowText" lastClr="000000"/>
              </a:solidFill>
              <a:latin typeface="Bernard MT Condensed" panose="02050806060905020404" pitchFamily="18" charset="0"/>
            </a:rPr>
            <a:t>Balance general</a:t>
          </a:r>
        </a:p>
      </xdr:txBody>
    </xdr:sp>
    <xdr:clientData/>
  </xdr:twoCellAnchor>
  <xdr:twoCellAnchor>
    <xdr:from>
      <xdr:col>7</xdr:col>
      <xdr:colOff>390525</xdr:colOff>
      <xdr:row>5</xdr:row>
      <xdr:rowOff>133350</xdr:rowOff>
    </xdr:from>
    <xdr:to>
      <xdr:col>8</xdr:col>
      <xdr:colOff>828675</xdr:colOff>
      <xdr:row>7</xdr:row>
      <xdr:rowOff>184350</xdr:rowOff>
    </xdr:to>
    <xdr:sp macro="" textlink="">
      <xdr:nvSpPr>
        <xdr:cNvPr id="8" name="Marco 7">
          <a:hlinkClick xmlns:r="http://schemas.openxmlformats.org/officeDocument/2006/relationships" r:id="rId6"/>
          <a:extLst>
            <a:ext uri="{FF2B5EF4-FFF2-40B4-BE49-F238E27FC236}">
              <a16:creationId xmlns:a16="http://schemas.microsoft.com/office/drawing/2014/main" id="{A57F59A8-DBCB-42B3-8C4F-BC913DD02DA5}"/>
            </a:ext>
          </a:extLst>
        </xdr:cNvPr>
        <xdr:cNvSpPr/>
      </xdr:nvSpPr>
      <xdr:spPr>
        <a:xfrm>
          <a:off x="7381875" y="1085850"/>
          <a:ext cx="153352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Punto de equilibrio</a:t>
          </a:r>
        </a:p>
      </xdr:txBody>
    </xdr:sp>
    <xdr:clientData/>
  </xdr:twoCellAnchor>
  <xdr:twoCellAnchor>
    <xdr:from>
      <xdr:col>8</xdr:col>
      <xdr:colOff>857250</xdr:colOff>
      <xdr:row>5</xdr:row>
      <xdr:rowOff>133350</xdr:rowOff>
    </xdr:from>
    <xdr:to>
      <xdr:col>10</xdr:col>
      <xdr:colOff>371475</xdr:colOff>
      <xdr:row>7</xdr:row>
      <xdr:rowOff>184350</xdr:rowOff>
    </xdr:to>
    <xdr:sp macro="" textlink="">
      <xdr:nvSpPr>
        <xdr:cNvPr id="9" name="Marco 8">
          <a:hlinkClick xmlns:r="http://schemas.openxmlformats.org/officeDocument/2006/relationships" r:id="rId7"/>
          <a:extLst>
            <a:ext uri="{FF2B5EF4-FFF2-40B4-BE49-F238E27FC236}">
              <a16:creationId xmlns:a16="http://schemas.microsoft.com/office/drawing/2014/main" id="{EA12985C-08AD-4D6D-9016-B46B6D76AC48}"/>
            </a:ext>
          </a:extLst>
        </xdr:cNvPr>
        <xdr:cNvSpPr/>
      </xdr:nvSpPr>
      <xdr:spPr>
        <a:xfrm>
          <a:off x="8943975" y="1085850"/>
          <a:ext cx="170497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0" i="0" u="none" strike="noStrike">
              <a:solidFill>
                <a:sysClr val="windowText" lastClr="000000"/>
              </a:solidFill>
              <a:effectLst/>
              <a:latin typeface="Bernard MT Condensed" panose="02050806060905020404" pitchFamily="18" charset="0"/>
              <a:ea typeface="+mn-ea"/>
              <a:cs typeface="+mn-cs"/>
            </a:rPr>
            <a:t>  Métodos</a:t>
          </a:r>
          <a:r>
            <a:rPr lang="es-MX" sz="1200" b="0" i="0" u="none" strike="noStrike" baseline="0">
              <a:solidFill>
                <a:sysClr val="windowText" lastClr="000000"/>
              </a:solidFill>
              <a:effectLst/>
              <a:latin typeface="Bernard MT Condensed" panose="02050806060905020404" pitchFamily="18" charset="0"/>
              <a:ea typeface="+mn-ea"/>
              <a:cs typeface="+mn-cs"/>
            </a:rPr>
            <a:t> de evaluación</a:t>
          </a:r>
          <a:r>
            <a:rPr lang="es-MX" sz="1200" b="0" i="0" u="none" strike="noStrike">
              <a:solidFill>
                <a:sysClr val="windowText" lastClr="000000"/>
              </a:solidFill>
              <a:effectLst/>
              <a:latin typeface="Bernard MT Condensed" panose="02050806060905020404" pitchFamily="18" charset="0"/>
              <a:ea typeface="+mn-ea"/>
              <a:cs typeface="+mn-cs"/>
            </a:rPr>
            <a:t>  </a:t>
          </a:r>
          <a:endParaRPr lang="es-MX" sz="1200" b="0">
            <a:solidFill>
              <a:sysClr val="windowText" lastClr="000000"/>
            </a:solidFill>
            <a:latin typeface="Bernard MT Condensed" panose="02050806060905020404" pitchFamily="18" charset="0"/>
          </a:endParaRPr>
        </a:p>
      </xdr:txBody>
    </xdr:sp>
    <xdr:clientData/>
  </xdr:twoCellAnchor>
  <xdr:twoCellAnchor>
    <xdr:from>
      <xdr:col>10</xdr:col>
      <xdr:colOff>409574</xdr:colOff>
      <xdr:row>5</xdr:row>
      <xdr:rowOff>133350</xdr:rowOff>
    </xdr:from>
    <xdr:to>
      <xdr:col>11</xdr:col>
      <xdr:colOff>552450</xdr:colOff>
      <xdr:row>7</xdr:row>
      <xdr:rowOff>184350</xdr:rowOff>
    </xdr:to>
    <xdr:sp macro="" textlink="">
      <xdr:nvSpPr>
        <xdr:cNvPr id="10" name="Marco 9">
          <a:hlinkClick xmlns:r="http://schemas.openxmlformats.org/officeDocument/2006/relationships" r:id="rId8"/>
          <a:extLst>
            <a:ext uri="{FF2B5EF4-FFF2-40B4-BE49-F238E27FC236}">
              <a16:creationId xmlns:a16="http://schemas.microsoft.com/office/drawing/2014/main" id="{E807EB7C-ECC7-417E-A945-91E9271284AB}"/>
            </a:ext>
          </a:extLst>
        </xdr:cNvPr>
        <xdr:cNvSpPr/>
      </xdr:nvSpPr>
      <xdr:spPr>
        <a:xfrm>
          <a:off x="10687049" y="1085850"/>
          <a:ext cx="1238251"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0">
              <a:solidFill>
                <a:sysClr val="windowText" lastClr="000000"/>
              </a:solidFill>
              <a:latin typeface="Bernard MT Condensed" panose="02050806060905020404" pitchFamily="18" charset="0"/>
            </a:rPr>
            <a:t>Resultados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114300</xdr:colOff>
      <xdr:row>0</xdr:row>
      <xdr:rowOff>76200</xdr:rowOff>
    </xdr:from>
    <xdr:to>
      <xdr:col>12</xdr:col>
      <xdr:colOff>990600</xdr:colOff>
      <xdr:row>5</xdr:row>
      <xdr:rowOff>133350</xdr:rowOff>
    </xdr:to>
    <xdr:sp macro="" textlink="">
      <xdr:nvSpPr>
        <xdr:cNvPr id="2" name="Rectángulo: esquinas redondeadas 1">
          <a:extLst>
            <a:ext uri="{FF2B5EF4-FFF2-40B4-BE49-F238E27FC236}">
              <a16:creationId xmlns:a16="http://schemas.microsoft.com/office/drawing/2014/main" id="{524AD21B-0333-4134-BF3D-F1E0F940DFF5}"/>
            </a:ext>
          </a:extLst>
        </xdr:cNvPr>
        <xdr:cNvSpPr/>
      </xdr:nvSpPr>
      <xdr:spPr>
        <a:xfrm>
          <a:off x="114300" y="76200"/>
          <a:ext cx="13535025" cy="1009650"/>
        </a:xfrm>
        <a:prstGeom prst="roundRect">
          <a:avLst/>
        </a:prstGeom>
        <a:solidFill>
          <a:srgbClr val="8D4004"/>
        </a:solidFill>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4400" b="1" i="0" u="none" strike="noStrike">
              <a:solidFill>
                <a:schemeClr val="lt1"/>
              </a:solidFill>
              <a:effectLst/>
              <a:latin typeface="Bernard MT Condensed" panose="02050806060905020404" pitchFamily="18" charset="0"/>
              <a:ea typeface="+mn-ea"/>
              <a:cs typeface="+mn-cs"/>
            </a:rPr>
            <a:t>Balance general</a:t>
          </a:r>
          <a:endParaRPr lang="es-MX" sz="4400">
            <a:latin typeface="Bernard MT Condensed" panose="02050806060905020404" pitchFamily="18" charset="0"/>
          </a:endParaRPr>
        </a:p>
      </xdr:txBody>
    </xdr:sp>
    <xdr:clientData/>
  </xdr:twoCellAnchor>
  <xdr:twoCellAnchor>
    <xdr:from>
      <xdr:col>1</xdr:col>
      <xdr:colOff>371475</xdr:colOff>
      <xdr:row>5</xdr:row>
      <xdr:rowOff>180976</xdr:rowOff>
    </xdr:from>
    <xdr:to>
      <xdr:col>1</xdr:col>
      <xdr:colOff>1581150</xdr:colOff>
      <xdr:row>8</xdr:row>
      <xdr:rowOff>41476</xdr:rowOff>
    </xdr:to>
    <xdr:sp macro="" textlink="">
      <xdr:nvSpPr>
        <xdr:cNvPr id="3" name="Marco 2">
          <a:hlinkClick xmlns:r="http://schemas.openxmlformats.org/officeDocument/2006/relationships" r:id="rId1"/>
          <a:extLst>
            <a:ext uri="{FF2B5EF4-FFF2-40B4-BE49-F238E27FC236}">
              <a16:creationId xmlns:a16="http://schemas.microsoft.com/office/drawing/2014/main" id="{FE685ACB-805F-4B72-9808-6FE7DA6AFB16}"/>
            </a:ext>
          </a:extLst>
        </xdr:cNvPr>
        <xdr:cNvSpPr/>
      </xdr:nvSpPr>
      <xdr:spPr>
        <a:xfrm>
          <a:off x="514350" y="1133476"/>
          <a:ext cx="120967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Antecedentes</a:t>
          </a:r>
        </a:p>
      </xdr:txBody>
    </xdr:sp>
    <xdr:clientData/>
  </xdr:twoCellAnchor>
  <xdr:twoCellAnchor>
    <xdr:from>
      <xdr:col>1</xdr:col>
      <xdr:colOff>1609725</xdr:colOff>
      <xdr:row>5</xdr:row>
      <xdr:rowOff>180975</xdr:rowOff>
    </xdr:from>
    <xdr:to>
      <xdr:col>2</xdr:col>
      <xdr:colOff>609600</xdr:colOff>
      <xdr:row>8</xdr:row>
      <xdr:rowOff>41475</xdr:rowOff>
    </xdr:to>
    <xdr:sp macro="" textlink="">
      <xdr:nvSpPr>
        <xdr:cNvPr id="4" name="Marco 3">
          <a:hlinkClick xmlns:r="http://schemas.openxmlformats.org/officeDocument/2006/relationships" r:id="rId2"/>
          <a:extLst>
            <a:ext uri="{FF2B5EF4-FFF2-40B4-BE49-F238E27FC236}">
              <a16:creationId xmlns:a16="http://schemas.microsoft.com/office/drawing/2014/main" id="{D9FD390F-54EB-4506-8388-7982327DAD4A}"/>
            </a:ext>
          </a:extLst>
        </xdr:cNvPr>
        <xdr:cNvSpPr/>
      </xdr:nvSpPr>
      <xdr:spPr>
        <a:xfrm>
          <a:off x="1752600" y="1133475"/>
          <a:ext cx="800100"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Datos</a:t>
          </a:r>
        </a:p>
      </xdr:txBody>
    </xdr:sp>
    <xdr:clientData/>
  </xdr:twoCellAnchor>
  <xdr:twoCellAnchor>
    <xdr:from>
      <xdr:col>2</xdr:col>
      <xdr:colOff>638174</xdr:colOff>
      <xdr:row>5</xdr:row>
      <xdr:rowOff>180975</xdr:rowOff>
    </xdr:from>
    <xdr:to>
      <xdr:col>4</xdr:col>
      <xdr:colOff>342899</xdr:colOff>
      <xdr:row>8</xdr:row>
      <xdr:rowOff>41475</xdr:rowOff>
    </xdr:to>
    <xdr:sp macro="" textlink="">
      <xdr:nvSpPr>
        <xdr:cNvPr id="5" name="Marco 4">
          <a:hlinkClick xmlns:r="http://schemas.openxmlformats.org/officeDocument/2006/relationships" r:id="rId3"/>
          <a:extLst>
            <a:ext uri="{FF2B5EF4-FFF2-40B4-BE49-F238E27FC236}">
              <a16:creationId xmlns:a16="http://schemas.microsoft.com/office/drawing/2014/main" id="{45D69FBC-671E-4F5B-B8BB-7B6368AB3A77}"/>
            </a:ext>
          </a:extLst>
        </xdr:cNvPr>
        <xdr:cNvSpPr/>
      </xdr:nvSpPr>
      <xdr:spPr>
        <a:xfrm>
          <a:off x="2581274" y="1133475"/>
          <a:ext cx="160972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Estado de resultados</a:t>
          </a:r>
        </a:p>
      </xdr:txBody>
    </xdr:sp>
    <xdr:clientData/>
  </xdr:twoCellAnchor>
  <xdr:twoCellAnchor>
    <xdr:from>
      <xdr:col>4</xdr:col>
      <xdr:colOff>361950</xdr:colOff>
      <xdr:row>5</xdr:row>
      <xdr:rowOff>180975</xdr:rowOff>
    </xdr:from>
    <xdr:to>
      <xdr:col>5</xdr:col>
      <xdr:colOff>819150</xdr:colOff>
      <xdr:row>8</xdr:row>
      <xdr:rowOff>41475</xdr:rowOff>
    </xdr:to>
    <xdr:sp macro="" textlink="">
      <xdr:nvSpPr>
        <xdr:cNvPr id="6" name="Marco 5">
          <a:hlinkClick xmlns:r="http://schemas.openxmlformats.org/officeDocument/2006/relationships" r:id="rId4"/>
          <a:extLst>
            <a:ext uri="{FF2B5EF4-FFF2-40B4-BE49-F238E27FC236}">
              <a16:creationId xmlns:a16="http://schemas.microsoft.com/office/drawing/2014/main" id="{9143D299-CA5E-4D89-9A89-DB6D0AF5F2AA}"/>
            </a:ext>
          </a:extLst>
        </xdr:cNvPr>
        <xdr:cNvSpPr/>
      </xdr:nvSpPr>
      <xdr:spPr>
        <a:xfrm>
          <a:off x="4210050" y="1133475"/>
          <a:ext cx="1409700"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Flujo de efectivo</a:t>
          </a:r>
        </a:p>
      </xdr:txBody>
    </xdr:sp>
    <xdr:clientData/>
  </xdr:twoCellAnchor>
  <xdr:twoCellAnchor>
    <xdr:from>
      <xdr:col>5</xdr:col>
      <xdr:colOff>857250</xdr:colOff>
      <xdr:row>5</xdr:row>
      <xdr:rowOff>180975</xdr:rowOff>
    </xdr:from>
    <xdr:to>
      <xdr:col>7</xdr:col>
      <xdr:colOff>409575</xdr:colOff>
      <xdr:row>8</xdr:row>
      <xdr:rowOff>41475</xdr:rowOff>
    </xdr:to>
    <xdr:sp macro="" textlink="">
      <xdr:nvSpPr>
        <xdr:cNvPr id="7" name="Marco 6">
          <a:hlinkClick xmlns:r="http://schemas.openxmlformats.org/officeDocument/2006/relationships" r:id="rId5"/>
          <a:extLst>
            <a:ext uri="{FF2B5EF4-FFF2-40B4-BE49-F238E27FC236}">
              <a16:creationId xmlns:a16="http://schemas.microsoft.com/office/drawing/2014/main" id="{9A46592D-ECBD-42C1-AC84-31BBB28D469B}"/>
            </a:ext>
          </a:extLst>
        </xdr:cNvPr>
        <xdr:cNvSpPr/>
      </xdr:nvSpPr>
      <xdr:spPr>
        <a:xfrm>
          <a:off x="5657850" y="1133475"/>
          <a:ext cx="145732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0">
              <a:solidFill>
                <a:sysClr val="windowText" lastClr="000000"/>
              </a:solidFill>
              <a:latin typeface="Bernard MT Condensed" panose="02050806060905020404" pitchFamily="18" charset="0"/>
            </a:rPr>
            <a:t>Balance general</a:t>
          </a:r>
        </a:p>
      </xdr:txBody>
    </xdr:sp>
    <xdr:clientData/>
  </xdr:twoCellAnchor>
  <xdr:twoCellAnchor>
    <xdr:from>
      <xdr:col>7</xdr:col>
      <xdr:colOff>438150</xdr:colOff>
      <xdr:row>5</xdr:row>
      <xdr:rowOff>180975</xdr:rowOff>
    </xdr:from>
    <xdr:to>
      <xdr:col>9</xdr:col>
      <xdr:colOff>66675</xdr:colOff>
      <xdr:row>8</xdr:row>
      <xdr:rowOff>41475</xdr:rowOff>
    </xdr:to>
    <xdr:sp macro="" textlink="">
      <xdr:nvSpPr>
        <xdr:cNvPr id="8" name="Marco 7">
          <a:hlinkClick xmlns:r="http://schemas.openxmlformats.org/officeDocument/2006/relationships" r:id="rId6"/>
          <a:extLst>
            <a:ext uri="{FF2B5EF4-FFF2-40B4-BE49-F238E27FC236}">
              <a16:creationId xmlns:a16="http://schemas.microsoft.com/office/drawing/2014/main" id="{834319A1-D733-49F6-AD7C-2721A76CB1D6}"/>
            </a:ext>
          </a:extLst>
        </xdr:cNvPr>
        <xdr:cNvSpPr/>
      </xdr:nvSpPr>
      <xdr:spPr>
        <a:xfrm>
          <a:off x="7143750" y="1133475"/>
          <a:ext cx="153352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Punto de equilibrio</a:t>
          </a:r>
        </a:p>
      </xdr:txBody>
    </xdr:sp>
    <xdr:clientData/>
  </xdr:twoCellAnchor>
  <xdr:twoCellAnchor>
    <xdr:from>
      <xdr:col>9</xdr:col>
      <xdr:colOff>95250</xdr:colOff>
      <xdr:row>5</xdr:row>
      <xdr:rowOff>180975</xdr:rowOff>
    </xdr:from>
    <xdr:to>
      <xdr:col>10</xdr:col>
      <xdr:colOff>847725</xdr:colOff>
      <xdr:row>8</xdr:row>
      <xdr:rowOff>41475</xdr:rowOff>
    </xdr:to>
    <xdr:sp macro="" textlink="">
      <xdr:nvSpPr>
        <xdr:cNvPr id="9" name="Marco 8">
          <a:hlinkClick xmlns:r="http://schemas.openxmlformats.org/officeDocument/2006/relationships" r:id="rId7"/>
          <a:extLst>
            <a:ext uri="{FF2B5EF4-FFF2-40B4-BE49-F238E27FC236}">
              <a16:creationId xmlns:a16="http://schemas.microsoft.com/office/drawing/2014/main" id="{CB13CE83-568B-44FE-9D11-7A71B2435597}"/>
            </a:ext>
          </a:extLst>
        </xdr:cNvPr>
        <xdr:cNvSpPr/>
      </xdr:nvSpPr>
      <xdr:spPr>
        <a:xfrm>
          <a:off x="8705850" y="1133475"/>
          <a:ext cx="170497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0" i="0" u="none" strike="noStrike">
              <a:solidFill>
                <a:sysClr val="windowText" lastClr="000000"/>
              </a:solidFill>
              <a:effectLst/>
              <a:latin typeface="Bernard MT Condensed" panose="02050806060905020404" pitchFamily="18" charset="0"/>
              <a:ea typeface="+mn-ea"/>
              <a:cs typeface="+mn-cs"/>
            </a:rPr>
            <a:t>  Métodos</a:t>
          </a:r>
          <a:r>
            <a:rPr lang="es-MX" sz="1200" b="0" i="0" u="none" strike="noStrike" baseline="0">
              <a:solidFill>
                <a:sysClr val="windowText" lastClr="000000"/>
              </a:solidFill>
              <a:effectLst/>
              <a:latin typeface="Bernard MT Condensed" panose="02050806060905020404" pitchFamily="18" charset="0"/>
              <a:ea typeface="+mn-ea"/>
              <a:cs typeface="+mn-cs"/>
            </a:rPr>
            <a:t> de evaluación</a:t>
          </a:r>
          <a:r>
            <a:rPr lang="es-MX" sz="1200" b="0" i="0" u="none" strike="noStrike">
              <a:solidFill>
                <a:sysClr val="windowText" lastClr="000000"/>
              </a:solidFill>
              <a:effectLst/>
              <a:latin typeface="Bernard MT Condensed" panose="02050806060905020404" pitchFamily="18" charset="0"/>
              <a:ea typeface="+mn-ea"/>
              <a:cs typeface="+mn-cs"/>
            </a:rPr>
            <a:t>  </a:t>
          </a:r>
          <a:endParaRPr lang="es-MX" sz="1200" b="0">
            <a:solidFill>
              <a:sysClr val="windowText" lastClr="000000"/>
            </a:solidFill>
            <a:latin typeface="Bernard MT Condensed" panose="02050806060905020404" pitchFamily="18" charset="0"/>
          </a:endParaRPr>
        </a:p>
      </xdr:txBody>
    </xdr:sp>
    <xdr:clientData/>
  </xdr:twoCellAnchor>
  <xdr:twoCellAnchor>
    <xdr:from>
      <xdr:col>10</xdr:col>
      <xdr:colOff>885824</xdr:colOff>
      <xdr:row>5</xdr:row>
      <xdr:rowOff>180975</xdr:rowOff>
    </xdr:from>
    <xdr:to>
      <xdr:col>12</xdr:col>
      <xdr:colOff>219075</xdr:colOff>
      <xdr:row>8</xdr:row>
      <xdr:rowOff>41475</xdr:rowOff>
    </xdr:to>
    <xdr:sp macro="" textlink="">
      <xdr:nvSpPr>
        <xdr:cNvPr id="10" name="Marco 9">
          <a:hlinkClick xmlns:r="http://schemas.openxmlformats.org/officeDocument/2006/relationships" r:id="rId8"/>
          <a:extLst>
            <a:ext uri="{FF2B5EF4-FFF2-40B4-BE49-F238E27FC236}">
              <a16:creationId xmlns:a16="http://schemas.microsoft.com/office/drawing/2014/main" id="{3CEB5CFD-2C27-4810-8344-5C29BDDEB34E}"/>
            </a:ext>
          </a:extLst>
        </xdr:cNvPr>
        <xdr:cNvSpPr/>
      </xdr:nvSpPr>
      <xdr:spPr>
        <a:xfrm>
          <a:off x="10448924" y="1133475"/>
          <a:ext cx="1238251"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0">
              <a:solidFill>
                <a:sysClr val="windowText" lastClr="000000"/>
              </a:solidFill>
              <a:latin typeface="Bernard MT Condensed" panose="02050806060905020404" pitchFamily="18" charset="0"/>
            </a:rPr>
            <a:t>Resultados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200025</xdr:colOff>
      <xdr:row>0</xdr:row>
      <xdr:rowOff>95250</xdr:rowOff>
    </xdr:from>
    <xdr:to>
      <xdr:col>14</xdr:col>
      <xdr:colOff>361949</xdr:colOff>
      <xdr:row>5</xdr:row>
      <xdr:rowOff>152400</xdr:rowOff>
    </xdr:to>
    <xdr:sp macro="" textlink="">
      <xdr:nvSpPr>
        <xdr:cNvPr id="2" name="Rectángulo: esquinas redondeadas 1">
          <a:extLst>
            <a:ext uri="{FF2B5EF4-FFF2-40B4-BE49-F238E27FC236}">
              <a16:creationId xmlns:a16="http://schemas.microsoft.com/office/drawing/2014/main" id="{7F771DFD-A198-4FB5-B55C-81080CEEBA84}"/>
            </a:ext>
          </a:extLst>
        </xdr:cNvPr>
        <xdr:cNvSpPr/>
      </xdr:nvSpPr>
      <xdr:spPr>
        <a:xfrm>
          <a:off x="200025" y="95250"/>
          <a:ext cx="12153899" cy="1009650"/>
        </a:xfrm>
        <a:prstGeom prst="roundRect">
          <a:avLst/>
        </a:prstGeom>
        <a:solidFill>
          <a:srgbClr val="8D4004"/>
        </a:solidFill>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4400" b="1" i="0" u="none" strike="noStrike">
              <a:solidFill>
                <a:schemeClr val="lt1"/>
              </a:solidFill>
              <a:effectLst/>
              <a:latin typeface="Bernard MT Condensed" panose="02050806060905020404" pitchFamily="18" charset="0"/>
              <a:ea typeface="+mn-ea"/>
              <a:cs typeface="+mn-cs"/>
            </a:rPr>
            <a:t>Punto de equilibrio</a:t>
          </a:r>
          <a:endParaRPr lang="es-MX" sz="4400">
            <a:latin typeface="Bernard MT Condensed" panose="02050806060905020404" pitchFamily="18" charset="0"/>
          </a:endParaRPr>
        </a:p>
      </xdr:txBody>
    </xdr:sp>
    <xdr:clientData/>
  </xdr:twoCellAnchor>
  <xdr:twoCellAnchor>
    <xdr:from>
      <xdr:col>0</xdr:col>
      <xdr:colOff>647700</xdr:colOff>
      <xdr:row>5</xdr:row>
      <xdr:rowOff>180976</xdr:rowOff>
    </xdr:from>
    <xdr:to>
      <xdr:col>2</xdr:col>
      <xdr:colOff>333375</xdr:colOff>
      <xdr:row>8</xdr:row>
      <xdr:rowOff>41476</xdr:rowOff>
    </xdr:to>
    <xdr:sp macro="" textlink="">
      <xdr:nvSpPr>
        <xdr:cNvPr id="3" name="Marco 2">
          <a:hlinkClick xmlns:r="http://schemas.openxmlformats.org/officeDocument/2006/relationships" r:id="rId1"/>
          <a:extLst>
            <a:ext uri="{FF2B5EF4-FFF2-40B4-BE49-F238E27FC236}">
              <a16:creationId xmlns:a16="http://schemas.microsoft.com/office/drawing/2014/main" id="{D2ED89AB-43D9-498C-ADF8-36D76758F6AD}"/>
            </a:ext>
          </a:extLst>
        </xdr:cNvPr>
        <xdr:cNvSpPr/>
      </xdr:nvSpPr>
      <xdr:spPr>
        <a:xfrm>
          <a:off x="647700" y="1133476"/>
          <a:ext cx="120967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Antecedentes</a:t>
          </a:r>
        </a:p>
      </xdr:txBody>
    </xdr:sp>
    <xdr:clientData/>
  </xdr:twoCellAnchor>
  <xdr:twoCellAnchor>
    <xdr:from>
      <xdr:col>2</xdr:col>
      <xdr:colOff>361950</xdr:colOff>
      <xdr:row>5</xdr:row>
      <xdr:rowOff>180975</xdr:rowOff>
    </xdr:from>
    <xdr:to>
      <xdr:col>3</xdr:col>
      <xdr:colOff>400050</xdr:colOff>
      <xdr:row>8</xdr:row>
      <xdr:rowOff>41475</xdr:rowOff>
    </xdr:to>
    <xdr:sp macro="" textlink="">
      <xdr:nvSpPr>
        <xdr:cNvPr id="4" name="Marco 3">
          <a:hlinkClick xmlns:r="http://schemas.openxmlformats.org/officeDocument/2006/relationships" r:id="rId2"/>
          <a:extLst>
            <a:ext uri="{FF2B5EF4-FFF2-40B4-BE49-F238E27FC236}">
              <a16:creationId xmlns:a16="http://schemas.microsoft.com/office/drawing/2014/main" id="{1A1F2A18-0F3A-4B62-B380-720EBCBE3705}"/>
            </a:ext>
          </a:extLst>
        </xdr:cNvPr>
        <xdr:cNvSpPr/>
      </xdr:nvSpPr>
      <xdr:spPr>
        <a:xfrm>
          <a:off x="1885950" y="1133475"/>
          <a:ext cx="800100"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Datos</a:t>
          </a:r>
        </a:p>
      </xdr:txBody>
    </xdr:sp>
    <xdr:clientData/>
  </xdr:twoCellAnchor>
  <xdr:twoCellAnchor>
    <xdr:from>
      <xdr:col>3</xdr:col>
      <xdr:colOff>428624</xdr:colOff>
      <xdr:row>5</xdr:row>
      <xdr:rowOff>180975</xdr:rowOff>
    </xdr:from>
    <xdr:to>
      <xdr:col>5</xdr:col>
      <xdr:colOff>590549</xdr:colOff>
      <xdr:row>8</xdr:row>
      <xdr:rowOff>41475</xdr:rowOff>
    </xdr:to>
    <xdr:sp macro="" textlink="">
      <xdr:nvSpPr>
        <xdr:cNvPr id="5" name="Marco 4">
          <a:hlinkClick xmlns:r="http://schemas.openxmlformats.org/officeDocument/2006/relationships" r:id="rId3"/>
          <a:extLst>
            <a:ext uri="{FF2B5EF4-FFF2-40B4-BE49-F238E27FC236}">
              <a16:creationId xmlns:a16="http://schemas.microsoft.com/office/drawing/2014/main" id="{78C2E39C-227E-41D5-87A6-5EBB09FC50D1}"/>
            </a:ext>
          </a:extLst>
        </xdr:cNvPr>
        <xdr:cNvSpPr/>
      </xdr:nvSpPr>
      <xdr:spPr>
        <a:xfrm>
          <a:off x="2714624" y="1133475"/>
          <a:ext cx="160972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Estado de resultados</a:t>
          </a:r>
        </a:p>
      </xdr:txBody>
    </xdr:sp>
    <xdr:clientData/>
  </xdr:twoCellAnchor>
  <xdr:twoCellAnchor>
    <xdr:from>
      <xdr:col>5</xdr:col>
      <xdr:colOff>609600</xdr:colOff>
      <xdr:row>5</xdr:row>
      <xdr:rowOff>180975</xdr:rowOff>
    </xdr:from>
    <xdr:to>
      <xdr:col>6</xdr:col>
      <xdr:colOff>1009650</xdr:colOff>
      <xdr:row>8</xdr:row>
      <xdr:rowOff>41475</xdr:rowOff>
    </xdr:to>
    <xdr:sp macro="" textlink="">
      <xdr:nvSpPr>
        <xdr:cNvPr id="6" name="Marco 5">
          <a:hlinkClick xmlns:r="http://schemas.openxmlformats.org/officeDocument/2006/relationships" r:id="rId4"/>
          <a:extLst>
            <a:ext uri="{FF2B5EF4-FFF2-40B4-BE49-F238E27FC236}">
              <a16:creationId xmlns:a16="http://schemas.microsoft.com/office/drawing/2014/main" id="{8A7B3F33-0655-4985-96CB-D0BC2B700407}"/>
            </a:ext>
          </a:extLst>
        </xdr:cNvPr>
        <xdr:cNvSpPr/>
      </xdr:nvSpPr>
      <xdr:spPr>
        <a:xfrm>
          <a:off x="4343400" y="1133475"/>
          <a:ext cx="1409700"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Flujo de efectivo</a:t>
          </a:r>
        </a:p>
      </xdr:txBody>
    </xdr:sp>
    <xdr:clientData/>
  </xdr:twoCellAnchor>
  <xdr:twoCellAnchor>
    <xdr:from>
      <xdr:col>7</xdr:col>
      <xdr:colOff>9525</xdr:colOff>
      <xdr:row>5</xdr:row>
      <xdr:rowOff>180975</xdr:rowOff>
    </xdr:from>
    <xdr:to>
      <xdr:col>8</xdr:col>
      <xdr:colOff>438150</xdr:colOff>
      <xdr:row>8</xdr:row>
      <xdr:rowOff>41475</xdr:rowOff>
    </xdr:to>
    <xdr:sp macro="" textlink="">
      <xdr:nvSpPr>
        <xdr:cNvPr id="7" name="Marco 6">
          <a:hlinkClick xmlns:r="http://schemas.openxmlformats.org/officeDocument/2006/relationships" r:id="rId5"/>
          <a:extLst>
            <a:ext uri="{FF2B5EF4-FFF2-40B4-BE49-F238E27FC236}">
              <a16:creationId xmlns:a16="http://schemas.microsoft.com/office/drawing/2014/main" id="{EDE0BE6B-C7F0-461A-8401-B63B086DB05D}"/>
            </a:ext>
          </a:extLst>
        </xdr:cNvPr>
        <xdr:cNvSpPr/>
      </xdr:nvSpPr>
      <xdr:spPr>
        <a:xfrm>
          <a:off x="5791200" y="1133475"/>
          <a:ext cx="145732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0">
              <a:solidFill>
                <a:sysClr val="windowText" lastClr="000000"/>
              </a:solidFill>
              <a:latin typeface="Bernard MT Condensed" panose="02050806060905020404" pitchFamily="18" charset="0"/>
            </a:rPr>
            <a:t>Balance general</a:t>
          </a:r>
        </a:p>
      </xdr:txBody>
    </xdr:sp>
    <xdr:clientData/>
  </xdr:twoCellAnchor>
  <xdr:twoCellAnchor>
    <xdr:from>
      <xdr:col>8</xdr:col>
      <xdr:colOff>466725</xdr:colOff>
      <xdr:row>5</xdr:row>
      <xdr:rowOff>180975</xdr:rowOff>
    </xdr:from>
    <xdr:to>
      <xdr:col>9</xdr:col>
      <xdr:colOff>933450</xdr:colOff>
      <xdr:row>8</xdr:row>
      <xdr:rowOff>41475</xdr:rowOff>
    </xdr:to>
    <xdr:sp macro="" textlink="">
      <xdr:nvSpPr>
        <xdr:cNvPr id="8" name="Marco 7">
          <a:hlinkClick xmlns:r="http://schemas.openxmlformats.org/officeDocument/2006/relationships" r:id="rId6"/>
          <a:extLst>
            <a:ext uri="{FF2B5EF4-FFF2-40B4-BE49-F238E27FC236}">
              <a16:creationId xmlns:a16="http://schemas.microsoft.com/office/drawing/2014/main" id="{EB41F61E-5D42-4846-95E9-B148D78868B9}"/>
            </a:ext>
          </a:extLst>
        </xdr:cNvPr>
        <xdr:cNvSpPr/>
      </xdr:nvSpPr>
      <xdr:spPr>
        <a:xfrm>
          <a:off x="7277100" y="1133475"/>
          <a:ext cx="153352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Punto de equilibrio</a:t>
          </a:r>
        </a:p>
      </xdr:txBody>
    </xdr:sp>
    <xdr:clientData/>
  </xdr:twoCellAnchor>
  <xdr:twoCellAnchor>
    <xdr:from>
      <xdr:col>9</xdr:col>
      <xdr:colOff>962025</xdr:colOff>
      <xdr:row>5</xdr:row>
      <xdr:rowOff>180975</xdr:rowOff>
    </xdr:from>
    <xdr:to>
      <xdr:col>12</xdr:col>
      <xdr:colOff>76200</xdr:colOff>
      <xdr:row>8</xdr:row>
      <xdr:rowOff>41475</xdr:rowOff>
    </xdr:to>
    <xdr:sp macro="" textlink="">
      <xdr:nvSpPr>
        <xdr:cNvPr id="9" name="Marco 8">
          <a:hlinkClick xmlns:r="http://schemas.openxmlformats.org/officeDocument/2006/relationships" r:id="rId7"/>
          <a:extLst>
            <a:ext uri="{FF2B5EF4-FFF2-40B4-BE49-F238E27FC236}">
              <a16:creationId xmlns:a16="http://schemas.microsoft.com/office/drawing/2014/main" id="{D81E0972-3AD6-4100-9998-D5486957C302}"/>
            </a:ext>
          </a:extLst>
        </xdr:cNvPr>
        <xdr:cNvSpPr/>
      </xdr:nvSpPr>
      <xdr:spPr>
        <a:xfrm>
          <a:off x="8839200" y="1133475"/>
          <a:ext cx="170497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0" i="0" u="none" strike="noStrike">
              <a:solidFill>
                <a:sysClr val="windowText" lastClr="000000"/>
              </a:solidFill>
              <a:effectLst/>
              <a:latin typeface="Bernard MT Condensed" panose="02050806060905020404" pitchFamily="18" charset="0"/>
              <a:ea typeface="+mn-ea"/>
              <a:cs typeface="+mn-cs"/>
            </a:rPr>
            <a:t>  Métodos</a:t>
          </a:r>
          <a:r>
            <a:rPr lang="es-MX" sz="1200" b="0" i="0" u="none" strike="noStrike" baseline="0">
              <a:solidFill>
                <a:sysClr val="windowText" lastClr="000000"/>
              </a:solidFill>
              <a:effectLst/>
              <a:latin typeface="Bernard MT Condensed" panose="02050806060905020404" pitchFamily="18" charset="0"/>
              <a:ea typeface="+mn-ea"/>
              <a:cs typeface="+mn-cs"/>
            </a:rPr>
            <a:t> de evaluación</a:t>
          </a:r>
          <a:r>
            <a:rPr lang="es-MX" sz="1200" b="0" i="0" u="none" strike="noStrike">
              <a:solidFill>
                <a:sysClr val="windowText" lastClr="000000"/>
              </a:solidFill>
              <a:effectLst/>
              <a:latin typeface="Bernard MT Condensed" panose="02050806060905020404" pitchFamily="18" charset="0"/>
              <a:ea typeface="+mn-ea"/>
              <a:cs typeface="+mn-cs"/>
            </a:rPr>
            <a:t>  </a:t>
          </a:r>
          <a:endParaRPr lang="es-MX" sz="1200" b="0">
            <a:solidFill>
              <a:sysClr val="windowText" lastClr="000000"/>
            </a:solidFill>
            <a:latin typeface="Bernard MT Condensed" panose="02050806060905020404" pitchFamily="18" charset="0"/>
          </a:endParaRPr>
        </a:p>
      </xdr:txBody>
    </xdr:sp>
    <xdr:clientData/>
  </xdr:twoCellAnchor>
  <xdr:twoCellAnchor>
    <xdr:from>
      <xdr:col>12</xdr:col>
      <xdr:colOff>114299</xdr:colOff>
      <xdr:row>5</xdr:row>
      <xdr:rowOff>180975</xdr:rowOff>
    </xdr:from>
    <xdr:to>
      <xdr:col>13</xdr:col>
      <xdr:colOff>590550</xdr:colOff>
      <xdr:row>8</xdr:row>
      <xdr:rowOff>41475</xdr:rowOff>
    </xdr:to>
    <xdr:sp macro="" textlink="">
      <xdr:nvSpPr>
        <xdr:cNvPr id="10" name="Marco 9">
          <a:hlinkClick xmlns:r="http://schemas.openxmlformats.org/officeDocument/2006/relationships" r:id="rId8"/>
          <a:extLst>
            <a:ext uri="{FF2B5EF4-FFF2-40B4-BE49-F238E27FC236}">
              <a16:creationId xmlns:a16="http://schemas.microsoft.com/office/drawing/2014/main" id="{3D937AE1-C6FB-408F-AD6C-D35664A2C52A}"/>
            </a:ext>
          </a:extLst>
        </xdr:cNvPr>
        <xdr:cNvSpPr/>
      </xdr:nvSpPr>
      <xdr:spPr>
        <a:xfrm>
          <a:off x="10582274" y="1133475"/>
          <a:ext cx="1238251"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0">
              <a:solidFill>
                <a:sysClr val="windowText" lastClr="000000"/>
              </a:solidFill>
              <a:latin typeface="Bernard MT Condensed" panose="02050806060905020404" pitchFamily="18" charset="0"/>
            </a:rPr>
            <a:t>Resultados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209549</xdr:colOff>
      <xdr:row>0</xdr:row>
      <xdr:rowOff>123825</xdr:rowOff>
    </xdr:from>
    <xdr:to>
      <xdr:col>12</xdr:col>
      <xdr:colOff>438150</xdr:colOff>
      <xdr:row>5</xdr:row>
      <xdr:rowOff>180975</xdr:rowOff>
    </xdr:to>
    <xdr:sp macro="" textlink="">
      <xdr:nvSpPr>
        <xdr:cNvPr id="2" name="Rectángulo: esquinas redondeadas 1">
          <a:extLst>
            <a:ext uri="{FF2B5EF4-FFF2-40B4-BE49-F238E27FC236}">
              <a16:creationId xmlns:a16="http://schemas.microsoft.com/office/drawing/2014/main" id="{0D9D9640-282B-413D-8D36-293ECAD20052}"/>
            </a:ext>
          </a:extLst>
        </xdr:cNvPr>
        <xdr:cNvSpPr/>
      </xdr:nvSpPr>
      <xdr:spPr>
        <a:xfrm>
          <a:off x="209549" y="123825"/>
          <a:ext cx="12153901" cy="1009650"/>
        </a:xfrm>
        <a:prstGeom prst="roundRect">
          <a:avLst/>
        </a:prstGeom>
        <a:solidFill>
          <a:srgbClr val="8D4004"/>
        </a:solidFill>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3200" b="0" i="0">
              <a:solidFill>
                <a:schemeClr val="lt1"/>
              </a:solidFill>
              <a:effectLst/>
              <a:latin typeface="Bernard MT Condensed" panose="02050806060905020404" pitchFamily="18" charset="0"/>
              <a:ea typeface="+mn-ea"/>
              <a:cs typeface="+mn-cs"/>
            </a:rPr>
            <a:t>Métodos de evaluación​ de un proyecto</a:t>
          </a:r>
          <a:r>
            <a:rPr lang="es-MX" sz="3200" b="0" i="0" baseline="0">
              <a:solidFill>
                <a:schemeClr val="lt1"/>
              </a:solidFill>
              <a:effectLst/>
              <a:latin typeface="Bernard MT Condensed" panose="02050806060905020404" pitchFamily="18" charset="0"/>
              <a:ea typeface="+mn-ea"/>
              <a:cs typeface="+mn-cs"/>
            </a:rPr>
            <a:t> de inversión</a:t>
          </a:r>
          <a:endParaRPr lang="es-MX" sz="3200">
            <a:latin typeface="Bernard MT Condensed" panose="02050806060905020404" pitchFamily="18" charset="0"/>
          </a:endParaRPr>
        </a:p>
      </xdr:txBody>
    </xdr:sp>
    <xdr:clientData/>
  </xdr:twoCellAnchor>
  <xdr:twoCellAnchor>
    <xdr:from>
      <xdr:col>0</xdr:col>
      <xdr:colOff>704850</xdr:colOff>
      <xdr:row>6</xdr:row>
      <xdr:rowOff>38101</xdr:rowOff>
    </xdr:from>
    <xdr:to>
      <xdr:col>1</xdr:col>
      <xdr:colOff>1152525</xdr:colOff>
      <xdr:row>8</xdr:row>
      <xdr:rowOff>89101</xdr:rowOff>
    </xdr:to>
    <xdr:sp macro="" textlink="">
      <xdr:nvSpPr>
        <xdr:cNvPr id="5" name="Marco 4">
          <a:hlinkClick xmlns:r="http://schemas.openxmlformats.org/officeDocument/2006/relationships" r:id="rId1"/>
          <a:extLst>
            <a:ext uri="{FF2B5EF4-FFF2-40B4-BE49-F238E27FC236}">
              <a16:creationId xmlns:a16="http://schemas.microsoft.com/office/drawing/2014/main" id="{52583BA6-F57D-4B83-803C-AB8D1F9436DA}"/>
            </a:ext>
          </a:extLst>
        </xdr:cNvPr>
        <xdr:cNvSpPr/>
      </xdr:nvSpPr>
      <xdr:spPr>
        <a:xfrm>
          <a:off x="704850" y="1181101"/>
          <a:ext cx="120967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Antecedentes</a:t>
          </a:r>
        </a:p>
      </xdr:txBody>
    </xdr:sp>
    <xdr:clientData/>
  </xdr:twoCellAnchor>
  <xdr:twoCellAnchor>
    <xdr:from>
      <xdr:col>1</xdr:col>
      <xdr:colOff>1181100</xdr:colOff>
      <xdr:row>6</xdr:row>
      <xdr:rowOff>38100</xdr:rowOff>
    </xdr:from>
    <xdr:to>
      <xdr:col>2</xdr:col>
      <xdr:colOff>752475</xdr:colOff>
      <xdr:row>8</xdr:row>
      <xdr:rowOff>89100</xdr:rowOff>
    </xdr:to>
    <xdr:sp macro="" textlink="">
      <xdr:nvSpPr>
        <xdr:cNvPr id="6" name="Marco 5">
          <a:hlinkClick xmlns:r="http://schemas.openxmlformats.org/officeDocument/2006/relationships" r:id="rId2"/>
          <a:extLst>
            <a:ext uri="{FF2B5EF4-FFF2-40B4-BE49-F238E27FC236}">
              <a16:creationId xmlns:a16="http://schemas.microsoft.com/office/drawing/2014/main" id="{6560C7EC-EFE9-4B73-913C-2B9E00C45DF6}"/>
            </a:ext>
          </a:extLst>
        </xdr:cNvPr>
        <xdr:cNvSpPr/>
      </xdr:nvSpPr>
      <xdr:spPr>
        <a:xfrm>
          <a:off x="1943100" y="1181100"/>
          <a:ext cx="800100"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Datos</a:t>
          </a:r>
        </a:p>
      </xdr:txBody>
    </xdr:sp>
    <xdr:clientData/>
  </xdr:twoCellAnchor>
  <xdr:twoCellAnchor>
    <xdr:from>
      <xdr:col>2</xdr:col>
      <xdr:colOff>781049</xdr:colOff>
      <xdr:row>6</xdr:row>
      <xdr:rowOff>38100</xdr:rowOff>
    </xdr:from>
    <xdr:to>
      <xdr:col>4</xdr:col>
      <xdr:colOff>504824</xdr:colOff>
      <xdr:row>8</xdr:row>
      <xdr:rowOff>89100</xdr:rowOff>
    </xdr:to>
    <xdr:sp macro="" textlink="">
      <xdr:nvSpPr>
        <xdr:cNvPr id="7" name="Marco 6">
          <a:hlinkClick xmlns:r="http://schemas.openxmlformats.org/officeDocument/2006/relationships" r:id="rId3"/>
          <a:extLst>
            <a:ext uri="{FF2B5EF4-FFF2-40B4-BE49-F238E27FC236}">
              <a16:creationId xmlns:a16="http://schemas.microsoft.com/office/drawing/2014/main" id="{04F51249-EC17-4F47-9C59-A262C58E8B4A}"/>
            </a:ext>
          </a:extLst>
        </xdr:cNvPr>
        <xdr:cNvSpPr/>
      </xdr:nvSpPr>
      <xdr:spPr>
        <a:xfrm>
          <a:off x="2771774" y="1181100"/>
          <a:ext cx="160972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Estado de resultados</a:t>
          </a:r>
        </a:p>
      </xdr:txBody>
    </xdr:sp>
    <xdr:clientData/>
  </xdr:twoCellAnchor>
  <xdr:twoCellAnchor>
    <xdr:from>
      <xdr:col>4</xdr:col>
      <xdr:colOff>523875</xdr:colOff>
      <xdr:row>6</xdr:row>
      <xdr:rowOff>38100</xdr:rowOff>
    </xdr:from>
    <xdr:to>
      <xdr:col>6</xdr:col>
      <xdr:colOff>47625</xdr:colOff>
      <xdr:row>8</xdr:row>
      <xdr:rowOff>89100</xdr:rowOff>
    </xdr:to>
    <xdr:sp macro="" textlink="">
      <xdr:nvSpPr>
        <xdr:cNvPr id="8" name="Marco 7">
          <a:hlinkClick xmlns:r="http://schemas.openxmlformats.org/officeDocument/2006/relationships" r:id="rId4"/>
          <a:extLst>
            <a:ext uri="{FF2B5EF4-FFF2-40B4-BE49-F238E27FC236}">
              <a16:creationId xmlns:a16="http://schemas.microsoft.com/office/drawing/2014/main" id="{53CEA5FA-51D7-4427-A2E1-DDF2EC79E5C9}"/>
            </a:ext>
          </a:extLst>
        </xdr:cNvPr>
        <xdr:cNvSpPr/>
      </xdr:nvSpPr>
      <xdr:spPr>
        <a:xfrm>
          <a:off x="4400550" y="1181100"/>
          <a:ext cx="1409700"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Flujo de efectivo</a:t>
          </a:r>
        </a:p>
      </xdr:txBody>
    </xdr:sp>
    <xdr:clientData/>
  </xdr:twoCellAnchor>
  <xdr:twoCellAnchor>
    <xdr:from>
      <xdr:col>6</xdr:col>
      <xdr:colOff>85725</xdr:colOff>
      <xdr:row>6</xdr:row>
      <xdr:rowOff>38100</xdr:rowOff>
    </xdr:from>
    <xdr:to>
      <xdr:col>7</xdr:col>
      <xdr:colOff>523875</xdr:colOff>
      <xdr:row>8</xdr:row>
      <xdr:rowOff>89100</xdr:rowOff>
    </xdr:to>
    <xdr:sp macro="" textlink="">
      <xdr:nvSpPr>
        <xdr:cNvPr id="9" name="Marco 8">
          <a:hlinkClick xmlns:r="http://schemas.openxmlformats.org/officeDocument/2006/relationships" r:id="rId5"/>
          <a:extLst>
            <a:ext uri="{FF2B5EF4-FFF2-40B4-BE49-F238E27FC236}">
              <a16:creationId xmlns:a16="http://schemas.microsoft.com/office/drawing/2014/main" id="{36C92FA6-3EA6-4E43-B7DE-AC234D1C444F}"/>
            </a:ext>
          </a:extLst>
        </xdr:cNvPr>
        <xdr:cNvSpPr/>
      </xdr:nvSpPr>
      <xdr:spPr>
        <a:xfrm>
          <a:off x="5848350" y="1181100"/>
          <a:ext cx="145732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0">
              <a:solidFill>
                <a:sysClr val="windowText" lastClr="000000"/>
              </a:solidFill>
              <a:latin typeface="Bernard MT Condensed" panose="02050806060905020404" pitchFamily="18" charset="0"/>
            </a:rPr>
            <a:t>Balance general</a:t>
          </a:r>
        </a:p>
      </xdr:txBody>
    </xdr:sp>
    <xdr:clientData/>
  </xdr:twoCellAnchor>
  <xdr:twoCellAnchor>
    <xdr:from>
      <xdr:col>7</xdr:col>
      <xdr:colOff>552450</xdr:colOff>
      <xdr:row>6</xdr:row>
      <xdr:rowOff>38100</xdr:rowOff>
    </xdr:from>
    <xdr:to>
      <xdr:col>8</xdr:col>
      <xdr:colOff>1009650</xdr:colOff>
      <xdr:row>8</xdr:row>
      <xdr:rowOff>89100</xdr:rowOff>
    </xdr:to>
    <xdr:sp macro="" textlink="">
      <xdr:nvSpPr>
        <xdr:cNvPr id="10" name="Marco 9">
          <a:hlinkClick xmlns:r="http://schemas.openxmlformats.org/officeDocument/2006/relationships" r:id="rId6"/>
          <a:extLst>
            <a:ext uri="{FF2B5EF4-FFF2-40B4-BE49-F238E27FC236}">
              <a16:creationId xmlns:a16="http://schemas.microsoft.com/office/drawing/2014/main" id="{40E0D6DF-0444-4CE8-8765-252F8457002A}"/>
            </a:ext>
          </a:extLst>
        </xdr:cNvPr>
        <xdr:cNvSpPr/>
      </xdr:nvSpPr>
      <xdr:spPr>
        <a:xfrm>
          <a:off x="7334250" y="1181100"/>
          <a:ext cx="153352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Punto de equilibrio</a:t>
          </a:r>
        </a:p>
      </xdr:txBody>
    </xdr:sp>
    <xdr:clientData/>
  </xdr:twoCellAnchor>
  <xdr:twoCellAnchor>
    <xdr:from>
      <xdr:col>8</xdr:col>
      <xdr:colOff>1038225</xdr:colOff>
      <xdr:row>6</xdr:row>
      <xdr:rowOff>38100</xdr:rowOff>
    </xdr:from>
    <xdr:to>
      <xdr:col>10</xdr:col>
      <xdr:colOff>657225</xdr:colOff>
      <xdr:row>8</xdr:row>
      <xdr:rowOff>89100</xdr:rowOff>
    </xdr:to>
    <xdr:sp macro="" textlink="">
      <xdr:nvSpPr>
        <xdr:cNvPr id="11" name="Marco 10">
          <a:hlinkClick xmlns:r="http://schemas.openxmlformats.org/officeDocument/2006/relationships" r:id="rId7"/>
          <a:extLst>
            <a:ext uri="{FF2B5EF4-FFF2-40B4-BE49-F238E27FC236}">
              <a16:creationId xmlns:a16="http://schemas.microsoft.com/office/drawing/2014/main" id="{472433C7-7371-4471-82F1-19816C9B1D3E}"/>
            </a:ext>
          </a:extLst>
        </xdr:cNvPr>
        <xdr:cNvSpPr/>
      </xdr:nvSpPr>
      <xdr:spPr>
        <a:xfrm>
          <a:off x="8896350" y="1181100"/>
          <a:ext cx="170497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0" i="0" u="none" strike="noStrike">
              <a:solidFill>
                <a:sysClr val="windowText" lastClr="000000"/>
              </a:solidFill>
              <a:effectLst/>
              <a:latin typeface="Bernard MT Condensed" panose="02050806060905020404" pitchFamily="18" charset="0"/>
              <a:ea typeface="+mn-ea"/>
              <a:cs typeface="+mn-cs"/>
            </a:rPr>
            <a:t>  Métodos</a:t>
          </a:r>
          <a:r>
            <a:rPr lang="es-MX" sz="1200" b="0" i="0" u="none" strike="noStrike" baseline="0">
              <a:solidFill>
                <a:sysClr val="windowText" lastClr="000000"/>
              </a:solidFill>
              <a:effectLst/>
              <a:latin typeface="Bernard MT Condensed" panose="02050806060905020404" pitchFamily="18" charset="0"/>
              <a:ea typeface="+mn-ea"/>
              <a:cs typeface="+mn-cs"/>
            </a:rPr>
            <a:t> de evaluación</a:t>
          </a:r>
          <a:r>
            <a:rPr lang="es-MX" sz="1200" b="0" i="0" u="none" strike="noStrike">
              <a:solidFill>
                <a:sysClr val="windowText" lastClr="000000"/>
              </a:solidFill>
              <a:effectLst/>
              <a:latin typeface="Bernard MT Condensed" panose="02050806060905020404" pitchFamily="18" charset="0"/>
              <a:ea typeface="+mn-ea"/>
              <a:cs typeface="+mn-cs"/>
            </a:rPr>
            <a:t>  </a:t>
          </a:r>
          <a:endParaRPr lang="es-MX" sz="1200" b="0">
            <a:solidFill>
              <a:sysClr val="windowText" lastClr="000000"/>
            </a:solidFill>
            <a:latin typeface="Bernard MT Condensed" panose="02050806060905020404" pitchFamily="18" charset="0"/>
          </a:endParaRPr>
        </a:p>
      </xdr:txBody>
    </xdr:sp>
    <xdr:clientData/>
  </xdr:twoCellAnchor>
  <xdr:twoCellAnchor>
    <xdr:from>
      <xdr:col>10</xdr:col>
      <xdr:colOff>695324</xdr:colOff>
      <xdr:row>6</xdr:row>
      <xdr:rowOff>38100</xdr:rowOff>
    </xdr:from>
    <xdr:to>
      <xdr:col>11</xdr:col>
      <xdr:colOff>942975</xdr:colOff>
      <xdr:row>8</xdr:row>
      <xdr:rowOff>89100</xdr:rowOff>
    </xdr:to>
    <xdr:sp macro="" textlink="">
      <xdr:nvSpPr>
        <xdr:cNvPr id="12" name="Marco 11">
          <a:hlinkClick xmlns:r="http://schemas.openxmlformats.org/officeDocument/2006/relationships" r:id="rId8"/>
          <a:extLst>
            <a:ext uri="{FF2B5EF4-FFF2-40B4-BE49-F238E27FC236}">
              <a16:creationId xmlns:a16="http://schemas.microsoft.com/office/drawing/2014/main" id="{A5C7F5AC-A28C-4B52-BA01-4EC3FB979A51}"/>
            </a:ext>
          </a:extLst>
        </xdr:cNvPr>
        <xdr:cNvSpPr/>
      </xdr:nvSpPr>
      <xdr:spPr>
        <a:xfrm>
          <a:off x="10639424" y="1181100"/>
          <a:ext cx="1238251"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0">
              <a:solidFill>
                <a:sysClr val="windowText" lastClr="000000"/>
              </a:solidFill>
              <a:latin typeface="Bernard MT Condensed" panose="02050806060905020404" pitchFamily="18" charset="0"/>
            </a:rPr>
            <a:t>Resultados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152400</xdr:colOff>
      <xdr:row>0</xdr:row>
      <xdr:rowOff>76200</xdr:rowOff>
    </xdr:from>
    <xdr:to>
      <xdr:col>16</xdr:col>
      <xdr:colOff>114301</xdr:colOff>
      <xdr:row>5</xdr:row>
      <xdr:rowOff>133350</xdr:rowOff>
    </xdr:to>
    <xdr:sp macro="" textlink="">
      <xdr:nvSpPr>
        <xdr:cNvPr id="2" name="Rectángulo: esquinas redondeadas 1">
          <a:extLst>
            <a:ext uri="{FF2B5EF4-FFF2-40B4-BE49-F238E27FC236}">
              <a16:creationId xmlns:a16="http://schemas.microsoft.com/office/drawing/2014/main" id="{097FA9CC-9DD3-4D07-AC40-6FFA72BF0403}"/>
            </a:ext>
          </a:extLst>
        </xdr:cNvPr>
        <xdr:cNvSpPr/>
      </xdr:nvSpPr>
      <xdr:spPr>
        <a:xfrm>
          <a:off x="152400" y="76200"/>
          <a:ext cx="12153901" cy="1009650"/>
        </a:xfrm>
        <a:prstGeom prst="roundRect">
          <a:avLst/>
        </a:prstGeom>
        <a:solidFill>
          <a:srgbClr val="8D4004"/>
        </a:solidFill>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3200" b="0" i="0">
              <a:solidFill>
                <a:schemeClr val="lt1"/>
              </a:solidFill>
              <a:effectLst/>
              <a:latin typeface="Bernard MT Condensed" panose="02050806060905020404" pitchFamily="18" charset="0"/>
              <a:ea typeface="+mn-ea"/>
              <a:cs typeface="+mn-cs"/>
            </a:rPr>
            <a:t>Resultados</a:t>
          </a:r>
          <a:endParaRPr lang="es-MX" sz="3200">
            <a:latin typeface="Bernard MT Condensed" panose="02050806060905020404" pitchFamily="18" charset="0"/>
          </a:endParaRPr>
        </a:p>
      </xdr:txBody>
    </xdr:sp>
    <xdr:clientData/>
  </xdr:twoCellAnchor>
  <xdr:twoCellAnchor>
    <xdr:from>
      <xdr:col>0</xdr:col>
      <xdr:colOff>676275</xdr:colOff>
      <xdr:row>5</xdr:row>
      <xdr:rowOff>171451</xdr:rowOff>
    </xdr:from>
    <xdr:to>
      <xdr:col>2</xdr:col>
      <xdr:colOff>361950</xdr:colOff>
      <xdr:row>8</xdr:row>
      <xdr:rowOff>31951</xdr:rowOff>
    </xdr:to>
    <xdr:sp macro="" textlink="">
      <xdr:nvSpPr>
        <xdr:cNvPr id="3" name="Marco 2">
          <a:hlinkClick xmlns:r="http://schemas.openxmlformats.org/officeDocument/2006/relationships" r:id="rId1"/>
          <a:extLst>
            <a:ext uri="{FF2B5EF4-FFF2-40B4-BE49-F238E27FC236}">
              <a16:creationId xmlns:a16="http://schemas.microsoft.com/office/drawing/2014/main" id="{4E00D6B3-9DE7-4438-81E5-ADDC57545FC7}"/>
            </a:ext>
          </a:extLst>
        </xdr:cNvPr>
        <xdr:cNvSpPr/>
      </xdr:nvSpPr>
      <xdr:spPr>
        <a:xfrm>
          <a:off x="676275" y="1123951"/>
          <a:ext cx="120967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Antecedentes</a:t>
          </a:r>
        </a:p>
      </xdr:txBody>
    </xdr:sp>
    <xdr:clientData/>
  </xdr:twoCellAnchor>
  <xdr:twoCellAnchor>
    <xdr:from>
      <xdr:col>2</xdr:col>
      <xdr:colOff>390525</xdr:colOff>
      <xdr:row>5</xdr:row>
      <xdr:rowOff>171450</xdr:rowOff>
    </xdr:from>
    <xdr:to>
      <xdr:col>3</xdr:col>
      <xdr:colOff>428625</xdr:colOff>
      <xdr:row>8</xdr:row>
      <xdr:rowOff>31950</xdr:rowOff>
    </xdr:to>
    <xdr:sp macro="" textlink="">
      <xdr:nvSpPr>
        <xdr:cNvPr id="4" name="Marco 3">
          <a:hlinkClick xmlns:r="http://schemas.openxmlformats.org/officeDocument/2006/relationships" r:id="rId2"/>
          <a:extLst>
            <a:ext uri="{FF2B5EF4-FFF2-40B4-BE49-F238E27FC236}">
              <a16:creationId xmlns:a16="http://schemas.microsoft.com/office/drawing/2014/main" id="{657A4829-B352-48F0-AB8C-ABCA2F58D49E}"/>
            </a:ext>
          </a:extLst>
        </xdr:cNvPr>
        <xdr:cNvSpPr/>
      </xdr:nvSpPr>
      <xdr:spPr>
        <a:xfrm>
          <a:off x="1914525" y="1123950"/>
          <a:ext cx="800100"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Datos</a:t>
          </a:r>
        </a:p>
      </xdr:txBody>
    </xdr:sp>
    <xdr:clientData/>
  </xdr:twoCellAnchor>
  <xdr:twoCellAnchor>
    <xdr:from>
      <xdr:col>3</xdr:col>
      <xdr:colOff>457199</xdr:colOff>
      <xdr:row>5</xdr:row>
      <xdr:rowOff>171450</xdr:rowOff>
    </xdr:from>
    <xdr:to>
      <xdr:col>5</xdr:col>
      <xdr:colOff>542924</xdr:colOff>
      <xdr:row>8</xdr:row>
      <xdr:rowOff>31950</xdr:rowOff>
    </xdr:to>
    <xdr:sp macro="" textlink="">
      <xdr:nvSpPr>
        <xdr:cNvPr id="5" name="Marco 4">
          <a:hlinkClick xmlns:r="http://schemas.openxmlformats.org/officeDocument/2006/relationships" r:id="rId3"/>
          <a:extLst>
            <a:ext uri="{FF2B5EF4-FFF2-40B4-BE49-F238E27FC236}">
              <a16:creationId xmlns:a16="http://schemas.microsoft.com/office/drawing/2014/main" id="{9A15384E-43BD-43FF-9A50-09B5D44540BD}"/>
            </a:ext>
          </a:extLst>
        </xdr:cNvPr>
        <xdr:cNvSpPr/>
      </xdr:nvSpPr>
      <xdr:spPr>
        <a:xfrm>
          <a:off x="2743199" y="1123950"/>
          <a:ext cx="160972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Estado de resultados</a:t>
          </a:r>
        </a:p>
      </xdr:txBody>
    </xdr:sp>
    <xdr:clientData/>
  </xdr:twoCellAnchor>
  <xdr:twoCellAnchor>
    <xdr:from>
      <xdr:col>5</xdr:col>
      <xdr:colOff>561975</xdr:colOff>
      <xdr:row>5</xdr:row>
      <xdr:rowOff>171450</xdr:rowOff>
    </xdr:from>
    <xdr:to>
      <xdr:col>7</xdr:col>
      <xdr:colOff>447675</xdr:colOff>
      <xdr:row>8</xdr:row>
      <xdr:rowOff>31950</xdr:rowOff>
    </xdr:to>
    <xdr:sp macro="" textlink="">
      <xdr:nvSpPr>
        <xdr:cNvPr id="6" name="Marco 5">
          <a:hlinkClick xmlns:r="http://schemas.openxmlformats.org/officeDocument/2006/relationships" r:id="rId4"/>
          <a:extLst>
            <a:ext uri="{FF2B5EF4-FFF2-40B4-BE49-F238E27FC236}">
              <a16:creationId xmlns:a16="http://schemas.microsoft.com/office/drawing/2014/main" id="{255B9606-1657-4356-B3A6-BA0614D9B122}"/>
            </a:ext>
          </a:extLst>
        </xdr:cNvPr>
        <xdr:cNvSpPr/>
      </xdr:nvSpPr>
      <xdr:spPr>
        <a:xfrm>
          <a:off x="4371975" y="1123950"/>
          <a:ext cx="1409700"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Flujo de efectivo</a:t>
          </a:r>
        </a:p>
      </xdr:txBody>
    </xdr:sp>
    <xdr:clientData/>
  </xdr:twoCellAnchor>
  <xdr:twoCellAnchor>
    <xdr:from>
      <xdr:col>7</xdr:col>
      <xdr:colOff>485775</xdr:colOff>
      <xdr:row>5</xdr:row>
      <xdr:rowOff>171450</xdr:rowOff>
    </xdr:from>
    <xdr:to>
      <xdr:col>9</xdr:col>
      <xdr:colOff>419100</xdr:colOff>
      <xdr:row>8</xdr:row>
      <xdr:rowOff>31950</xdr:rowOff>
    </xdr:to>
    <xdr:sp macro="" textlink="">
      <xdr:nvSpPr>
        <xdr:cNvPr id="7" name="Marco 6">
          <a:hlinkClick xmlns:r="http://schemas.openxmlformats.org/officeDocument/2006/relationships" r:id="rId5"/>
          <a:extLst>
            <a:ext uri="{FF2B5EF4-FFF2-40B4-BE49-F238E27FC236}">
              <a16:creationId xmlns:a16="http://schemas.microsoft.com/office/drawing/2014/main" id="{B87FBCB3-C7C8-49EC-A041-4DA965B6C9CC}"/>
            </a:ext>
          </a:extLst>
        </xdr:cNvPr>
        <xdr:cNvSpPr/>
      </xdr:nvSpPr>
      <xdr:spPr>
        <a:xfrm>
          <a:off x="5819775" y="1123950"/>
          <a:ext cx="145732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0">
              <a:solidFill>
                <a:sysClr val="windowText" lastClr="000000"/>
              </a:solidFill>
              <a:latin typeface="Bernard MT Condensed" panose="02050806060905020404" pitchFamily="18" charset="0"/>
            </a:rPr>
            <a:t>Balance general</a:t>
          </a:r>
        </a:p>
      </xdr:txBody>
    </xdr:sp>
    <xdr:clientData/>
  </xdr:twoCellAnchor>
  <xdr:twoCellAnchor>
    <xdr:from>
      <xdr:col>9</xdr:col>
      <xdr:colOff>447675</xdr:colOff>
      <xdr:row>5</xdr:row>
      <xdr:rowOff>171450</xdr:rowOff>
    </xdr:from>
    <xdr:to>
      <xdr:col>11</xdr:col>
      <xdr:colOff>457200</xdr:colOff>
      <xdr:row>8</xdr:row>
      <xdr:rowOff>31950</xdr:rowOff>
    </xdr:to>
    <xdr:sp macro="" textlink="">
      <xdr:nvSpPr>
        <xdr:cNvPr id="8" name="Marco 7">
          <a:hlinkClick xmlns:r="http://schemas.openxmlformats.org/officeDocument/2006/relationships" r:id="rId6"/>
          <a:extLst>
            <a:ext uri="{FF2B5EF4-FFF2-40B4-BE49-F238E27FC236}">
              <a16:creationId xmlns:a16="http://schemas.microsoft.com/office/drawing/2014/main" id="{6E67DB96-4DD3-4AE5-829C-7C567A23769C}"/>
            </a:ext>
          </a:extLst>
        </xdr:cNvPr>
        <xdr:cNvSpPr/>
      </xdr:nvSpPr>
      <xdr:spPr>
        <a:xfrm>
          <a:off x="7305675" y="1123950"/>
          <a:ext cx="153352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a:solidFill>
                <a:schemeClr val="tx1"/>
              </a:solidFill>
              <a:latin typeface="Bernard MT Condensed" panose="02050806060905020404" pitchFamily="18" charset="0"/>
            </a:rPr>
            <a:t>Punto de equilibrio</a:t>
          </a:r>
        </a:p>
      </xdr:txBody>
    </xdr:sp>
    <xdr:clientData/>
  </xdr:twoCellAnchor>
  <xdr:twoCellAnchor>
    <xdr:from>
      <xdr:col>11</xdr:col>
      <xdr:colOff>485775</xdr:colOff>
      <xdr:row>5</xdr:row>
      <xdr:rowOff>171450</xdr:rowOff>
    </xdr:from>
    <xdr:to>
      <xdr:col>13</xdr:col>
      <xdr:colOff>666750</xdr:colOff>
      <xdr:row>8</xdr:row>
      <xdr:rowOff>31950</xdr:rowOff>
    </xdr:to>
    <xdr:sp macro="" textlink="">
      <xdr:nvSpPr>
        <xdr:cNvPr id="9" name="Marco 8">
          <a:hlinkClick xmlns:r="http://schemas.openxmlformats.org/officeDocument/2006/relationships" r:id="rId7"/>
          <a:extLst>
            <a:ext uri="{FF2B5EF4-FFF2-40B4-BE49-F238E27FC236}">
              <a16:creationId xmlns:a16="http://schemas.microsoft.com/office/drawing/2014/main" id="{12A8C9B8-C1A9-42B7-A21E-7D38CBCFDBDB}"/>
            </a:ext>
          </a:extLst>
        </xdr:cNvPr>
        <xdr:cNvSpPr/>
      </xdr:nvSpPr>
      <xdr:spPr>
        <a:xfrm>
          <a:off x="8867775" y="1123950"/>
          <a:ext cx="1704975"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0" i="0" u="none" strike="noStrike">
              <a:solidFill>
                <a:sysClr val="windowText" lastClr="000000"/>
              </a:solidFill>
              <a:effectLst/>
              <a:latin typeface="Bernard MT Condensed" panose="02050806060905020404" pitchFamily="18" charset="0"/>
              <a:ea typeface="+mn-ea"/>
              <a:cs typeface="+mn-cs"/>
            </a:rPr>
            <a:t>  Métodos</a:t>
          </a:r>
          <a:r>
            <a:rPr lang="es-MX" sz="1200" b="0" i="0" u="none" strike="noStrike" baseline="0">
              <a:solidFill>
                <a:sysClr val="windowText" lastClr="000000"/>
              </a:solidFill>
              <a:effectLst/>
              <a:latin typeface="Bernard MT Condensed" panose="02050806060905020404" pitchFamily="18" charset="0"/>
              <a:ea typeface="+mn-ea"/>
              <a:cs typeface="+mn-cs"/>
            </a:rPr>
            <a:t> de evaluación</a:t>
          </a:r>
          <a:r>
            <a:rPr lang="es-MX" sz="1200" b="0" i="0" u="none" strike="noStrike">
              <a:solidFill>
                <a:sysClr val="windowText" lastClr="000000"/>
              </a:solidFill>
              <a:effectLst/>
              <a:latin typeface="Bernard MT Condensed" panose="02050806060905020404" pitchFamily="18" charset="0"/>
              <a:ea typeface="+mn-ea"/>
              <a:cs typeface="+mn-cs"/>
            </a:rPr>
            <a:t>  </a:t>
          </a:r>
          <a:endParaRPr lang="es-MX" sz="1200" b="0">
            <a:solidFill>
              <a:sysClr val="windowText" lastClr="000000"/>
            </a:solidFill>
            <a:latin typeface="Bernard MT Condensed" panose="02050806060905020404" pitchFamily="18" charset="0"/>
          </a:endParaRPr>
        </a:p>
      </xdr:txBody>
    </xdr:sp>
    <xdr:clientData/>
  </xdr:twoCellAnchor>
  <xdr:twoCellAnchor>
    <xdr:from>
      <xdr:col>13</xdr:col>
      <xdr:colOff>704849</xdr:colOff>
      <xdr:row>5</xdr:row>
      <xdr:rowOff>171450</xdr:rowOff>
    </xdr:from>
    <xdr:to>
      <xdr:col>15</xdr:col>
      <xdr:colOff>419100</xdr:colOff>
      <xdr:row>8</xdr:row>
      <xdr:rowOff>31950</xdr:rowOff>
    </xdr:to>
    <xdr:sp macro="" textlink="">
      <xdr:nvSpPr>
        <xdr:cNvPr id="10" name="Marco 9">
          <a:hlinkClick xmlns:r="http://schemas.openxmlformats.org/officeDocument/2006/relationships" r:id="rId8"/>
          <a:extLst>
            <a:ext uri="{FF2B5EF4-FFF2-40B4-BE49-F238E27FC236}">
              <a16:creationId xmlns:a16="http://schemas.microsoft.com/office/drawing/2014/main" id="{5FAE93CE-0DC4-4430-8CA8-C0BE1F46EC83}"/>
            </a:ext>
          </a:extLst>
        </xdr:cNvPr>
        <xdr:cNvSpPr/>
      </xdr:nvSpPr>
      <xdr:spPr>
        <a:xfrm>
          <a:off x="10610849" y="1123950"/>
          <a:ext cx="1238251" cy="432000"/>
        </a:xfrm>
        <a:prstGeom prst="frame">
          <a:avLst/>
        </a:prstGeom>
        <a:solidFill>
          <a:srgbClr val="8D4004"/>
        </a:solidFill>
        <a:ln>
          <a:solidFill>
            <a:srgbClr val="8D4004"/>
          </a:solidFill>
        </a:ln>
        <a:effectLst>
          <a:outerShdw blurRad="76200" dir="13500000" sy="23000" kx="1200000" algn="br"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200" b="0">
              <a:solidFill>
                <a:sysClr val="windowText" lastClr="000000"/>
              </a:solidFill>
              <a:latin typeface="Bernard MT Condensed" panose="02050806060905020404" pitchFamily="18" charset="0"/>
            </a:rPr>
            <a:t>Resultados</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8ED6-4065-4390-921C-A4B7FA70D9CA}">
  <dimension ref="D4:O30"/>
  <sheetViews>
    <sheetView topLeftCell="E1" workbookViewId="0">
      <selection activeCell="E16" sqref="E16"/>
    </sheetView>
  </sheetViews>
  <sheetFormatPr baseColWidth="10" defaultColWidth="11.42578125" defaultRowHeight="15" x14ac:dyDescent="0.25"/>
  <cols>
    <col min="3" max="3" width="21.5703125" bestFit="1" customWidth="1"/>
  </cols>
  <sheetData>
    <row r="4" spans="4:5" x14ac:dyDescent="0.25">
      <c r="D4" s="1"/>
      <c r="E4" s="1"/>
    </row>
    <row r="26" spans="12:15" ht="18" x14ac:dyDescent="0.25">
      <c r="L26" s="101" t="s">
        <v>0</v>
      </c>
      <c r="M26" s="101"/>
      <c r="N26" s="101"/>
      <c r="O26" s="101"/>
    </row>
    <row r="27" spans="12:15" ht="18" x14ac:dyDescent="0.25">
      <c r="L27" s="101" t="s">
        <v>1</v>
      </c>
      <c r="M27" s="101"/>
      <c r="N27" s="101"/>
      <c r="O27" s="101"/>
    </row>
    <row r="28" spans="12:15" ht="18" x14ac:dyDescent="0.25">
      <c r="L28" s="101" t="s">
        <v>2</v>
      </c>
      <c r="M28" s="101"/>
      <c r="N28" s="101"/>
      <c r="O28" s="101"/>
    </row>
    <row r="29" spans="12:15" ht="18" x14ac:dyDescent="0.25">
      <c r="L29" s="101" t="s">
        <v>3</v>
      </c>
      <c r="M29" s="101"/>
      <c r="N29" s="101"/>
      <c r="O29" s="101"/>
    </row>
    <row r="30" spans="12:15" ht="18.75" x14ac:dyDescent="0.3">
      <c r="L30" s="6"/>
      <c r="M30" s="6"/>
      <c r="N30" s="6"/>
      <c r="O30" s="6"/>
    </row>
  </sheetData>
  <mergeCells count="4">
    <mergeCell ref="L26:O26"/>
    <mergeCell ref="L27:O27"/>
    <mergeCell ref="L28:O28"/>
    <mergeCell ref="L29:O29"/>
  </mergeCells>
  <pageMargins left="0.7" right="0.7" top="0.75" bottom="0.75" header="0.3" footer="0.3"/>
  <drawing r:id="rId1"/>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C46F4-4E30-4EB4-8903-C47D6E22B988}">
  <dimension ref="B12:K18"/>
  <sheetViews>
    <sheetView topLeftCell="A6" workbookViewId="0">
      <selection activeCell="J13" sqref="J13:K13"/>
    </sheetView>
  </sheetViews>
  <sheetFormatPr baseColWidth="10" defaultColWidth="11.42578125" defaultRowHeight="15" x14ac:dyDescent="0.25"/>
  <cols>
    <col min="11" max="11" width="15.5703125" customWidth="1"/>
  </cols>
  <sheetData>
    <row r="12" spans="2:11" x14ac:dyDescent="0.25">
      <c r="B12" s="108" t="s">
        <v>4</v>
      </c>
      <c r="C12" s="108"/>
      <c r="D12" s="104" t="s">
        <v>5</v>
      </c>
      <c r="E12" s="105"/>
      <c r="F12" s="105"/>
      <c r="G12" s="105"/>
      <c r="H12" s="105"/>
      <c r="I12" s="106"/>
      <c r="J12" s="111" t="s">
        <v>6</v>
      </c>
      <c r="K12" s="112"/>
    </row>
    <row r="13" spans="2:11" ht="51.75" customHeight="1" x14ac:dyDescent="0.25">
      <c r="B13" s="107" t="s">
        <v>7</v>
      </c>
      <c r="C13" s="107"/>
      <c r="D13" s="103" t="s">
        <v>8</v>
      </c>
      <c r="E13" s="103"/>
      <c r="F13" s="103"/>
      <c r="G13" s="103"/>
      <c r="H13" s="103"/>
      <c r="I13" s="103"/>
      <c r="J13" s="113"/>
      <c r="K13" s="114"/>
    </row>
    <row r="14" spans="2:11" ht="69" customHeight="1" x14ac:dyDescent="0.25">
      <c r="B14" s="107" t="s">
        <v>9</v>
      </c>
      <c r="C14" s="107"/>
      <c r="D14" s="103" t="s">
        <v>10</v>
      </c>
      <c r="E14" s="103"/>
      <c r="F14" s="103"/>
      <c r="G14" s="103"/>
      <c r="H14" s="103"/>
      <c r="I14" s="103"/>
      <c r="J14" s="115"/>
      <c r="K14" s="116"/>
    </row>
    <row r="15" spans="2:11" ht="75.75" customHeight="1" x14ac:dyDescent="0.25">
      <c r="B15" s="107" t="s">
        <v>11</v>
      </c>
      <c r="C15" s="107"/>
      <c r="D15" s="103" t="s">
        <v>12</v>
      </c>
      <c r="E15" s="103"/>
      <c r="F15" s="103"/>
      <c r="G15" s="103"/>
      <c r="H15" s="103"/>
      <c r="I15" s="103"/>
      <c r="J15" s="109" t="s">
        <v>13</v>
      </c>
      <c r="K15" s="110"/>
    </row>
    <row r="16" spans="2:11" ht="49.5" customHeight="1" x14ac:dyDescent="0.25">
      <c r="B16" s="107" t="s">
        <v>14</v>
      </c>
      <c r="C16" s="107"/>
      <c r="D16" s="102" t="s">
        <v>15</v>
      </c>
      <c r="E16" s="102"/>
      <c r="F16" s="102"/>
      <c r="G16" s="102"/>
      <c r="H16" s="102"/>
      <c r="I16" s="102"/>
      <c r="J16" s="109" t="s">
        <v>16</v>
      </c>
      <c r="K16" s="110"/>
    </row>
    <row r="17" spans="2:11" ht="48.75" customHeight="1" x14ac:dyDescent="0.25">
      <c r="B17" s="107" t="s">
        <v>17</v>
      </c>
      <c r="C17" s="107"/>
      <c r="D17" s="103" t="s">
        <v>18</v>
      </c>
      <c r="E17" s="103"/>
      <c r="F17" s="103"/>
      <c r="G17" s="103"/>
      <c r="H17" s="103"/>
      <c r="I17" s="103"/>
      <c r="J17" s="109" t="s">
        <v>19</v>
      </c>
      <c r="K17" s="110"/>
    </row>
    <row r="18" spans="2:11" ht="48.75" customHeight="1" x14ac:dyDescent="0.25">
      <c r="B18" s="107" t="s">
        <v>20</v>
      </c>
      <c r="C18" s="107"/>
      <c r="D18" s="103" t="s">
        <v>21</v>
      </c>
      <c r="E18" s="103"/>
      <c r="F18" s="103"/>
      <c r="G18" s="103"/>
      <c r="H18" s="103"/>
      <c r="I18" s="103"/>
      <c r="J18" s="109" t="s">
        <v>22</v>
      </c>
      <c r="K18" s="110"/>
    </row>
  </sheetData>
  <mergeCells count="21">
    <mergeCell ref="J17:K17"/>
    <mergeCell ref="J18:K18"/>
    <mergeCell ref="J12:K12"/>
    <mergeCell ref="J13:K13"/>
    <mergeCell ref="J14:K14"/>
    <mergeCell ref="J15:K15"/>
    <mergeCell ref="J16:K16"/>
    <mergeCell ref="D16:I16"/>
    <mergeCell ref="D17:I17"/>
    <mergeCell ref="D18:I18"/>
    <mergeCell ref="D12:I12"/>
    <mergeCell ref="B16:C16"/>
    <mergeCell ref="B17:C17"/>
    <mergeCell ref="B18:C18"/>
    <mergeCell ref="D14:I14"/>
    <mergeCell ref="D15:I15"/>
    <mergeCell ref="B12:C12"/>
    <mergeCell ref="B13:C13"/>
    <mergeCell ref="B14:C14"/>
    <mergeCell ref="B15:C15"/>
    <mergeCell ref="D13:I13"/>
  </mergeCells>
  <pageMargins left="0.7" right="0.7" top="0.75" bottom="0.75" header="0.3" footer="0.3"/>
  <drawing r:id="rId1"/>
  <pictur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A516C-B677-46D0-9004-7CAE4747F506}">
  <dimension ref="B12:Q56"/>
  <sheetViews>
    <sheetView zoomScale="80" zoomScaleNormal="80" workbookViewId="0">
      <selection activeCell="C33" sqref="C33"/>
    </sheetView>
  </sheetViews>
  <sheetFormatPr baseColWidth="10" defaultColWidth="11.42578125" defaultRowHeight="15" x14ac:dyDescent="0.25"/>
  <cols>
    <col min="2" max="2" width="10.7109375" customWidth="1"/>
    <col min="3" max="3" width="21.28515625" customWidth="1"/>
    <col min="4" max="4" width="14.85546875" bestFit="1" customWidth="1"/>
    <col min="5" max="5" width="15.7109375" customWidth="1"/>
    <col min="6" max="6" width="16.140625" customWidth="1"/>
    <col min="7" max="7" width="17.140625" customWidth="1"/>
    <col min="8" max="8" width="17.5703125" customWidth="1"/>
    <col min="9" max="9" width="16.28515625" customWidth="1"/>
    <col min="10" max="10" width="16.42578125" customWidth="1"/>
    <col min="11" max="11" width="15.85546875" customWidth="1"/>
    <col min="12" max="12" width="17" customWidth="1"/>
    <col min="13" max="13" width="17.140625" customWidth="1"/>
    <col min="14" max="14" width="14.7109375" customWidth="1"/>
    <col min="15" max="15" width="20.85546875" bestFit="1" customWidth="1"/>
    <col min="16" max="16" width="18" bestFit="1" customWidth="1"/>
    <col min="17" max="17" width="16.5703125" customWidth="1"/>
    <col min="16382" max="16383" width="11.42578125" bestFit="1" customWidth="1"/>
  </cols>
  <sheetData>
    <row r="12" spans="3:15" ht="56.25" customHeight="1" x14ac:dyDescent="0.25">
      <c r="C12" s="33" t="s">
        <v>23</v>
      </c>
      <c r="D12" s="33" t="s">
        <v>24</v>
      </c>
      <c r="E12" s="33" t="s">
        <v>25</v>
      </c>
      <c r="G12" s="117" t="s">
        <v>26</v>
      </c>
      <c r="H12" s="117"/>
      <c r="I12" s="117"/>
      <c r="J12" s="117"/>
      <c r="K12" s="117"/>
      <c r="M12" s="119" t="s">
        <v>27</v>
      </c>
      <c r="N12" s="120"/>
      <c r="O12" s="121" t="s">
        <v>28</v>
      </c>
    </row>
    <row r="13" spans="3:15" ht="37.5" x14ac:dyDescent="0.25">
      <c r="C13" s="98" t="s">
        <v>29</v>
      </c>
      <c r="D13" s="36">
        <v>20000</v>
      </c>
      <c r="E13" s="37">
        <v>0.05</v>
      </c>
      <c r="G13" s="50" t="s">
        <v>23</v>
      </c>
      <c r="H13" s="50" t="s">
        <v>30</v>
      </c>
      <c r="I13" s="50" t="s">
        <v>31</v>
      </c>
      <c r="J13" s="50" t="s">
        <v>32</v>
      </c>
      <c r="K13" s="50" t="s">
        <v>33</v>
      </c>
      <c r="M13" s="98" t="s">
        <v>34</v>
      </c>
      <c r="N13" s="98" t="s">
        <v>35</v>
      </c>
      <c r="O13" s="122"/>
    </row>
    <row r="14" spans="3:15" ht="18.75" x14ac:dyDescent="0.25">
      <c r="C14" s="98" t="s">
        <v>36</v>
      </c>
      <c r="D14" s="38">
        <v>800</v>
      </c>
      <c r="E14" s="37">
        <v>0.05</v>
      </c>
      <c r="G14" s="51" t="s">
        <v>37</v>
      </c>
      <c r="H14" s="48">
        <v>500000</v>
      </c>
      <c r="I14" s="46">
        <v>30</v>
      </c>
      <c r="J14" s="49">
        <v>0</v>
      </c>
      <c r="K14" s="49">
        <f>(H14-J14)/I14</f>
        <v>16666.666666666668</v>
      </c>
      <c r="M14" s="10">
        <v>0</v>
      </c>
      <c r="N14" s="10">
        <v>999</v>
      </c>
      <c r="O14" s="11">
        <v>0.05</v>
      </c>
    </row>
    <row r="15" spans="3:15" ht="56.25" x14ac:dyDescent="0.25">
      <c r="C15" s="98" t="s">
        <v>38</v>
      </c>
      <c r="D15" s="38">
        <v>120</v>
      </c>
      <c r="E15" s="37" t="s">
        <v>39</v>
      </c>
      <c r="G15" s="51" t="s">
        <v>40</v>
      </c>
      <c r="H15" s="48">
        <v>1000000</v>
      </c>
      <c r="I15" s="47">
        <v>5</v>
      </c>
      <c r="J15" s="48">
        <v>100000</v>
      </c>
      <c r="K15" s="48">
        <f>(H15-J15)/I15</f>
        <v>180000</v>
      </c>
      <c r="M15" s="10">
        <v>1000</v>
      </c>
      <c r="N15" s="10">
        <v>9999</v>
      </c>
      <c r="O15" s="11">
        <v>0.1</v>
      </c>
    </row>
    <row r="16" spans="3:15" ht="56.25" x14ac:dyDescent="0.25">
      <c r="C16" s="98" t="s">
        <v>41</v>
      </c>
      <c r="D16" s="38">
        <v>80</v>
      </c>
      <c r="E16" s="37" t="s">
        <v>39</v>
      </c>
      <c r="M16" s="10">
        <v>10000</v>
      </c>
      <c r="N16" s="10">
        <v>49999</v>
      </c>
      <c r="O16" s="11">
        <v>0.15</v>
      </c>
    </row>
    <row r="17" spans="2:17" ht="54.75" customHeight="1" x14ac:dyDescent="0.25">
      <c r="C17" s="98" t="s">
        <v>42</v>
      </c>
      <c r="D17" s="38">
        <v>50</v>
      </c>
      <c r="E17" s="37" t="s">
        <v>39</v>
      </c>
      <c r="G17" s="123" t="s">
        <v>43</v>
      </c>
      <c r="H17" s="123"/>
      <c r="I17" s="7">
        <v>0.5</v>
      </c>
      <c r="M17" s="10">
        <v>50000</v>
      </c>
      <c r="N17" s="10">
        <v>99999</v>
      </c>
      <c r="O17" s="11">
        <v>0.2</v>
      </c>
    </row>
    <row r="18" spans="2:17" ht="56.25" x14ac:dyDescent="0.25">
      <c r="C18" s="98" t="s">
        <v>44</v>
      </c>
      <c r="D18" s="38">
        <v>50</v>
      </c>
      <c r="E18" s="37" t="s">
        <v>39</v>
      </c>
      <c r="M18" s="10">
        <v>100000</v>
      </c>
      <c r="N18" s="10">
        <v>499999</v>
      </c>
      <c r="O18" s="11">
        <v>0.25</v>
      </c>
    </row>
    <row r="19" spans="2:17" ht="56.25" x14ac:dyDescent="0.25">
      <c r="C19" s="98" t="s">
        <v>45</v>
      </c>
      <c r="D19" s="38">
        <v>150000</v>
      </c>
      <c r="E19" s="37" t="s">
        <v>39</v>
      </c>
      <c r="G19" s="124" t="s">
        <v>46</v>
      </c>
      <c r="H19" s="124"/>
      <c r="I19" s="55">
        <v>0.45</v>
      </c>
      <c r="M19" s="10">
        <v>500000</v>
      </c>
      <c r="N19" s="10">
        <v>999999</v>
      </c>
      <c r="O19" s="11">
        <v>0.3</v>
      </c>
    </row>
    <row r="20" spans="2:17" ht="56.25" x14ac:dyDescent="0.25">
      <c r="C20" s="98" t="s">
        <v>47</v>
      </c>
      <c r="D20" s="38">
        <v>100</v>
      </c>
      <c r="E20" s="37">
        <v>0.05</v>
      </c>
      <c r="G20" s="125" t="s">
        <v>48</v>
      </c>
      <c r="H20" s="125"/>
      <c r="I20" s="56">
        <v>1800000</v>
      </c>
      <c r="M20" s="10">
        <v>1000000</v>
      </c>
      <c r="N20" s="10"/>
      <c r="O20" s="11">
        <v>0.35</v>
      </c>
    </row>
    <row r="21" spans="2:17" ht="37.5" x14ac:dyDescent="0.25">
      <c r="C21" s="98" t="s">
        <v>49</v>
      </c>
      <c r="D21" s="38">
        <v>200</v>
      </c>
      <c r="E21" s="37">
        <v>0.05</v>
      </c>
      <c r="G21" s="125" t="s">
        <v>50</v>
      </c>
      <c r="H21" s="125"/>
      <c r="I21" s="57">
        <v>10</v>
      </c>
    </row>
    <row r="22" spans="2:17" ht="37.5" x14ac:dyDescent="0.25">
      <c r="C22" s="98" t="s">
        <v>51</v>
      </c>
      <c r="D22" s="38">
        <v>100000</v>
      </c>
      <c r="E22" s="37"/>
    </row>
    <row r="23" spans="2:17" ht="56.25" x14ac:dyDescent="0.25">
      <c r="C23" s="34" t="s">
        <v>52</v>
      </c>
      <c r="D23" s="39">
        <v>200000</v>
      </c>
      <c r="E23" s="40"/>
    </row>
    <row r="24" spans="2:17" ht="18.75" x14ac:dyDescent="0.3">
      <c r="C24" s="35" t="s">
        <v>53</v>
      </c>
      <c r="D24" s="41">
        <v>100000</v>
      </c>
      <c r="E24" s="42"/>
    </row>
    <row r="25" spans="2:17" ht="18.75" x14ac:dyDescent="0.25">
      <c r="C25" s="118" t="s">
        <v>54</v>
      </c>
      <c r="D25" s="118"/>
      <c r="E25" s="45">
        <v>0.08</v>
      </c>
    </row>
    <row r="26" spans="2:17" ht="45" customHeight="1" x14ac:dyDescent="0.25">
      <c r="C26" s="118" t="s">
        <v>55</v>
      </c>
      <c r="D26" s="118"/>
      <c r="E26" s="43">
        <v>25000</v>
      </c>
    </row>
    <row r="27" spans="2:17" ht="30" customHeight="1" x14ac:dyDescent="0.25">
      <c r="C27" s="118" t="s">
        <v>56</v>
      </c>
      <c r="D27" s="118"/>
      <c r="E27" s="44">
        <v>400</v>
      </c>
    </row>
    <row r="29" spans="2:17" x14ac:dyDescent="0.25">
      <c r="D29" s="2"/>
      <c r="E29" s="2"/>
      <c r="F29" s="2"/>
      <c r="G29" s="2"/>
      <c r="H29" s="2"/>
      <c r="I29" s="2"/>
      <c r="J29" s="2"/>
      <c r="K29" s="2"/>
      <c r="L29" s="2"/>
      <c r="M29" s="2"/>
      <c r="N29" s="2"/>
      <c r="O29" s="2"/>
      <c r="P29" s="2"/>
      <c r="Q29" s="2"/>
    </row>
    <row r="30" spans="2:17" ht="18.75" x14ac:dyDescent="0.25">
      <c r="B30" s="128" t="s">
        <v>57</v>
      </c>
      <c r="C30" s="128" t="s">
        <v>58</v>
      </c>
      <c r="D30" s="130" t="s">
        <v>36</v>
      </c>
      <c r="E30" s="127" t="s">
        <v>59</v>
      </c>
      <c r="F30" s="127"/>
      <c r="G30" s="127"/>
      <c r="H30" s="127"/>
      <c r="I30" s="127"/>
      <c r="J30" s="127"/>
      <c r="K30" s="127"/>
      <c r="L30" s="127"/>
      <c r="M30" s="127"/>
      <c r="N30" s="119" t="s">
        <v>60</v>
      </c>
      <c r="O30" s="126"/>
      <c r="P30" s="126"/>
      <c r="Q30" s="120"/>
    </row>
    <row r="31" spans="2:17" ht="45" x14ac:dyDescent="0.25">
      <c r="B31" s="129"/>
      <c r="C31" s="129"/>
      <c r="D31" s="131"/>
      <c r="E31" s="53" t="s">
        <v>61</v>
      </c>
      <c r="F31" s="53" t="s">
        <v>62</v>
      </c>
      <c r="G31" s="53" t="s">
        <v>63</v>
      </c>
      <c r="H31" s="53" t="s">
        <v>64</v>
      </c>
      <c r="I31" s="53" t="s">
        <v>65</v>
      </c>
      <c r="J31" s="53" t="s">
        <v>66</v>
      </c>
      <c r="K31" s="53" t="s">
        <v>67</v>
      </c>
      <c r="L31" s="53" t="s">
        <v>68</v>
      </c>
      <c r="M31" s="53" t="s">
        <v>69</v>
      </c>
      <c r="N31" s="53" t="s">
        <v>70</v>
      </c>
      <c r="O31" s="53" t="s">
        <v>71</v>
      </c>
      <c r="P31" s="53" t="s">
        <v>72</v>
      </c>
      <c r="Q31" s="53" t="s">
        <v>73</v>
      </c>
    </row>
    <row r="32" spans="2:17" ht="18.75" x14ac:dyDescent="0.25">
      <c r="B32" s="54">
        <v>1</v>
      </c>
      <c r="C32" s="70">
        <v>20000</v>
      </c>
      <c r="D32" s="8">
        <f>Datos!D14</f>
        <v>800</v>
      </c>
      <c r="E32" s="8">
        <f>Datos!D15</f>
        <v>120</v>
      </c>
      <c r="F32" s="8">
        <f t="shared" ref="F32:F41" si="0">C32*E32</f>
        <v>2400000</v>
      </c>
      <c r="G32" s="8">
        <f>Datos!D16</f>
        <v>80</v>
      </c>
      <c r="H32" s="8">
        <f t="shared" ref="H32:H41" si="1">C32*G32</f>
        <v>1600000</v>
      </c>
      <c r="I32" s="8">
        <f>Datos!D17</f>
        <v>50</v>
      </c>
      <c r="J32" s="8">
        <f t="shared" ref="J32:J41" si="2">C32*I32</f>
        <v>1000000</v>
      </c>
      <c r="K32" s="8">
        <f>Datos!D18</f>
        <v>50</v>
      </c>
      <c r="L32" s="8">
        <f t="shared" ref="L32:L41" si="3">K32*C32</f>
        <v>1000000</v>
      </c>
      <c r="M32" s="8">
        <f>Datos!D19</f>
        <v>150000</v>
      </c>
      <c r="N32" s="8">
        <f>Datos!D20</f>
        <v>100</v>
      </c>
      <c r="O32" s="8">
        <f t="shared" ref="O32:O41" si="4">N32*C32</f>
        <v>2000000</v>
      </c>
      <c r="P32" s="8">
        <f>Datos!D21</f>
        <v>200</v>
      </c>
      <c r="Q32" s="8">
        <f>P32*C32</f>
        <v>4000000</v>
      </c>
    </row>
    <row r="33" spans="2:17" ht="18.75" x14ac:dyDescent="0.25">
      <c r="B33" s="54">
        <v>2</v>
      </c>
      <c r="C33" s="70">
        <f>(C32*Datos!$E$13)+C32</f>
        <v>21000</v>
      </c>
      <c r="D33" s="8">
        <f t="shared" ref="D33:D41" si="5">(D32*$E$14)+D32</f>
        <v>840</v>
      </c>
      <c r="E33" s="8">
        <f>(E32*Datos!$E$25)+E32</f>
        <v>129.6</v>
      </c>
      <c r="F33" s="8">
        <f t="shared" si="0"/>
        <v>2721600</v>
      </c>
      <c r="G33" s="8">
        <f>(G32*Datos!$E$25)+G32</f>
        <v>86.4</v>
      </c>
      <c r="H33" s="8">
        <f t="shared" si="1"/>
        <v>1814400.0000000002</v>
      </c>
      <c r="I33" s="8">
        <f>(I32*Datos!$E$25)+I32</f>
        <v>54</v>
      </c>
      <c r="J33" s="8">
        <f t="shared" si="2"/>
        <v>1134000</v>
      </c>
      <c r="K33" s="8">
        <f>(K32*Datos!$E$25)+K32</f>
        <v>54</v>
      </c>
      <c r="L33" s="8">
        <f t="shared" si="3"/>
        <v>1134000</v>
      </c>
      <c r="M33" s="8">
        <f>(M32*Datos!$E$25)+M32</f>
        <v>162000</v>
      </c>
      <c r="N33" s="8">
        <f>(N32*Datos!$E$20)+N32</f>
        <v>105</v>
      </c>
      <c r="O33" s="8">
        <f t="shared" si="4"/>
        <v>2205000</v>
      </c>
      <c r="P33" s="8">
        <f>(P32*Datos!$E$21)+P32</f>
        <v>210</v>
      </c>
      <c r="Q33" s="8">
        <f t="shared" ref="Q33:Q41" si="6">P33*C33</f>
        <v>4410000</v>
      </c>
    </row>
    <row r="34" spans="2:17" ht="18.75" x14ac:dyDescent="0.25">
      <c r="B34" s="54">
        <v>3</v>
      </c>
      <c r="C34" s="70">
        <f>(C33*Datos!$E$13)+C33</f>
        <v>22050</v>
      </c>
      <c r="D34" s="8">
        <f t="shared" si="5"/>
        <v>882</v>
      </c>
      <c r="E34" s="8">
        <f>(E33*Datos!$E$25)+E33</f>
        <v>139.96799999999999</v>
      </c>
      <c r="F34" s="8">
        <f t="shared" si="0"/>
        <v>3086294.4</v>
      </c>
      <c r="G34" s="8">
        <f>(G33*Datos!$E$25)+G33</f>
        <v>93.312000000000012</v>
      </c>
      <c r="H34" s="8">
        <f t="shared" si="1"/>
        <v>2057529.6000000003</v>
      </c>
      <c r="I34" s="8">
        <f>(I33*Datos!$E$25)+I33</f>
        <v>58.32</v>
      </c>
      <c r="J34" s="8">
        <f t="shared" si="2"/>
        <v>1285956</v>
      </c>
      <c r="K34" s="8">
        <f>(K33*Datos!$E$25)+K33</f>
        <v>58.32</v>
      </c>
      <c r="L34" s="8">
        <f t="shared" si="3"/>
        <v>1285956</v>
      </c>
      <c r="M34" s="8">
        <f>(M33*Datos!$E$25)+M33</f>
        <v>174960</v>
      </c>
      <c r="N34" s="8">
        <f>(N33*Datos!$E$20)+N33</f>
        <v>110.25</v>
      </c>
      <c r="O34" s="8">
        <f t="shared" si="4"/>
        <v>2431012.5</v>
      </c>
      <c r="P34" s="8">
        <f>(P33*Datos!$E$21)+P33</f>
        <v>220.5</v>
      </c>
      <c r="Q34" s="8">
        <f t="shared" si="6"/>
        <v>4862025</v>
      </c>
    </row>
    <row r="35" spans="2:17" ht="18.75" x14ac:dyDescent="0.25">
      <c r="B35" s="54">
        <v>4</v>
      </c>
      <c r="C35" s="70">
        <f>(C34*Datos!$E$13)+C34</f>
        <v>23152.5</v>
      </c>
      <c r="D35" s="8">
        <f t="shared" si="5"/>
        <v>926.1</v>
      </c>
      <c r="E35" s="8">
        <f>(E34*Datos!$E$25)+E34</f>
        <v>151.16543999999999</v>
      </c>
      <c r="F35" s="8">
        <f t="shared" si="0"/>
        <v>3499857.8495999998</v>
      </c>
      <c r="G35" s="8">
        <f>(G34*Datos!$E$25)+G34</f>
        <v>100.77696000000002</v>
      </c>
      <c r="H35" s="8">
        <f t="shared" si="1"/>
        <v>2333238.5664000004</v>
      </c>
      <c r="I35" s="8">
        <f>(I34*Datos!$E$25)+I34</f>
        <v>62.985599999999998</v>
      </c>
      <c r="J35" s="8">
        <f t="shared" si="2"/>
        <v>1458274.1040000001</v>
      </c>
      <c r="K35" s="8">
        <f>(K34*Datos!$E$25)+K34</f>
        <v>62.985599999999998</v>
      </c>
      <c r="L35" s="8">
        <f t="shared" si="3"/>
        <v>1458274.1040000001</v>
      </c>
      <c r="M35" s="8">
        <f>(M34*Datos!$E$25)+M34</f>
        <v>188956.79999999999</v>
      </c>
      <c r="N35" s="8">
        <f>(N34*Datos!$E$20)+N34</f>
        <v>115.7625</v>
      </c>
      <c r="O35" s="8">
        <f t="shared" si="4"/>
        <v>2680191.28125</v>
      </c>
      <c r="P35" s="8">
        <f>(P34*Datos!$E$21)+P34</f>
        <v>231.52500000000001</v>
      </c>
      <c r="Q35" s="8">
        <f t="shared" si="6"/>
        <v>5360382.5625</v>
      </c>
    </row>
    <row r="36" spans="2:17" ht="18.75" x14ac:dyDescent="0.25">
      <c r="B36" s="54">
        <v>5</v>
      </c>
      <c r="C36" s="70">
        <f>(C35*Datos!$E$13)+C35</f>
        <v>24310.125</v>
      </c>
      <c r="D36" s="8">
        <f t="shared" si="5"/>
        <v>972.40499999999997</v>
      </c>
      <c r="E36" s="8">
        <f>(E35*Datos!$E$25)+E35</f>
        <v>163.2586752</v>
      </c>
      <c r="F36" s="8">
        <f t="shared" si="0"/>
        <v>3968838.8014464001</v>
      </c>
      <c r="G36" s="8">
        <f>(G35*Datos!$E$25)+G35</f>
        <v>108.83911680000001</v>
      </c>
      <c r="H36" s="8">
        <f t="shared" si="1"/>
        <v>2645892.5342976004</v>
      </c>
      <c r="I36" s="8">
        <f>(I35*Datos!$E$25)+I35</f>
        <v>68.024447999999992</v>
      </c>
      <c r="J36" s="8">
        <f t="shared" si="2"/>
        <v>1653682.8339359998</v>
      </c>
      <c r="K36" s="8">
        <f>(K35*Datos!$E$25)+K35</f>
        <v>68.024447999999992</v>
      </c>
      <c r="L36" s="8">
        <f t="shared" si="3"/>
        <v>1653682.8339359998</v>
      </c>
      <c r="M36" s="8">
        <f>(M35*Datos!$E$25)+M35</f>
        <v>204073.34399999998</v>
      </c>
      <c r="N36" s="8">
        <f>(N35*Datos!$E$20)+N35</f>
        <v>121.550625</v>
      </c>
      <c r="O36" s="8">
        <f t="shared" si="4"/>
        <v>2954910.8875781251</v>
      </c>
      <c r="P36" s="8">
        <f>(P35*Datos!$E$21)+P35</f>
        <v>243.10124999999999</v>
      </c>
      <c r="Q36" s="8">
        <f t="shared" si="6"/>
        <v>5909821.7751562502</v>
      </c>
    </row>
    <row r="37" spans="2:17" ht="18.75" x14ac:dyDescent="0.25">
      <c r="B37" s="54">
        <v>6</v>
      </c>
      <c r="C37" s="70">
        <f>(C36*Datos!$E$13)+C36</f>
        <v>25525.631249999999</v>
      </c>
      <c r="D37" s="8">
        <f t="shared" si="5"/>
        <v>1021.0252499999999</v>
      </c>
      <c r="E37" s="8">
        <f>(E36*Datos!$E$25)+E36</f>
        <v>176.31936921599998</v>
      </c>
      <c r="F37" s="8">
        <f t="shared" si="0"/>
        <v>4500663.2008402171</v>
      </c>
      <c r="G37" s="8">
        <f>(G36*Datos!$E$25)+G36</f>
        <v>117.54624614400001</v>
      </c>
      <c r="H37" s="8">
        <f t="shared" si="1"/>
        <v>3000442.1338934787</v>
      </c>
      <c r="I37" s="8">
        <f>(I36*Datos!$E$25)+I36</f>
        <v>73.466403839999998</v>
      </c>
      <c r="J37" s="8">
        <f t="shared" si="2"/>
        <v>1875276.3336834239</v>
      </c>
      <c r="K37" s="8">
        <f>(K36*Datos!$E$25)+K36</f>
        <v>73.466403839999998</v>
      </c>
      <c r="L37" s="8">
        <f t="shared" si="3"/>
        <v>1875276.3336834239</v>
      </c>
      <c r="M37" s="8">
        <f>(M36*Datos!$E$25)+M36</f>
        <v>220399.21151999998</v>
      </c>
      <c r="N37" s="8">
        <f>(N36*Datos!$E$20)+N36</f>
        <v>127.62815624999999</v>
      </c>
      <c r="O37" s="8">
        <f t="shared" si="4"/>
        <v>3257789.2535548825</v>
      </c>
      <c r="P37" s="8">
        <f>(P36*Datos!$E$21)+P36</f>
        <v>255.25631249999998</v>
      </c>
      <c r="Q37" s="8">
        <f t="shared" si="6"/>
        <v>6515578.507109765</v>
      </c>
    </row>
    <row r="38" spans="2:17" ht="18.75" x14ac:dyDescent="0.25">
      <c r="B38" s="54">
        <v>7</v>
      </c>
      <c r="C38" s="70">
        <f>(C37*Datos!$E$13)+C37</f>
        <v>26801.912812499999</v>
      </c>
      <c r="D38" s="8">
        <f t="shared" si="5"/>
        <v>1072.0765124999998</v>
      </c>
      <c r="E38" s="8">
        <f>(E37*Datos!$E$25)+E37</f>
        <v>190.42491875328</v>
      </c>
      <c r="F38" s="8">
        <f t="shared" si="0"/>
        <v>5103752.0697528068</v>
      </c>
      <c r="G38" s="8">
        <f>(G37*Datos!$E$25)+G37</f>
        <v>126.94994583552001</v>
      </c>
      <c r="H38" s="8">
        <f t="shared" si="1"/>
        <v>3402501.3798352047</v>
      </c>
      <c r="I38" s="8">
        <f>(I37*Datos!$E$25)+I37</f>
        <v>79.343716147199999</v>
      </c>
      <c r="J38" s="8">
        <f t="shared" si="2"/>
        <v>2126563.3623970025</v>
      </c>
      <c r="K38" s="8">
        <f>(K37*Datos!$E$25)+K37</f>
        <v>79.343716147199999</v>
      </c>
      <c r="L38" s="8">
        <f t="shared" si="3"/>
        <v>2126563.3623970025</v>
      </c>
      <c r="M38" s="8">
        <f>(M37*Datos!$E$25)+M37</f>
        <v>238031.14844159997</v>
      </c>
      <c r="N38" s="8">
        <f>(N37*Datos!$E$20)+N37</f>
        <v>134.00956406249998</v>
      </c>
      <c r="O38" s="8">
        <f t="shared" si="4"/>
        <v>3591712.6520442576</v>
      </c>
      <c r="P38" s="8">
        <f>(P37*Datos!$E$21)+P37</f>
        <v>268.01912812499995</v>
      </c>
      <c r="Q38" s="8">
        <f t="shared" si="6"/>
        <v>7183425.3040885152</v>
      </c>
    </row>
    <row r="39" spans="2:17" ht="18.75" x14ac:dyDescent="0.25">
      <c r="B39" s="54">
        <v>8</v>
      </c>
      <c r="C39" s="70">
        <f>(C38*Datos!$E$13)+C38</f>
        <v>28142.008453125</v>
      </c>
      <c r="D39" s="8">
        <f t="shared" si="5"/>
        <v>1125.6803381249997</v>
      </c>
      <c r="E39" s="8">
        <f>(E38*Datos!$E$25)+E38</f>
        <v>205.65891225354238</v>
      </c>
      <c r="F39" s="8">
        <f t="shared" si="0"/>
        <v>5787654.8470996823</v>
      </c>
      <c r="G39" s="8">
        <f>(G38*Datos!$E$25)+G38</f>
        <v>137.10594150236162</v>
      </c>
      <c r="H39" s="8">
        <f t="shared" si="1"/>
        <v>3858436.5647331225</v>
      </c>
      <c r="I39" s="8">
        <f>(I38*Datos!$E$25)+I38</f>
        <v>85.691213438975993</v>
      </c>
      <c r="J39" s="8">
        <f t="shared" si="2"/>
        <v>2411522.852958201</v>
      </c>
      <c r="K39" s="8">
        <f>(K38*Datos!$E$25)+K38</f>
        <v>85.691213438975993</v>
      </c>
      <c r="L39" s="8">
        <f t="shared" si="3"/>
        <v>2411522.852958201</v>
      </c>
      <c r="M39" s="8">
        <f>(M38*Datos!$E$25)+M38</f>
        <v>257073.64031692798</v>
      </c>
      <c r="N39" s="8">
        <f>(N38*Datos!$E$20)+N38</f>
        <v>140.71004226562496</v>
      </c>
      <c r="O39" s="8">
        <f t="shared" si="4"/>
        <v>3959863.1988787935</v>
      </c>
      <c r="P39" s="8">
        <f>(P38*Datos!$E$21)+P38</f>
        <v>281.42008453124993</v>
      </c>
      <c r="Q39" s="8">
        <f t="shared" si="6"/>
        <v>7919726.397757587</v>
      </c>
    </row>
    <row r="40" spans="2:17" ht="18.75" x14ac:dyDescent="0.25">
      <c r="B40" s="54">
        <v>9</v>
      </c>
      <c r="C40" s="70">
        <f>(C39*Datos!$E$13)+C39</f>
        <v>29549.10887578125</v>
      </c>
      <c r="D40" s="8">
        <f t="shared" si="5"/>
        <v>1181.9643550312496</v>
      </c>
      <c r="E40" s="8">
        <f>(E39*Datos!$E$25)+E39</f>
        <v>222.11162523382578</v>
      </c>
      <c r="F40" s="8">
        <f t="shared" si="0"/>
        <v>6563200.5966110397</v>
      </c>
      <c r="G40" s="8">
        <f>(G39*Datos!$E$25)+G39</f>
        <v>148.07441682255055</v>
      </c>
      <c r="H40" s="8">
        <f t="shared" si="1"/>
        <v>4375467.0644073607</v>
      </c>
      <c r="I40" s="8">
        <f>(I39*Datos!$E$25)+I39</f>
        <v>92.546510514094066</v>
      </c>
      <c r="J40" s="8">
        <f t="shared" si="2"/>
        <v>2734666.9152545999</v>
      </c>
      <c r="K40" s="8">
        <f>(K39*Datos!$E$25)+K39</f>
        <v>92.546510514094066</v>
      </c>
      <c r="L40" s="8">
        <f t="shared" si="3"/>
        <v>2734666.9152545999</v>
      </c>
      <c r="M40" s="8">
        <f>(M39*Datos!$E$25)+M39</f>
        <v>277639.5315422822</v>
      </c>
      <c r="N40" s="8">
        <f>(N39*Datos!$E$20)+N39</f>
        <v>147.7455443789062</v>
      </c>
      <c r="O40" s="8">
        <f t="shared" si="4"/>
        <v>4365749.1767638698</v>
      </c>
      <c r="P40" s="8">
        <f>(P39*Datos!$E$21)+P39</f>
        <v>295.49108875781241</v>
      </c>
      <c r="Q40" s="8">
        <f t="shared" si="6"/>
        <v>8731498.3535277396</v>
      </c>
    </row>
    <row r="41" spans="2:17" ht="18.75" x14ac:dyDescent="0.25">
      <c r="B41" s="54">
        <v>10</v>
      </c>
      <c r="C41" s="70">
        <f>(C40*Datos!$E$13)+C40</f>
        <v>31026.564319570312</v>
      </c>
      <c r="D41" s="8">
        <f t="shared" si="5"/>
        <v>1241.0625727828121</v>
      </c>
      <c r="E41" s="12">
        <f>(E40*Datos!$E$25)+E40</f>
        <v>239.88055525253185</v>
      </c>
      <c r="F41" s="12">
        <f t="shared" si="0"/>
        <v>7442669.4765569195</v>
      </c>
      <c r="G41" s="12">
        <f>(G40*Datos!$E$25)+G40</f>
        <v>159.92037016835459</v>
      </c>
      <c r="H41" s="12">
        <f t="shared" si="1"/>
        <v>4961779.6510379473</v>
      </c>
      <c r="I41" s="12">
        <f>(I40*Datos!$E$25)+I40</f>
        <v>99.95023135522159</v>
      </c>
      <c r="J41" s="12">
        <f t="shared" si="2"/>
        <v>3101112.281898716</v>
      </c>
      <c r="K41" s="12">
        <f>(K40*Datos!$E$25)+K40</f>
        <v>99.95023135522159</v>
      </c>
      <c r="L41" s="12">
        <f t="shared" si="3"/>
        <v>3101112.281898716</v>
      </c>
      <c r="M41" s="12">
        <f>(M40*Datos!$E$25)+M40</f>
        <v>299850.69406566478</v>
      </c>
      <c r="N41" s="12">
        <f>(N40*Datos!$E$20)+N40</f>
        <v>155.13282159785152</v>
      </c>
      <c r="O41" s="12">
        <f t="shared" si="4"/>
        <v>4813238.4673821665</v>
      </c>
      <c r="P41" s="12">
        <f>(P40*Datos!$E$21)+P40</f>
        <v>310.26564319570303</v>
      </c>
      <c r="Q41" s="8">
        <f t="shared" si="6"/>
        <v>9626476.9347643331</v>
      </c>
    </row>
    <row r="44" spans="2:17" x14ac:dyDescent="0.25">
      <c r="H44" s="100"/>
      <c r="I44" s="100"/>
      <c r="J44" s="100"/>
      <c r="K44" s="100"/>
      <c r="L44" s="100"/>
      <c r="M44" s="100"/>
    </row>
    <row r="45" spans="2:17" x14ac:dyDescent="0.25">
      <c r="H45" s="100"/>
      <c r="I45" s="100"/>
      <c r="J45" s="100"/>
      <c r="K45" s="100"/>
      <c r="L45" s="100"/>
      <c r="M45" s="100"/>
    </row>
    <row r="46" spans="2:17" x14ac:dyDescent="0.25">
      <c r="H46" s="100"/>
      <c r="I46" s="100"/>
      <c r="J46" s="100"/>
      <c r="K46" s="100"/>
      <c r="L46" s="100"/>
      <c r="M46" s="100"/>
    </row>
    <row r="47" spans="2:17" x14ac:dyDescent="0.25">
      <c r="H47" s="100"/>
      <c r="I47" s="100"/>
      <c r="J47" s="100"/>
      <c r="K47" s="100"/>
      <c r="L47" s="100"/>
      <c r="M47" s="100"/>
    </row>
    <row r="48" spans="2:17" x14ac:dyDescent="0.25">
      <c r="H48" s="100"/>
      <c r="I48" s="100"/>
      <c r="J48" s="100"/>
      <c r="K48" s="100"/>
      <c r="L48" s="100"/>
      <c r="M48" s="100"/>
    </row>
    <row r="49" spans="5:13" x14ac:dyDescent="0.25">
      <c r="H49" s="100"/>
      <c r="I49" s="100"/>
      <c r="J49" s="100"/>
      <c r="K49" s="100"/>
      <c r="L49" s="100"/>
      <c r="M49" s="100"/>
    </row>
    <row r="50" spans="5:13" x14ac:dyDescent="0.25">
      <c r="H50" s="100"/>
      <c r="I50" s="100"/>
      <c r="J50" s="100"/>
      <c r="K50" s="100"/>
      <c r="L50" s="100"/>
      <c r="M50" s="100"/>
    </row>
    <row r="51" spans="5:13" x14ac:dyDescent="0.25">
      <c r="H51" s="100"/>
      <c r="I51" s="100"/>
      <c r="J51" s="100"/>
      <c r="K51" s="100"/>
      <c r="L51" s="100"/>
      <c r="M51" s="100"/>
    </row>
    <row r="52" spans="5:13" x14ac:dyDescent="0.25">
      <c r="H52" s="100"/>
      <c r="I52" s="100"/>
      <c r="J52" s="100"/>
      <c r="K52" s="100"/>
      <c r="L52" s="100"/>
      <c r="M52" s="100"/>
    </row>
    <row r="53" spans="5:13" x14ac:dyDescent="0.25">
      <c r="E53" s="100"/>
      <c r="F53" s="100"/>
      <c r="G53" s="100"/>
      <c r="H53" s="100"/>
      <c r="I53" s="100"/>
      <c r="J53" s="100"/>
      <c r="K53" s="100"/>
      <c r="L53" s="100"/>
      <c r="M53" s="100"/>
    </row>
    <row r="54" spans="5:13" x14ac:dyDescent="0.25">
      <c r="E54" s="100"/>
      <c r="F54" s="100"/>
      <c r="G54" s="100"/>
      <c r="H54" s="100"/>
      <c r="I54" s="100"/>
      <c r="J54" s="100"/>
      <c r="K54" s="100"/>
      <c r="L54" s="100"/>
      <c r="M54" s="100"/>
    </row>
    <row r="55" spans="5:13" x14ac:dyDescent="0.25">
      <c r="E55" s="100"/>
      <c r="F55" s="100"/>
      <c r="G55" s="100"/>
      <c r="H55" s="100"/>
      <c r="I55" s="100"/>
      <c r="J55" s="100"/>
      <c r="K55" s="100"/>
      <c r="L55" s="100"/>
      <c r="M55" s="100"/>
    </row>
    <row r="56" spans="5:13" x14ac:dyDescent="0.25">
      <c r="E56" s="100"/>
      <c r="F56" s="100"/>
      <c r="G56" s="100"/>
      <c r="H56" s="100"/>
      <c r="I56" s="100"/>
      <c r="J56" s="100"/>
      <c r="K56" s="100"/>
      <c r="L56" s="100"/>
      <c r="M56" s="100"/>
    </row>
  </sheetData>
  <mergeCells count="15">
    <mergeCell ref="N30:Q30"/>
    <mergeCell ref="E30:M30"/>
    <mergeCell ref="C25:D25"/>
    <mergeCell ref="B30:B31"/>
    <mergeCell ref="C30:C31"/>
    <mergeCell ref="D30:D31"/>
    <mergeCell ref="G12:K12"/>
    <mergeCell ref="C26:D26"/>
    <mergeCell ref="C27:D27"/>
    <mergeCell ref="M12:N12"/>
    <mergeCell ref="O12:O13"/>
    <mergeCell ref="G17:H17"/>
    <mergeCell ref="G19:H19"/>
    <mergeCell ref="G20:H20"/>
    <mergeCell ref="G21:H21"/>
  </mergeCells>
  <pageMargins left="0.7" right="0.7" top="0.75" bottom="0.75" header="0.3" footer="0.3"/>
  <drawing r:id="rId1"/>
  <pictur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E9F10-84B2-483A-8799-B4AB3C6F3630}">
  <dimension ref="B11:L30"/>
  <sheetViews>
    <sheetView topLeftCell="B19" workbookViewId="0">
      <selection activeCell="J23" sqref="J23"/>
    </sheetView>
  </sheetViews>
  <sheetFormatPr baseColWidth="10" defaultColWidth="9.140625" defaultRowHeight="15" x14ac:dyDescent="0.25"/>
  <cols>
    <col min="1" max="1" width="5" customWidth="1"/>
    <col min="2" max="2" width="33.140625" customWidth="1"/>
    <col min="3" max="12" width="18.42578125" customWidth="1"/>
  </cols>
  <sheetData>
    <row r="11" spans="2:12" x14ac:dyDescent="0.25">
      <c r="B11" s="24"/>
      <c r="C11" s="24"/>
      <c r="D11" s="24"/>
      <c r="E11" s="24"/>
      <c r="F11" s="24"/>
      <c r="G11" s="24"/>
      <c r="H11" s="24"/>
      <c r="I11" s="24"/>
      <c r="J11" s="24"/>
      <c r="K11" s="24"/>
      <c r="L11" s="24"/>
    </row>
    <row r="12" spans="2:12" ht="15.75" x14ac:dyDescent="0.25">
      <c r="B12" s="132"/>
      <c r="C12" s="132" t="s">
        <v>57</v>
      </c>
      <c r="D12" s="132"/>
      <c r="E12" s="132"/>
      <c r="F12" s="132"/>
      <c r="G12" s="132"/>
      <c r="H12" s="132"/>
      <c r="I12" s="132"/>
      <c r="J12" s="132"/>
      <c r="K12" s="132"/>
      <c r="L12" s="132"/>
    </row>
    <row r="13" spans="2:12" ht="15.75" x14ac:dyDescent="0.25">
      <c r="B13" s="132"/>
      <c r="C13" s="28">
        <v>1</v>
      </c>
      <c r="D13" s="28">
        <v>2</v>
      </c>
      <c r="E13" s="28">
        <v>3</v>
      </c>
      <c r="F13" s="28">
        <v>4</v>
      </c>
      <c r="G13" s="28">
        <v>5</v>
      </c>
      <c r="H13" s="28">
        <v>6</v>
      </c>
      <c r="I13" s="28">
        <v>7</v>
      </c>
      <c r="J13" s="28">
        <v>8</v>
      </c>
      <c r="K13" s="28">
        <v>9</v>
      </c>
      <c r="L13" s="28">
        <v>10</v>
      </c>
    </row>
    <row r="14" spans="2:12" ht="15.75" x14ac:dyDescent="0.25">
      <c r="B14" s="29" t="s">
        <v>74</v>
      </c>
      <c r="C14" s="67">
        <f>Datos!C32*Datos!D32</f>
        <v>16000000</v>
      </c>
      <c r="D14" s="65">
        <f>Datos!C33*Datos!D33</f>
        <v>17640000</v>
      </c>
      <c r="E14" s="67">
        <f>Datos!C34*Datos!D34</f>
        <v>19448100</v>
      </c>
      <c r="F14" s="67">
        <f>Datos!C35*Datos!D35</f>
        <v>21441530.25</v>
      </c>
      <c r="G14" s="65">
        <f>Datos!C36*Datos!D36</f>
        <v>23639287.100625001</v>
      </c>
      <c r="H14" s="67">
        <f>Datos!C37*Datos!D37</f>
        <v>26062314.02843906</v>
      </c>
      <c r="I14" s="67">
        <f>Datos!C38*Datos!D38</f>
        <v>28733701.216354061</v>
      </c>
      <c r="J14" s="65">
        <f>Datos!C39*Datos!D39</f>
        <v>31678905.591030348</v>
      </c>
      <c r="K14" s="67">
        <f>Datos!C40*Datos!D40</f>
        <v>34925993.414110959</v>
      </c>
      <c r="L14" s="67">
        <f>Datos!C41*Datos!D41</f>
        <v>38505907.739057332</v>
      </c>
    </row>
    <row r="15" spans="2:12" ht="15.75" x14ac:dyDescent="0.25">
      <c r="B15" s="29" t="s">
        <v>75</v>
      </c>
      <c r="C15" s="67">
        <f>C14-C16</f>
        <v>2206896.5517241377</v>
      </c>
      <c r="D15" s="67">
        <f>D14-D16</f>
        <v>2433103.4482758604</v>
      </c>
      <c r="E15" s="67">
        <f t="shared" ref="E15:L15" si="0">E14-E16</f>
        <v>2682496.5517241359</v>
      </c>
      <c r="F15" s="67">
        <f t="shared" si="0"/>
        <v>2957452.4482758604</v>
      </c>
      <c r="G15" s="67">
        <f t="shared" si="0"/>
        <v>3260591.3242241368</v>
      </c>
      <c r="H15" s="67">
        <f t="shared" si="0"/>
        <v>3594801.9349571094</v>
      </c>
      <c r="I15" s="67">
        <f t="shared" si="0"/>
        <v>3963269.1332902126</v>
      </c>
      <c r="J15" s="67">
        <f t="shared" si="0"/>
        <v>4369504.2194524594</v>
      </c>
      <c r="K15" s="67">
        <f t="shared" si="0"/>
        <v>4817378.401946336</v>
      </c>
      <c r="L15" s="67">
        <f t="shared" si="0"/>
        <v>5311159.688145835</v>
      </c>
    </row>
    <row r="16" spans="2:12" ht="15.75" x14ac:dyDescent="0.25">
      <c r="B16" s="29" t="s">
        <v>76</v>
      </c>
      <c r="C16" s="67">
        <f>C14/1.16</f>
        <v>13793103.448275862</v>
      </c>
      <c r="D16" s="67">
        <f t="shared" ref="D16:L16" si="1">D14/1.16</f>
        <v>15206896.55172414</v>
      </c>
      <c r="E16" s="67">
        <f t="shared" si="1"/>
        <v>16765603.448275864</v>
      </c>
      <c r="F16" s="67">
        <f t="shared" si="1"/>
        <v>18484077.80172414</v>
      </c>
      <c r="G16" s="67">
        <f t="shared" si="1"/>
        <v>20378695.776400864</v>
      </c>
      <c r="H16" s="67">
        <f t="shared" si="1"/>
        <v>22467512.09348195</v>
      </c>
      <c r="I16" s="67">
        <f t="shared" si="1"/>
        <v>24770432.083063848</v>
      </c>
      <c r="J16" s="67">
        <f t="shared" si="1"/>
        <v>27309401.371577889</v>
      </c>
      <c r="K16" s="67">
        <f t="shared" si="1"/>
        <v>30108615.012164623</v>
      </c>
      <c r="L16" s="67">
        <f t="shared" si="1"/>
        <v>33194748.050911497</v>
      </c>
    </row>
    <row r="17" spans="2:12" ht="15.75" x14ac:dyDescent="0.25">
      <c r="B17" s="30" t="s">
        <v>77</v>
      </c>
      <c r="C17" s="67">
        <f>Datos!F32+Datos!H32+Datos!J32+Datos!L32+Datos!M32</f>
        <v>6150000</v>
      </c>
      <c r="D17" s="67">
        <f>Datos!F33+Datos!H33+Datos!J33+Datos!L33+Datos!M33</f>
        <v>6966000</v>
      </c>
      <c r="E17" s="67">
        <f>Datos!F34+Datos!H34+Datos!J34+Datos!L34+Datos!M34</f>
        <v>7890696</v>
      </c>
      <c r="F17" s="67">
        <f>Datos!F35+Datos!H35+Datos!J35+Datos!L35+Datos!M35</f>
        <v>8938601.4240000006</v>
      </c>
      <c r="G17" s="67">
        <f>Datos!F36+Datos!H36+Datos!J36+Datos!L36+Datos!M36</f>
        <v>10126170.347616002</v>
      </c>
      <c r="H17" s="67">
        <f>Datos!F37+Datos!H37+Datos!J37+Datos!L37+Datos!M37</f>
        <v>11472057.213620543</v>
      </c>
      <c r="I17" s="67">
        <f>Datos!F38+Datos!H38+Datos!J38+Datos!L38+Datos!M38</f>
        <v>12997411.322823616</v>
      </c>
      <c r="J17" s="67">
        <f>Datos!F39+Datos!H39+Datos!J39+Datos!L39+Datos!M39</f>
        <v>14726210.758066135</v>
      </c>
      <c r="K17" s="67">
        <f>Datos!F40+Datos!H40+Datos!J40+Datos!L40+Datos!M40</f>
        <v>16685641.023069885</v>
      </c>
      <c r="L17" s="67">
        <f>Datos!F41+Datos!H41+Datos!J41+Datos!L41+Datos!M41</f>
        <v>18906524.385457963</v>
      </c>
    </row>
    <row r="18" spans="2:12" ht="15.75" x14ac:dyDescent="0.25">
      <c r="B18" s="31" t="s">
        <v>78</v>
      </c>
      <c r="C18" s="67">
        <f>IF(Datos!C32&gt;Datos!$E$26,((Datos!C32-Datos!$E$26)*Datos!$E$27),0)</f>
        <v>0</v>
      </c>
      <c r="D18" s="67">
        <f>IF(Datos!C33&gt;Datos!$E$26,((Datos!C33-Datos!$E$26)*Datos!$E$27),0)</f>
        <v>0</v>
      </c>
      <c r="E18" s="67">
        <f>IF(Datos!C34&gt;Datos!$E$26,((Datos!C34-Datos!$E$26)*Datos!$E$27),0)</f>
        <v>0</v>
      </c>
      <c r="F18" s="67">
        <f>IF(Datos!C35&gt;Datos!$E$26,((Datos!C35-Datos!$E$26)*Datos!$E$27),0)</f>
        <v>0</v>
      </c>
      <c r="G18" s="67">
        <f>IF(Datos!C36&gt;Datos!$E$26,((Datos!C36-Datos!$E$26)*Datos!$E$27),0)</f>
        <v>0</v>
      </c>
      <c r="H18" s="67">
        <f>IF(Datos!C37&gt;Datos!$E$26,((Datos!C37-Datos!$E$26)*Datos!$E$27),0)</f>
        <v>210252.49999999942</v>
      </c>
      <c r="I18" s="67">
        <f>IF(Datos!C38&gt;Datos!$E$26,((Datos!C38-Datos!$E$26)*Datos!$E$27),0)</f>
        <v>720765.12499999953</v>
      </c>
      <c r="J18" s="67">
        <f>IF(Datos!C39&gt;Datos!$E$26,((Datos!C39-Datos!$E$26)*Datos!$E$27),0)</f>
        <v>1256803.3812499999</v>
      </c>
      <c r="K18" s="67">
        <f>IF(Datos!C40&gt;Datos!$E$26,((Datos!C40-Datos!$E$26)*Datos!$E$27),0)</f>
        <v>1819643.5503125002</v>
      </c>
      <c r="L18" s="67">
        <f>IF(Datos!C41&gt;Datos!$E$26,((Datos!C41-Datos!$E$26)*Datos!$E$27),0)</f>
        <v>2410625.727828125</v>
      </c>
    </row>
    <row r="19" spans="2:12" ht="15.75" x14ac:dyDescent="0.25">
      <c r="B19" s="32" t="s">
        <v>79</v>
      </c>
      <c r="C19" s="67">
        <f>Datos!$K$14+Datos!$K$15</f>
        <v>196666.66666666666</v>
      </c>
      <c r="D19" s="67">
        <f>Datos!$K$14+Datos!$K$15</f>
        <v>196666.66666666666</v>
      </c>
      <c r="E19" s="67">
        <f>Datos!$K$14+Datos!$K$15</f>
        <v>196666.66666666666</v>
      </c>
      <c r="F19" s="67">
        <f>Datos!$K$14+Datos!$K$15</f>
        <v>196666.66666666666</v>
      </c>
      <c r="G19" s="67">
        <f>Datos!$K$14+Datos!$K$15</f>
        <v>196666.66666666666</v>
      </c>
      <c r="H19" s="67">
        <f>Datos!$K$14+Datos!$K$15</f>
        <v>196666.66666666666</v>
      </c>
      <c r="I19" s="67">
        <f>Datos!$K$14+Datos!$K$15</f>
        <v>196666.66666666666</v>
      </c>
      <c r="J19" s="67">
        <f>Datos!$K$14+Datos!$K$15</f>
        <v>196666.66666666666</v>
      </c>
      <c r="K19" s="67">
        <f>Datos!$K$14+Datos!$K$15</f>
        <v>196666.66666666666</v>
      </c>
      <c r="L19" s="67">
        <f>Datos!$K$14+Datos!$K$15</f>
        <v>196666.66666666666</v>
      </c>
    </row>
    <row r="20" spans="2:12" ht="15.75" x14ac:dyDescent="0.25">
      <c r="B20" s="29" t="s">
        <v>80</v>
      </c>
      <c r="C20" s="67">
        <f>C16-C17-C19-C18</f>
        <v>7446436.7816091953</v>
      </c>
      <c r="D20" s="67">
        <f t="shared" ref="D20:L20" si="2">D16-D17-D19-D18</f>
        <v>8044229.8850574726</v>
      </c>
      <c r="E20" s="67">
        <f t="shared" si="2"/>
        <v>8678240.7816091981</v>
      </c>
      <c r="F20" s="67">
        <f t="shared" si="2"/>
        <v>9348809.711057473</v>
      </c>
      <c r="G20" s="67">
        <f t="shared" si="2"/>
        <v>10055858.762118196</v>
      </c>
      <c r="H20" s="67">
        <f t="shared" si="2"/>
        <v>10588535.713194741</v>
      </c>
      <c r="I20" s="67">
        <f t="shared" si="2"/>
        <v>10855588.968573567</v>
      </c>
      <c r="J20" s="67">
        <f t="shared" si="2"/>
        <v>11129720.565595089</v>
      </c>
      <c r="K20" s="67">
        <f t="shared" si="2"/>
        <v>11406663.772115571</v>
      </c>
      <c r="L20" s="67">
        <f t="shared" si="2"/>
        <v>11680931.270958744</v>
      </c>
    </row>
    <row r="21" spans="2:12" ht="15.75" x14ac:dyDescent="0.25">
      <c r="B21" s="29" t="s">
        <v>81</v>
      </c>
      <c r="C21" s="67">
        <f>Datos!O32</f>
        <v>2000000</v>
      </c>
      <c r="D21" s="67">
        <f>Datos!O33</f>
        <v>2205000</v>
      </c>
      <c r="E21" s="65">
        <f>Datos!O34</f>
        <v>2431012.5</v>
      </c>
      <c r="F21" s="65">
        <f>Datos!O35</f>
        <v>2680191.28125</v>
      </c>
      <c r="G21" s="65">
        <f>Datos!O36</f>
        <v>2954910.8875781251</v>
      </c>
      <c r="H21" s="66">
        <f>Datos!O37</f>
        <v>3257789.2535548825</v>
      </c>
      <c r="I21" s="65">
        <f>Datos!O38</f>
        <v>3591712.6520442576</v>
      </c>
      <c r="J21" s="66">
        <f>Datos!O39</f>
        <v>3959863.1988787935</v>
      </c>
      <c r="K21" s="65">
        <f>Datos!O40</f>
        <v>4365749.1767638698</v>
      </c>
      <c r="L21" s="67">
        <f>Datos!O41</f>
        <v>4813238.4673821665</v>
      </c>
    </row>
    <row r="22" spans="2:12" ht="15.75" x14ac:dyDescent="0.25">
      <c r="B22" s="29" t="s">
        <v>82</v>
      </c>
      <c r="C22" s="67">
        <f>Datos!Q32</f>
        <v>4000000</v>
      </c>
      <c r="D22" s="67">
        <f>Datos!Q33</f>
        <v>4410000</v>
      </c>
      <c r="E22" s="66">
        <f>Datos!Q34</f>
        <v>4862025</v>
      </c>
      <c r="F22" s="65">
        <f>Datos!Q35</f>
        <v>5360382.5625</v>
      </c>
      <c r="G22" s="65">
        <f>Datos!Q36</f>
        <v>5909821.7751562502</v>
      </c>
      <c r="H22" s="65">
        <f>Datos!Q37</f>
        <v>6515578.507109765</v>
      </c>
      <c r="I22" s="66">
        <f>Datos!Q38</f>
        <v>7183425.3040885152</v>
      </c>
      <c r="J22" s="65">
        <f>Datos!Q39</f>
        <v>7919726.397757587</v>
      </c>
      <c r="K22" s="66">
        <f>Datos!Q40</f>
        <v>8731498.3535277396</v>
      </c>
      <c r="L22" s="65">
        <f>Datos!Q41</f>
        <v>9626476.9347643331</v>
      </c>
    </row>
    <row r="23" spans="2:12" ht="15.75" x14ac:dyDescent="0.25">
      <c r="B23" s="29" t="s">
        <v>83</v>
      </c>
      <c r="C23" s="67">
        <f t="shared" ref="C23:L23" si="3">C20-C21-C22</f>
        <v>1446436.7816091953</v>
      </c>
      <c r="D23" s="67">
        <f t="shared" si="3"/>
        <v>1429229.8850574726</v>
      </c>
      <c r="E23" s="67">
        <f t="shared" si="3"/>
        <v>1385203.2816091981</v>
      </c>
      <c r="F23" s="67">
        <f t="shared" si="3"/>
        <v>1308235.867307473</v>
      </c>
      <c r="G23" s="67">
        <f t="shared" si="3"/>
        <v>1191126.0993838208</v>
      </c>
      <c r="H23" s="67">
        <f t="shared" si="3"/>
        <v>815167.95253009349</v>
      </c>
      <c r="I23" s="67">
        <f>I20-I21-I22</f>
        <v>80451.012440794148</v>
      </c>
      <c r="J23" s="67">
        <f t="shared" si="3"/>
        <v>-749869.03104129154</v>
      </c>
      <c r="K23" s="67">
        <f t="shared" si="3"/>
        <v>-1690583.758176038</v>
      </c>
      <c r="L23" s="67">
        <f t="shared" si="3"/>
        <v>-2758784.1311877556</v>
      </c>
    </row>
    <row r="24" spans="2:12" ht="15.75" x14ac:dyDescent="0.25">
      <c r="B24" s="29" t="s">
        <v>84</v>
      </c>
      <c r="C24" s="67">
        <v>0</v>
      </c>
      <c r="D24" s="67">
        <v>0</v>
      </c>
      <c r="E24" s="67">
        <v>0</v>
      </c>
      <c r="F24" s="67">
        <v>0</v>
      </c>
      <c r="G24" s="67">
        <v>0</v>
      </c>
      <c r="H24" s="67">
        <v>0</v>
      </c>
      <c r="I24" s="67">
        <v>0</v>
      </c>
      <c r="J24" s="67">
        <v>0</v>
      </c>
      <c r="K24" s="67">
        <v>0</v>
      </c>
      <c r="L24" s="67">
        <v>0</v>
      </c>
    </row>
    <row r="25" spans="2:12" ht="15.75" x14ac:dyDescent="0.25">
      <c r="B25" s="29" t="s">
        <v>85</v>
      </c>
      <c r="C25" s="67">
        <f>C23-C24</f>
        <v>1446436.7816091953</v>
      </c>
      <c r="D25" s="67">
        <f t="shared" ref="D25:L25" si="4">D23-D24</f>
        <v>1429229.8850574726</v>
      </c>
      <c r="E25" s="67">
        <f t="shared" si="4"/>
        <v>1385203.2816091981</v>
      </c>
      <c r="F25" s="67">
        <f t="shared" si="4"/>
        <v>1308235.867307473</v>
      </c>
      <c r="G25" s="67">
        <f t="shared" si="4"/>
        <v>1191126.0993838208</v>
      </c>
      <c r="H25" s="67">
        <f t="shared" si="4"/>
        <v>815167.95253009349</v>
      </c>
      <c r="I25" s="67">
        <f t="shared" si="4"/>
        <v>80451.012440794148</v>
      </c>
      <c r="J25" s="67">
        <f t="shared" si="4"/>
        <v>-749869.03104129154</v>
      </c>
      <c r="K25" s="67">
        <f t="shared" si="4"/>
        <v>-1690583.758176038</v>
      </c>
      <c r="L25" s="67">
        <f t="shared" si="4"/>
        <v>-2758784.1311877556</v>
      </c>
    </row>
    <row r="26" spans="2:12" ht="15.75" x14ac:dyDescent="0.25">
      <c r="B26" s="29" t="s">
        <v>86</v>
      </c>
      <c r="C26" s="68">
        <f>IF(C25&gt;0,IF(AND(C25&gt;Datos!$M$14,C25&lt;Datos!$N$14),C25*Datos!$O$14,IF(AND(C25&gt;Datos!$M$15,C25&lt;Datos!$N$15),C25*Datos!$O$15,IF(AND(C25&gt;Datos!$M$16,C25&lt;Datos!$N$16),C25*Datos!$O$16,IF(AND(C25&gt;Datos!$M$17,C25&lt;Datos!$N$17),C25*Datos!$O$17,IF(AND(C25&gt;Datos!$M$18,C25&lt;Datos!$N$18),C25*Datos!$O$18,IF(AND(C25&gt;Datos!$M$19,C25&lt;Datos!$N$19),C25*Datos!$O$19,C25*Datos!$O$20)))))),0)</f>
        <v>506252.87356321834</v>
      </c>
      <c r="D26" s="67">
        <f>IF(D25&gt;0,IF(AND(D25&gt;Datos!$M$14,D25&lt;Datos!$N$14),D25*Datos!$O$14,IF(AND(D25&gt;Datos!$M$15,D25&lt;Datos!$N$15),D25*Datos!$O$15,IF(AND(D25&gt;Datos!$M$16,D25&lt;Datos!$N$16),D25*Datos!$O$16,IF(AND(D25&gt;Datos!$M$17,D25&lt;Datos!$N$17),D25*Datos!$O$17,IF(AND(D25&gt;Datos!$M$18,D25&lt;Datos!$N$18),D25*Datos!$O$18,IF(AND(D25&gt;Datos!$M$19,D25&lt;Datos!$N$19),D25*Datos!$O$19,D25*Datos!$O$20)))))),0)</f>
        <v>500230.45977011538</v>
      </c>
      <c r="E26" s="67">
        <f>IF(E25&gt;0,IF(AND(E25&gt;Datos!$M$14,E25&lt;Datos!$N$14),E25*Datos!$O$14,IF(AND(E25&gt;Datos!$M$15,E25&lt;Datos!$N$15),E25*Datos!$O$15,IF(AND(E25&gt;Datos!$M$16,E25&lt;Datos!$N$16),E25*Datos!$O$16,IF(AND(E25&gt;Datos!$M$17,E25&lt;Datos!$N$17),E25*Datos!$O$17,IF(AND(E25&gt;Datos!$M$18,E25&lt;Datos!$N$18),E25*Datos!$O$18,IF(AND(E25&gt;Datos!$M$19,E25&lt;Datos!$N$19),E25*Datos!$O$19,E25*Datos!$O$20)))))),0)</f>
        <v>484821.14856321929</v>
      </c>
      <c r="F26" s="67">
        <f>IF(F25&gt;0,IF(AND(F25&gt;Datos!$M$14,F25&lt;Datos!$N$14),F25*Datos!$O$14,IF(AND(F25&gt;Datos!$M$15,F25&lt;Datos!$N$15),F25*Datos!$O$15,IF(AND(F25&gt;Datos!$M$16,F25&lt;Datos!$N$16),F25*Datos!$O$16,IF(AND(F25&gt;Datos!$M$17,F25&lt;Datos!$N$17),F25*Datos!$O$17,IF(AND(F25&gt;Datos!$M$18,F25&lt;Datos!$N$18),F25*Datos!$O$18,IF(AND(F25&gt;Datos!$M$19,F25&lt;Datos!$N$19),F25*Datos!$O$19,F25*Datos!$O$20)))))),0)</f>
        <v>457882.55355761549</v>
      </c>
      <c r="G26" s="67">
        <f>IF(G25&gt;0,IF(AND(G25&gt;Datos!$M$14,G25&lt;Datos!$N$14),G25*Datos!$O$14,IF(AND(G25&gt;Datos!$M$15,G25&lt;Datos!$N$15),G25*Datos!$O$15,IF(AND(G25&gt;Datos!$M$16,G25&lt;Datos!$N$16),G25*Datos!$O$16,IF(AND(G25&gt;Datos!$M$17,G25&lt;Datos!$N$17),G25*Datos!$O$17,IF(AND(G25&gt;Datos!$M$18,G25&lt;Datos!$N$18),G25*Datos!$O$18,IF(AND(G25&gt;Datos!$M$19,G25&lt;Datos!$N$19),G25*Datos!$O$19,G25*Datos!$O$20)))))),0)</f>
        <v>416894.13478433725</v>
      </c>
      <c r="H26" s="67">
        <f>IF(H25&gt;0,IF(AND(H25&gt;Datos!$M$14,H25&lt;Datos!$N$14),H25*Datos!$O$14,IF(AND(H25&gt;Datos!$M$15,H25&lt;Datos!$N$15),H25*Datos!$O$15,IF(AND(H25&gt;Datos!$M$16,H25&lt;Datos!$N$16),H25*Datos!$O$16,IF(AND(H25&gt;Datos!$M$17,H25&lt;Datos!$N$17),H25*Datos!$O$17,IF(AND(H25&gt;Datos!$M$18,H25&lt;Datos!$N$18),H25*Datos!$O$18,IF(AND(H25&gt;Datos!$M$19,H25&lt;Datos!$N$19),H25*Datos!$O$19,H25*Datos!$O$20)))))),0)</f>
        <v>244550.38575902802</v>
      </c>
      <c r="I26" s="67">
        <f>IF(I25&gt;0,IF(AND(I25&gt;Datos!$M$14,I25&lt;Datos!$N$14),I25*Datos!$O$14,IF(AND(I25&gt;Datos!$M$15,I25&lt;Datos!$N$15),I25*Datos!$O$15,IF(AND(I25&gt;Datos!$M$16,I25&lt;Datos!$N$16),I25*Datos!$O$16,IF(AND(I25&gt;Datos!$M$17,I25&lt;Datos!$N$17),I25*Datos!$O$17,IF(AND(I25&gt;Datos!$M$18,I25&lt;Datos!$N$18),I25*Datos!$O$18,IF(AND(I25&gt;Datos!$M$19,I25&lt;Datos!$N$19),I25*Datos!$O$19,I25*Datos!$O$20)))))),0)</f>
        <v>16090.20248815883</v>
      </c>
      <c r="J26" s="67">
        <f>IF(J25&gt;0,IF(AND(J25&gt;Datos!$M$14,J25&lt;Datos!$N$14),J25*Datos!$O$14,IF(AND(J25&gt;Datos!$M$15,J25&lt;Datos!$N$15),J25*Datos!$O$15,IF(AND(J25&gt;Datos!$M$16,J25&lt;Datos!$N$16),J25*Datos!$O$16,IF(AND(J25&gt;Datos!$M$17,J25&lt;Datos!$N$17),J25*Datos!$O$17,IF(AND(J25&gt;Datos!$M$18,J25&lt;Datos!$N$18),J25*Datos!$O$18,IF(AND(J25&gt;Datos!$M$19,J25&lt;Datos!$N$19),J25*Datos!$O$19,J25*Datos!$O$20)))))),0)</f>
        <v>0</v>
      </c>
      <c r="K26" s="67">
        <f>IF(K25&gt;0,IF(AND(K25&gt;Datos!$M$14,K25&lt;Datos!$N$14),K25*Datos!$O$14,IF(AND(K25&gt;Datos!$M$15,K25&lt;Datos!$N$15),K25*Datos!$O$15,IF(AND(K25&gt;Datos!$M$16,K25&lt;Datos!$N$16),K25*Datos!$O$16,IF(AND(K25&gt;Datos!$M$17,K25&lt;Datos!$N$17),K25*Datos!$O$17,IF(AND(K25&gt;Datos!$M$18,K25&lt;Datos!$N$18),K25*Datos!$O$18,IF(AND(K25&gt;Datos!$M$19,K25&lt;Datos!$N$19),K25*Datos!$O$19,K25*Datos!$O$20)))))),0)</f>
        <v>0</v>
      </c>
      <c r="L26" s="67">
        <f>IF(L25&gt;0,IF(AND(L25&gt;Datos!$M$14,L25&lt;Datos!$N$14),L25*Datos!$O$14,IF(AND(L25&gt;Datos!$M$15,L25&lt;Datos!$N$15),L25*Datos!$O$15,IF(AND(L25&gt;Datos!$M$16,L25&lt;Datos!$N$16),L25*Datos!$O$16,IF(AND(L25&gt;Datos!$M$17,L25&lt;Datos!$N$17),L25*Datos!$O$17,IF(AND(L25&gt;Datos!$M$18,L25&lt;Datos!$N$18),L25*Datos!$O$18,IF(AND(L25&gt;Datos!$M$19,L25&lt;Datos!$N$19),L25*Datos!$O$19,L25*Datos!$O$20)))))),0)</f>
        <v>0</v>
      </c>
    </row>
    <row r="27" spans="2:12" ht="15.75" x14ac:dyDescent="0.25">
      <c r="B27" s="29" t="s">
        <v>87</v>
      </c>
      <c r="C27" s="67">
        <f>C25-C26</f>
        <v>940183.90804597689</v>
      </c>
      <c r="D27" s="69">
        <f t="shared" ref="D27:L27" si="5">D25-D26</f>
        <v>928999.4252873573</v>
      </c>
      <c r="E27" s="67">
        <f t="shared" si="5"/>
        <v>900382.13304597884</v>
      </c>
      <c r="F27" s="67">
        <f t="shared" si="5"/>
        <v>850353.31374985748</v>
      </c>
      <c r="G27" s="67">
        <f t="shared" si="5"/>
        <v>774231.96459948353</v>
      </c>
      <c r="H27" s="67">
        <f t="shared" si="5"/>
        <v>570617.56677106547</v>
      </c>
      <c r="I27" s="67">
        <f t="shared" si="5"/>
        <v>64360.809952635318</v>
      </c>
      <c r="J27" s="67">
        <f t="shared" si="5"/>
        <v>-749869.03104129154</v>
      </c>
      <c r="K27" s="67">
        <f t="shared" si="5"/>
        <v>-1690583.758176038</v>
      </c>
      <c r="L27" s="67">
        <f t="shared" si="5"/>
        <v>-2758784.1311877556</v>
      </c>
    </row>
    <row r="28" spans="2:12" x14ac:dyDescent="0.25">
      <c r="C28" s="4"/>
    </row>
    <row r="30" spans="2:12" x14ac:dyDescent="0.25">
      <c r="C30" s="3"/>
    </row>
  </sheetData>
  <mergeCells count="2">
    <mergeCell ref="C12:L12"/>
    <mergeCell ref="B12:B13"/>
  </mergeCells>
  <pageMargins left="0.7" right="0.7" top="0.75" bottom="0.75" header="0.3" footer="0.3"/>
  <drawing r:id="rId1"/>
  <pictur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65B8A-6815-463F-97A2-FC8941793CCE}">
  <dimension ref="B12:L30"/>
  <sheetViews>
    <sheetView workbookViewId="0">
      <selection activeCell="H28" sqref="H28"/>
    </sheetView>
  </sheetViews>
  <sheetFormatPr baseColWidth="10" defaultColWidth="9.140625" defaultRowHeight="15" x14ac:dyDescent="0.25"/>
  <cols>
    <col min="1" max="1" width="1.85546875" customWidth="1"/>
    <col min="2" max="2" width="22.28515625" customWidth="1"/>
    <col min="3" max="4" width="16.42578125" customWidth="1"/>
    <col min="5" max="5" width="15.140625" bestFit="1" customWidth="1"/>
    <col min="6" max="12" width="16.42578125" customWidth="1"/>
  </cols>
  <sheetData>
    <row r="12" spans="2:12" ht="18.75" x14ac:dyDescent="0.3">
      <c r="B12" s="62" t="s">
        <v>88</v>
      </c>
      <c r="C12" s="19">
        <v>1</v>
      </c>
      <c r="D12" s="19">
        <v>2</v>
      </c>
      <c r="E12" s="19">
        <v>3</v>
      </c>
      <c r="F12" s="19">
        <v>4</v>
      </c>
      <c r="G12" s="19">
        <v>5</v>
      </c>
      <c r="H12" s="19">
        <v>6</v>
      </c>
      <c r="I12" s="19">
        <v>7</v>
      </c>
      <c r="J12" s="19">
        <v>8</v>
      </c>
      <c r="K12" s="19">
        <v>9</v>
      </c>
      <c r="L12" s="19">
        <v>10</v>
      </c>
    </row>
    <row r="13" spans="2:12" ht="15.75" x14ac:dyDescent="0.25">
      <c r="B13" s="133" t="s">
        <v>89</v>
      </c>
      <c r="C13" s="133"/>
      <c r="D13" s="133"/>
      <c r="E13" s="133"/>
      <c r="F13" s="133"/>
      <c r="G13" s="133"/>
      <c r="H13" s="133"/>
      <c r="I13" s="133"/>
      <c r="J13" s="133"/>
      <c r="K13" s="133"/>
      <c r="L13" s="133"/>
    </row>
    <row r="14" spans="2:12" ht="15.75" x14ac:dyDescent="0.25">
      <c r="B14" s="64" t="s">
        <v>74</v>
      </c>
      <c r="C14" s="13">
        <f>EdoResultados!C14</f>
        <v>16000000</v>
      </c>
      <c r="D14" s="13">
        <f>EdoResultados!D14</f>
        <v>17640000</v>
      </c>
      <c r="E14" s="13">
        <f>EdoResultados!E14</f>
        <v>19448100</v>
      </c>
      <c r="F14" s="13">
        <f>EdoResultados!F14</f>
        <v>21441530.25</v>
      </c>
      <c r="G14" s="13">
        <f>EdoResultados!G14</f>
        <v>23639287.100625001</v>
      </c>
      <c r="H14" s="13">
        <f>EdoResultados!H14</f>
        <v>26062314.02843906</v>
      </c>
      <c r="I14" s="13">
        <f>EdoResultados!I14</f>
        <v>28733701.216354061</v>
      </c>
      <c r="J14" s="13">
        <f>EdoResultados!J14</f>
        <v>31678905.591030348</v>
      </c>
      <c r="K14" s="13">
        <f>EdoResultados!K14</f>
        <v>34925993.414110959</v>
      </c>
      <c r="L14" s="13">
        <f>EdoResultados!L14</f>
        <v>38505907.739057332</v>
      </c>
    </row>
    <row r="15" spans="2:12" ht="15.75" x14ac:dyDescent="0.25">
      <c r="B15" s="133" t="s">
        <v>90</v>
      </c>
      <c r="C15" s="133"/>
      <c r="D15" s="133"/>
      <c r="E15" s="133"/>
      <c r="F15" s="133"/>
      <c r="G15" s="133"/>
      <c r="H15" s="133"/>
      <c r="I15" s="133"/>
      <c r="J15" s="133"/>
      <c r="K15" s="133"/>
      <c r="L15" s="133"/>
    </row>
    <row r="16" spans="2:12" x14ac:dyDescent="0.25">
      <c r="B16" s="63" t="s">
        <v>91</v>
      </c>
      <c r="C16" s="56">
        <f>EdoResultados!C15</f>
        <v>2206896.5517241377</v>
      </c>
      <c r="D16" s="56">
        <f>EdoResultados!D15</f>
        <v>2433103.4482758604</v>
      </c>
      <c r="E16" s="56">
        <f>EdoResultados!E15</f>
        <v>2682496.5517241359</v>
      </c>
      <c r="F16" s="56">
        <f>EdoResultados!F15</f>
        <v>2957452.4482758604</v>
      </c>
      <c r="G16" s="56">
        <f>EdoResultados!G15</f>
        <v>3260591.3242241368</v>
      </c>
      <c r="H16" s="56">
        <f>EdoResultados!H15</f>
        <v>3594801.9349571094</v>
      </c>
      <c r="I16" s="56">
        <f>EdoResultados!I15</f>
        <v>3963269.1332902126</v>
      </c>
      <c r="J16" s="56">
        <f>EdoResultados!J15</f>
        <v>4369504.2194524594</v>
      </c>
      <c r="K16" s="56">
        <f>EdoResultados!K15</f>
        <v>4817378.401946336</v>
      </c>
      <c r="L16" s="56">
        <f>EdoResultados!L15</f>
        <v>5311159.688145835</v>
      </c>
    </row>
    <row r="17" spans="2:12" ht="30" x14ac:dyDescent="0.25">
      <c r="B17" s="63" t="s">
        <v>92</v>
      </c>
      <c r="C17" s="56">
        <f>EdoResultados!C17</f>
        <v>6150000</v>
      </c>
      <c r="D17" s="56">
        <f>EdoResultados!D17</f>
        <v>6966000</v>
      </c>
      <c r="E17" s="56">
        <f>EdoResultados!E17</f>
        <v>7890696</v>
      </c>
      <c r="F17" s="56">
        <f>EdoResultados!F17</f>
        <v>8938601.4240000006</v>
      </c>
      <c r="G17" s="56">
        <f>EdoResultados!G17</f>
        <v>10126170.347616002</v>
      </c>
      <c r="H17" s="56">
        <f>EdoResultados!H17</f>
        <v>11472057.213620543</v>
      </c>
      <c r="I17" s="56">
        <f>EdoResultados!I17</f>
        <v>12997411.322823616</v>
      </c>
      <c r="J17" s="56">
        <f>EdoResultados!J17</f>
        <v>14726210.758066135</v>
      </c>
      <c r="K17" s="56">
        <f>EdoResultados!K17</f>
        <v>16685641.023069885</v>
      </c>
      <c r="L17" s="56">
        <f>EdoResultados!L17</f>
        <v>18906524.385457963</v>
      </c>
    </row>
    <row r="18" spans="2:12" x14ac:dyDescent="0.25">
      <c r="B18" s="63" t="s">
        <v>93</v>
      </c>
      <c r="C18" s="56">
        <f>EdoResultados!C18</f>
        <v>0</v>
      </c>
      <c r="D18" s="56">
        <f>EdoResultados!D18</f>
        <v>0</v>
      </c>
      <c r="E18" s="56">
        <f>EdoResultados!E18</f>
        <v>0</v>
      </c>
      <c r="F18" s="56">
        <f>EdoResultados!F18</f>
        <v>0</v>
      </c>
      <c r="G18" s="56">
        <f>EdoResultados!G18</f>
        <v>0</v>
      </c>
      <c r="H18" s="56">
        <f>EdoResultados!H18</f>
        <v>210252.49999999942</v>
      </c>
      <c r="I18" s="56">
        <f>EdoResultados!I18</f>
        <v>720765.12499999953</v>
      </c>
      <c r="J18" s="56">
        <f>EdoResultados!J18</f>
        <v>1256803.3812499999</v>
      </c>
      <c r="K18" s="56">
        <f>EdoResultados!K18</f>
        <v>1819643.5503125002</v>
      </c>
      <c r="L18" s="56">
        <f>EdoResultados!L18</f>
        <v>2410625.727828125</v>
      </c>
    </row>
    <row r="19" spans="2:12" ht="30" x14ac:dyDescent="0.25">
      <c r="B19" s="63" t="s">
        <v>94</v>
      </c>
      <c r="C19" s="56">
        <v>0</v>
      </c>
      <c r="D19" s="56">
        <v>0</v>
      </c>
      <c r="E19" s="56">
        <v>0</v>
      </c>
      <c r="F19" s="56">
        <v>0</v>
      </c>
      <c r="G19" s="56">
        <v>0</v>
      </c>
      <c r="H19" s="56">
        <v>900000</v>
      </c>
      <c r="I19" s="56">
        <v>0</v>
      </c>
      <c r="J19" s="56">
        <v>0</v>
      </c>
      <c r="K19" s="56">
        <v>0</v>
      </c>
      <c r="L19" s="56">
        <v>0</v>
      </c>
    </row>
    <row r="20" spans="2:12" ht="30" x14ac:dyDescent="0.25">
      <c r="B20" s="63" t="s">
        <v>95</v>
      </c>
      <c r="C20" s="56">
        <f>EdoResultados!C21</f>
        <v>2000000</v>
      </c>
      <c r="D20" s="56">
        <f>EdoResultados!D21</f>
        <v>2205000</v>
      </c>
      <c r="E20" s="56">
        <f>EdoResultados!E21</f>
        <v>2431012.5</v>
      </c>
      <c r="F20" s="56">
        <f>EdoResultados!F21</f>
        <v>2680191.28125</v>
      </c>
      <c r="G20" s="56">
        <f>EdoResultados!G21</f>
        <v>2954910.8875781251</v>
      </c>
      <c r="H20" s="56">
        <f>EdoResultados!H21</f>
        <v>3257789.2535548825</v>
      </c>
      <c r="I20" s="56">
        <f>EdoResultados!I21</f>
        <v>3591712.6520442576</v>
      </c>
      <c r="J20" s="56">
        <f>EdoResultados!J21</f>
        <v>3959863.1988787935</v>
      </c>
      <c r="K20" s="56">
        <f>EdoResultados!K21</f>
        <v>4365749.1767638698</v>
      </c>
      <c r="L20" s="56">
        <f>EdoResultados!L21</f>
        <v>4813238.4673821665</v>
      </c>
    </row>
    <row r="21" spans="2:12" x14ac:dyDescent="0.25">
      <c r="B21" s="63" t="s">
        <v>96</v>
      </c>
      <c r="C21" s="56">
        <f>EdoResultados!C22</f>
        <v>4000000</v>
      </c>
      <c r="D21" s="56">
        <f>EdoResultados!D22</f>
        <v>4410000</v>
      </c>
      <c r="E21" s="56">
        <f>EdoResultados!E22</f>
        <v>4862025</v>
      </c>
      <c r="F21" s="56">
        <f>EdoResultados!F22</f>
        <v>5360382.5625</v>
      </c>
      <c r="G21" s="56">
        <f>EdoResultados!G22</f>
        <v>5909821.7751562502</v>
      </c>
      <c r="H21" s="56">
        <f>EdoResultados!H22</f>
        <v>6515578.507109765</v>
      </c>
      <c r="I21" s="56">
        <f>EdoResultados!I22</f>
        <v>7183425.3040885152</v>
      </c>
      <c r="J21" s="56">
        <f>EdoResultados!J22</f>
        <v>7919726.397757587</v>
      </c>
      <c r="K21" s="56">
        <f>EdoResultados!K22</f>
        <v>8731498.3535277396</v>
      </c>
      <c r="L21" s="56">
        <f>EdoResultados!L22</f>
        <v>9626476.9347643331</v>
      </c>
    </row>
    <row r="22" spans="2:12" x14ac:dyDescent="0.25">
      <c r="B22" s="63" t="s">
        <v>97</v>
      </c>
      <c r="C22" s="56">
        <f>EdoResultados!C24</f>
        <v>0</v>
      </c>
      <c r="D22" s="56">
        <f>EdoResultados!D24</f>
        <v>0</v>
      </c>
      <c r="E22" s="56">
        <f>EdoResultados!E24</f>
        <v>0</v>
      </c>
      <c r="F22" s="56">
        <f>EdoResultados!F24</f>
        <v>0</v>
      </c>
      <c r="G22" s="56">
        <f>EdoResultados!G24</f>
        <v>0</v>
      </c>
      <c r="H22" s="56">
        <f>EdoResultados!H24</f>
        <v>0</v>
      </c>
      <c r="I22" s="56">
        <f>EdoResultados!I24</f>
        <v>0</v>
      </c>
      <c r="J22" s="56">
        <f>EdoResultados!J24</f>
        <v>0</v>
      </c>
      <c r="K22" s="56">
        <f>EdoResultados!K24</f>
        <v>0</v>
      </c>
      <c r="L22" s="56">
        <f>EdoResultados!L24</f>
        <v>0</v>
      </c>
    </row>
    <row r="23" spans="2:12" x14ac:dyDescent="0.25">
      <c r="B23" s="63" t="s">
        <v>98</v>
      </c>
      <c r="C23" s="56">
        <f>EdoResultados!C26</f>
        <v>506252.87356321834</v>
      </c>
      <c r="D23" s="56">
        <f>EdoResultados!D26</f>
        <v>500230.45977011538</v>
      </c>
      <c r="E23" s="56">
        <f>EdoResultados!E26</f>
        <v>484821.14856321929</v>
      </c>
      <c r="F23" s="56">
        <f>EdoResultados!F26</f>
        <v>457882.55355761549</v>
      </c>
      <c r="G23" s="56">
        <f>EdoResultados!G26</f>
        <v>416894.13478433725</v>
      </c>
      <c r="H23" s="56">
        <f>EdoResultados!H26</f>
        <v>244550.38575902802</v>
      </c>
      <c r="I23" s="56">
        <f>EdoResultados!I26</f>
        <v>16090.20248815883</v>
      </c>
      <c r="J23" s="56">
        <f>EdoResultados!J26</f>
        <v>0</v>
      </c>
      <c r="K23" s="56">
        <f>EdoResultados!K26</f>
        <v>0</v>
      </c>
      <c r="L23" s="56">
        <f>EdoResultados!L26</f>
        <v>0</v>
      </c>
    </row>
    <row r="24" spans="2:12" x14ac:dyDescent="0.25">
      <c r="B24" s="72" t="s">
        <v>99</v>
      </c>
      <c r="C24" s="56">
        <f>SUM(C16:C23)</f>
        <v>14863149.425287357</v>
      </c>
      <c r="D24" s="56">
        <f t="shared" ref="D24:L24" si="0">SUM(D16:D23)</f>
        <v>16514333.908045975</v>
      </c>
      <c r="E24" s="56">
        <f t="shared" si="0"/>
        <v>18351051.200287357</v>
      </c>
      <c r="F24" s="56">
        <f t="shared" si="0"/>
        <v>20394510.269583475</v>
      </c>
      <c r="G24" s="56">
        <f t="shared" si="0"/>
        <v>22668388.46935885</v>
      </c>
      <c r="H24" s="56">
        <f t="shared" si="0"/>
        <v>26195029.795001328</v>
      </c>
      <c r="I24" s="56">
        <f t="shared" si="0"/>
        <v>28472673.739734761</v>
      </c>
      <c r="J24" s="56">
        <f t="shared" si="0"/>
        <v>32232107.955404978</v>
      </c>
      <c r="K24" s="56">
        <f t="shared" si="0"/>
        <v>36419910.505620331</v>
      </c>
      <c r="L24" s="56">
        <f t="shared" si="0"/>
        <v>41068025.203578427</v>
      </c>
    </row>
    <row r="25" spans="2:12" ht="14.25" customHeight="1" x14ac:dyDescent="0.25">
      <c r="B25" s="134"/>
      <c r="C25" s="135"/>
      <c r="D25" s="135"/>
      <c r="E25" s="135"/>
      <c r="F25" s="135"/>
      <c r="G25" s="135"/>
      <c r="H25" s="135"/>
      <c r="I25" s="135"/>
      <c r="J25" s="135"/>
      <c r="K25" s="135"/>
      <c r="L25" s="136"/>
    </row>
    <row r="26" spans="2:12" ht="14.25" customHeight="1" x14ac:dyDescent="0.25">
      <c r="B26" s="63" t="s">
        <v>100</v>
      </c>
      <c r="C26" s="56">
        <f>C14-C24</f>
        <v>1136850.5747126434</v>
      </c>
      <c r="D26" s="56">
        <f t="shared" ref="D26:L26" si="1">D14-D24</f>
        <v>1125666.0919540245</v>
      </c>
      <c r="E26" s="56">
        <f t="shared" si="1"/>
        <v>1097048.799712643</v>
      </c>
      <c r="F26" s="56">
        <f t="shared" si="1"/>
        <v>1047019.9804165252</v>
      </c>
      <c r="G26" s="56">
        <f t="shared" si="1"/>
        <v>970898.63126615062</v>
      </c>
      <c r="H26" s="56">
        <f t="shared" si="1"/>
        <v>-132715.76656226814</v>
      </c>
      <c r="I26" s="56">
        <f t="shared" si="1"/>
        <v>261027.4766192995</v>
      </c>
      <c r="J26" s="56">
        <f t="shared" si="1"/>
        <v>-553202.36437463015</v>
      </c>
      <c r="K26" s="56">
        <f t="shared" si="1"/>
        <v>-1493917.091509372</v>
      </c>
      <c r="L26" s="56">
        <f t="shared" si="1"/>
        <v>-2562117.4645210952</v>
      </c>
    </row>
    <row r="27" spans="2:12" ht="14.25" customHeight="1" x14ac:dyDescent="0.25">
      <c r="B27" s="63" t="s">
        <v>101</v>
      </c>
      <c r="C27" s="56">
        <f>BalanceGral!C13</f>
        <v>200000</v>
      </c>
      <c r="D27" s="56">
        <f>C28</f>
        <v>1336850.5747126434</v>
      </c>
      <c r="E27" s="56">
        <f t="shared" ref="E27:L27" si="2">D28</f>
        <v>2462516.6666666679</v>
      </c>
      <c r="F27" s="56">
        <f t="shared" si="2"/>
        <v>3559565.4663793109</v>
      </c>
      <c r="G27" s="56">
        <f t="shared" si="2"/>
        <v>4606585.4467958361</v>
      </c>
      <c r="H27" s="56">
        <f t="shared" si="2"/>
        <v>5577484.0780619867</v>
      </c>
      <c r="I27" s="56">
        <f t="shared" si="2"/>
        <v>5444768.3114997186</v>
      </c>
      <c r="J27" s="56">
        <f t="shared" si="2"/>
        <v>5705795.7881190181</v>
      </c>
      <c r="K27" s="56">
        <f t="shared" si="2"/>
        <v>5152593.4237443879</v>
      </c>
      <c r="L27" s="56">
        <f t="shared" si="2"/>
        <v>3658676.3322350159</v>
      </c>
    </row>
    <row r="28" spans="2:12" ht="30" x14ac:dyDescent="0.25">
      <c r="B28" s="63" t="s">
        <v>102</v>
      </c>
      <c r="C28" s="56">
        <f>C26+C27</f>
        <v>1336850.5747126434</v>
      </c>
      <c r="D28" s="56">
        <f t="shared" ref="D28:L28" si="3">D26+D27</f>
        <v>2462516.6666666679</v>
      </c>
      <c r="E28" s="56">
        <f t="shared" si="3"/>
        <v>3559565.4663793109</v>
      </c>
      <c r="F28" s="56">
        <f t="shared" si="3"/>
        <v>4606585.4467958361</v>
      </c>
      <c r="G28" s="56">
        <f t="shared" si="3"/>
        <v>5577484.0780619867</v>
      </c>
      <c r="H28" s="56">
        <f t="shared" si="3"/>
        <v>5444768.3114997186</v>
      </c>
      <c r="I28" s="56">
        <f t="shared" si="3"/>
        <v>5705795.7881190181</v>
      </c>
      <c r="J28" s="56">
        <f t="shared" si="3"/>
        <v>5152593.4237443879</v>
      </c>
      <c r="K28" s="56">
        <f t="shared" si="3"/>
        <v>3658676.3322350159</v>
      </c>
      <c r="L28" s="56">
        <f t="shared" si="3"/>
        <v>1096558.8677139208</v>
      </c>
    </row>
    <row r="30" spans="2:12" x14ac:dyDescent="0.25">
      <c r="C30" s="5"/>
    </row>
  </sheetData>
  <mergeCells count="3">
    <mergeCell ref="B13:L13"/>
    <mergeCell ref="B15:L15"/>
    <mergeCell ref="B25:L25"/>
  </mergeCells>
  <pageMargins left="0.7" right="0.7" top="0.75" bottom="0.75" header="0.3" footer="0.3"/>
  <pageSetup paperSize="9" orientation="portrait" horizontalDpi="0" verticalDpi="0" r:id="rId1"/>
  <drawing r:id="rId2"/>
  <pictur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F6AD0-599C-46E7-BBEE-DFDB4963B0D8}">
  <dimension ref="B10:M35"/>
  <sheetViews>
    <sheetView tabSelected="1" workbookViewId="0">
      <selection activeCell="G33" sqref="G33"/>
    </sheetView>
  </sheetViews>
  <sheetFormatPr baseColWidth="10" defaultColWidth="9.140625" defaultRowHeight="15" x14ac:dyDescent="0.25"/>
  <cols>
    <col min="1" max="1" width="2.140625" customWidth="1"/>
    <col min="2" max="2" width="27" customWidth="1"/>
    <col min="3" max="13" width="14.28515625" customWidth="1"/>
    <col min="14" max="14" width="10.85546875" customWidth="1"/>
  </cols>
  <sheetData>
    <row r="10" spans="2:13" ht="15.75" x14ac:dyDescent="0.25">
      <c r="B10" s="16"/>
      <c r="C10" s="16"/>
      <c r="D10" s="16"/>
      <c r="E10" s="16"/>
      <c r="F10" s="16"/>
      <c r="G10" s="16"/>
      <c r="H10" s="16"/>
      <c r="I10" s="16"/>
      <c r="J10" s="16"/>
      <c r="K10" s="16"/>
      <c r="L10" s="16"/>
      <c r="M10" s="16"/>
    </row>
    <row r="11" spans="2:13" ht="18.75" x14ac:dyDescent="0.25">
      <c r="B11" s="18" t="s">
        <v>88</v>
      </c>
      <c r="C11" s="19">
        <v>0</v>
      </c>
      <c r="D11" s="19">
        <v>1</v>
      </c>
      <c r="E11" s="19">
        <v>2</v>
      </c>
      <c r="F11" s="19">
        <v>3</v>
      </c>
      <c r="G11" s="19">
        <v>4</v>
      </c>
      <c r="H11" s="19">
        <v>5</v>
      </c>
      <c r="I11" s="19">
        <v>6</v>
      </c>
      <c r="J11" s="19">
        <v>7</v>
      </c>
      <c r="K11" s="19">
        <v>8</v>
      </c>
      <c r="L11" s="18">
        <v>9</v>
      </c>
      <c r="M11" s="18">
        <v>10</v>
      </c>
    </row>
    <row r="12" spans="2:13" ht="18.75" x14ac:dyDescent="0.25">
      <c r="B12" s="143" t="s">
        <v>103</v>
      </c>
      <c r="C12" s="144"/>
      <c r="D12" s="144"/>
      <c r="E12" s="144"/>
      <c r="F12" s="144"/>
      <c r="G12" s="144"/>
      <c r="H12" s="144"/>
      <c r="I12" s="144"/>
      <c r="J12" s="144"/>
      <c r="K12" s="144"/>
      <c r="L12" s="144"/>
      <c r="M12" s="145"/>
    </row>
    <row r="13" spans="2:13" x14ac:dyDescent="0.25">
      <c r="B13" s="21" t="s">
        <v>104</v>
      </c>
      <c r="C13" s="9">
        <f>Datos!D23</f>
        <v>200000</v>
      </c>
      <c r="D13" s="9">
        <f>FlujoEfec!C28</f>
        <v>1336850.5747126434</v>
      </c>
      <c r="E13" s="9">
        <f>FlujoEfec!D28</f>
        <v>2462516.6666666679</v>
      </c>
      <c r="F13" s="9">
        <f>FlujoEfec!E28</f>
        <v>3559565.4663793109</v>
      </c>
      <c r="G13" s="9">
        <f>FlujoEfec!F28</f>
        <v>4606585.4467958361</v>
      </c>
      <c r="H13" s="9">
        <f>FlujoEfec!G28</f>
        <v>5577484.0780619867</v>
      </c>
      <c r="I13" s="9">
        <f>FlujoEfec!H28</f>
        <v>5444768.3114997186</v>
      </c>
      <c r="J13" s="9">
        <f>FlujoEfec!I28</f>
        <v>5705795.7881190181</v>
      </c>
      <c r="K13" s="9">
        <f>FlujoEfec!J28</f>
        <v>5152593.4237443879</v>
      </c>
      <c r="L13" s="9">
        <f>FlujoEfec!K28</f>
        <v>3658676.3322350159</v>
      </c>
      <c r="M13" s="9">
        <f>FlujoEfec!L28</f>
        <v>1096558.8677139208</v>
      </c>
    </row>
    <row r="14" spans="2:13" x14ac:dyDescent="0.25">
      <c r="B14" s="21" t="s">
        <v>105</v>
      </c>
      <c r="C14" s="9">
        <f t="shared" ref="C14:M14" si="0">C13</f>
        <v>200000</v>
      </c>
      <c r="D14" s="9">
        <f t="shared" si="0"/>
        <v>1336850.5747126434</v>
      </c>
      <c r="E14" s="9">
        <f t="shared" si="0"/>
        <v>2462516.6666666679</v>
      </c>
      <c r="F14" s="9">
        <f t="shared" si="0"/>
        <v>3559565.4663793109</v>
      </c>
      <c r="G14" s="9">
        <f t="shared" si="0"/>
        <v>4606585.4467958361</v>
      </c>
      <c r="H14" s="9">
        <f t="shared" si="0"/>
        <v>5577484.0780619867</v>
      </c>
      <c r="I14" s="9">
        <f t="shared" si="0"/>
        <v>5444768.3114997186</v>
      </c>
      <c r="J14" s="9">
        <f t="shared" si="0"/>
        <v>5705795.7881190181</v>
      </c>
      <c r="K14" s="9">
        <f t="shared" si="0"/>
        <v>5152593.4237443879</v>
      </c>
      <c r="L14" s="9">
        <f t="shared" si="0"/>
        <v>3658676.3322350159</v>
      </c>
      <c r="M14" s="9">
        <f t="shared" si="0"/>
        <v>1096558.8677139208</v>
      </c>
    </row>
    <row r="15" spans="2:13" x14ac:dyDescent="0.25">
      <c r="B15" s="140"/>
      <c r="C15" s="141"/>
      <c r="D15" s="141"/>
      <c r="E15" s="141"/>
      <c r="F15" s="141"/>
      <c r="G15" s="141"/>
      <c r="H15" s="141"/>
      <c r="I15" s="141"/>
      <c r="J15" s="141"/>
      <c r="K15" s="141"/>
      <c r="L15" s="141"/>
      <c r="M15" s="142"/>
    </row>
    <row r="16" spans="2:13" ht="18.75" x14ac:dyDescent="0.25">
      <c r="B16" s="146" t="s">
        <v>106</v>
      </c>
      <c r="C16" s="147"/>
      <c r="D16" s="147"/>
      <c r="E16" s="147"/>
      <c r="F16" s="147"/>
      <c r="G16" s="147"/>
      <c r="H16" s="147"/>
      <c r="I16" s="147"/>
      <c r="J16" s="147"/>
      <c r="K16" s="147"/>
      <c r="L16" s="147"/>
      <c r="M16" s="148"/>
    </row>
    <row r="17" spans="2:13" x14ac:dyDescent="0.25">
      <c r="B17" s="21" t="s">
        <v>53</v>
      </c>
      <c r="C17" s="9">
        <f>Datos!D24</f>
        <v>100000</v>
      </c>
      <c r="D17" s="9">
        <f t="shared" ref="D17:M17" si="1">C17</f>
        <v>100000</v>
      </c>
      <c r="E17" s="9">
        <f t="shared" si="1"/>
        <v>100000</v>
      </c>
      <c r="F17" s="9">
        <f t="shared" si="1"/>
        <v>100000</v>
      </c>
      <c r="G17" s="9">
        <f t="shared" si="1"/>
        <v>100000</v>
      </c>
      <c r="H17" s="9">
        <f t="shared" si="1"/>
        <v>100000</v>
      </c>
      <c r="I17" s="9">
        <f t="shared" si="1"/>
        <v>100000</v>
      </c>
      <c r="J17" s="9">
        <f t="shared" si="1"/>
        <v>100000</v>
      </c>
      <c r="K17" s="9">
        <f t="shared" si="1"/>
        <v>100000</v>
      </c>
      <c r="L17" s="9">
        <f t="shared" si="1"/>
        <v>100000</v>
      </c>
      <c r="M17" s="9">
        <f t="shared" si="1"/>
        <v>100000</v>
      </c>
    </row>
    <row r="18" spans="2:13" x14ac:dyDescent="0.25">
      <c r="B18" s="21" t="s">
        <v>37</v>
      </c>
      <c r="C18" s="9">
        <f>Datos!H14</f>
        <v>500000</v>
      </c>
      <c r="D18" s="9">
        <f t="shared" ref="D18:M18" si="2">C18</f>
        <v>500000</v>
      </c>
      <c r="E18" s="9">
        <f t="shared" si="2"/>
        <v>500000</v>
      </c>
      <c r="F18" s="9">
        <f t="shared" si="2"/>
        <v>500000</v>
      </c>
      <c r="G18" s="9">
        <f t="shared" si="2"/>
        <v>500000</v>
      </c>
      <c r="H18" s="9">
        <f t="shared" si="2"/>
        <v>500000</v>
      </c>
      <c r="I18" s="9">
        <f t="shared" si="2"/>
        <v>500000</v>
      </c>
      <c r="J18" s="9">
        <f t="shared" si="2"/>
        <v>500000</v>
      </c>
      <c r="K18" s="9">
        <f t="shared" si="2"/>
        <v>500000</v>
      </c>
      <c r="L18" s="9">
        <f t="shared" si="2"/>
        <v>500000</v>
      </c>
      <c r="M18" s="9">
        <f t="shared" si="2"/>
        <v>500000</v>
      </c>
    </row>
    <row r="19" spans="2:13" x14ac:dyDescent="0.25">
      <c r="B19" s="21" t="s">
        <v>107</v>
      </c>
      <c r="C19" s="9">
        <v>0</v>
      </c>
      <c r="D19" s="9">
        <f>C19+Datos!$K$14</f>
        <v>16666.666666666668</v>
      </c>
      <c r="E19" s="9">
        <f>D19+Datos!$K$14</f>
        <v>33333.333333333336</v>
      </c>
      <c r="F19" s="9">
        <f>E19+Datos!$K$14</f>
        <v>50000</v>
      </c>
      <c r="G19" s="9">
        <f>F19+Datos!$K$14</f>
        <v>66666.666666666672</v>
      </c>
      <c r="H19" s="9">
        <f>G19+Datos!$K$14</f>
        <v>83333.333333333343</v>
      </c>
      <c r="I19" s="9">
        <f>H19+Datos!$K$14</f>
        <v>100000.00000000001</v>
      </c>
      <c r="J19" s="9">
        <f>I19+Datos!$K$14</f>
        <v>116666.66666666669</v>
      </c>
      <c r="K19" s="9">
        <f>J19+Datos!$K$14</f>
        <v>133333.33333333334</v>
      </c>
      <c r="L19" s="9">
        <f>K19+Datos!$K$14</f>
        <v>150000</v>
      </c>
      <c r="M19" s="9">
        <f>L19+Datos!$K$14</f>
        <v>166666.66666666666</v>
      </c>
    </row>
    <row r="20" spans="2:13" x14ac:dyDescent="0.25">
      <c r="B20" s="21" t="s">
        <v>108</v>
      </c>
      <c r="C20" s="9">
        <f>Datos!H15</f>
        <v>1000000</v>
      </c>
      <c r="D20" s="9">
        <f t="shared" ref="D20:M20" si="3">C20</f>
        <v>1000000</v>
      </c>
      <c r="E20" s="9">
        <f t="shared" si="3"/>
        <v>1000000</v>
      </c>
      <c r="F20" s="9">
        <f t="shared" si="3"/>
        <v>1000000</v>
      </c>
      <c r="G20" s="9">
        <f t="shared" si="3"/>
        <v>1000000</v>
      </c>
      <c r="H20" s="9">
        <f t="shared" si="3"/>
        <v>1000000</v>
      </c>
      <c r="I20" s="9">
        <f t="shared" si="3"/>
        <v>1000000</v>
      </c>
      <c r="J20" s="9">
        <f t="shared" si="3"/>
        <v>1000000</v>
      </c>
      <c r="K20" s="9">
        <f t="shared" si="3"/>
        <v>1000000</v>
      </c>
      <c r="L20" s="9">
        <f t="shared" si="3"/>
        <v>1000000</v>
      </c>
      <c r="M20" s="9">
        <f t="shared" si="3"/>
        <v>1000000</v>
      </c>
    </row>
    <row r="21" spans="2:13" x14ac:dyDescent="0.25">
      <c r="B21" s="21" t="s">
        <v>109</v>
      </c>
      <c r="C21" s="9">
        <f>0</f>
        <v>0</v>
      </c>
      <c r="D21" s="9">
        <f>C21+Datos!$K$15</f>
        <v>180000</v>
      </c>
      <c r="E21" s="9">
        <f>D21+Datos!$K$15</f>
        <v>360000</v>
      </c>
      <c r="F21" s="9">
        <f>E21+Datos!$K$15</f>
        <v>540000</v>
      </c>
      <c r="G21" s="9">
        <f>F21+Datos!$K$15</f>
        <v>720000</v>
      </c>
      <c r="H21" s="9">
        <f>G21+Datos!$K$15</f>
        <v>900000</v>
      </c>
      <c r="I21" s="9">
        <f>D21</f>
        <v>180000</v>
      </c>
      <c r="J21" s="9">
        <f>E21</f>
        <v>360000</v>
      </c>
      <c r="K21" s="9">
        <f>F21</f>
        <v>540000</v>
      </c>
      <c r="L21" s="9">
        <f>G21</f>
        <v>720000</v>
      </c>
      <c r="M21" s="9">
        <f>H21</f>
        <v>900000</v>
      </c>
    </row>
    <row r="22" spans="2:13" x14ac:dyDescent="0.25">
      <c r="B22" s="21" t="s">
        <v>110</v>
      </c>
      <c r="C22" s="9">
        <f t="shared" ref="C22:M22" si="4">C17+C18+C20-C19-C21</f>
        <v>1600000</v>
      </c>
      <c r="D22" s="9">
        <f t="shared" si="4"/>
        <v>1403333.3333333333</v>
      </c>
      <c r="E22" s="9">
        <f t="shared" si="4"/>
        <v>1206666.6666666667</v>
      </c>
      <c r="F22" s="9">
        <f t="shared" si="4"/>
        <v>1010000</v>
      </c>
      <c r="G22" s="9">
        <f t="shared" si="4"/>
        <v>813333.33333333326</v>
      </c>
      <c r="H22" s="9">
        <f t="shared" si="4"/>
        <v>616666.66666666674</v>
      </c>
      <c r="I22" s="9">
        <f t="shared" si="4"/>
        <v>1320000</v>
      </c>
      <c r="J22" s="9">
        <f t="shared" si="4"/>
        <v>1123333.3333333333</v>
      </c>
      <c r="K22" s="9">
        <f t="shared" si="4"/>
        <v>926666.66666666674</v>
      </c>
      <c r="L22" s="9">
        <f t="shared" si="4"/>
        <v>730000</v>
      </c>
      <c r="M22" s="9">
        <f t="shared" si="4"/>
        <v>533333.33333333326</v>
      </c>
    </row>
    <row r="23" spans="2:13" x14ac:dyDescent="0.25">
      <c r="B23" s="149"/>
      <c r="C23" s="149"/>
      <c r="D23" s="149"/>
      <c r="E23" s="149"/>
      <c r="F23" s="149"/>
      <c r="G23" s="149"/>
      <c r="H23" s="149"/>
      <c r="I23" s="149"/>
      <c r="J23" s="149"/>
      <c r="K23" s="149"/>
      <c r="L23" s="149"/>
      <c r="M23" s="149"/>
    </row>
    <row r="24" spans="2:13" ht="18.75" x14ac:dyDescent="0.25">
      <c r="B24" s="23" t="s">
        <v>111</v>
      </c>
      <c r="C24" s="14">
        <f t="shared" ref="C24:M24" si="5">C14+C22</f>
        <v>1800000</v>
      </c>
      <c r="D24" s="14">
        <f t="shared" si="5"/>
        <v>2740183.9080459764</v>
      </c>
      <c r="E24" s="14">
        <f t="shared" si="5"/>
        <v>3669183.3333333349</v>
      </c>
      <c r="F24" s="14">
        <f t="shared" si="5"/>
        <v>4569565.4663793109</v>
      </c>
      <c r="G24" s="14">
        <f t="shared" si="5"/>
        <v>5419918.7801291691</v>
      </c>
      <c r="H24" s="14">
        <f t="shared" si="5"/>
        <v>6194150.7447286537</v>
      </c>
      <c r="I24" s="14">
        <f t="shared" si="5"/>
        <v>6764768.3114997186</v>
      </c>
      <c r="J24" s="14">
        <f t="shared" si="5"/>
        <v>6829129.1214523511</v>
      </c>
      <c r="K24" s="14">
        <f t="shared" si="5"/>
        <v>6079260.0904110549</v>
      </c>
      <c r="L24" s="14">
        <f t="shared" si="5"/>
        <v>4388676.3322350159</v>
      </c>
      <c r="M24" s="14">
        <f t="shared" si="5"/>
        <v>1629892.201047254</v>
      </c>
    </row>
    <row r="25" spans="2:13" x14ac:dyDescent="0.25">
      <c r="B25" s="140"/>
      <c r="C25" s="141"/>
      <c r="D25" s="141"/>
      <c r="E25" s="141"/>
      <c r="F25" s="141"/>
      <c r="G25" s="141"/>
      <c r="H25" s="141"/>
      <c r="I25" s="141"/>
      <c r="J25" s="141"/>
      <c r="K25" s="141"/>
      <c r="L25" s="141"/>
      <c r="M25" s="142"/>
    </row>
    <row r="26" spans="2:13" ht="18.75" x14ac:dyDescent="0.25">
      <c r="B26" s="23" t="s">
        <v>112</v>
      </c>
      <c r="C26" s="9">
        <v>0</v>
      </c>
      <c r="D26" s="9">
        <v>0</v>
      </c>
      <c r="E26" s="9">
        <v>0</v>
      </c>
      <c r="F26" s="9">
        <v>0</v>
      </c>
      <c r="G26" s="9">
        <v>0</v>
      </c>
      <c r="H26" s="9">
        <v>0</v>
      </c>
      <c r="I26" s="9">
        <v>0</v>
      </c>
      <c r="J26" s="9">
        <v>0</v>
      </c>
      <c r="K26" s="9">
        <v>0</v>
      </c>
      <c r="L26" s="9">
        <v>0</v>
      </c>
      <c r="M26" s="9">
        <v>0</v>
      </c>
    </row>
    <row r="27" spans="2:13" x14ac:dyDescent="0.25">
      <c r="B27" s="149"/>
      <c r="C27" s="149"/>
      <c r="D27" s="149"/>
      <c r="E27" s="149"/>
      <c r="F27" s="149"/>
      <c r="G27" s="149"/>
      <c r="H27" s="149"/>
      <c r="I27" s="149"/>
      <c r="J27" s="149"/>
      <c r="K27" s="149"/>
      <c r="L27" s="149"/>
      <c r="M27" s="149"/>
    </row>
    <row r="28" spans="2:13" ht="18.75" x14ac:dyDescent="0.25">
      <c r="B28" s="146" t="s">
        <v>113</v>
      </c>
      <c r="C28" s="147"/>
      <c r="D28" s="147"/>
      <c r="E28" s="147"/>
      <c r="F28" s="147"/>
      <c r="G28" s="147"/>
      <c r="H28" s="147"/>
      <c r="I28" s="147"/>
      <c r="J28" s="147"/>
      <c r="K28" s="147"/>
      <c r="L28" s="147"/>
      <c r="M28" s="148"/>
    </row>
    <row r="29" spans="2:13" x14ac:dyDescent="0.25">
      <c r="B29" s="20" t="s">
        <v>114</v>
      </c>
      <c r="C29" s="9">
        <f>Datos!D24+Datos!H14+Datos!H15+Datos!D23</f>
        <v>1800000</v>
      </c>
      <c r="D29" s="9">
        <f>C29+EdoResultados!C27</f>
        <v>2740183.9080459769</v>
      </c>
      <c r="E29" s="9">
        <f>D29+EdoResultados!D27</f>
        <v>3669183.333333334</v>
      </c>
      <c r="F29" s="9">
        <f>E29+EdoResultados!E27</f>
        <v>4569565.4663793128</v>
      </c>
      <c r="G29" s="9">
        <f>F29+EdoResultados!F27</f>
        <v>5419918.78012917</v>
      </c>
      <c r="H29" s="9">
        <f>G29+EdoResultados!G27</f>
        <v>6194150.7447286537</v>
      </c>
      <c r="I29" s="9">
        <f>H29+EdoResultados!H27</f>
        <v>6764768.3114997195</v>
      </c>
      <c r="J29" s="9">
        <f>I29+EdoResultados!I27</f>
        <v>6829129.1214523548</v>
      </c>
      <c r="K29" s="9">
        <f>J29+EdoResultados!J27</f>
        <v>6079260.0904110633</v>
      </c>
      <c r="L29" s="9">
        <f>K29+EdoResultados!K27</f>
        <v>4388676.3322350252</v>
      </c>
      <c r="M29" s="9">
        <f>L29+EdoResultados!L27</f>
        <v>1629892.2010472696</v>
      </c>
    </row>
    <row r="30" spans="2:13" x14ac:dyDescent="0.25">
      <c r="B30" s="137"/>
      <c r="C30" s="138"/>
      <c r="D30" s="138"/>
      <c r="E30" s="138"/>
      <c r="F30" s="138"/>
      <c r="G30" s="138"/>
      <c r="H30" s="138"/>
      <c r="I30" s="138"/>
      <c r="J30" s="138"/>
      <c r="K30" s="138"/>
      <c r="L30" s="138"/>
      <c r="M30" s="139"/>
    </row>
    <row r="31" spans="2:13" ht="15.75" x14ac:dyDescent="0.25">
      <c r="B31" s="22" t="s">
        <v>115</v>
      </c>
      <c r="C31" s="9">
        <f t="shared" ref="C31:M31" si="6">C26+C29</f>
        <v>1800000</v>
      </c>
      <c r="D31" s="9">
        <f t="shared" si="6"/>
        <v>2740183.9080459769</v>
      </c>
      <c r="E31" s="9">
        <f t="shared" si="6"/>
        <v>3669183.333333334</v>
      </c>
      <c r="F31" s="9">
        <f t="shared" si="6"/>
        <v>4569565.4663793128</v>
      </c>
      <c r="G31" s="9">
        <f t="shared" si="6"/>
        <v>5419918.78012917</v>
      </c>
      <c r="H31" s="9">
        <f t="shared" si="6"/>
        <v>6194150.7447286537</v>
      </c>
      <c r="I31" s="9">
        <f t="shared" si="6"/>
        <v>6764768.3114997195</v>
      </c>
      <c r="J31" s="9">
        <f t="shared" si="6"/>
        <v>6829129.1214523548</v>
      </c>
      <c r="K31" s="9">
        <f t="shared" si="6"/>
        <v>6079260.0904110633</v>
      </c>
      <c r="L31" s="9">
        <f t="shared" si="6"/>
        <v>4388676.3322350252</v>
      </c>
      <c r="M31" s="9">
        <f t="shared" si="6"/>
        <v>1629892.2010472696</v>
      </c>
    </row>
    <row r="33" spans="3:13" x14ac:dyDescent="0.25">
      <c r="C33" s="5">
        <f>C24-C31</f>
        <v>0</v>
      </c>
      <c r="D33" s="5">
        <f t="shared" ref="D33:M33" si="7">D24-D31</f>
        <v>0</v>
      </c>
      <c r="E33" s="5">
        <f t="shared" si="7"/>
        <v>0</v>
      </c>
      <c r="F33" s="5">
        <f t="shared" si="7"/>
        <v>0</v>
      </c>
      <c r="G33" s="5">
        <f t="shared" si="7"/>
        <v>0</v>
      </c>
      <c r="H33" s="5">
        <f t="shared" si="7"/>
        <v>0</v>
      </c>
      <c r="I33" s="5">
        <f t="shared" si="7"/>
        <v>0</v>
      </c>
      <c r="J33" s="5">
        <f t="shared" si="7"/>
        <v>0</v>
      </c>
      <c r="K33" s="5">
        <f t="shared" si="7"/>
        <v>-8.3819031715393066E-9</v>
      </c>
      <c r="L33" s="5">
        <f t="shared" si="7"/>
        <v>-9.3132257461547852E-9</v>
      </c>
      <c r="M33" s="5">
        <f t="shared" si="7"/>
        <v>-1.5599653124809265E-8</v>
      </c>
    </row>
    <row r="34" spans="3:13" x14ac:dyDescent="0.25">
      <c r="C34" s="15"/>
    </row>
    <row r="35" spans="3:13" x14ac:dyDescent="0.25">
      <c r="I35" s="5"/>
    </row>
  </sheetData>
  <mergeCells count="8">
    <mergeCell ref="B30:M30"/>
    <mergeCell ref="B15:M15"/>
    <mergeCell ref="B12:M12"/>
    <mergeCell ref="B16:M16"/>
    <mergeCell ref="B28:M28"/>
    <mergeCell ref="B25:M25"/>
    <mergeCell ref="B23:M23"/>
    <mergeCell ref="B27:M27"/>
  </mergeCells>
  <pageMargins left="0.7" right="0.7" top="0.75" bottom="0.75" header="0.3" footer="0.3"/>
  <pageSetup paperSize="9" orientation="portrait" horizontalDpi="0" verticalDpi="0" r:id="rId1"/>
  <drawing r:id="rId2"/>
  <pictur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D39D9-C176-4160-BD04-D0AD286BC392}">
  <dimension ref="E12:J22"/>
  <sheetViews>
    <sheetView workbookViewId="0"/>
  </sheetViews>
  <sheetFormatPr baseColWidth="10" defaultColWidth="11.42578125" defaultRowHeight="15" x14ac:dyDescent="0.25"/>
  <cols>
    <col min="5" max="5" width="10.28515625" customWidth="1"/>
    <col min="6" max="6" width="15.140625" bestFit="1" customWidth="1"/>
    <col min="7" max="7" width="15.5703125" customWidth="1"/>
    <col min="8" max="8" width="15.42578125" customWidth="1"/>
    <col min="9" max="10" width="16" customWidth="1"/>
  </cols>
  <sheetData>
    <row r="12" spans="5:10" ht="45" x14ac:dyDescent="0.25">
      <c r="E12" s="26" t="s">
        <v>88</v>
      </c>
      <c r="F12" s="26" t="s">
        <v>116</v>
      </c>
      <c r="G12" s="26" t="s">
        <v>117</v>
      </c>
      <c r="H12" s="25" t="s">
        <v>36</v>
      </c>
      <c r="I12" s="26" t="s">
        <v>118</v>
      </c>
      <c r="J12" s="26" t="s">
        <v>119</v>
      </c>
    </row>
    <row r="13" spans="5:10" x14ac:dyDescent="0.25">
      <c r="E13" s="25">
        <v>1</v>
      </c>
      <c r="F13" s="13">
        <f>Datos!M32+Datos!O32+Datos!Q32</f>
        <v>6150000</v>
      </c>
      <c r="G13" s="13">
        <f>Datos!E32+Datos!G32+Datos!I32+Datos!K32</f>
        <v>300</v>
      </c>
      <c r="H13" s="13">
        <f>Datos!D32</f>
        <v>800</v>
      </c>
      <c r="I13" s="27">
        <f t="shared" ref="I13:I22" si="0">F13/(H13-G13)</f>
        <v>12300</v>
      </c>
      <c r="J13" s="13">
        <f t="shared" ref="J13:J22" si="1">F13/(1-(G13/H13))</f>
        <v>9840000</v>
      </c>
    </row>
    <row r="14" spans="5:10" x14ac:dyDescent="0.25">
      <c r="E14" s="25">
        <v>2</v>
      </c>
      <c r="F14" s="13">
        <f>Datos!M33+Datos!O33+Datos!Q33</f>
        <v>6777000</v>
      </c>
      <c r="G14" s="13">
        <f>Datos!E33+Datos!G33+Datos!I33+Datos!K33</f>
        <v>324</v>
      </c>
      <c r="H14" s="13">
        <f>Datos!D33</f>
        <v>840</v>
      </c>
      <c r="I14" s="73">
        <f t="shared" si="0"/>
        <v>13133.720930232557</v>
      </c>
      <c r="J14" s="13">
        <f t="shared" si="1"/>
        <v>11032325.581395349</v>
      </c>
    </row>
    <row r="15" spans="5:10" x14ac:dyDescent="0.25">
      <c r="E15" s="25">
        <v>3</v>
      </c>
      <c r="F15" s="13">
        <f>Datos!M34+Datos!O34+Datos!Q34</f>
        <v>7467997.5</v>
      </c>
      <c r="G15" s="13">
        <f>Datos!E34+Datos!G34+Datos!I34+Datos!K34</f>
        <v>349.92</v>
      </c>
      <c r="H15" s="13">
        <f>Datos!D34</f>
        <v>882</v>
      </c>
      <c r="I15" s="73">
        <f t="shared" si="0"/>
        <v>14035.478687415429</v>
      </c>
      <c r="J15" s="13">
        <f t="shared" si="1"/>
        <v>12379292.202300407</v>
      </c>
    </row>
    <row r="16" spans="5:10" x14ac:dyDescent="0.25">
      <c r="E16" s="25">
        <v>4</v>
      </c>
      <c r="F16" s="13">
        <f>Datos!M35+Datos!O35+Datos!Q35</f>
        <v>8229530.6437499998</v>
      </c>
      <c r="G16" s="13">
        <f>Datos!E35+Datos!G35+Datos!I35+Datos!K35</f>
        <v>377.91359999999997</v>
      </c>
      <c r="H16" s="13">
        <f>Datos!D35</f>
        <v>926.1</v>
      </c>
      <c r="I16" s="73">
        <f t="shared" si="0"/>
        <v>15012.28531709287</v>
      </c>
      <c r="J16" s="13">
        <f t="shared" si="1"/>
        <v>13902877.432159707</v>
      </c>
    </row>
    <row r="17" spans="5:10" x14ac:dyDescent="0.25">
      <c r="E17" s="25">
        <v>5</v>
      </c>
      <c r="F17" s="13">
        <f>Datos!M36+Datos!O36+Datos!Q36</f>
        <v>9068806.0067343749</v>
      </c>
      <c r="G17" s="13">
        <f>Datos!E36+Datos!G36+Datos!I36+Datos!K36</f>
        <v>408.14668800000004</v>
      </c>
      <c r="H17" s="13">
        <f>Datos!D36</f>
        <v>972.40499999999997</v>
      </c>
      <c r="I17" s="73">
        <f t="shared" si="0"/>
        <v>16072.082260676341</v>
      </c>
      <c r="J17" s="13">
        <f t="shared" si="1"/>
        <v>15628573.150692975</v>
      </c>
    </row>
    <row r="18" spans="5:10" x14ac:dyDescent="0.25">
      <c r="E18" s="25">
        <v>6</v>
      </c>
      <c r="F18" s="13">
        <f>Datos!M37+Datos!O37+Datos!Q37</f>
        <v>9993766.9721846469</v>
      </c>
      <c r="G18" s="13">
        <f>Datos!E37+Datos!G37+Datos!I37+Datos!K37</f>
        <v>440.79842303999999</v>
      </c>
      <c r="H18" s="13">
        <f>Datos!D37</f>
        <v>1021.0252499999999</v>
      </c>
      <c r="I18" s="73">
        <f t="shared" si="0"/>
        <v>17223.896772483433</v>
      </c>
      <c r="J18" s="13">
        <f t="shared" si="1"/>
        <v>17586033.50809909</v>
      </c>
    </row>
    <row r="19" spans="5:10" x14ac:dyDescent="0.25">
      <c r="E19" s="25">
        <v>7</v>
      </c>
      <c r="F19" s="13">
        <f>Datos!M38+Datos!O38+Datos!Q38</f>
        <v>11013169.104574373</v>
      </c>
      <c r="G19" s="13">
        <f>Datos!E38+Datos!G38+Datos!I38+Datos!K38</f>
        <v>476.06229688319996</v>
      </c>
      <c r="H19" s="13">
        <f>Datos!D38</f>
        <v>1072.0765124999998</v>
      </c>
      <c r="I19" s="73">
        <f t="shared" si="0"/>
        <v>18478.030919408735</v>
      </c>
      <c r="J19" s="13">
        <f t="shared" si="1"/>
        <v>19809862.945946887</v>
      </c>
    </row>
    <row r="20" spans="5:10" x14ac:dyDescent="0.25">
      <c r="E20" s="25">
        <v>8</v>
      </c>
      <c r="F20" s="13">
        <f>Datos!M39+Datos!O39+Datos!Q39</f>
        <v>12136663.236953309</v>
      </c>
      <c r="G20" s="13">
        <f>Datos!E39+Datos!G39+Datos!I39+Datos!K39</f>
        <v>514.14728063385598</v>
      </c>
      <c r="H20" s="13">
        <f>Datos!D39</f>
        <v>1125.6803381249997</v>
      </c>
      <c r="I20" s="73">
        <f t="shared" si="0"/>
        <v>19846.291362800242</v>
      </c>
      <c r="J20" s="13">
        <f t="shared" si="1"/>
        <v>22340579.971804239</v>
      </c>
    </row>
    <row r="21" spans="5:10" x14ac:dyDescent="0.25">
      <c r="E21" s="25">
        <v>9</v>
      </c>
      <c r="F21" s="13">
        <f>Datos!M40+Datos!O40+Datos!Q40</f>
        <v>13374887.061833892</v>
      </c>
      <c r="G21" s="13">
        <f>Datos!E40+Datos!G40+Datos!I40+Datos!K40</f>
        <v>555.27906308456443</v>
      </c>
      <c r="H21" s="13">
        <f>Datos!D40</f>
        <v>1181.9643550312496</v>
      </c>
      <c r="I21" s="73">
        <f t="shared" si="0"/>
        <v>21342.270568194141</v>
      </c>
      <c r="J21" s="13">
        <f t="shared" si="1"/>
        <v>25225803.067038007</v>
      </c>
    </row>
    <row r="22" spans="5:10" x14ac:dyDescent="0.25">
      <c r="E22" s="25">
        <v>10</v>
      </c>
      <c r="F22" s="13">
        <f>Datos!M41+Datos!O41+Datos!Q41</f>
        <v>14739566.096212164</v>
      </c>
      <c r="G22" s="13">
        <f>Datos!E41+Datos!G41+Datos!I41+Datos!K41</f>
        <v>599.70138813132962</v>
      </c>
      <c r="H22" s="13">
        <f>Datos!D41</f>
        <v>1241.0625727828121</v>
      </c>
      <c r="I22" s="73">
        <f t="shared" si="0"/>
        <v>22981.693387356587</v>
      </c>
      <c r="J22" s="13">
        <f t="shared" si="1"/>
        <v>28521719.522218507</v>
      </c>
    </row>
  </sheetData>
  <pageMargins left="0.7" right="0.7" top="0.75" bottom="0.75" header="0.3" footer="0.3"/>
  <drawing r:id="rId1"/>
  <pictur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FA77E-76EE-43B8-8EBA-BB532222FB10}">
  <dimension ref="B13:L76"/>
  <sheetViews>
    <sheetView topLeftCell="A55" workbookViewId="0">
      <selection activeCell="C17" sqref="C17:L17"/>
    </sheetView>
  </sheetViews>
  <sheetFormatPr baseColWidth="10" defaultColWidth="11.42578125" defaultRowHeight="15" x14ac:dyDescent="0.25"/>
  <cols>
    <col min="2" max="2" width="15.7109375" customWidth="1"/>
    <col min="3" max="12" width="18.28515625" customWidth="1"/>
  </cols>
  <sheetData>
    <row r="13" spans="2:12" ht="18.75" x14ac:dyDescent="0.3">
      <c r="B13" s="151" t="s">
        <v>120</v>
      </c>
      <c r="C13" s="151"/>
      <c r="D13" s="151"/>
      <c r="E13" s="151"/>
      <c r="F13" s="151"/>
      <c r="G13" s="151"/>
      <c r="H13" s="151"/>
      <c r="I13" s="151"/>
      <c r="J13" s="151"/>
      <c r="K13" s="151"/>
      <c r="L13" s="151"/>
    </row>
    <row r="14" spans="2:12" ht="18.75" x14ac:dyDescent="0.25">
      <c r="B14" s="28" t="s">
        <v>57</v>
      </c>
      <c r="C14" s="17">
        <v>1</v>
      </c>
      <c r="D14" s="17">
        <v>2</v>
      </c>
      <c r="E14" s="17">
        <v>3</v>
      </c>
      <c r="F14" s="17">
        <v>4</v>
      </c>
      <c r="G14" s="17">
        <v>5</v>
      </c>
      <c r="H14" s="17">
        <v>6</v>
      </c>
      <c r="I14" s="17">
        <v>7</v>
      </c>
      <c r="J14" s="17">
        <v>8</v>
      </c>
      <c r="K14" s="17">
        <v>9</v>
      </c>
      <c r="L14" s="17">
        <v>10</v>
      </c>
    </row>
    <row r="15" spans="2:12" ht="31.5" x14ac:dyDescent="0.25">
      <c r="B15" s="52" t="s">
        <v>100</v>
      </c>
      <c r="C15" s="56">
        <f>FlujoEfec!C28</f>
        <v>1336850.5747126434</v>
      </c>
      <c r="D15" s="56">
        <f>FlujoEfec!D28</f>
        <v>2462516.6666666679</v>
      </c>
      <c r="E15" s="56">
        <f>FlujoEfec!E28</f>
        <v>3559565.4663793109</v>
      </c>
      <c r="F15" s="56">
        <f>FlujoEfec!F28</f>
        <v>4606585.4467958361</v>
      </c>
      <c r="G15" s="56">
        <f>FlujoEfec!G28</f>
        <v>5577484.0780619867</v>
      </c>
      <c r="H15" s="56">
        <f>FlujoEfec!H28</f>
        <v>5444768.3114997186</v>
      </c>
      <c r="I15" s="56">
        <f>FlujoEfec!I28</f>
        <v>5705795.7881190181</v>
      </c>
      <c r="J15" s="56">
        <f>FlujoEfec!J28</f>
        <v>5152593.4237443879</v>
      </c>
      <c r="K15" s="56">
        <f>FlujoEfec!K28</f>
        <v>3658676.3322350159</v>
      </c>
      <c r="L15" s="56">
        <f>FlujoEfec!L28</f>
        <v>1096558.8677139208</v>
      </c>
    </row>
    <row r="16" spans="2:12" ht="31.5" x14ac:dyDescent="0.25">
      <c r="B16" s="52" t="s">
        <v>121</v>
      </c>
      <c r="C16" s="56">
        <f>C15</f>
        <v>1336850.5747126434</v>
      </c>
      <c r="D16" s="56">
        <f t="shared" ref="D16:L16" si="0">C16+D15</f>
        <v>3799367.2413793113</v>
      </c>
      <c r="E16" s="56">
        <f t="shared" si="0"/>
        <v>7358932.7077586222</v>
      </c>
      <c r="F16" s="56">
        <f t="shared" si="0"/>
        <v>11965518.154554458</v>
      </c>
      <c r="G16" s="56">
        <f t="shared" si="0"/>
        <v>17543002.232616447</v>
      </c>
      <c r="H16" s="56">
        <f t="shared" si="0"/>
        <v>22987770.544116165</v>
      </c>
      <c r="I16" s="56">
        <f t="shared" si="0"/>
        <v>28693566.332235184</v>
      </c>
      <c r="J16" s="56">
        <f t="shared" si="0"/>
        <v>33846159.755979568</v>
      </c>
      <c r="K16" s="56">
        <f t="shared" si="0"/>
        <v>37504836.088214584</v>
      </c>
      <c r="L16" s="56">
        <f t="shared" si="0"/>
        <v>38601394.955928504</v>
      </c>
    </row>
    <row r="17" spans="2:12" ht="18.75" x14ac:dyDescent="0.25">
      <c r="B17" s="75" t="s">
        <v>6</v>
      </c>
      <c r="C17" s="153" t="str">
        <f>IF(C16&gt;=Datos!I20,"Se necesita un año para recuperar la inversión.",IF(C16+D16&gt;=Datos!I20,"Se necesitan 1 año "&amp;TRUNC(((Datos!I20-C16)/D15)*12)&amp;" meses " &amp;TRUNC((((Datos!I20-C16)/D15)*12-TRUNC((Datos!I20-C16)/D15*12))*30)&amp;" dias para recuperar la inversón.","No alcanza a recuperar la inversión en ningún periodo"))</f>
        <v>Se necesitan 1 año 2 meses 7 dias para recuperar la inversón.</v>
      </c>
      <c r="D17" s="153"/>
      <c r="E17" s="153"/>
      <c r="F17" s="153"/>
      <c r="G17" s="153"/>
      <c r="H17" s="153"/>
      <c r="I17" s="153"/>
      <c r="J17" s="153"/>
      <c r="K17" s="153"/>
      <c r="L17" s="153"/>
    </row>
    <row r="18" spans="2:12" ht="15.75" x14ac:dyDescent="0.25">
      <c r="E18" s="71"/>
    </row>
    <row r="23" spans="2:12" ht="18.75" x14ac:dyDescent="0.3">
      <c r="B23" s="151" t="s">
        <v>122</v>
      </c>
      <c r="C23" s="151"/>
      <c r="D23" s="151"/>
      <c r="E23" s="151"/>
      <c r="F23" s="151"/>
      <c r="G23" s="151"/>
      <c r="H23" s="151"/>
      <c r="I23" s="151"/>
      <c r="J23" s="151"/>
      <c r="K23" s="151"/>
      <c r="L23" s="151"/>
    </row>
    <row r="24" spans="2:12" ht="18.75" x14ac:dyDescent="0.25">
      <c r="B24" s="28" t="s">
        <v>57</v>
      </c>
      <c r="C24" s="17">
        <v>1</v>
      </c>
      <c r="D24" s="17">
        <v>2</v>
      </c>
      <c r="E24" s="17">
        <v>3</v>
      </c>
      <c r="F24" s="17">
        <v>4</v>
      </c>
      <c r="G24" s="17">
        <v>5</v>
      </c>
      <c r="H24" s="17">
        <v>6</v>
      </c>
      <c r="I24" s="17">
        <v>7</v>
      </c>
      <c r="J24" s="17">
        <v>8</v>
      </c>
      <c r="K24" s="17">
        <v>9</v>
      </c>
      <c r="L24" s="17">
        <v>10</v>
      </c>
    </row>
    <row r="25" spans="2:12" ht="31.5" x14ac:dyDescent="0.25">
      <c r="B25" s="58" t="s">
        <v>100</v>
      </c>
      <c r="C25" s="56">
        <f>FlujoEfec!C28</f>
        <v>1336850.5747126434</v>
      </c>
      <c r="D25" s="56">
        <f>FlujoEfec!D28</f>
        <v>2462516.6666666679</v>
      </c>
      <c r="E25" s="56">
        <f>FlujoEfec!E28</f>
        <v>3559565.4663793109</v>
      </c>
      <c r="F25" s="56">
        <f>FlujoEfec!F28</f>
        <v>4606585.4467958361</v>
      </c>
      <c r="G25" s="56">
        <f>FlujoEfec!G28</f>
        <v>5577484.0780619867</v>
      </c>
      <c r="H25" s="56">
        <f>FlujoEfec!H28</f>
        <v>5444768.3114997186</v>
      </c>
      <c r="I25" s="56">
        <f>FlujoEfec!I28</f>
        <v>5705795.7881190181</v>
      </c>
      <c r="J25" s="56">
        <f>FlujoEfec!J28</f>
        <v>5152593.4237443879</v>
      </c>
      <c r="K25" s="56">
        <f>FlujoEfec!K28</f>
        <v>3658676.3322350159</v>
      </c>
      <c r="L25" s="56">
        <f>FlujoEfec!L28</f>
        <v>1096558.8677139208</v>
      </c>
    </row>
    <row r="26" spans="2:12" ht="47.25" x14ac:dyDescent="0.25">
      <c r="B26" s="58" t="s">
        <v>123</v>
      </c>
      <c r="C26" s="59">
        <f>C25/(1+Datos!$I$19)^C24</f>
        <v>921965.91359492647</v>
      </c>
      <c r="D26" s="59">
        <f>D25/(1+Datos!$I$19)^D24</f>
        <v>1171232.6595323035</v>
      </c>
      <c r="E26" s="59">
        <f>E25/(1+Datos!$I$19)^E24</f>
        <v>1167597.0204204554</v>
      </c>
      <c r="F26" s="59">
        <f>F25/(1+Datos!$I$19)^F24</f>
        <v>1042094.5444417902</v>
      </c>
      <c r="G26" s="59">
        <f>G25/(1+Datos!$I$19)^G24</f>
        <v>870158.42212439491</v>
      </c>
      <c r="H26" s="59">
        <f>H25/(1+Datos!$I$19)^H24</f>
        <v>585829.70713077008</v>
      </c>
      <c r="I26" s="59">
        <f>I25/(1+Datos!$I$19)^I24</f>
        <v>423389.62192916346</v>
      </c>
      <c r="J26" s="59">
        <f>J25/(1+Datos!$I$19)^J24</f>
        <v>263682.83356014779</v>
      </c>
      <c r="K26" s="59">
        <f>K25/(1+Datos!$I$19)^K24</f>
        <v>129125.48651680043</v>
      </c>
      <c r="L26" s="59">
        <f>L25/(1+Datos!$I$19)^L24</f>
        <v>26690.206197092226</v>
      </c>
    </row>
    <row r="27" spans="2:12" ht="47.25" x14ac:dyDescent="0.25">
      <c r="B27" s="58" t="s">
        <v>124</v>
      </c>
      <c r="C27" s="59">
        <f>C26</f>
        <v>921965.91359492647</v>
      </c>
      <c r="D27" s="59">
        <f>C27+D26</f>
        <v>2093198.5731272299</v>
      </c>
      <c r="E27" s="59">
        <f t="shared" ref="E27:L27" si="1">D27+E26</f>
        <v>3260795.5935476851</v>
      </c>
      <c r="F27" s="59">
        <f t="shared" si="1"/>
        <v>4302890.1379894754</v>
      </c>
      <c r="G27" s="59">
        <f t="shared" si="1"/>
        <v>5173048.5601138705</v>
      </c>
      <c r="H27" s="59">
        <f t="shared" si="1"/>
        <v>5758878.2672446407</v>
      </c>
      <c r="I27" s="59">
        <f t="shared" si="1"/>
        <v>6182267.8891738039</v>
      </c>
      <c r="J27" s="59">
        <f t="shared" si="1"/>
        <v>6445950.7227339521</v>
      </c>
      <c r="K27" s="59">
        <f t="shared" si="1"/>
        <v>6575076.2092507528</v>
      </c>
      <c r="L27" s="59">
        <f t="shared" si="1"/>
        <v>6601766.4154478451</v>
      </c>
    </row>
    <row r="28" spans="2:12" ht="18.75" x14ac:dyDescent="0.25">
      <c r="B28" s="75" t="s">
        <v>6</v>
      </c>
      <c r="C28" s="153" t="str">
        <f>IF(C27&gt;=Datos!I31,"Se necesita un año para recuperar la inversión.",IF(D27&gt;=Datos!I20,"Se necesitan 1 año "&amp;TRUNC(((Datos!I20-C27)/D26)*12)&amp;" meses "&amp;TRUNC((((Datos!I20-C27)/D26)*12-TRUNC((Datos!I20-C27)/D26*12))*30)&amp;" dias para recuperar la inversón.",IF(E27&gt;=Datos!I20,"Se necesitan 2 años "&amp;TRUNC(((Datos!I20-D27)/E26)*12)&amp;" meses "&amp;TRUNC((((Datos!I20-D27)/E26)*12-TRUNC((Datos!I20-D27)/E26*12))*30)&amp;" dias para recuperar la inversón.",IF(F27&gt;=Datos!I20,"Se necesitan 3 años "&amp;TRUNC(((Datos!I20-E27)/F26)*12)&amp;" meses "&amp;TRUNC((((Datos!I20-E27)/F26)*12-TRUNC((Datos!I20-E27)/F26*12))*30)&amp;" dias para recuperar la inversón.","No alcanza a recuperar la inversión en ningún periodo"))))</f>
        <v>Se necesitan 1 año 8 meses 29 dias para recuperar la inversón.</v>
      </c>
      <c r="D28" s="153"/>
      <c r="E28" s="153"/>
      <c r="F28" s="153"/>
      <c r="G28" s="153"/>
      <c r="H28" s="153"/>
      <c r="I28" s="153"/>
      <c r="J28" s="153"/>
      <c r="K28" s="153"/>
      <c r="L28" s="153"/>
    </row>
    <row r="33" spans="2:12" ht="18.75" x14ac:dyDescent="0.3">
      <c r="B33" s="151" t="s">
        <v>125</v>
      </c>
      <c r="C33" s="151"/>
      <c r="D33" s="151"/>
      <c r="E33" s="151"/>
      <c r="F33" s="151"/>
      <c r="G33" s="151"/>
      <c r="H33" s="151"/>
      <c r="I33" s="151"/>
      <c r="J33" s="151"/>
      <c r="K33" s="151"/>
      <c r="L33" s="151"/>
    </row>
    <row r="34" spans="2:12" ht="18.75" x14ac:dyDescent="0.25">
      <c r="B34" s="28" t="s">
        <v>57</v>
      </c>
      <c r="C34" s="17">
        <v>1</v>
      </c>
      <c r="D34" s="17">
        <v>2</v>
      </c>
      <c r="E34" s="17">
        <v>3</v>
      </c>
      <c r="F34" s="17">
        <v>4</v>
      </c>
      <c r="G34" s="17">
        <v>5</v>
      </c>
      <c r="H34" s="17">
        <v>6</v>
      </c>
      <c r="I34" s="17">
        <v>7</v>
      </c>
      <c r="J34" s="17">
        <v>8</v>
      </c>
      <c r="K34" s="17">
        <v>9</v>
      </c>
      <c r="L34" s="17">
        <v>10</v>
      </c>
    </row>
    <row r="35" spans="2:12" ht="31.5" x14ac:dyDescent="0.25">
      <c r="B35" s="58" t="s">
        <v>100</v>
      </c>
      <c r="C35" s="56">
        <f>FlujoEfec!C28</f>
        <v>1336850.5747126434</v>
      </c>
      <c r="D35" s="56">
        <f>FlujoEfec!D28</f>
        <v>2462516.6666666679</v>
      </c>
      <c r="E35" s="56">
        <f>FlujoEfec!E28</f>
        <v>3559565.4663793109</v>
      </c>
      <c r="F35" s="56">
        <f>FlujoEfec!F28</f>
        <v>4606585.4467958361</v>
      </c>
      <c r="G35" s="56">
        <f>FlujoEfec!G28</f>
        <v>5577484.0780619867</v>
      </c>
      <c r="H35" s="56">
        <f>FlujoEfec!H28</f>
        <v>5444768.3114997186</v>
      </c>
      <c r="I35" s="56">
        <f>FlujoEfec!I28</f>
        <v>5705795.7881190181</v>
      </c>
      <c r="J35" s="56">
        <f>FlujoEfec!J28</f>
        <v>5152593.4237443879</v>
      </c>
      <c r="K35" s="56">
        <f>FlujoEfec!K28</f>
        <v>3658676.3322350159</v>
      </c>
      <c r="L35" s="56">
        <f>FlujoEfec!L28</f>
        <v>1096558.8677139208</v>
      </c>
    </row>
    <row r="36" spans="2:12" ht="60" x14ac:dyDescent="0.25">
      <c r="B36" s="60" t="s">
        <v>126</v>
      </c>
      <c r="C36" s="152">
        <f>(SUM(C35:L35)/Datos!I21)/Datos!I20</f>
        <v>2.144521941996028</v>
      </c>
      <c r="D36" s="152"/>
      <c r="E36" s="152"/>
      <c r="F36" s="152"/>
      <c r="G36" s="152"/>
      <c r="H36" s="152"/>
      <c r="I36" s="152"/>
      <c r="J36" s="152"/>
      <c r="K36" s="152"/>
      <c r="L36" s="152"/>
    </row>
    <row r="37" spans="2:12" ht="18.75" x14ac:dyDescent="0.25">
      <c r="B37" s="75" t="s">
        <v>6</v>
      </c>
      <c r="C37" s="153" t="str">
        <f>IF(C36=Datos!I19, "Es indiferente aceptarlo o rechazarlo, ya que el RAP=" &amp; C36 &amp; "  es igual a la K="&amp;Datos!I19,IF(C36&gt;Datos!I19,"Se aceptara el proyecto ya que el RAP=" &amp; C36 &amp; "  es mayor que la K="&amp;Datos!I19,"No se aceptara el proyecto, ya que el RAP=" &amp; C36 &amp; "  es menor que la K="&amp;Datos!I19))</f>
        <v>Se aceptara el proyecto ya que el RAP=2.14452194199603  es mayor que la K=0.45</v>
      </c>
      <c r="D37" s="153"/>
      <c r="E37" s="153"/>
      <c r="F37" s="153"/>
      <c r="G37" s="153"/>
      <c r="H37" s="153"/>
      <c r="I37" s="153"/>
      <c r="J37" s="153"/>
      <c r="K37" s="153"/>
      <c r="L37" s="153"/>
    </row>
    <row r="42" spans="2:12" ht="18.75" x14ac:dyDescent="0.3">
      <c r="B42" s="151" t="s">
        <v>127</v>
      </c>
      <c r="C42" s="151"/>
      <c r="D42" s="151"/>
      <c r="E42" s="151"/>
      <c r="F42" s="151"/>
      <c r="G42" s="151"/>
      <c r="H42" s="151"/>
      <c r="I42" s="151"/>
      <c r="J42" s="151"/>
      <c r="K42" s="151"/>
      <c r="L42" s="151"/>
    </row>
    <row r="43" spans="2:12" ht="18.75" x14ac:dyDescent="0.25">
      <c r="B43" s="28" t="s">
        <v>57</v>
      </c>
      <c r="C43" s="17">
        <v>1</v>
      </c>
      <c r="D43" s="17">
        <v>2</v>
      </c>
      <c r="E43" s="17">
        <v>3</v>
      </c>
      <c r="F43" s="17">
        <v>4</v>
      </c>
      <c r="G43" s="17">
        <v>5</v>
      </c>
      <c r="H43" s="17">
        <v>6</v>
      </c>
      <c r="I43" s="17">
        <v>7</v>
      </c>
      <c r="J43" s="17">
        <v>8</v>
      </c>
      <c r="K43" s="17">
        <v>9</v>
      </c>
      <c r="L43" s="17">
        <v>10</v>
      </c>
    </row>
    <row r="44" spans="2:12" ht="30" x14ac:dyDescent="0.25">
      <c r="B44" s="61" t="s">
        <v>100</v>
      </c>
      <c r="C44" s="56">
        <f>FlujoEfec!C28</f>
        <v>1336850.5747126434</v>
      </c>
      <c r="D44" s="56">
        <f>FlujoEfec!D28</f>
        <v>2462516.6666666679</v>
      </c>
      <c r="E44" s="56">
        <f>FlujoEfec!E28</f>
        <v>3559565.4663793109</v>
      </c>
      <c r="F44" s="56">
        <f>FlujoEfec!F28</f>
        <v>4606585.4467958361</v>
      </c>
      <c r="G44" s="56">
        <f>FlujoEfec!G28</f>
        <v>5577484.0780619867</v>
      </c>
      <c r="H44" s="56">
        <f>FlujoEfec!H28</f>
        <v>5444768.3114997186</v>
      </c>
      <c r="I44" s="56">
        <f>FlujoEfec!I28</f>
        <v>5705795.7881190181</v>
      </c>
      <c r="J44" s="56">
        <f>FlujoEfec!J28</f>
        <v>5152593.4237443879</v>
      </c>
      <c r="K44" s="56">
        <f>FlujoEfec!K28</f>
        <v>3658676.3322350159</v>
      </c>
      <c r="L44" s="56">
        <f>FlujoEfec!L28</f>
        <v>1096558.8677139208</v>
      </c>
    </row>
    <row r="45" spans="2:12" ht="45" x14ac:dyDescent="0.25">
      <c r="B45" s="61" t="s">
        <v>128</v>
      </c>
      <c r="C45" s="56">
        <f>C44/(1+Datos!$I$19)^C43</f>
        <v>921965.91359492647</v>
      </c>
      <c r="D45" s="56">
        <f>D44/(1+Datos!$I$19)^D43</f>
        <v>1171232.6595323035</v>
      </c>
      <c r="E45" s="56">
        <f>E44/(1+Datos!$I$19)^E43</f>
        <v>1167597.0204204554</v>
      </c>
      <c r="F45" s="56">
        <f>F44/(1+Datos!$I$19)^F43</f>
        <v>1042094.5444417902</v>
      </c>
      <c r="G45" s="56">
        <f>G44/(1+Datos!$I$19)^G43</f>
        <v>870158.42212439491</v>
      </c>
      <c r="H45" s="56">
        <f>H44/(1+Datos!$I$19)^H43</f>
        <v>585829.70713077008</v>
      </c>
      <c r="I45" s="56">
        <f>I44/(1+Datos!$I$19)^I43</f>
        <v>423389.62192916346</v>
      </c>
      <c r="J45" s="56">
        <f>J44/(1+Datos!$I$19)^J43</f>
        <v>263682.83356014779</v>
      </c>
      <c r="K45" s="56">
        <f>K44/(1+Datos!$I$19)^K43</f>
        <v>129125.48651680043</v>
      </c>
      <c r="L45" s="56">
        <f>L44/(1+Datos!$I$19)^L43</f>
        <v>26690.206197092226</v>
      </c>
    </row>
    <row r="46" spans="2:12" ht="45" x14ac:dyDescent="0.25">
      <c r="B46" s="61" t="s">
        <v>129</v>
      </c>
      <c r="C46" s="155">
        <f>SUM(C45:L45)/Datos!I20</f>
        <v>3.6676480085821361</v>
      </c>
      <c r="D46" s="156"/>
      <c r="E46" s="156"/>
      <c r="F46" s="156"/>
      <c r="G46" s="156"/>
      <c r="H46" s="156"/>
      <c r="I46" s="156"/>
      <c r="J46" s="156"/>
      <c r="K46" s="156"/>
      <c r="L46" s="157"/>
    </row>
    <row r="47" spans="2:12" ht="18.75" x14ac:dyDescent="0.25">
      <c r="B47" s="75" t="s">
        <v>6</v>
      </c>
      <c r="C47" s="153" t="str">
        <f>IF(C46=1, "Es indiferente aceptarlo o rechazarlo, ya que el IR=" &amp; C46 &amp; " es igual a 1",IF(C46&gt;1,"Se aceptara el proyecto, ya que el IR=" &amp; C46 &amp; " es mayor que 1","No se aceptara el proyecto, ya que el IR=" &amp; C46 &amp; " es menor que 1"))</f>
        <v>Se aceptara el proyecto, ya que el IR=3.66764800858214 es mayor que 1</v>
      </c>
      <c r="D47" s="153"/>
      <c r="E47" s="153"/>
      <c r="F47" s="153"/>
      <c r="G47" s="153"/>
      <c r="H47" s="153"/>
      <c r="I47" s="153"/>
      <c r="J47" s="153"/>
      <c r="K47" s="153"/>
      <c r="L47" s="153"/>
    </row>
    <row r="52" spans="2:12" ht="18.75" x14ac:dyDescent="0.3">
      <c r="B52" s="151" t="s">
        <v>130</v>
      </c>
      <c r="C52" s="151"/>
      <c r="D52" s="151"/>
      <c r="E52" s="151"/>
      <c r="F52" s="151"/>
      <c r="G52" s="151"/>
      <c r="H52" s="151"/>
      <c r="I52" s="151"/>
      <c r="J52" s="151"/>
      <c r="K52" s="151"/>
      <c r="L52" s="151"/>
    </row>
    <row r="53" spans="2:12" ht="18.75" x14ac:dyDescent="0.25">
      <c r="B53" s="28" t="s">
        <v>57</v>
      </c>
      <c r="C53" s="17">
        <v>1</v>
      </c>
      <c r="D53" s="17">
        <v>2</v>
      </c>
      <c r="E53" s="17">
        <v>3</v>
      </c>
      <c r="F53" s="17">
        <v>4</v>
      </c>
      <c r="G53" s="17">
        <v>5</v>
      </c>
      <c r="H53" s="17">
        <v>6</v>
      </c>
      <c r="I53" s="17">
        <v>7</v>
      </c>
      <c r="J53" s="17">
        <v>8</v>
      </c>
      <c r="K53" s="17">
        <v>9</v>
      </c>
      <c r="L53" s="17">
        <v>10</v>
      </c>
    </row>
    <row r="54" spans="2:12" ht="30" x14ac:dyDescent="0.25">
      <c r="B54" s="61" t="s">
        <v>100</v>
      </c>
      <c r="C54" s="56">
        <f>FlujoEfec!C28</f>
        <v>1336850.5747126434</v>
      </c>
      <c r="D54" s="56">
        <f>FlujoEfec!D28</f>
        <v>2462516.6666666679</v>
      </c>
      <c r="E54" s="56">
        <f>FlujoEfec!E28</f>
        <v>3559565.4663793109</v>
      </c>
      <c r="F54" s="56">
        <f>FlujoEfec!F28</f>
        <v>4606585.4467958361</v>
      </c>
      <c r="G54" s="56">
        <f>FlujoEfec!G28</f>
        <v>5577484.0780619867</v>
      </c>
      <c r="H54" s="56">
        <f>FlujoEfec!H28</f>
        <v>5444768.3114997186</v>
      </c>
      <c r="I54" s="56">
        <f>FlujoEfec!I28</f>
        <v>5705795.7881190181</v>
      </c>
      <c r="J54" s="56">
        <f>FlujoEfec!J28</f>
        <v>5152593.4237443879</v>
      </c>
      <c r="K54" s="56">
        <f>FlujoEfec!K28</f>
        <v>3658676.3322350159</v>
      </c>
      <c r="L54" s="56">
        <f>FlujoEfec!L28</f>
        <v>1096558.8677139208</v>
      </c>
    </row>
    <row r="55" spans="2:12" x14ac:dyDescent="0.25">
      <c r="B55" s="61" t="s">
        <v>131</v>
      </c>
      <c r="C55" s="56">
        <f>C54/(1+Datos!$I$19)^C53</f>
        <v>921965.91359492647</v>
      </c>
      <c r="D55" s="56">
        <f>D54/(1+Datos!$I$19)^D53</f>
        <v>1171232.6595323035</v>
      </c>
      <c r="E55" s="56">
        <f>E54/(1+Datos!$I$19)^E53</f>
        <v>1167597.0204204554</v>
      </c>
      <c r="F55" s="56">
        <f>F54/(1+Datos!$I$19)^F53</f>
        <v>1042094.5444417902</v>
      </c>
      <c r="G55" s="56">
        <f>G54/(1+Datos!$I$19)^G53</f>
        <v>870158.42212439491</v>
      </c>
      <c r="H55" s="56">
        <f>H54/(1+Datos!$I$19)^H53</f>
        <v>585829.70713077008</v>
      </c>
      <c r="I55" s="56">
        <f>I54/(1+Datos!$I$19)^I53</f>
        <v>423389.62192916346</v>
      </c>
      <c r="J55" s="56">
        <f>J54/(1+Datos!$I$19)^J53</f>
        <v>263682.83356014779</v>
      </c>
      <c r="K55" s="56">
        <f>K54/(1+Datos!$I$19)^K53</f>
        <v>129125.48651680043</v>
      </c>
      <c r="L55" s="56">
        <f>L54/(1+Datos!$I$19)^L53</f>
        <v>26690.206197092226</v>
      </c>
    </row>
    <row r="56" spans="2:12" ht="45" x14ac:dyDescent="0.25">
      <c r="B56" s="61" t="s">
        <v>132</v>
      </c>
      <c r="C56" s="158">
        <f>-Datos!I20+SUM(C55:L55)</f>
        <v>4801766.4154478451</v>
      </c>
      <c r="D56" s="159"/>
      <c r="E56" s="159"/>
      <c r="F56" s="159"/>
      <c r="G56" s="159"/>
      <c r="H56" s="159"/>
      <c r="I56" s="159"/>
      <c r="J56" s="159"/>
      <c r="K56" s="159"/>
      <c r="L56" s="159"/>
    </row>
    <row r="57" spans="2:12" ht="15" customHeight="1" x14ac:dyDescent="0.3">
      <c r="B57" s="80" t="s">
        <v>6</v>
      </c>
      <c r="C57" s="154" t="str">
        <f>IF(C56=0, "Es indiferente aceptarlo o rechazarlo, ya que el VPN=" &amp; C56&amp;" es igual a 0",IF(C56&gt;0,"Se aceptara el proyecto, ya que el VPN=" &amp; C56&amp;" es mayor que 0","No se aceptara el proyecto, ya que el VPN=" &amp; C56&amp;" es menor que 0"))</f>
        <v>Se aceptara el proyecto, ya que el VPN=4801766.41544785 es mayor que 0</v>
      </c>
      <c r="D57" s="154"/>
      <c r="E57" s="154"/>
      <c r="F57" s="154"/>
      <c r="G57" s="154"/>
      <c r="H57" s="154"/>
      <c r="I57" s="154"/>
      <c r="J57" s="154"/>
      <c r="K57" s="154"/>
      <c r="L57" s="154"/>
    </row>
    <row r="58" spans="2:12" x14ac:dyDescent="0.25">
      <c r="B58" s="74"/>
    </row>
    <row r="62" spans="2:12" ht="18.75" x14ac:dyDescent="0.3">
      <c r="B62" s="150" t="s">
        <v>133</v>
      </c>
      <c r="C62" s="150"/>
      <c r="D62" s="150"/>
      <c r="E62" s="150"/>
      <c r="F62" s="150"/>
      <c r="G62" s="150"/>
      <c r="H62" s="150"/>
      <c r="I62" s="150"/>
      <c r="J62" s="150"/>
      <c r="K62" s="150"/>
      <c r="L62" s="150"/>
    </row>
    <row r="63" spans="2:12" ht="18.75" x14ac:dyDescent="0.25">
      <c r="B63" s="81" t="s">
        <v>57</v>
      </c>
      <c r="C63" s="82">
        <v>1</v>
      </c>
      <c r="D63" s="82">
        <v>2</v>
      </c>
      <c r="E63" s="82">
        <v>3</v>
      </c>
      <c r="F63" s="82">
        <v>4</v>
      </c>
      <c r="G63" s="82">
        <v>5</v>
      </c>
      <c r="H63" s="82">
        <v>6</v>
      </c>
      <c r="I63" s="82">
        <v>7</v>
      </c>
      <c r="J63" s="82">
        <v>8</v>
      </c>
      <c r="K63" s="82">
        <v>9</v>
      </c>
      <c r="L63" s="82">
        <v>10</v>
      </c>
    </row>
    <row r="64" spans="2:12" ht="30" x14ac:dyDescent="0.25">
      <c r="B64" s="83" t="s">
        <v>100</v>
      </c>
      <c r="C64" s="84">
        <f>FlujoEfec!C28</f>
        <v>1336850.5747126434</v>
      </c>
      <c r="D64" s="84">
        <f>FlujoEfec!D28</f>
        <v>2462516.6666666679</v>
      </c>
      <c r="E64" s="84">
        <f>FlujoEfec!E28</f>
        <v>3559565.4663793109</v>
      </c>
      <c r="F64" s="84">
        <f>FlujoEfec!F28</f>
        <v>4606585.4467958361</v>
      </c>
      <c r="G64" s="84">
        <f>FlujoEfec!G28</f>
        <v>5577484.0780619867</v>
      </c>
      <c r="H64" s="84">
        <f>FlujoEfec!H28</f>
        <v>5444768.3114997186</v>
      </c>
      <c r="I64" s="84">
        <f>FlujoEfec!I28</f>
        <v>5705795.7881190181</v>
      </c>
      <c r="J64" s="84">
        <f>FlujoEfec!J28</f>
        <v>5152593.4237443879</v>
      </c>
      <c r="K64" s="84">
        <f>FlujoEfec!K28</f>
        <v>3658676.3322350159</v>
      </c>
      <c r="L64" s="84">
        <f>FlujoEfec!L28</f>
        <v>1096558.8677139208</v>
      </c>
    </row>
    <row r="65" spans="2:12" ht="30" x14ac:dyDescent="0.25">
      <c r="B65" s="97" t="s">
        <v>134</v>
      </c>
      <c r="C65" s="90">
        <f t="shared" ref="C65:L65" si="2">C64/(1+$C$68)^C63</f>
        <v>604909.76231341332</v>
      </c>
      <c r="D65" s="90">
        <f t="shared" si="2"/>
        <v>504190.46839062835</v>
      </c>
      <c r="E65" s="90">
        <f t="shared" si="2"/>
        <v>329776.8487457186</v>
      </c>
      <c r="F65" s="90">
        <f t="shared" si="2"/>
        <v>193112.34450582752</v>
      </c>
      <c r="G65" s="90">
        <f t="shared" si="2"/>
        <v>105797.88132936784</v>
      </c>
      <c r="H65" s="90">
        <f t="shared" si="2"/>
        <v>46733.226064690898</v>
      </c>
      <c r="I65" s="90">
        <f t="shared" si="2"/>
        <v>22160.028178077999</v>
      </c>
      <c r="J65" s="90">
        <f t="shared" si="2"/>
        <v>9054.9839614237571</v>
      </c>
      <c r="K65" s="90">
        <f t="shared" si="2"/>
        <v>2909.333634427639</v>
      </c>
      <c r="L65" s="90">
        <f t="shared" si="2"/>
        <v>394.55651094186186</v>
      </c>
    </row>
    <row r="66" spans="2:12" ht="30" x14ac:dyDescent="0.25">
      <c r="B66" s="97" t="s">
        <v>135</v>
      </c>
      <c r="C66" s="90">
        <f t="shared" ref="C66:L66" si="3">C64/(1+$C$70)^C63</f>
        <v>602184.94356425386</v>
      </c>
      <c r="D66" s="90">
        <f t="shared" si="3"/>
        <v>499658.44222601014</v>
      </c>
      <c r="E66" s="90">
        <f t="shared" si="3"/>
        <v>325340.44877413131</v>
      </c>
      <c r="F66" s="90">
        <f t="shared" si="3"/>
        <v>189656.28242812524</v>
      </c>
      <c r="G66" s="90">
        <f t="shared" si="3"/>
        <v>103436.41666722983</v>
      </c>
      <c r="H66" s="90">
        <f t="shared" si="3"/>
        <v>45484.30441203079</v>
      </c>
      <c r="I66" s="90">
        <f t="shared" si="3"/>
        <v>21470.660407600368</v>
      </c>
      <c r="J66" s="90">
        <f t="shared" si="3"/>
        <v>8733.7766063032377</v>
      </c>
      <c r="K66" s="90">
        <f t="shared" si="3"/>
        <v>2793.4906424817646</v>
      </c>
      <c r="L66" s="90">
        <f t="shared" si="3"/>
        <v>377.13966139780035</v>
      </c>
    </row>
    <row r="68" spans="2:12" ht="45" x14ac:dyDescent="0.25">
      <c r="B68" s="85" t="s">
        <v>136</v>
      </c>
      <c r="C68" s="91">
        <f>IF(Datos!C32=20000,1.21,IF(Datos!C32=15000,1.04,0.77))</f>
        <v>1.21</v>
      </c>
      <c r="D68" s="92">
        <f>SUM(C65:L65)</f>
        <v>1819039.4336345177</v>
      </c>
      <c r="E68" s="93">
        <f>D68</f>
        <v>1819039.4336345177</v>
      </c>
      <c r="F68" s="99"/>
      <c r="G68" s="99"/>
      <c r="H68" s="99"/>
      <c r="I68" s="99"/>
      <c r="J68" s="99"/>
      <c r="K68" s="99"/>
      <c r="L68" s="99"/>
    </row>
    <row r="69" spans="2:12" x14ac:dyDescent="0.25">
      <c r="B69" s="97" t="s">
        <v>137</v>
      </c>
      <c r="C69" s="94" t="s">
        <v>138</v>
      </c>
      <c r="D69" s="94"/>
      <c r="E69" s="95">
        <f>Datos!I20</f>
        <v>1800000</v>
      </c>
    </row>
    <row r="70" spans="2:12" ht="45" x14ac:dyDescent="0.25">
      <c r="B70" s="86" t="s">
        <v>139</v>
      </c>
      <c r="C70" s="91">
        <f>IF(Datos!C32=20000,1.22,IF(Datos!C32=15000,1.05,0.78))</f>
        <v>1.22</v>
      </c>
      <c r="D70" s="90">
        <f>SUM(C66:L66)</f>
        <v>1799135.9053895641</v>
      </c>
      <c r="E70" s="94"/>
    </row>
    <row r="71" spans="2:12" x14ac:dyDescent="0.25">
      <c r="B71" s="97" t="s">
        <v>140</v>
      </c>
      <c r="C71" s="94"/>
      <c r="D71" s="90">
        <f>D68-D70</f>
        <v>19903.528244953603</v>
      </c>
      <c r="E71" s="90">
        <f>E68-E69</f>
        <v>19039.433634517714</v>
      </c>
    </row>
    <row r="72" spans="2:12" x14ac:dyDescent="0.25">
      <c r="G72" s="79"/>
    </row>
    <row r="73" spans="2:12" x14ac:dyDescent="0.25">
      <c r="C73" s="77" t="s">
        <v>141</v>
      </c>
      <c r="D73" s="91">
        <f>(E71/D71)/100</f>
        <v>9.5658585755241804E-3</v>
      </c>
    </row>
    <row r="74" spans="2:12" x14ac:dyDescent="0.25">
      <c r="C74" s="77" t="s">
        <v>142</v>
      </c>
      <c r="D74" s="91">
        <f>C68+D73</f>
        <v>1.2195658585755242</v>
      </c>
    </row>
    <row r="75" spans="2:12" ht="84" customHeight="1" x14ac:dyDescent="0.25">
      <c r="C75" s="76" t="s">
        <v>6</v>
      </c>
      <c r="D75" s="96" t="str">
        <f>IF(D74=Datos!I19, "Es indiferente aceptarlo o rechazarlo, ya que el TIR=" &amp; D74 &amp; "  es igual a la K="&amp;Datos!I19,IF(D74&gt;Datos!I19,"Se aceptara el proyecto ya que el TIR=" &amp; D74&amp; "  es mayor que la K="&amp;Datos!I19,"No se aceptara el proyecto, ya que el TIR=" &amp; D74 &amp; "  es menor que la K="&amp;Datos!I19))</f>
        <v>Se aceptara el proyecto ya que el TIR=1.21956585857552  es mayor que la K=0.45</v>
      </c>
    </row>
    <row r="76" spans="2:12" x14ac:dyDescent="0.25">
      <c r="I76" s="5"/>
    </row>
  </sheetData>
  <mergeCells count="14">
    <mergeCell ref="B62:L62"/>
    <mergeCell ref="B13:L13"/>
    <mergeCell ref="B23:L23"/>
    <mergeCell ref="B33:L33"/>
    <mergeCell ref="C36:L36"/>
    <mergeCell ref="B42:L42"/>
    <mergeCell ref="C17:L17"/>
    <mergeCell ref="C28:L28"/>
    <mergeCell ref="C37:L37"/>
    <mergeCell ref="C47:L47"/>
    <mergeCell ref="C57:L57"/>
    <mergeCell ref="C46:L46"/>
    <mergeCell ref="B52:L52"/>
    <mergeCell ref="C56:L56"/>
  </mergeCells>
  <pageMargins left="0.7" right="0.7" top="0.75" bottom="0.75" header="0.3" footer="0.3"/>
  <pageSetup paperSize="9" orientation="portrait" horizontalDpi="0" verticalDpi="0" r:id="rId1"/>
  <drawing r:id="rId2"/>
  <picture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76668-C759-4482-A7F2-5E0B7D9E0ED7}">
  <dimension ref="B12:L31"/>
  <sheetViews>
    <sheetView topLeftCell="A24" workbookViewId="0">
      <selection activeCell="G22" sqref="G22"/>
    </sheetView>
  </sheetViews>
  <sheetFormatPr baseColWidth="10" defaultColWidth="11.42578125" defaultRowHeight="15" x14ac:dyDescent="0.25"/>
  <cols>
    <col min="2" max="2" width="15.7109375" customWidth="1"/>
    <col min="3" max="3" width="15.140625" bestFit="1" customWidth="1"/>
    <col min="4" max="12" width="15.28515625" bestFit="1" customWidth="1"/>
  </cols>
  <sheetData>
    <row r="12" spans="2:12" x14ac:dyDescent="0.25">
      <c r="B12" s="160" t="s">
        <v>143</v>
      </c>
      <c r="C12" s="160"/>
      <c r="D12" s="160"/>
      <c r="E12" s="160"/>
      <c r="F12" s="160"/>
      <c r="G12" s="160"/>
      <c r="H12" s="160"/>
      <c r="I12" s="160"/>
      <c r="J12" s="160"/>
      <c r="K12" s="160"/>
      <c r="L12" s="160"/>
    </row>
    <row r="13" spans="2:12" x14ac:dyDescent="0.25">
      <c r="B13" s="76" t="s">
        <v>88</v>
      </c>
      <c r="C13" s="76">
        <v>1</v>
      </c>
      <c r="D13" s="76">
        <v>2</v>
      </c>
      <c r="E13" s="76">
        <v>3</v>
      </c>
      <c r="F13" s="76">
        <v>4</v>
      </c>
      <c r="G13" s="76">
        <v>5</v>
      </c>
      <c r="H13" s="76">
        <v>6</v>
      </c>
      <c r="I13" s="76">
        <v>7</v>
      </c>
      <c r="J13" s="76">
        <v>8</v>
      </c>
      <c r="K13" s="76">
        <v>9</v>
      </c>
      <c r="L13" s="76">
        <v>10</v>
      </c>
    </row>
    <row r="14" spans="2:12" x14ac:dyDescent="0.25">
      <c r="B14" s="97" t="s">
        <v>74</v>
      </c>
      <c r="C14" s="87">
        <f>EdoResultados!C14</f>
        <v>16000000</v>
      </c>
      <c r="D14" s="87">
        <f>EdoResultados!D14</f>
        <v>17640000</v>
      </c>
      <c r="E14" s="87">
        <f>EdoResultados!E14</f>
        <v>19448100</v>
      </c>
      <c r="F14" s="87">
        <f>EdoResultados!F14</f>
        <v>21441530.25</v>
      </c>
      <c r="G14" s="87">
        <f>EdoResultados!G14</f>
        <v>23639287.100625001</v>
      </c>
      <c r="H14" s="87">
        <f>EdoResultados!H14</f>
        <v>26062314.02843906</v>
      </c>
      <c r="I14" s="87">
        <f>EdoResultados!I14</f>
        <v>28733701.216354061</v>
      </c>
      <c r="J14" s="87">
        <f>EdoResultados!J14</f>
        <v>31678905.591030348</v>
      </c>
      <c r="K14" s="87">
        <f>EdoResultados!K14</f>
        <v>34925993.414110959</v>
      </c>
      <c r="L14" s="87">
        <f>EdoResultados!L14</f>
        <v>38505907.739057332</v>
      </c>
    </row>
    <row r="15" spans="2:12" ht="30" x14ac:dyDescent="0.25">
      <c r="B15" s="97" t="s">
        <v>144</v>
      </c>
      <c r="C15" s="87">
        <f>EdoResultados!C27</f>
        <v>940183.90804597689</v>
      </c>
      <c r="D15" s="87">
        <f>EdoResultados!D27</f>
        <v>928999.4252873573</v>
      </c>
      <c r="E15" s="87">
        <f>EdoResultados!E27</f>
        <v>900382.13304597884</v>
      </c>
      <c r="F15" s="87">
        <f>EdoResultados!F27</f>
        <v>850353.31374985748</v>
      </c>
      <c r="G15" s="87">
        <f>EdoResultados!G27</f>
        <v>774231.96459948353</v>
      </c>
      <c r="H15" s="87">
        <f>EdoResultados!H27</f>
        <v>570617.56677106547</v>
      </c>
      <c r="I15" s="87">
        <f>EdoResultados!I27</f>
        <v>64360.809952635318</v>
      </c>
      <c r="J15" s="87">
        <f>EdoResultados!J27</f>
        <v>-749869.03104129154</v>
      </c>
      <c r="K15" s="87">
        <f>EdoResultados!K27</f>
        <v>-1690583.758176038</v>
      </c>
      <c r="L15" s="87">
        <f>EdoResultados!L27</f>
        <v>-2758784.1311877556</v>
      </c>
    </row>
    <row r="16" spans="2:12" ht="30" x14ac:dyDescent="0.25">
      <c r="B16" s="97" t="s">
        <v>102</v>
      </c>
      <c r="C16" s="87">
        <f>FlujoEfec!C28</f>
        <v>1336850.5747126434</v>
      </c>
      <c r="D16" s="87">
        <f>FlujoEfec!D28</f>
        <v>2462516.6666666679</v>
      </c>
      <c r="E16" s="87">
        <f>FlujoEfec!E28</f>
        <v>3559565.4663793109</v>
      </c>
      <c r="F16" s="87">
        <f>FlujoEfec!F28</f>
        <v>4606585.4467958361</v>
      </c>
      <c r="G16" s="87">
        <f>FlujoEfec!G28</f>
        <v>5577484.0780619867</v>
      </c>
      <c r="H16" s="87">
        <f>FlujoEfec!H28</f>
        <v>5444768.3114997186</v>
      </c>
      <c r="I16" s="87">
        <f>FlujoEfec!I28</f>
        <v>5705795.7881190181</v>
      </c>
      <c r="J16" s="87">
        <f>FlujoEfec!J28</f>
        <v>5152593.4237443879</v>
      </c>
      <c r="K16" s="87">
        <f>FlujoEfec!K28</f>
        <v>3658676.3322350159</v>
      </c>
      <c r="L16" s="87">
        <f>FlujoEfec!L28</f>
        <v>1096558.8677139208</v>
      </c>
    </row>
    <row r="17" spans="2:12" x14ac:dyDescent="0.25">
      <c r="B17" s="97" t="s">
        <v>145</v>
      </c>
      <c r="C17" s="87">
        <f>BalanceGral!C24</f>
        <v>1800000</v>
      </c>
      <c r="D17" s="87">
        <f>BalanceGral!D24</f>
        <v>2740183.9080459764</v>
      </c>
      <c r="E17" s="87">
        <f>BalanceGral!E24</f>
        <v>3669183.3333333349</v>
      </c>
      <c r="F17" s="87">
        <f>BalanceGral!F24</f>
        <v>4569565.4663793109</v>
      </c>
      <c r="G17" s="87">
        <f>BalanceGral!G24</f>
        <v>5419918.7801291691</v>
      </c>
      <c r="H17" s="87">
        <f>BalanceGral!H24</f>
        <v>6194150.7447286537</v>
      </c>
      <c r="I17" s="87">
        <f>BalanceGral!I24</f>
        <v>6764768.3114997186</v>
      </c>
      <c r="J17" s="87">
        <f>BalanceGral!J24</f>
        <v>6829129.1214523511</v>
      </c>
      <c r="K17" s="87">
        <f>BalanceGral!K24</f>
        <v>6079260.0904110549</v>
      </c>
      <c r="L17" s="87">
        <f>BalanceGral!L24</f>
        <v>4388676.3322350159</v>
      </c>
    </row>
    <row r="18" spans="2:12" ht="30" x14ac:dyDescent="0.25">
      <c r="B18" s="97" t="s">
        <v>146</v>
      </c>
      <c r="C18" s="87">
        <f>BalanceGral!C31</f>
        <v>1800000</v>
      </c>
      <c r="D18" s="87">
        <f>BalanceGral!D31</f>
        <v>2740183.9080459769</v>
      </c>
      <c r="E18" s="87">
        <f>BalanceGral!E31</f>
        <v>3669183.333333334</v>
      </c>
      <c r="F18" s="87">
        <f>BalanceGral!F31</f>
        <v>4569565.4663793128</v>
      </c>
      <c r="G18" s="87">
        <f>BalanceGral!G31</f>
        <v>5419918.78012917</v>
      </c>
      <c r="H18" s="87">
        <f>BalanceGral!H31</f>
        <v>6194150.7447286537</v>
      </c>
      <c r="I18" s="87">
        <f>BalanceGral!I31</f>
        <v>6764768.3114997195</v>
      </c>
      <c r="J18" s="87">
        <f>BalanceGral!J31</f>
        <v>6829129.1214523548</v>
      </c>
      <c r="K18" s="87">
        <f>BalanceGral!K31</f>
        <v>6079260.0904110633</v>
      </c>
      <c r="L18" s="87">
        <f>BalanceGral!L31</f>
        <v>4388676.3322350252</v>
      </c>
    </row>
    <row r="19" spans="2:12" ht="45" x14ac:dyDescent="0.25">
      <c r="B19" s="78" t="s">
        <v>118</v>
      </c>
      <c r="C19" s="88">
        <f>PuntoEq!I13</f>
        <v>12300</v>
      </c>
      <c r="D19" s="89">
        <f>PuntoEq!$I$14</f>
        <v>13133.720930232557</v>
      </c>
      <c r="E19" s="89">
        <f>PuntoEq!$I$15</f>
        <v>14035.478687415429</v>
      </c>
      <c r="F19" s="89">
        <f>PuntoEq!$I$16</f>
        <v>15012.28531709287</v>
      </c>
      <c r="G19" s="89">
        <f>PuntoEq!$I$17</f>
        <v>16072.082260676341</v>
      </c>
      <c r="H19" s="89">
        <f>PuntoEq!$I$18</f>
        <v>17223.896772483433</v>
      </c>
      <c r="I19" s="89">
        <f>PuntoEq!$I$19</f>
        <v>18478.030919408735</v>
      </c>
      <c r="J19" s="89">
        <f>PuntoEq!$I$20</f>
        <v>19846.291362800242</v>
      </c>
      <c r="K19" s="89">
        <f>PuntoEq!$I$21</f>
        <v>21342.270568194141</v>
      </c>
      <c r="L19" s="89">
        <f>PuntoEq!$I$22</f>
        <v>22981.693387356587</v>
      </c>
    </row>
    <row r="20" spans="2:12" ht="45" x14ac:dyDescent="0.25">
      <c r="B20" s="78" t="s">
        <v>119</v>
      </c>
      <c r="C20" s="87">
        <f>PuntoEq!$J$13</f>
        <v>9840000</v>
      </c>
      <c r="D20" s="87">
        <f>PuntoEq!$J$14</f>
        <v>11032325.581395349</v>
      </c>
      <c r="E20" s="87">
        <f>PuntoEq!$J$15</f>
        <v>12379292.202300407</v>
      </c>
      <c r="F20" s="87">
        <f>PuntoEq!$J$16</f>
        <v>13902877.432159707</v>
      </c>
      <c r="G20" s="87">
        <f>PuntoEq!$J$17</f>
        <v>15628573.150692975</v>
      </c>
      <c r="H20" s="87">
        <f>PuntoEq!$J$18</f>
        <v>17586033.50809909</v>
      </c>
      <c r="I20" s="87">
        <f>PuntoEq!$J$19</f>
        <v>19809862.945946887</v>
      </c>
      <c r="J20" s="87">
        <f>PuntoEq!$J$20</f>
        <v>22340579.971804239</v>
      </c>
      <c r="K20" s="87">
        <f>PuntoEq!$J$21</f>
        <v>25225803.067038007</v>
      </c>
      <c r="L20" s="87">
        <f>PuntoEq!$J$22</f>
        <v>28521719.522218507</v>
      </c>
    </row>
    <row r="24" spans="2:12" x14ac:dyDescent="0.25">
      <c r="B24" s="161" t="s">
        <v>147</v>
      </c>
      <c r="C24" s="162"/>
      <c r="D24" s="162"/>
      <c r="E24" s="162"/>
      <c r="F24" s="163"/>
    </row>
    <row r="25" spans="2:12" x14ac:dyDescent="0.25">
      <c r="B25" s="108" t="s">
        <v>148</v>
      </c>
      <c r="C25" s="108"/>
      <c r="D25" s="164" t="s">
        <v>149</v>
      </c>
      <c r="E25" s="165"/>
      <c r="F25" s="166"/>
    </row>
    <row r="26" spans="2:12" ht="39.75" customHeight="1" x14ac:dyDescent="0.25">
      <c r="B26" s="107" t="s">
        <v>7</v>
      </c>
      <c r="C26" s="107"/>
      <c r="D26" s="103" t="str">
        <f>Metodos!C17</f>
        <v>Se necesitan 1 año 2 meses 7 dias para recuperar la inversón.</v>
      </c>
      <c r="E26" s="103"/>
      <c r="F26" s="103"/>
    </row>
    <row r="27" spans="2:12" ht="62.25" customHeight="1" x14ac:dyDescent="0.25">
      <c r="B27" s="107" t="s">
        <v>9</v>
      </c>
      <c r="C27" s="107"/>
      <c r="D27" s="103" t="str">
        <f>Metodos!C28</f>
        <v>Se necesitan 1 año 8 meses 29 dias para recuperar la inversón.</v>
      </c>
      <c r="E27" s="103"/>
      <c r="F27" s="103"/>
    </row>
    <row r="28" spans="2:12" ht="29.25" customHeight="1" x14ac:dyDescent="0.25">
      <c r="B28" s="107" t="s">
        <v>11</v>
      </c>
      <c r="C28" s="107"/>
      <c r="D28" s="103" t="str">
        <f>Metodos!C37</f>
        <v>Se aceptara el proyecto ya que el RAP=2.14452194199603  es mayor que la K=0.45</v>
      </c>
      <c r="E28" s="103"/>
      <c r="F28" s="103"/>
    </row>
    <row r="29" spans="2:12" ht="28.5" customHeight="1" x14ac:dyDescent="0.25">
      <c r="B29" s="107" t="s">
        <v>14</v>
      </c>
      <c r="C29" s="107"/>
      <c r="D29" s="103" t="str">
        <f>Metodos!C47</f>
        <v>Se aceptara el proyecto, ya que el IR=3.66764800858214 es mayor que 1</v>
      </c>
      <c r="E29" s="103"/>
      <c r="F29" s="103"/>
    </row>
    <row r="30" spans="2:12" ht="38.25" customHeight="1" x14ac:dyDescent="0.25">
      <c r="B30" s="107" t="s">
        <v>17</v>
      </c>
      <c r="C30" s="107"/>
      <c r="D30" s="103" t="str">
        <f>Metodos!C57</f>
        <v>Se aceptara el proyecto, ya que el VPN=4801766.41544785 es mayor que 0</v>
      </c>
      <c r="E30" s="103"/>
      <c r="F30" s="103"/>
    </row>
    <row r="31" spans="2:12" ht="30.75" customHeight="1" x14ac:dyDescent="0.25">
      <c r="B31" s="107" t="s">
        <v>20</v>
      </c>
      <c r="C31" s="107"/>
      <c r="D31" s="103" t="str">
        <f>Metodos!D75</f>
        <v>Se aceptara el proyecto ya que el TIR=1.21956585857552  es mayor que la K=0.45</v>
      </c>
      <c r="E31" s="103"/>
      <c r="F31" s="103"/>
    </row>
  </sheetData>
  <mergeCells count="16">
    <mergeCell ref="B31:C31"/>
    <mergeCell ref="D30:F30"/>
    <mergeCell ref="D31:F31"/>
    <mergeCell ref="B25:C25"/>
    <mergeCell ref="B26:C26"/>
    <mergeCell ref="B27:C27"/>
    <mergeCell ref="B28:C28"/>
    <mergeCell ref="B29:C29"/>
    <mergeCell ref="B30:C30"/>
    <mergeCell ref="B12:L12"/>
    <mergeCell ref="D26:F26"/>
    <mergeCell ref="D27:F27"/>
    <mergeCell ref="D28:F28"/>
    <mergeCell ref="D29:F29"/>
    <mergeCell ref="B24:F24"/>
    <mergeCell ref="D25:F25"/>
  </mergeCells>
  <pageMargins left="0.7" right="0.7" top="0.75" bottom="0.75" header="0.3" footer="0.3"/>
  <drawing r:id="rId1"/>
  <pictur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16441F1285DD843A62E4F1746A956B0" ma:contentTypeVersion="6" ma:contentTypeDescription="Create a new document." ma:contentTypeScope="" ma:versionID="1f875d9102e744ec818f6b87884214cb">
  <xsd:schema xmlns:xsd="http://www.w3.org/2001/XMLSchema" xmlns:xs="http://www.w3.org/2001/XMLSchema" xmlns:p="http://schemas.microsoft.com/office/2006/metadata/properties" xmlns:ns3="eac466e5-1d39-44ce-9b02-a86b39ed3360" xmlns:ns4="7be10c02-466e-4772-8cf9-f5bc447fc269" targetNamespace="http://schemas.microsoft.com/office/2006/metadata/properties" ma:root="true" ma:fieldsID="2e2efbddadb7d21a02d17c79af90a4f6" ns3:_="" ns4:_="">
    <xsd:import namespace="eac466e5-1d39-44ce-9b02-a86b39ed3360"/>
    <xsd:import namespace="7be10c02-466e-4772-8cf9-f5bc447fc269"/>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466e5-1d39-44ce-9b02-a86b39ed33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be10c02-466e-4772-8cf9-f5bc447fc26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7E1EFC3-1871-4CFC-BE8B-DDADC1A2890C}">
  <ds:schemaRefs>
    <ds:schemaRef ds:uri="http://schemas.microsoft.com/sharepoint/v3/contenttype/forms"/>
  </ds:schemaRefs>
</ds:datastoreItem>
</file>

<file path=customXml/itemProps2.xml><?xml version="1.0" encoding="utf-8"?>
<ds:datastoreItem xmlns:ds="http://schemas.openxmlformats.org/officeDocument/2006/customXml" ds:itemID="{25ABBBDF-F32E-460F-9B4F-0F6A4646FF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466e5-1d39-44ce-9b02-a86b39ed3360"/>
    <ds:schemaRef ds:uri="7be10c02-466e-4772-8cf9-f5bc447fc2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94907B3-201E-44FD-9077-6E71A2CA870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Portada</vt:lpstr>
      <vt:lpstr>Antecedentes</vt:lpstr>
      <vt:lpstr>Datos</vt:lpstr>
      <vt:lpstr>EdoResultados</vt:lpstr>
      <vt:lpstr>FlujoEfec</vt:lpstr>
      <vt:lpstr>BalanceGral</vt:lpstr>
      <vt:lpstr>PuntoEq</vt:lpstr>
      <vt:lpstr>Metodos</vt:lpstr>
      <vt:lpstr>Resultados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Ricardo Gabriel Basilio Orihuela</dc:creator>
  <cp:keywords/>
  <dc:description/>
  <cp:lastModifiedBy>TONY AYALA</cp:lastModifiedBy>
  <cp:revision/>
  <dcterms:created xsi:type="dcterms:W3CDTF">2021-06-02T05:57:37Z</dcterms:created>
  <dcterms:modified xsi:type="dcterms:W3CDTF">2021-06-09T02:27:06Z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0x010100D16441F1285DD843A62E4F1746A956B0</vt:lpwstr>
  </property>
</Properties>
</file>