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ources and Uses" sheetId="2" r:id="rId5"/>
    <sheet state="visible" name="Charts" sheetId="3" r:id="rId6"/>
    <sheet state="hidden" name="__Solver__" sheetId="4" r:id="rId7"/>
    <sheet state="hidden" name="__Solver___conflict441410777" sheetId="5" r:id="rId8"/>
    <sheet state="hidden" name="__Solver___conflict1576480072" sheetId="6" r:id="rId9"/>
    <sheet state="hidden" name="__Solver___conflict1478175542" sheetId="7" r:id="rId10"/>
    <sheet state="visible" name="Rents" sheetId="8" r:id="rId11"/>
    <sheet state="visible" name="Debt &amp; Valuation" sheetId="9" r:id="rId12"/>
    <sheet state="visible" name="Tax Credits" sheetId="10" r:id="rId13"/>
    <sheet state="visible" name="BY Proforma No Comm " sheetId="11" r:id="rId14"/>
    <sheet state="visible" name="LT Proforma No Comm" sheetId="12" r:id="rId15"/>
    <sheet state="visible" name="City Impact Fees" sheetId="13" r:id="rId16"/>
    <sheet state="visible" name="Interest Reserve" sheetId="14" r:id="rId17"/>
    <sheet state="visible" name="BY Proforma w Comm" sheetId="15" r:id="rId18"/>
    <sheet state="visible" name="LT Proforma w Comm" sheetId="16" r:id="rId19"/>
    <sheet state="hidden" name="Drop Down Menus" sheetId="17" r:id="rId20"/>
    <sheet state="hidden" name="Notes" sheetId="18" r:id="rId21"/>
  </sheets>
  <definedNames/>
  <calcPr/>
  <extLst>
    <ext uri="GoogleSheetsCustomDataVersion1">
      <go:sheetsCustomData xmlns:go="http://customooxmlschemas.google.com/" r:id="rId22" roundtripDataSignature="AMtx7mjbTtNLyrSpk4sQQvx1Zj/hGZN4T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8">
      <text>
        <t xml:space="preserve">======
ID#AAAAuvQE4tY
    (2023-04-13 22:09:42)
Understand not a requirement. If not the case, development sponsor assures that it is reasonable assumption that requirement would be waived by relevant city authorities for affordable housing development.</t>
      </text>
    </comment>
  </commentList>
  <extLst>
    <ext uri="GoogleSheetsCustomDataVersion1">
      <go:sheetsCustomData xmlns:go="http://customooxmlschemas.google.com/" r:id="rId1" roundtripDataSignature="AMtx7miGpqGXItYbmeFfVC7NTwUEjDWHY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7">
      <text>
        <t xml:space="preserve">======
ID#AAAAuvQE4t4
    (2023-04-13 22:09:42)
Includes church rehabilitation and integration</t>
      </text>
    </comment>
  </commentList>
  <extLst>
    <ext uri="GoogleSheetsCustomDataVersion1">
      <go:sheetsCustomData xmlns:go="http://customooxmlschemas.google.com/" r:id="rId1" roundtripDataSignature="AMtx7mg7zbIPaxOXbvy3S72G/QJcq0RlU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5">
      <text>
        <t xml:space="preserve">======
ID#AAAAuvQE4t0
    (2023-04-13 22:09:42)
Rental Subsidy Increment (Section 8 / VASH, etc.)</t>
      </text>
    </comment>
  </commentList>
  <extLst>
    <ext uri="GoogleSheetsCustomDataVersion1">
      <go:sheetsCustomData xmlns:go="http://customooxmlschemas.google.com/" r:id="rId1" roundtripDataSignature="AMtx7mgzx9jqhy/vbGk1SKMqjnKystpBJ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3">
      <text>
        <t xml:space="preserve">======
ID#AAAAuvQE4ts
    (2023-04-13 22:09:42)
Assumes 420c tax abatement</t>
      </text>
    </comment>
    <comment authorId="0" ref="C30">
      <text>
        <t xml:space="preserve">======
ID#AAAAuvQE4to
    (2023-04-13 22:09:42)
assuming lobby camera monitors
top down cameras
no full time doorman</t>
      </text>
    </comment>
    <comment authorId="0" ref="C24">
      <text>
        <t xml:space="preserve">======
ID#AAAAuvQE4tk
    (2023-04-13 22:09:42)
Ground lease payment is netted against community facility income, since land is being leased from the end user of the community space</t>
      </text>
    </comment>
  </commentList>
  <extLst>
    <ext uri="GoogleSheetsCustomDataVersion1">
      <go:sheetsCustomData xmlns:go="http://customooxmlschemas.google.com/" r:id="rId1" roundtripDataSignature="AMtx7mjeOv7MSg78a9aV1fQ+KHgFF5CMUA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5">
      <text>
        <t xml:space="preserve">======
ID#AAAAuvQE4tU
    (2023-04-13 22:09:42)
420c Tax Exemption</t>
      </text>
    </comment>
  </commentList>
  <extLst>
    <ext uri="GoogleSheetsCustomDataVersion1">
      <go:sheetsCustomData xmlns:go="http://customooxmlschemas.google.com/" r:id="rId1" roundtripDataSignature="AMtx7mhJZXm8XXi7SbGrIDxZHRTIBlWu7A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2">
      <text>
        <t xml:space="preserve">======
ID#AAAAuvQE4tg
    (2023-04-13 22:09:42)
assuming lobby camera monitors
top down cameras
no full time doorman</t>
      </text>
    </comment>
    <comment authorId="0" ref="C25">
      <text>
        <t xml:space="preserve">======
ID#AAAAuvQE4tc
    (2023-04-13 22:09:42)
Assumes 420c tax abatement</t>
      </text>
    </comment>
    <comment authorId="0" ref="C26">
      <text>
        <t xml:space="preserve">======
ID#AAAAuvQE4tQ
    (2023-04-13 22:09:42)
Ground lease payment is netted against community facility income, since land is being leased from the end user of the community space</t>
      </text>
    </comment>
  </commentList>
  <extLst>
    <ext uri="GoogleSheetsCustomDataVersion1">
      <go:sheetsCustomData xmlns:go="http://customooxmlschemas.google.com/" r:id="rId1" roundtripDataSignature="AMtx7mgK5Ay2fSNV86J4b5omU38c9CafRg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6">
      <text>
        <t xml:space="preserve">======
ID#AAAAuvQE4tw
    (2023-04-13 22:09:42)
420c Tax Exemption</t>
      </text>
    </comment>
  </commentList>
  <extLst>
    <ext uri="GoogleSheetsCustomDataVersion1">
      <go:sheetsCustomData xmlns:go="http://customooxmlschemas.google.com/" r:id="rId1" roundtripDataSignature="AMtx7mg6Aj5swcJCALvtuXEQ22nCx18PxA=="/>
    </ext>
  </extLst>
</comments>
</file>

<file path=xl/sharedStrings.xml><?xml version="1.0" encoding="utf-8"?>
<sst xmlns="http://schemas.openxmlformats.org/spreadsheetml/2006/main" count="1047" uniqueCount="666">
  <si>
    <t>Low Income Housing Challenge Financial Model</t>
  </si>
  <si>
    <t>Team</t>
  </si>
  <si>
    <t>NYU VIDA</t>
  </si>
  <si>
    <t>Latest Model Update</t>
  </si>
  <si>
    <t>Project Summary</t>
  </si>
  <si>
    <t>Project Name</t>
  </si>
  <si>
    <t>The Beacon Apartments</t>
  </si>
  <si>
    <t>Site Area (acre)</t>
  </si>
  <si>
    <t>Address</t>
  </si>
  <si>
    <t>980 E 180th St. Bronx NY 10460</t>
  </si>
  <si>
    <t>Site Area (SF)</t>
  </si>
  <si>
    <t>Zoning</t>
  </si>
  <si>
    <t>R7-1</t>
  </si>
  <si>
    <t>FAR</t>
  </si>
  <si>
    <t>Zoning Floor Area</t>
  </si>
  <si>
    <t>DU Factor</t>
  </si>
  <si>
    <t>Max Allowed Units</t>
  </si>
  <si>
    <t>Actual Units</t>
  </si>
  <si>
    <t>Community Facility Component</t>
  </si>
  <si>
    <t>Residential Component</t>
  </si>
  <si>
    <t>Community Facility Gross SF</t>
  </si>
  <si>
    <t>Residential Gross SF</t>
  </si>
  <si>
    <t>Community Facility Loss Factor</t>
  </si>
  <si>
    <t>Residential Loss Factor</t>
  </si>
  <si>
    <t>Community Facility Usable SF</t>
  </si>
  <si>
    <t>Residential Usable SF</t>
  </si>
  <si>
    <t>All Purpose Community Room</t>
  </si>
  <si>
    <t>Laundry Room</t>
  </si>
  <si>
    <t>Library</t>
  </si>
  <si>
    <t>Lobby</t>
  </si>
  <si>
    <t>Total Units</t>
  </si>
  <si>
    <t>Density (units/acre)</t>
  </si>
  <si>
    <t>Affordable Units</t>
  </si>
  <si>
    <t># of Parking Spaces</t>
  </si>
  <si>
    <t>Market Units</t>
  </si>
  <si>
    <t>Parking Ratio</t>
  </si>
  <si>
    <t>Rental Subsidy Units</t>
  </si>
  <si>
    <t>Net Rentable Area - Residential</t>
  </si>
  <si>
    <t># of Manager Units</t>
  </si>
  <si>
    <t>LIHTC Type</t>
  </si>
  <si>
    <t>Other Comments:</t>
  </si>
  <si>
    <t>Project Schedule</t>
  </si>
  <si>
    <t>Closing Date</t>
  </si>
  <si>
    <t>Completion Date</t>
  </si>
  <si>
    <t>months from closing</t>
  </si>
  <si>
    <t>Placed In Service Deadline</t>
  </si>
  <si>
    <t>Leasing Start Date</t>
  </si>
  <si>
    <t>Initial Stabilization</t>
  </si>
  <si>
    <t>months after leasing start date</t>
  </si>
  <si>
    <t>Conversion</t>
  </si>
  <si>
    <t>months stabilized</t>
  </si>
  <si>
    <t>Cushion b/t Initial Stabilization and Construction Loan Maturity</t>
  </si>
  <si>
    <t>Cushion b/t Conversion and Construction Loan Maturity</t>
  </si>
  <si>
    <t>Construction Loan Term</t>
  </si>
  <si>
    <t>months</t>
  </si>
  <si>
    <t>Project Requirement - Construction loan term not to exceed 36 months</t>
  </si>
  <si>
    <t>Sources and Uses</t>
  </si>
  <si>
    <t>Construction</t>
  </si>
  <si>
    <t>Permanent</t>
  </si>
  <si>
    <t>Construction Loan (HDC Tax Exempt Bonds)</t>
  </si>
  <si>
    <t>LIHTC Equity</t>
  </si>
  <si>
    <t>HPD ELLA Subsidy Program Loan</t>
  </si>
  <si>
    <t>HPD Resolution A Grant</t>
  </si>
  <si>
    <t>HDC ELLA Subsidy Program Loan</t>
  </si>
  <si>
    <t>Bronx Borough President Discretionary Grant</t>
  </si>
  <si>
    <t>Deferred Discretionary Developer Fees</t>
  </si>
  <si>
    <t>GP Equity</t>
  </si>
  <si>
    <t>Other Deferrals</t>
  </si>
  <si>
    <t>TOTAL SOURCES</t>
  </si>
  <si>
    <t>Per Sqft</t>
  </si>
  <si>
    <t>Total Land Costs</t>
  </si>
  <si>
    <t>Total Site Work</t>
  </si>
  <si>
    <t>Total Hard Costs</t>
  </si>
  <si>
    <t>Total Soft Costs</t>
  </si>
  <si>
    <t>Total Financing Costs</t>
  </si>
  <si>
    <t>Total Org Costs Start-Up</t>
  </si>
  <si>
    <t>Total Reserves</t>
  </si>
  <si>
    <t>Developer Fees</t>
  </si>
  <si>
    <t>TOTAL USES</t>
  </si>
  <si>
    <t>SURPLUS  &lt; SHORTAGE &gt;</t>
  </si>
  <si>
    <t>Valuation</t>
  </si>
  <si>
    <t>Property Value</t>
  </si>
  <si>
    <t>Tax Credit Value</t>
  </si>
  <si>
    <t>Total Value</t>
  </si>
  <si>
    <t>Ratios</t>
  </si>
  <si>
    <t>LTV Senior Debt</t>
  </si>
  <si>
    <t>Project Requirement - Up to 80% on Permanent Senior Debt</t>
  </si>
  <si>
    <t>Senior Debt LTC</t>
  </si>
  <si>
    <t>Hard Cost Contingency %</t>
  </si>
  <si>
    <t>Project Requirement - No less than 5%</t>
  </si>
  <si>
    <t>Soft Cost Contingency %</t>
  </si>
  <si>
    <t>Deferred Developer Fee / Construction loan Amount</t>
  </si>
  <si>
    <t>Date of Model</t>
  </si>
  <si>
    <t>Uses Construction  - Phase 1</t>
  </si>
  <si>
    <t>Per</t>
  </si>
  <si>
    <t>MASTER BUDGET</t>
  </si>
  <si>
    <t>GROSS BUDGET</t>
  </si>
  <si>
    <t>COST BASIS</t>
  </si>
  <si>
    <t xml:space="preserve">USES DEFERRED  TO </t>
  </si>
  <si>
    <t>NET</t>
  </si>
  <si>
    <t>Sq Ft</t>
  </si>
  <si>
    <t>Unit</t>
  </si>
  <si>
    <t>COMPLETION OR LATER</t>
  </si>
  <si>
    <t>CONSTRUCTION</t>
  </si>
  <si>
    <t>Line Item</t>
  </si>
  <si>
    <t>BUDGET</t>
  </si>
  <si>
    <t>Land Value</t>
  </si>
  <si>
    <t>Building and Improvement Value</t>
  </si>
  <si>
    <t>Legal,  Brker, Due Diligence, Title, Org Costs</t>
  </si>
  <si>
    <t>Transfer Tax</t>
  </si>
  <si>
    <t>TOTAL LAND COSTS</t>
  </si>
  <si>
    <t>Off Site Improvements</t>
  </si>
  <si>
    <t>On-Site improvements</t>
  </si>
  <si>
    <t>Demolition</t>
  </si>
  <si>
    <t>TOTAL SITE WORK</t>
  </si>
  <si>
    <t>Residential - Substructure</t>
  </si>
  <si>
    <t>Residential - Shell</t>
  </si>
  <si>
    <t>Residential - Interiors</t>
  </si>
  <si>
    <t>Residential - Mechanical Services</t>
  </si>
  <si>
    <t>Residential - Passive House Additional Costs</t>
  </si>
  <si>
    <t>Residential - Additional Amenity Budget</t>
  </si>
  <si>
    <t>Contractor Overhead</t>
  </si>
  <si>
    <t>Contractor Profit</t>
  </si>
  <si>
    <t>Other Construction Costs</t>
  </si>
  <si>
    <t>Construction Contingency</t>
  </si>
  <si>
    <t>----------&gt;</t>
  </si>
  <si>
    <t>TOTAL CONSTRUCTION/HARD COSTS</t>
  </si>
  <si>
    <t>Insurance</t>
  </si>
  <si>
    <t>Utility Connection Fees</t>
  </si>
  <si>
    <t>Real Estate Taxes</t>
  </si>
  <si>
    <t>Legal</t>
  </si>
  <si>
    <t>Tax Opinion</t>
  </si>
  <si>
    <t>Architect</t>
  </si>
  <si>
    <t>ALTA Survey</t>
  </si>
  <si>
    <t>Appraisal &amp; Market Study</t>
  </si>
  <si>
    <t>Soils Investigation</t>
  </si>
  <si>
    <t>Local Development Impact Fees</t>
  </si>
  <si>
    <t>Permits</t>
  </si>
  <si>
    <t>Organizational Costs</t>
  </si>
  <si>
    <t>Phase I Report</t>
  </si>
  <si>
    <t>Environmental Surveys</t>
  </si>
  <si>
    <t>Environmental Abatement</t>
  </si>
  <si>
    <t>Project Administration</t>
  </si>
  <si>
    <t>Consultant - Other Engineering</t>
  </si>
  <si>
    <t>Environmental Consultant</t>
  </si>
  <si>
    <t>Consultants (Land Use Outreach &amp; Others)</t>
  </si>
  <si>
    <t>Soft Cost Contingency</t>
  </si>
  <si>
    <t>TOTAL SOFT COSTS</t>
  </si>
  <si>
    <t>Percentage of Hard Costs</t>
  </si>
  <si>
    <t>Const Loan Origination Fee</t>
  </si>
  <si>
    <t>Const Title &amp; Recording</t>
  </si>
  <si>
    <t>Construction Loan Inspection</t>
  </si>
  <si>
    <t>B of A Lender Legal</t>
  </si>
  <si>
    <t>Other Construction Financing Costs</t>
  </si>
  <si>
    <t>Perm Loan Origination Fee</t>
  </si>
  <si>
    <t>Perm Conversion Fee</t>
  </si>
  <si>
    <t>Perm Lender Commitment Fee</t>
  </si>
  <si>
    <t>Perm Lender Closing Costs</t>
  </si>
  <si>
    <t>Perm Title &amp; Recording</t>
  </si>
  <si>
    <t>Perm Lender Legal</t>
  </si>
  <si>
    <t>Bond Costs</t>
  </si>
  <si>
    <t>Upfront LC Fees</t>
  </si>
  <si>
    <t>Annual LC Fee</t>
  </si>
  <si>
    <t>FHA Costs (See separate detail schedule)</t>
  </si>
  <si>
    <t>FHA Escrows (See separate detail schedule)</t>
  </si>
  <si>
    <t>Soft Cost + HTF Interest</t>
  </si>
  <si>
    <t>Other</t>
  </si>
  <si>
    <t>Bank of America Interest Reserve</t>
  </si>
  <si>
    <t>TOTAL FINANCING COSTS</t>
  </si>
  <si>
    <t>Tax Credit Fees (Application, etc.)</t>
  </si>
  <si>
    <t>Operating Reserve Requirements</t>
  </si>
  <si>
    <t xml:space="preserve">Syndication Fees </t>
  </si>
  <si>
    <t>Months</t>
  </si>
  <si>
    <t>Marketing, Lease-up</t>
  </si>
  <si>
    <t>Op exp</t>
  </si>
  <si>
    <t>Accounting/Audit</t>
  </si>
  <si>
    <t>Debt Service</t>
  </si>
  <si>
    <t>Investor Equity Legal</t>
  </si>
  <si>
    <t>Replacement Reserve</t>
  </si>
  <si>
    <t>TOTAL ORG COSTS, START-UP</t>
  </si>
  <si>
    <t>Commercial Reserve, First Year T&amp;I Impound</t>
  </si>
  <si>
    <t>-----------------------------------&gt;</t>
  </si>
  <si>
    <t>Total Operating Reserve</t>
  </si>
  <si>
    <t>Replacement Reserves</t>
  </si>
  <si>
    <t>Operating Reserve</t>
  </si>
  <si>
    <t>Developer Fee Schedule</t>
  </si>
  <si>
    <t>Supportive Services Reserve</t>
  </si>
  <si>
    <t xml:space="preserve">Timing </t>
  </si>
  <si>
    <t>Amount</t>
  </si>
  <si>
    <t>%</t>
  </si>
  <si>
    <t>Transition Reserves</t>
  </si>
  <si>
    <t>Upfront</t>
  </si>
  <si>
    <t xml:space="preserve"> 1 check</t>
  </si>
  <si>
    <t>Operating Deficit / Leaseup Reserves</t>
  </si>
  <si>
    <t>TOTAL RESERVES</t>
  </si>
  <si>
    <t>Completion</t>
  </si>
  <si>
    <t>Tax Credit Consultant</t>
  </si>
  <si>
    <t>TOTAL DEVELOPER FEE and RELATED</t>
  </si>
  <si>
    <t>Deferred</t>
  </si>
  <si>
    <t>over 3-4 years</t>
  </si>
  <si>
    <t>TOTAL PROJECT COSTS</t>
  </si>
  <si>
    <t>A</t>
  </si>
  <si>
    <t>Total</t>
  </si>
  <si>
    <t xml:space="preserve">Timing During </t>
  </si>
  <si>
    <t>Source</t>
  </si>
  <si>
    <t>Condition to Fund</t>
  </si>
  <si>
    <t>Total Sources through Completion</t>
  </si>
  <si>
    <t>B</t>
  </si>
  <si>
    <t>Surplus (Deficit) During Construction?</t>
  </si>
  <si>
    <t>C = A + B</t>
  </si>
  <si>
    <t>USES FROM COMPLETION THROUGH CONVERSION - PHASE 2</t>
  </si>
  <si>
    <t>DEFERRALS DURING CONSTRUCTION</t>
  </si>
  <si>
    <t>DEFERRALS  THROUGH CONVERSION</t>
  </si>
  <si>
    <t>NET USES 
THIS 
PHASE</t>
  </si>
  <si>
    <t>If 50% is truly deferred, how should it be represented on the sources and uses summary tab?</t>
  </si>
  <si>
    <t>Repayment of Construction Loan</t>
  </si>
  <si>
    <t>TOTAL USES AT COMPLETION THROUGH CONVERSION</t>
  </si>
  <si>
    <t>D</t>
  </si>
  <si>
    <t>SOURCES AT COMPLETION THROUGH CONVERSION - PHASE 2</t>
  </si>
  <si>
    <t xml:space="preserve">Source  </t>
  </si>
  <si>
    <t>Tranche A</t>
  </si>
  <si>
    <t>Total Permanent Senior Debt</t>
  </si>
  <si>
    <t>Other Must Pay Debt</t>
  </si>
  <si>
    <t>Total Must Pay Debt</t>
  </si>
  <si>
    <t>Other Sources</t>
  </si>
  <si>
    <t>Timing</t>
  </si>
  <si>
    <t>Conditions</t>
  </si>
  <si>
    <t xml:space="preserve">Increase perm loan </t>
  </si>
  <si>
    <t>TOTAL SOURCES AFTER COMPLETION THROUGH CONVERSION</t>
  </si>
  <si>
    <t>E = Permanent Sr. Debt + Other Must Pay Debt + Other Sources</t>
  </si>
  <si>
    <t>Surplus (Deficit) at Conversion</t>
  </si>
  <si>
    <t>F = E - D</t>
  </si>
  <si>
    <t>Executive Summary</t>
  </si>
  <si>
    <t>Design</t>
  </si>
  <si>
    <t>Total SF</t>
  </si>
  <si>
    <t>Residential SF</t>
  </si>
  <si>
    <t>Community Facility SF</t>
  </si>
  <si>
    <t>Resi Loss Factor</t>
  </si>
  <si>
    <t>Floor Area</t>
  </si>
  <si>
    <t>Floor Area %</t>
  </si>
  <si>
    <t>Supportive Housing</t>
  </si>
  <si>
    <t>Affordable Residential</t>
  </si>
  <si>
    <t>Manager Unit</t>
  </si>
  <si>
    <t xml:space="preserve">Residential Type </t>
  </si>
  <si>
    <t>Studio</t>
  </si>
  <si>
    <t>1 Bedroom</t>
  </si>
  <si>
    <t>2 bedroom</t>
  </si>
  <si>
    <t>3 Bedroom</t>
  </si>
  <si>
    <t>Unit Mix</t>
  </si>
  <si>
    <t>Unit Sizes</t>
  </si>
  <si>
    <t>425-525 SF</t>
  </si>
  <si>
    <t>575-625 SF</t>
  </si>
  <si>
    <t>775-825 SF</t>
  </si>
  <si>
    <t>950-1000 SF</t>
  </si>
  <si>
    <t>Average AMI</t>
  </si>
  <si>
    <t>Total Sources</t>
  </si>
  <si>
    <t>PSF</t>
  </si>
  <si>
    <t>Sources &amp; Uses</t>
  </si>
  <si>
    <t>Per SF</t>
  </si>
  <si>
    <t>Per Unit</t>
  </si>
  <si>
    <t>Total Costs</t>
  </si>
  <si>
    <t>Hard Costs</t>
  </si>
  <si>
    <t>Soft Costs</t>
  </si>
  <si>
    <t>Financing Costs</t>
  </si>
  <si>
    <t>Other Costs</t>
  </si>
  <si>
    <t>Uses</t>
  </si>
  <si>
    <t>Construction Loan</t>
  </si>
  <si>
    <t>ELLA Subsidies</t>
  </si>
  <si>
    <t>Grants</t>
  </si>
  <si>
    <t>Construction Sources</t>
  </si>
  <si>
    <t>Permanent Loan</t>
  </si>
  <si>
    <t>Conversion Sources</t>
  </si>
  <si>
    <t>Total Uses</t>
  </si>
  <si>
    <t>Years 1-5</t>
  </si>
  <si>
    <t>Years 6-10</t>
  </si>
  <si>
    <t>Years 11-15</t>
  </si>
  <si>
    <t>Surplus/Shortage</t>
  </si>
  <si>
    <t>Opex Ratio</t>
  </si>
  <si>
    <t>DSCR</t>
  </si>
  <si>
    <t>Senior Permanent Debt</t>
  </si>
  <si>
    <t>Construction Financing</t>
  </si>
  <si>
    <t>Deferred Developer Fees</t>
  </si>
  <si>
    <t>Construction Budget</t>
  </si>
  <si>
    <t>Conversion Financing</t>
  </si>
  <si>
    <t>Conversion Uses</t>
  </si>
  <si>
    <t>Construction Loan Repayment</t>
  </si>
  <si>
    <t>Bank of America Senior Permanent Debt</t>
  </si>
  <si>
    <t xml:space="preserve">2 Bedroom </t>
  </si>
  <si>
    <t>TheBridge [Supportive Housing Program]</t>
  </si>
  <si>
    <t>Manager</t>
  </si>
  <si>
    <t>Year</t>
  </si>
  <si>
    <t>Annual Cashflows [First 10 YRS]</t>
  </si>
  <si>
    <t>EGI</t>
  </si>
  <si>
    <t>OpEx [Inc Reserves]</t>
  </si>
  <si>
    <t>NOI</t>
  </si>
  <si>
    <t>DS</t>
  </si>
  <si>
    <t>CFADS</t>
  </si>
  <si>
    <t>2023371680901411258</t>
  </si>
  <si>
    <t>u4UZghCk2F9Hg1Z</t>
  </si>
  <si>
    <t/>
  </si>
  <si>
    <t>Key Metrics &amp; Checks</t>
  </si>
  <si>
    <t>Extremely Low Income %</t>
  </si>
  <si>
    <t>TheBridge %</t>
  </si>
  <si>
    <t>Wtd Avg AMI</t>
  </si>
  <si>
    <t>Market Rate %</t>
  </si>
  <si>
    <t>Max Units/ Resi NSF</t>
  </si>
  <si>
    <t>Market Discount</t>
  </si>
  <si>
    <t>Unit Type</t>
  </si>
  <si>
    <t>Baths</t>
  </si>
  <si>
    <t>Unit Classification</t>
  </si>
  <si>
    <t>AMI</t>
  </si>
  <si>
    <t>No. of Units</t>
  </si>
  <si>
    <t>SF</t>
  </si>
  <si>
    <t>Gross Monthly Affordable Rent</t>
  </si>
  <si>
    <t>Rent / SF</t>
  </si>
  <si>
    <t>Gross Monthly Market Rate Rent</t>
  </si>
  <si>
    <t>Utility Allowance Monthly</t>
  </si>
  <si>
    <t xml:space="preserve">Net Monthly Rent </t>
  </si>
  <si>
    <t>Discount to Market</t>
  </si>
  <si>
    <t>No. of Units with Rental Subsidy</t>
  </si>
  <si>
    <t>Increment / Unit</t>
  </si>
  <si>
    <t>Total Monthly Subsidy</t>
  </si>
  <si>
    <t>Total Annual Subsidy</t>
  </si>
  <si>
    <t>LIHTC</t>
  </si>
  <si>
    <t>TheBridge</t>
  </si>
  <si>
    <t>2 Bedroom</t>
  </si>
  <si>
    <t>-</t>
  </si>
  <si>
    <t>Utility Allowances</t>
  </si>
  <si>
    <t>1 BR</t>
  </si>
  <si>
    <t>2 BR</t>
  </si>
  <si>
    <t>3 BR</t>
  </si>
  <si>
    <t>4 BR</t>
  </si>
  <si>
    <t xml:space="preserve">Gas Heat </t>
  </si>
  <si>
    <t>Gas Cook</t>
  </si>
  <si>
    <t>Other Electric</t>
  </si>
  <si>
    <t>Base Elec</t>
  </si>
  <si>
    <t>Gas Water</t>
  </si>
  <si>
    <t>Base Gas</t>
  </si>
  <si>
    <t>Water</t>
  </si>
  <si>
    <t>Sewer</t>
  </si>
  <si>
    <t>Assumes residents pay for gas, electricity, water and sewer</t>
  </si>
  <si>
    <t>Community Facility Income</t>
  </si>
  <si>
    <t>Annual Rent</t>
  </si>
  <si>
    <t>Proportion</t>
  </si>
  <si>
    <t>Unit Count</t>
  </si>
  <si>
    <t>Monthly Rent</t>
  </si>
  <si>
    <t>TheBridge Units</t>
  </si>
  <si>
    <t>Affordable Rent Calculations</t>
  </si>
  <si>
    <t>Market Rate Comparables</t>
  </si>
  <si>
    <t>Maximum Allowable Gross Rents</t>
  </si>
  <si>
    <t>Bronx County, NY 2023 HUD fair market rents</t>
  </si>
  <si>
    <t>One BD</t>
  </si>
  <si>
    <t>Two BD</t>
  </si>
  <si>
    <t>Three BD</t>
  </si>
  <si>
    <t>% of AMI</t>
  </si>
  <si>
    <t>1 Person HH</t>
  </si>
  <si>
    <t>1.5 Person HH</t>
  </si>
  <si>
    <t>3 Person HH</t>
  </si>
  <si>
    <t>4.5 Person HH</t>
  </si>
  <si>
    <t>https://www.huduser.gov/portal/datasets/fmr/fmrs/FY2023_code/2023summary.odn</t>
  </si>
  <si>
    <t>Retail Comparables</t>
  </si>
  <si>
    <t>Rent Per SF - Minimum Unit Size</t>
  </si>
  <si>
    <t>Average</t>
  </si>
  <si>
    <t>Rent PSF - Actual Unit Size</t>
  </si>
  <si>
    <t>Wtd Average</t>
  </si>
  <si>
    <t>Section 8 Surcharge</t>
  </si>
  <si>
    <t>Capping Section 8 at 8 units to avoid triggering prevailing wage construction costs</t>
  </si>
  <si>
    <t>Count</t>
  </si>
  <si>
    <t>Tenant Rent</t>
  </si>
  <si>
    <t>Fair Market Rent</t>
  </si>
  <si>
    <t>1BR</t>
  </si>
  <si>
    <t>Annual Total</t>
  </si>
  <si>
    <t>2023 HPD Utility Allowances</t>
  </si>
  <si>
    <t>Bedrooms</t>
  </si>
  <si>
    <t>Electric</t>
  </si>
  <si>
    <t>Electric, Heat and Hot Water</t>
  </si>
  <si>
    <t>Water and Sewage</t>
  </si>
  <si>
    <t>Project NOI - Restricted Rents</t>
  </si>
  <si>
    <t>Cap Rate</t>
  </si>
  <si>
    <t>Stabilized Property Value</t>
  </si>
  <si>
    <t>Federal Tax Credit Value</t>
  </si>
  <si>
    <t>State Tax Credit Value</t>
  </si>
  <si>
    <t>Ground Lease</t>
  </si>
  <si>
    <t>Land Value (per BSF)</t>
  </si>
  <si>
    <t>Ground Lease Rate</t>
  </si>
  <si>
    <t>Annual Ground Lease Payment</t>
  </si>
  <si>
    <t>Must Pay Permanent Debt</t>
  </si>
  <si>
    <t>Construction Senior Loan</t>
  </si>
  <si>
    <t>Lender</t>
  </si>
  <si>
    <t>Bank of America</t>
  </si>
  <si>
    <t>HPD</t>
  </si>
  <si>
    <t>HDC</t>
  </si>
  <si>
    <t>Loan Amount</t>
  </si>
  <si>
    <t>LTV/LTC</t>
  </si>
  <si>
    <t>Interest Rate</t>
  </si>
  <si>
    <t>Payment Rate</t>
  </si>
  <si>
    <t>N/A</t>
  </si>
  <si>
    <t>Min DY</t>
  </si>
  <si>
    <t>Max LTV/LTC</t>
  </si>
  <si>
    <t>Min DSCR</t>
  </si>
  <si>
    <r>
      <rPr>
        <rFont val="Arial"/>
        <color theme="1"/>
        <sz val="10.0"/>
      </rPr>
      <t xml:space="preserve">Yrs Amortizating </t>
    </r>
    <r>
      <rPr>
        <rFont val="Arial"/>
        <i/>
        <color theme="1"/>
        <sz val="10.0"/>
      </rPr>
      <t>(Assumes Actual/360)</t>
    </r>
  </si>
  <si>
    <t>Term (# yrs to maturity)</t>
  </si>
  <si>
    <r>
      <rPr>
        <rFont val="Arial"/>
        <color theme="1"/>
        <sz val="10.0"/>
      </rPr>
      <t xml:space="preserve">Pymnt Freq </t>
    </r>
    <r>
      <rPr>
        <rFont val="Arial"/>
        <i/>
        <color theme="1"/>
        <sz val="10.0"/>
      </rPr>
      <t>(Monthly)</t>
    </r>
  </si>
  <si>
    <t>Maximum Debt Service - Per Proforma</t>
  </si>
  <si>
    <t>Annual Debt Service</t>
  </si>
  <si>
    <t>Cumulative Debt Service</t>
  </si>
  <si>
    <t>Cumulative Debt Service Coverage Ratio (DSCR)</t>
  </si>
  <si>
    <t>Cumulative Loan Sizing DSCR</t>
  </si>
  <si>
    <t>Cumulative LTV</t>
  </si>
  <si>
    <t>Cumulative DY</t>
  </si>
  <si>
    <t>(Project Requirement - Cumulative DSCR to be no less than 1.15x)</t>
  </si>
  <si>
    <t>Subsidiy Information</t>
  </si>
  <si>
    <t>Max Subsidy per Unit at 100% LIHTC</t>
  </si>
  <si>
    <t>Funds Available / Unit</t>
  </si>
  <si>
    <t>Funds Available</t>
  </si>
  <si>
    <t>Funds Requested / Unit</t>
  </si>
  <si>
    <t>Funds Requested</t>
  </si>
  <si>
    <t>HPD ELLA Program</t>
  </si>
  <si>
    <t>HDC ELLA Program</t>
  </si>
  <si>
    <t>FHLB Affordable Housing and Community Investment</t>
  </si>
  <si>
    <t>HPD Resolution A</t>
  </si>
  <si>
    <t>Bronx Borough President Discretionary Grant Criteria</t>
  </si>
  <si>
    <t>FHLB Scoring</t>
  </si>
  <si>
    <t>Federal Low Income Housing Tax Credits</t>
  </si>
  <si>
    <t>Tax Credit Type</t>
  </si>
  <si>
    <t>Threshold Basis Limit (221(d)(3))</t>
  </si>
  <si>
    <t>Basis Limits</t>
  </si>
  <si>
    <t>1&gt; Payment of Prevailing Wages (20%)</t>
  </si>
  <si>
    <t>2&gt; Parking under residential units (7%)</t>
  </si>
  <si>
    <t>1 Bdr</t>
  </si>
  <si>
    <t>3&gt; Day Care part of development (2%)</t>
  </si>
  <si>
    <t>2 Bdr</t>
  </si>
  <si>
    <t>4&gt; Seismic upgrades</t>
  </si>
  <si>
    <t>3 Bdr</t>
  </si>
  <si>
    <t>5&gt; Development Impact Fees</t>
  </si>
  <si>
    <t>4 Bdr</t>
  </si>
  <si>
    <t>6&gt; 95% of upper units serviced by elevator (10%)</t>
  </si>
  <si>
    <t>Adjusted Threshold Basis Limit</t>
  </si>
  <si>
    <t xml:space="preserve">Total Eligible Basis </t>
  </si>
  <si>
    <t>Source/Uses</t>
  </si>
  <si>
    <t>Less:  Grant Proceeds</t>
  </si>
  <si>
    <r>
      <rPr>
        <rFont val="Arial"/>
        <b/>
        <color theme="1"/>
        <sz val="10.0"/>
      </rPr>
      <t xml:space="preserve">50% Test </t>
    </r>
    <r>
      <rPr>
        <rFont val="Arial"/>
        <b/>
        <i/>
        <color theme="1"/>
        <sz val="10.0"/>
      </rPr>
      <t>(Only for 4%/Tax Exempt Bond Deal)</t>
    </r>
  </si>
  <si>
    <t xml:space="preserve">             BMIR Financing</t>
  </si>
  <si>
    <t>Long Term Bonds</t>
  </si>
  <si>
    <t xml:space="preserve">            Voluntarily Excluded</t>
  </si>
  <si>
    <t>? Question</t>
  </si>
  <si>
    <t>Short Term Bonds</t>
  </si>
  <si>
    <t>Total Bonds</t>
  </si>
  <si>
    <t>Requested Unadjusted Basis</t>
  </si>
  <si>
    <t>Basis</t>
  </si>
  <si>
    <t>Lower of Adjusted or Requested</t>
  </si>
  <si>
    <t>Land</t>
  </si>
  <si>
    <t>Less:  Voluntarily Reduced for points</t>
  </si>
  <si>
    <t>Basis + Land</t>
  </si>
  <si>
    <t>Requested Basis</t>
  </si>
  <si>
    <t>&gt;50% Test Fraction</t>
  </si>
  <si>
    <t xml:space="preserve">Must be 51.5% or greater. </t>
  </si>
  <si>
    <t>High Cost Area Adjustment / Basis Boost</t>
  </si>
  <si>
    <t>Y</t>
  </si>
  <si>
    <t>Applicable Fraction</t>
  </si>
  <si>
    <t>Total Qualified Basis</t>
  </si>
  <si>
    <t>Tax Credit Percentage / Applicable Percentage</t>
  </si>
  <si>
    <t>Calculated Annual Tax Credit / Credit Allocation</t>
  </si>
  <si>
    <t>10 Year Credits</t>
  </si>
  <si>
    <t>LP Percentage</t>
  </si>
  <si>
    <t>Total Tax Credits to LP</t>
  </si>
  <si>
    <t>Assumed Sales Price / Credit</t>
  </si>
  <si>
    <t xml:space="preserve">Total LIHTC Equity Proceeds </t>
  </si>
  <si>
    <t>State Tax Credits</t>
  </si>
  <si>
    <t>Calculation of State Credits</t>
  </si>
  <si>
    <t>Actual Basis</t>
  </si>
  <si>
    <t>State Credit Factor</t>
  </si>
  <si>
    <t>Total 4 Year State Credits</t>
  </si>
  <si>
    <t>Assumed Sales Price</t>
  </si>
  <si>
    <t>Equity Proceeds from State Credits</t>
  </si>
  <si>
    <t>TOTAL EQUITY, FEDERAL &amp; STATE CREDITS</t>
  </si>
  <si>
    <t>Equity Capital Contributions</t>
  </si>
  <si>
    <t>Closing</t>
  </si>
  <si>
    <t>Please note, this Y1 Proforma does not contain the commercial rent from the community facility</t>
  </si>
  <si>
    <t>Annual</t>
  </si>
  <si>
    <t>Rental Revenue</t>
  </si>
  <si>
    <t>Other Income / Laundry Misc</t>
  </si>
  <si>
    <t>Total Revenue</t>
  </si>
  <si>
    <t>Vacancy - Restricted Rent</t>
  </si>
  <si>
    <t>Vacancy - Section 8</t>
  </si>
  <si>
    <t>Vacancy - Other Inc</t>
  </si>
  <si>
    <t>Total Vacancy</t>
  </si>
  <si>
    <t>Effective Gross Income</t>
  </si>
  <si>
    <t>Management Fees</t>
  </si>
  <si>
    <t>Ground Lease Payment</t>
  </si>
  <si>
    <t>Telephone, Bank chgs, credit cks, misc office</t>
  </si>
  <si>
    <t>Office Expense</t>
  </si>
  <si>
    <t>Security</t>
  </si>
  <si>
    <t>Taxes Lic. And Permits</t>
  </si>
  <si>
    <t xml:space="preserve">Tax Credit Monitoring </t>
  </si>
  <si>
    <t>Total Administration</t>
  </si>
  <si>
    <t>Manager Salary</t>
  </si>
  <si>
    <t>Janitorial</t>
  </si>
  <si>
    <t>Maintenance Personnel</t>
  </si>
  <si>
    <t>Med insurance / Benefits</t>
  </si>
  <si>
    <t>Payroll Taxes / Bond</t>
  </si>
  <si>
    <t>Payroll and Benefits</t>
  </si>
  <si>
    <t>Cable TV</t>
  </si>
  <si>
    <t>Number of Units</t>
  </si>
  <si>
    <t>Rooms</t>
  </si>
  <si>
    <t>Total Rooms per Unit</t>
  </si>
  <si>
    <t>Electricity</t>
  </si>
  <si>
    <t>Gas/Heating</t>
  </si>
  <si>
    <t>Total Utilities</t>
  </si>
  <si>
    <t>Marketing</t>
  </si>
  <si>
    <t>Painting</t>
  </si>
  <si>
    <t>Repairs</t>
  </si>
  <si>
    <t>Trash Removal</t>
  </si>
  <si>
    <t>Supplies/Cleaning/Exterminating</t>
  </si>
  <si>
    <t>Grounds/Landscaping</t>
  </si>
  <si>
    <t>Elevator</t>
  </si>
  <si>
    <t>Other (alarm monitoring)</t>
  </si>
  <si>
    <t>Repairs and Maintenance</t>
  </si>
  <si>
    <t>Miscellaneous</t>
  </si>
  <si>
    <t>Other Expenses</t>
  </si>
  <si>
    <t>Social Services</t>
  </si>
  <si>
    <t>Total Operating Expenses</t>
  </si>
  <si>
    <t>Operating Reserves</t>
  </si>
  <si>
    <t>Total Expenses &amp; Reserves</t>
  </si>
  <si>
    <t>Net Operating Income (NOI)</t>
  </si>
  <si>
    <t>Please note, this Proforma does not contain the commercial rent from the community facility</t>
  </si>
  <si>
    <t>Total Debt Service</t>
  </si>
  <si>
    <t>Cash Flow After Debt Service</t>
  </si>
  <si>
    <t>Debt Service Coverage Ratio</t>
  </si>
  <si>
    <t>HTF Principal</t>
  </si>
  <si>
    <t xml:space="preserve">HTF Interest </t>
  </si>
  <si>
    <t>Beginning Balance</t>
  </si>
  <si>
    <t>Interest Earned</t>
  </si>
  <si>
    <t>Interest Payment</t>
  </si>
  <si>
    <t>Interest Accrual</t>
  </si>
  <si>
    <t>Interest Due</t>
  </si>
  <si>
    <t>Affordable Housing New Construction</t>
  </si>
  <si>
    <t>Per Unit, Acre</t>
  </si>
  <si>
    <t>Units, Acres</t>
  </si>
  <si>
    <t>Local  Fees - Multi-Family</t>
  </si>
  <si>
    <t>or Sq Ft</t>
  </si>
  <si>
    <t>DIFs:</t>
  </si>
  <si>
    <t>Streets &amp; Thoroghfares</t>
  </si>
  <si>
    <t>Highway Interchanges &amp; Bridges</t>
  </si>
  <si>
    <t>Traffic Control Facilities</t>
  </si>
  <si>
    <t>General Facilities &amp; Equipment</t>
  </si>
  <si>
    <t>Storm Drainage Facilities (per acre)</t>
  </si>
  <si>
    <t>Parkland Acquisition Fees</t>
  </si>
  <si>
    <t>Parks and Recreation Facilities</t>
  </si>
  <si>
    <t>Acquatics Facilities</t>
  </si>
  <si>
    <t>Other Fees:</t>
  </si>
  <si>
    <t>Carp-Summer Fire Distr - Fire Protection Cert</t>
  </si>
  <si>
    <t>Carp Sanitary District - Connection Fees</t>
  </si>
  <si>
    <t>Carp Water Distr - Cap Cost Rec Fees</t>
  </si>
  <si>
    <t>School District Fees (per habitable sq ft)</t>
  </si>
  <si>
    <t>New Construction Tax - City</t>
  </si>
  <si>
    <t>Landscape Bond - City</t>
  </si>
  <si>
    <t>Reduction for Affordable</t>
  </si>
  <si>
    <t>Total Fees - Affordable</t>
  </si>
  <si>
    <t>or Square Foot</t>
  </si>
  <si>
    <t>Square Feet</t>
  </si>
  <si>
    <t>New Construction Tax</t>
  </si>
  <si>
    <t>Landscape Bond</t>
  </si>
  <si>
    <t>Total Fees - Manager's Unit</t>
  </si>
  <si>
    <t>Casas de las Flores, Carpinteria</t>
  </si>
  <si>
    <t>Planning, Processing &amp; Permiting</t>
  </si>
  <si>
    <t>City's Project Fees:</t>
  </si>
  <si>
    <t>Conceptual Review Application</t>
  </si>
  <si>
    <t>ARB/PC Story Pole Fee</t>
  </si>
  <si>
    <t>Development Application</t>
  </si>
  <si>
    <t>Environmental Clearance (incl Fish &amp; Game)</t>
  </si>
  <si>
    <t>Long Term Planning Charges (to date as of 04/11/13)</t>
  </si>
  <si>
    <t>Building/Grading Permit &amp; Other:</t>
  </si>
  <si>
    <t>Advance Plan Check</t>
  </si>
  <si>
    <t>Plan Check</t>
  </si>
  <si>
    <t>Plumbing Permit</t>
  </si>
  <si>
    <t>Electrical Permit</t>
  </si>
  <si>
    <t>Mechanical Permit</t>
  </si>
  <si>
    <t>Planning/Staff Fee</t>
  </si>
  <si>
    <t>SMIP (based on valuation)</t>
  </si>
  <si>
    <t>BSC Fee SB1473 ($1 per $25,000 val)</t>
  </si>
  <si>
    <t>Total Local Fees</t>
  </si>
  <si>
    <t>Rate Index</t>
  </si>
  <si>
    <t>1 Mo BSBY</t>
  </si>
  <si>
    <t>Today's Rate</t>
  </si>
  <si>
    <t>Spread</t>
  </si>
  <si>
    <t>Cushion</t>
  </si>
  <si>
    <t>(1% is sufficient cushion)</t>
  </si>
  <si>
    <t>Interest Rate All-In</t>
  </si>
  <si>
    <t>Construction Loan Amount</t>
  </si>
  <si>
    <t>Average Outstanding Percentage of Construction Loan (Utilization Rate)</t>
  </si>
  <si>
    <t>(Rule of Thumb is 60%)</t>
  </si>
  <si>
    <t>Interest Loan Reserve</t>
  </si>
  <si>
    <t xml:space="preserve"> </t>
  </si>
  <si>
    <t>Please note the commercial rent highlighted in this proforma is not being accounted for loan sizing.</t>
  </si>
  <si>
    <t>Vacancy (Commercial)</t>
  </si>
  <si>
    <t>Uses of Residual Cash Flow</t>
  </si>
  <si>
    <t xml:space="preserve">    SB HTF</t>
  </si>
  <si>
    <t xml:space="preserve">    Investor Services Fee (Limited Partner)</t>
  </si>
  <si>
    <t xml:space="preserve">    GP Partnership Management Fee 1</t>
  </si>
  <si>
    <t xml:space="preserve">    GP Partnership Management Fee 2</t>
  </si>
  <si>
    <t>Distributions</t>
  </si>
  <si>
    <t>Distributable Cash</t>
  </si>
  <si>
    <t>Deferred Developer Fee</t>
  </si>
  <si>
    <t>Developer Distribution</t>
  </si>
  <si>
    <t>Net Distributable Cash</t>
  </si>
  <si>
    <t>Sources and Uses Tab</t>
  </si>
  <si>
    <t>Rents Tab</t>
  </si>
  <si>
    <t>Tax Credits Tab</t>
  </si>
  <si>
    <t>Timing During Construction</t>
  </si>
  <si>
    <t>Timing At Completion Through Conversion</t>
  </si>
  <si>
    <t>4 Bedroom</t>
  </si>
  <si>
    <t>N</t>
  </si>
  <si>
    <t>Timing of Developer Fee Payments</t>
  </si>
  <si>
    <t>Non-LIHTC Rent Restricted</t>
  </si>
  <si>
    <t>Market Rate</t>
  </si>
  <si>
    <t>After Lien-Free Completion</t>
  </si>
  <si>
    <t>Workforce</t>
  </si>
  <si>
    <t>Sources of Financing</t>
  </si>
  <si>
    <t>Debt:</t>
  </si>
  <si>
    <t>Hard</t>
  </si>
  <si>
    <t>Conventional Bank Loan</t>
  </si>
  <si>
    <t>Soft</t>
  </si>
  <si>
    <t>Deferred Loan</t>
  </si>
  <si>
    <t>Residual Receipts Loan</t>
  </si>
  <si>
    <t>Equity:</t>
  </si>
  <si>
    <t>Cash Return to Investor</t>
  </si>
  <si>
    <t>Tax Credit to Investor</t>
  </si>
  <si>
    <t>Other:</t>
  </si>
  <si>
    <t>Subsidies</t>
  </si>
  <si>
    <t>Section 8 Contract (project based) - through Housing Authority</t>
  </si>
  <si>
    <t>Rental Assistance - through HUD or USDA</t>
  </si>
  <si>
    <t>Capitalized Operating Subsidy Reserve (COSR)</t>
  </si>
  <si>
    <t>Contributions</t>
  </si>
  <si>
    <t>Donations (Cash or Land)</t>
  </si>
  <si>
    <t>Waivers/Deferrals (Fees)</t>
  </si>
  <si>
    <t xml:space="preserve">Agency Housing Finance Programs </t>
  </si>
  <si>
    <t>Housing Trust Funds (HTF)</t>
  </si>
  <si>
    <t>City/County Funds</t>
  </si>
  <si>
    <t>State/Federal Funds</t>
  </si>
  <si>
    <t>National Program Funds</t>
  </si>
  <si>
    <t>Approach to Identify Sources</t>
  </si>
  <si>
    <t>Convention Loan(s)</t>
  </si>
  <si>
    <t>Soft Debt/Contributions</t>
  </si>
  <si>
    <t>Local:</t>
  </si>
  <si>
    <t>City &amp; County</t>
  </si>
  <si>
    <t>CDBG</t>
  </si>
  <si>
    <t>HOME</t>
  </si>
  <si>
    <t>Inclusionary program in-leiu fee funds</t>
  </si>
  <si>
    <t>Housin Trust Funds</t>
  </si>
  <si>
    <t>Community Foundations</t>
  </si>
  <si>
    <t>State:</t>
  </si>
  <si>
    <t>Housing Finance Agency</t>
  </si>
  <si>
    <t>Special Populations</t>
  </si>
  <si>
    <t>CDBG/HOME</t>
  </si>
  <si>
    <t>Independent Foundations</t>
  </si>
  <si>
    <t>National:</t>
  </si>
  <si>
    <t>Federal Housing Programs</t>
  </si>
  <si>
    <t>HUD</t>
  </si>
  <si>
    <t>USDA</t>
  </si>
  <si>
    <t>Other Programs</t>
  </si>
  <si>
    <t>FHLB (AHP)</t>
  </si>
  <si>
    <t>Corporate Foundations</t>
  </si>
  <si>
    <t>Equity</t>
  </si>
  <si>
    <t>LIHTC Program (4% or 9%)</t>
  </si>
  <si>
    <t>Social Impact Investors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</si>
</sst>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0.0"/>
    <numFmt numFmtId="165" formatCode="&quot;$&quot;#,##0"/>
    <numFmt numFmtId="166" formatCode="_(* #,##0_);_(* \(#,##0\);_(* &quot;-&quot;??_);_(@_)"/>
    <numFmt numFmtId="167" formatCode="&quot;$&quot;#,##0_);[Red]\(&quot;$&quot;#,##0\)"/>
    <numFmt numFmtId="168" formatCode="_(* #,##0_);_(* \(#,##0\);_(* &quot;-&quot;_);_(@_)"/>
    <numFmt numFmtId="169" formatCode="&quot;$&quot;#,##0.00"/>
    <numFmt numFmtId="170" formatCode="0.0%"/>
    <numFmt numFmtId="171" formatCode="&quot;$&quot;#,##0.00_);[Red]\(&quot;$&quot;#,##0.00\)"/>
    <numFmt numFmtId="172" formatCode="0.00&quot;x&quot;"/>
    <numFmt numFmtId="173" formatCode="_(* #,##0.00_);_(* \(#,##0.00\);_(* &quot;-&quot;??_);_(@_)"/>
    <numFmt numFmtId="174" formatCode="yyyy"/>
    <numFmt numFmtId="175" formatCode="&quot;$&quot;#,##0.0000_);[Red]\(&quot;$&quot;#,##0.0000\)"/>
    <numFmt numFmtId="176" formatCode="_(&quot;$&quot;* #,##0.00_);_(&quot;$&quot;* \(#,##0.00\);_(&quot;$&quot;* &quot;-&quot;??_);_(@_)"/>
  </numFmts>
  <fonts count="98">
    <font>
      <sz val="10.0"/>
      <color theme="1"/>
      <name val="Arial"/>
      <scheme val="minor"/>
    </font>
    <font>
      <b/>
      <sz val="14.0"/>
      <color theme="1"/>
      <name val="Arial"/>
    </font>
    <font>
      <sz val="10.0"/>
      <color theme="1"/>
      <name val="Arial"/>
    </font>
    <font>
      <b/>
      <sz val="10.0"/>
      <color theme="1"/>
      <name val="Arial"/>
    </font>
    <font>
      <sz val="10.0"/>
      <color rgb="FF0070C0"/>
      <name val="Arial"/>
    </font>
    <font>
      <b/>
      <sz val="10.0"/>
      <color theme="0"/>
      <name val="Arial"/>
    </font>
    <font>
      <sz val="10.0"/>
      <color theme="8"/>
      <name val="Arial"/>
    </font>
    <font>
      <sz val="10.0"/>
      <color rgb="FFFF0000"/>
      <name val="Arial"/>
    </font>
    <font>
      <sz val="10.0"/>
      <color rgb="FF4472C4"/>
      <name val="Arial"/>
    </font>
    <font/>
    <font>
      <i/>
      <sz val="10.0"/>
      <color theme="1"/>
      <name val="Arial"/>
    </font>
    <font>
      <sz val="10.0"/>
      <color rgb="FF000000"/>
      <name val="Arial"/>
    </font>
    <font>
      <i/>
      <sz val="7.0"/>
      <color theme="1"/>
      <name val="Arial"/>
    </font>
    <font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rgb="FFC00000"/>
      <name val="Arial"/>
    </font>
    <font>
      <u/>
      <sz val="10.0"/>
      <color theme="1"/>
      <name val="Arial"/>
    </font>
    <font>
      <b/>
      <u/>
      <sz val="10.0"/>
      <color theme="0"/>
      <name val="Arial"/>
    </font>
    <font>
      <b/>
      <u/>
      <sz val="10.0"/>
      <color theme="1"/>
      <name val="Arial"/>
    </font>
    <font>
      <sz val="10.0"/>
      <color theme="0"/>
      <name val="Arial"/>
    </font>
    <font>
      <color theme="1"/>
      <name val="Arial"/>
      <scheme val="minor"/>
    </font>
    <font>
      <b/>
      <sz val="14.0"/>
      <color rgb="FF000000"/>
      <name val="Arial"/>
    </font>
    <font>
      <b/>
      <sz val="10.0"/>
      <color rgb="FF000000"/>
      <name val="Arial"/>
    </font>
    <font>
      <b/>
      <sz val="8.0"/>
      <color theme="1"/>
      <name val="Arial"/>
    </font>
    <font>
      <sz val="8.0"/>
      <color theme="1"/>
      <name val="Arial"/>
    </font>
    <font>
      <u/>
      <sz val="8.0"/>
      <color theme="1"/>
      <name val="Arial"/>
    </font>
    <font>
      <sz val="8.0"/>
      <color rgb="FF4A86E8"/>
      <name val="Arial"/>
    </font>
    <font>
      <b/>
      <u/>
      <sz val="8.0"/>
      <color theme="1"/>
      <name val="Arial"/>
    </font>
    <font>
      <u/>
      <sz val="10.0"/>
      <color rgb="FF000000"/>
      <name val="Arial"/>
    </font>
    <font>
      <b/>
      <u/>
      <sz val="8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sz val="7.0"/>
      <color theme="1"/>
      <name val="Arial"/>
    </font>
    <font>
      <sz val="7.0"/>
      <color rgb="FF0070C0"/>
      <name val="Arial"/>
    </font>
    <font>
      <b/>
      <u/>
      <sz val="8.0"/>
      <color theme="1"/>
      <name val="Arial"/>
    </font>
    <font>
      <u/>
      <sz val="10.0"/>
      <color rgb="FF0070C0"/>
      <name val="Arial"/>
    </font>
    <font>
      <u/>
      <sz val="8.0"/>
      <color theme="1"/>
      <name val="Arial"/>
    </font>
    <font>
      <u/>
      <sz val="10.0"/>
      <color rgb="FF0070C0"/>
      <name val="Arial"/>
    </font>
    <font>
      <u/>
      <sz val="8.0"/>
      <color theme="1"/>
      <name val="Arial"/>
    </font>
    <font>
      <b/>
      <u/>
      <sz val="8.0"/>
      <color theme="1"/>
      <name val="Arial"/>
    </font>
    <font>
      <b/>
      <i/>
      <sz val="10.0"/>
      <color theme="1"/>
      <name val="Arial"/>
    </font>
    <font>
      <b/>
      <u/>
      <sz val="10.0"/>
      <color theme="1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sz val="10.0"/>
      <color rgb="FFFF0000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sz val="13.0"/>
      <color rgb="FFFFFFFF"/>
      <name val="Roboto"/>
    </font>
    <font>
      <b/>
      <color rgb="FFFFFFFF"/>
      <name val="Roboto"/>
    </font>
    <font>
      <b/>
      <sz val="10.0"/>
      <color rgb="FFFFFFFF"/>
      <name val="Arial"/>
    </font>
    <font>
      <b/>
      <sz val="12.0"/>
      <color theme="1"/>
      <name val="Roboto"/>
    </font>
    <font>
      <color theme="1"/>
      <name val="Roboto"/>
    </font>
    <font>
      <u/>
      <color theme="1"/>
      <name val="Roboto"/>
    </font>
    <font>
      <u/>
      <color theme="1"/>
      <name val="Roboto"/>
    </font>
    <font>
      <b/>
      <color theme="1"/>
      <name val="Roboto"/>
    </font>
    <font>
      <u/>
      <color theme="1"/>
      <name val="Roboto"/>
    </font>
    <font>
      <u/>
      <color theme="1"/>
      <name val="Roboto"/>
    </font>
    <font>
      <b/>
      <i/>
      <sz val="8.0"/>
      <color theme="1"/>
      <name val="Arial"/>
    </font>
    <font>
      <i/>
      <sz val="8.0"/>
      <color theme="1"/>
      <name val="Arial"/>
    </font>
    <font>
      <u/>
      <color theme="1"/>
      <name val="Roboto"/>
    </font>
    <font>
      <b/>
      <color rgb="FFFFFFFF"/>
      <name val="Arial"/>
    </font>
    <font>
      <color rgb="FFFFFFFF"/>
      <name val="Arial"/>
    </font>
    <font>
      <color rgb="FF000000"/>
      <name val="Arial"/>
    </font>
    <font>
      <u/>
      <color rgb="FF000000"/>
      <name val="Arial"/>
    </font>
    <font>
      <u/>
      <color rgb="FF000000"/>
      <name val="Arial"/>
    </font>
    <font>
      <b/>
      <u/>
      <sz val="10.0"/>
      <color theme="1"/>
      <name val="Arial"/>
    </font>
    <font>
      <b/>
      <u/>
      <sz val="10.0"/>
      <color rgb="FFC00000"/>
      <name val="Arial"/>
    </font>
    <font>
      <b/>
      <u/>
      <sz val="10.0"/>
      <color theme="1"/>
      <name val="Arial"/>
    </font>
    <font>
      <b/>
      <u/>
      <sz val="10.0"/>
      <color rgb="FFC00000"/>
      <name val="Arial"/>
    </font>
    <font>
      <u/>
      <color rgb="FF000000"/>
      <name val="Arial"/>
    </font>
    <font>
      <b/>
      <u/>
      <sz val="10.0"/>
      <color theme="0"/>
      <name val="Arial"/>
    </font>
    <font>
      <b/>
      <u/>
      <sz val="10.0"/>
      <color theme="1"/>
      <name val="Arial"/>
    </font>
    <font>
      <i/>
      <sz val="8.0"/>
      <color theme="1"/>
      <name val="Arial"/>
      <scheme val="minor"/>
    </font>
    <font>
      <sz val="6.0"/>
      <color theme="1"/>
      <name val="Arial"/>
    </font>
    <font>
      <b/>
      <sz val="6.0"/>
      <color theme="1"/>
      <name val="Arial"/>
    </font>
    <font>
      <b/>
      <sz val="6.0"/>
      <color theme="0"/>
      <name val="Arial"/>
    </font>
    <font>
      <b/>
      <sz val="8.0"/>
      <color theme="0"/>
      <name val="Arial"/>
    </font>
    <font>
      <sz val="6.0"/>
      <color rgb="FF0070C0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u/>
      <sz val="10.0"/>
      <color theme="1"/>
      <name val="Arial"/>
    </font>
    <font>
      <sz val="11.0"/>
      <color theme="1"/>
      <name val="Arial"/>
    </font>
    <font>
      <i/>
      <sz val="10.0"/>
      <color rgb="FF000000"/>
      <name val="Arial"/>
    </font>
    <font>
      <u/>
      <sz val="10.0"/>
      <color theme="1"/>
      <name val="Arial"/>
    </font>
    <font>
      <u/>
      <sz val="10.0"/>
      <color theme="1"/>
      <name val="Arial"/>
    </font>
    <font>
      <u/>
      <sz val="10.0"/>
      <color theme="1"/>
      <name val="Arial"/>
    </font>
    <font>
      <sz val="10.0"/>
      <color rgb="FF0000FF"/>
      <name val="Arial"/>
    </font>
    <font>
      <sz val="8.0"/>
      <color rgb="FF0070C0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b/>
      <u/>
      <sz val="10.0"/>
      <color theme="1"/>
      <name val="Arial"/>
    </font>
    <font>
      <u/>
      <sz val="10.0"/>
      <color theme="1"/>
      <name val="Calibri"/>
    </font>
    <font>
      <u/>
      <sz val="10.0"/>
      <color theme="1"/>
      <name val="Calibri"/>
    </font>
    <font>
      <sz val="10.0"/>
      <color theme="1"/>
      <name val="Calibri"/>
    </font>
    <font>
      <b/>
      <sz val="10.0"/>
      <color rgb="FF00B050"/>
      <name val="Arial"/>
    </font>
    <font>
      <b/>
      <sz val="10.0"/>
      <color rgb="FF0070C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98987C"/>
        <bgColor rgb="FF98987C"/>
      </patternFill>
    </fill>
    <fill>
      <patternFill patternType="solid">
        <fgColor rgb="FFC5E0B3"/>
        <bgColor rgb="FFC5E0B3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A5A5A5"/>
        <bgColor rgb="FFA5A5A5"/>
      </patternFill>
    </fill>
    <fill>
      <patternFill patternType="solid">
        <fgColor rgb="FFC9DAF8"/>
        <bgColor rgb="FFC9DAF8"/>
      </patternFill>
    </fill>
    <fill>
      <patternFill patternType="solid">
        <fgColor rgb="FF002060"/>
        <bgColor rgb="FF002060"/>
      </patternFill>
    </fill>
    <fill>
      <patternFill patternType="solid">
        <fgColor rgb="FFE7E6E6"/>
        <bgColor rgb="FFE7E6E6"/>
      </patternFill>
    </fill>
    <fill>
      <patternFill patternType="solid">
        <fgColor rgb="FF274E13"/>
        <bgColor rgb="FF274E13"/>
      </patternFill>
    </fill>
    <fill>
      <patternFill patternType="solid">
        <fgColor rgb="FF20124D"/>
        <bgColor rgb="FF20124D"/>
      </patternFill>
    </fill>
    <fill>
      <patternFill patternType="solid">
        <fgColor rgb="FFCFE2F3"/>
        <bgColor rgb="FFCFE2F3"/>
      </patternFill>
    </fill>
    <fill>
      <patternFill patternType="solid">
        <fgColor rgb="FF38761D"/>
        <bgColor rgb="FF38761D"/>
      </patternFill>
    </fill>
    <fill>
      <patternFill patternType="solid">
        <fgColor rgb="FFB4A7D6"/>
        <bgColor rgb="FFB4A7D6"/>
      </patternFill>
    </fill>
    <fill>
      <patternFill patternType="solid">
        <fgColor rgb="FFEAD1DC"/>
        <bgColor rgb="FFEAD1DC"/>
      </patternFill>
    </fill>
  </fills>
  <borders count="69">
    <border/>
    <border>
      <left/>
      <right/>
      <top/>
      <bottom/>
    </border>
    <border>
      <left/>
      <right/>
      <top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/>
      <top/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top style="thin">
        <color rgb="FF000000"/>
      </top>
    </border>
    <border>
      <left style="thin">
        <color rgb="FF000000"/>
      </left>
      <right/>
    </border>
    <border>
      <left/>
    </border>
    <border>
      <right style="thin">
        <color rgb="FF000000"/>
      </right>
    </border>
    <border>
      <left style="thin">
        <color rgb="FF000000"/>
      </left>
      <right/>
      <bottom style="thin">
        <color rgb="FF000000"/>
      </bottom>
    </border>
    <border>
      <left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 style="double">
        <color rgb="FF000000"/>
      </bottom>
    </border>
    <border>
      <left style="medium">
        <color rgb="FF000000"/>
      </left>
      <right/>
      <top/>
      <bottom/>
    </border>
    <border>
      <left style="medium">
        <color rgb="FF000000"/>
      </left>
      <right/>
      <top/>
      <bottom style="thin">
        <color rgb="FF000000"/>
      </bottom>
    </border>
    <border>
      <top/>
      <bottom/>
    </border>
    <border>
      <right/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914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3" fontId="1" numFmtId="0" xfId="0" applyBorder="1" applyFill="1" applyFont="1"/>
    <xf borderId="1" fillId="3" fontId="2" numFmtId="0" xfId="0" applyBorder="1" applyFont="1"/>
    <xf borderId="0" fillId="2" fontId="3" numFmtId="0" xfId="0" applyFont="1"/>
    <xf borderId="1" fillId="3" fontId="3" numFmtId="0" xfId="0" applyBorder="1" applyFont="1"/>
    <xf borderId="1" fillId="4" fontId="4" numFmtId="0" xfId="0" applyAlignment="1" applyBorder="1" applyFill="1" applyFont="1">
      <alignment horizontal="center"/>
    </xf>
    <xf borderId="1" fillId="4" fontId="4" numFmtId="14" xfId="0" applyAlignment="1" applyBorder="1" applyFont="1" applyNumberFormat="1">
      <alignment horizontal="center"/>
    </xf>
    <xf borderId="0" fillId="2" fontId="2" numFmtId="0" xfId="0" applyFont="1"/>
    <xf borderId="2" fillId="3" fontId="2" numFmtId="0" xfId="0" applyBorder="1" applyFont="1"/>
    <xf borderId="0" fillId="2" fontId="5" numFmtId="0" xfId="0" applyAlignment="1" applyFont="1">
      <alignment horizontal="left"/>
    </xf>
    <xf borderId="3" fillId="5" fontId="5" numFmtId="0" xfId="0" applyAlignment="1" applyBorder="1" applyFill="1" applyFont="1">
      <alignment horizontal="left"/>
    </xf>
    <xf borderId="4" fillId="5" fontId="2" numFmtId="0" xfId="0" applyBorder="1" applyFont="1"/>
    <xf borderId="5" fillId="5" fontId="2" numFmtId="0" xfId="0" applyBorder="1" applyFont="1"/>
    <xf borderId="6" fillId="3" fontId="2" numFmtId="0" xfId="0" applyBorder="1" applyFont="1"/>
    <xf borderId="7" fillId="3" fontId="2" numFmtId="0" xfId="0" applyBorder="1" applyFont="1"/>
    <xf borderId="8" fillId="4" fontId="4" numFmtId="0" xfId="0" applyAlignment="1" applyBorder="1" applyFont="1">
      <alignment horizontal="center"/>
    </xf>
    <xf borderId="0" fillId="0" fontId="2" numFmtId="0" xfId="0" applyFont="1"/>
    <xf borderId="8" fillId="4" fontId="4" numFmtId="2" xfId="0" applyAlignment="1" applyBorder="1" applyFont="1" applyNumberFormat="1">
      <alignment horizontal="center"/>
    </xf>
    <xf borderId="8" fillId="4" fontId="6" numFmtId="3" xfId="0" applyAlignment="1" applyBorder="1" applyFont="1" applyNumberFormat="1">
      <alignment horizontal="center"/>
    </xf>
    <xf borderId="9" fillId="3" fontId="2" numFmtId="0" xfId="0" applyBorder="1" applyFont="1"/>
    <xf borderId="10" fillId="3" fontId="2" numFmtId="3" xfId="0" applyAlignment="1" applyBorder="1" applyFont="1" applyNumberFormat="1">
      <alignment horizontal="center"/>
    </xf>
    <xf borderId="11" fillId="3" fontId="2" numFmtId="0" xfId="0" applyBorder="1" applyFont="1"/>
    <xf borderId="12" fillId="0" fontId="2" numFmtId="0" xfId="0" applyBorder="1" applyFont="1"/>
    <xf borderId="10" fillId="4" fontId="6" numFmtId="2" xfId="0" applyAlignment="1" applyBorder="1" applyFont="1" applyNumberFormat="1">
      <alignment horizontal="center"/>
    </xf>
    <xf borderId="6" fillId="3" fontId="7" numFmtId="0" xfId="0" applyBorder="1" applyFont="1"/>
    <xf borderId="8" fillId="3" fontId="2" numFmtId="3" xfId="0" applyAlignment="1" applyBorder="1" applyFont="1" applyNumberFormat="1">
      <alignment horizontal="center"/>
    </xf>
    <xf borderId="8" fillId="4" fontId="8" numFmtId="1" xfId="0" applyAlignment="1" applyBorder="1" applyFont="1" applyNumberFormat="1">
      <alignment horizontal="center"/>
    </xf>
    <xf borderId="8" fillId="4" fontId="4" numFmtId="1" xfId="0" applyAlignment="1" applyBorder="1" applyFont="1" applyNumberFormat="1">
      <alignment horizontal="center"/>
    </xf>
    <xf borderId="13" fillId="0" fontId="2" numFmtId="9" xfId="0" applyAlignment="1" applyBorder="1" applyFont="1" applyNumberFormat="1">
      <alignment horizontal="center"/>
    </xf>
    <xf borderId="10" fillId="4" fontId="8" numFmtId="9" xfId="0" applyAlignment="1" applyBorder="1" applyFont="1" applyNumberFormat="1">
      <alignment horizontal="center"/>
    </xf>
    <xf borderId="8" fillId="4" fontId="8" numFmtId="9" xfId="0" applyAlignment="1" applyBorder="1" applyFont="1" applyNumberFormat="1">
      <alignment horizontal="center"/>
    </xf>
    <xf borderId="8" fillId="4" fontId="6" numFmtId="9" xfId="0" applyAlignment="1" applyBorder="1" applyFont="1" applyNumberFormat="1">
      <alignment horizontal="center"/>
    </xf>
    <xf borderId="14" fillId="0" fontId="2" numFmtId="0" xfId="0" applyBorder="1" applyFont="1"/>
    <xf borderId="10" fillId="4" fontId="4" numFmtId="3" xfId="0" applyAlignment="1" applyBorder="1" applyFont="1" applyNumberFormat="1">
      <alignment horizontal="center"/>
    </xf>
    <xf borderId="12" fillId="0" fontId="4" numFmtId="0" xfId="0" applyBorder="1" applyFont="1"/>
    <xf borderId="10" fillId="4" fontId="4" numFmtId="0" xfId="0" applyAlignment="1" applyBorder="1" applyFont="1">
      <alignment horizontal="center"/>
    </xf>
    <xf borderId="15" fillId="0" fontId="2" numFmtId="0" xfId="0" applyBorder="1" applyFont="1"/>
    <xf borderId="16" fillId="4" fontId="4" numFmtId="0" xfId="0" applyAlignment="1" applyBorder="1" applyFont="1">
      <alignment horizontal="center"/>
    </xf>
    <xf borderId="17" fillId="3" fontId="2" numFmtId="0" xfId="0" applyBorder="1" applyFont="1"/>
    <xf borderId="18" fillId="0" fontId="4" numFmtId="0" xfId="0" applyBorder="1" applyFont="1"/>
    <xf borderId="10" fillId="3" fontId="2" numFmtId="164" xfId="0" applyAlignment="1" applyBorder="1" applyFont="1" applyNumberFormat="1">
      <alignment horizontal="center"/>
    </xf>
    <xf borderId="8" fillId="3" fontId="2" numFmtId="2" xfId="0" applyAlignment="1" applyBorder="1" applyFont="1" applyNumberFormat="1">
      <alignment horizontal="center"/>
    </xf>
    <xf borderId="19" fillId="0" fontId="2" numFmtId="0" xfId="0" applyBorder="1" applyFont="1"/>
    <xf borderId="6" fillId="3" fontId="2" numFmtId="10" xfId="0" applyBorder="1" applyFont="1" applyNumberFormat="1"/>
    <xf borderId="20" fillId="3" fontId="2" numFmtId="0" xfId="0" applyBorder="1" applyFont="1"/>
    <xf borderId="16" fillId="4" fontId="4" numFmtId="1" xfId="0" applyAlignment="1" applyBorder="1" applyFont="1" applyNumberFormat="1">
      <alignment horizontal="center"/>
    </xf>
    <xf borderId="18" fillId="0" fontId="2" numFmtId="0" xfId="0" applyBorder="1" applyFont="1"/>
    <xf borderId="16" fillId="3" fontId="2" numFmtId="10" xfId="0" applyAlignment="1" applyBorder="1" applyFont="1" applyNumberFormat="1">
      <alignment horizontal="center"/>
    </xf>
    <xf borderId="0" fillId="2" fontId="2" numFmtId="0" xfId="0" applyAlignment="1" applyFont="1">
      <alignment horizontal="left" vertical="top"/>
    </xf>
    <xf borderId="21" fillId="3" fontId="2" numFmtId="0" xfId="0" applyAlignment="1" applyBorder="1" applyFont="1">
      <alignment horizontal="left" vertical="top"/>
    </xf>
    <xf borderId="22" fillId="4" fontId="4" numFmtId="0" xfId="0" applyAlignment="1" applyBorder="1" applyFont="1">
      <alignment horizontal="left" vertical="top"/>
    </xf>
    <xf borderId="12" fillId="0" fontId="9" numFmtId="0" xfId="0" applyBorder="1" applyFont="1"/>
    <xf borderId="13" fillId="0" fontId="9" numFmtId="0" xfId="0" applyBorder="1" applyFont="1"/>
    <xf borderId="23" fillId="0" fontId="9" numFmtId="0" xfId="0" applyBorder="1" applyFont="1"/>
    <xf borderId="24" fillId="0" fontId="9" numFmtId="0" xfId="0" applyBorder="1" applyFont="1"/>
    <xf borderId="25" fillId="0" fontId="9" numFmtId="0" xfId="0" applyBorder="1" applyFont="1"/>
    <xf borderId="26" fillId="0" fontId="9" numFmtId="0" xfId="0" applyBorder="1" applyFont="1"/>
    <xf borderId="27" fillId="0" fontId="9" numFmtId="0" xfId="0" applyBorder="1" applyFont="1"/>
    <xf borderId="18" fillId="0" fontId="9" numFmtId="0" xfId="0" applyBorder="1" applyFont="1"/>
    <xf borderId="28" fillId="0" fontId="9" numFmtId="0" xfId="0" applyBorder="1" applyFont="1"/>
    <xf borderId="29" fillId="3" fontId="2" numFmtId="0" xfId="0" applyBorder="1" applyFont="1"/>
    <xf borderId="0" fillId="2" fontId="2" numFmtId="0" xfId="0" applyAlignment="1" applyFont="1">
      <alignment horizontal="left"/>
    </xf>
    <xf borderId="9" fillId="3" fontId="2" numFmtId="0" xfId="0" applyAlignment="1" applyBorder="1" applyFont="1">
      <alignment horizontal="left"/>
    </xf>
    <xf borderId="11" fillId="4" fontId="4" numFmtId="14" xfId="0" applyBorder="1" applyFont="1" applyNumberFormat="1"/>
    <xf borderId="11" fillId="3" fontId="2" numFmtId="0" xfId="0" applyAlignment="1" applyBorder="1" applyFont="1">
      <alignment horizontal="center"/>
    </xf>
    <xf borderId="10" fillId="3" fontId="2" numFmtId="0" xfId="0" applyBorder="1" applyFont="1"/>
    <xf borderId="7" fillId="3" fontId="2" numFmtId="0" xfId="0" applyAlignment="1" applyBorder="1" applyFont="1">
      <alignment horizontal="left"/>
    </xf>
    <xf borderId="1" fillId="3" fontId="2" numFmtId="14" xfId="0" applyBorder="1" applyFont="1" applyNumberFormat="1"/>
    <xf borderId="8" fillId="3" fontId="2" numFmtId="0" xfId="0" applyBorder="1" applyFont="1"/>
    <xf borderId="1" fillId="3" fontId="4" numFmtId="0" xfId="0" applyAlignment="1" applyBorder="1" applyFont="1">
      <alignment horizontal="center"/>
    </xf>
    <xf borderId="1" fillId="3" fontId="2" numFmtId="0" xfId="0" applyAlignment="1" applyBorder="1" applyFont="1">
      <alignment horizontal="center"/>
    </xf>
    <xf borderId="20" fillId="3" fontId="2" numFmtId="0" xfId="0" applyAlignment="1" applyBorder="1" applyFont="1">
      <alignment horizontal="left"/>
    </xf>
    <xf borderId="17" fillId="3" fontId="2" numFmtId="0" xfId="0" applyAlignment="1" applyBorder="1" applyFont="1">
      <alignment horizontal="center"/>
    </xf>
    <xf borderId="16" fillId="3" fontId="2" numFmtId="0" xfId="0" applyBorder="1" applyFont="1"/>
    <xf borderId="17" fillId="3" fontId="2" numFmtId="14" xfId="0" applyBorder="1" applyFont="1" applyNumberFormat="1"/>
    <xf borderId="17" fillId="4" fontId="4" numFmtId="0" xfId="0" applyAlignment="1" applyBorder="1" applyFont="1">
      <alignment horizontal="center"/>
    </xf>
    <xf borderId="1" fillId="6" fontId="10" numFmtId="0" xfId="0" applyBorder="1" applyFill="1" applyFont="1"/>
    <xf borderId="1" fillId="3" fontId="2" numFmtId="0" xfId="0" applyAlignment="1" applyBorder="1" applyFont="1">
      <alignment horizontal="left"/>
    </xf>
    <xf borderId="1" fillId="3" fontId="4" numFmtId="0" xfId="0" applyBorder="1" applyFont="1"/>
    <xf borderId="4" fillId="5" fontId="5" numFmtId="0" xfId="0" applyBorder="1" applyFont="1"/>
    <xf borderId="0" fillId="2" fontId="2" numFmtId="3" xfId="0" applyAlignment="1" applyFont="1" applyNumberFormat="1">
      <alignment horizontal="left" vertical="center"/>
    </xf>
    <xf borderId="7" fillId="3" fontId="2" numFmtId="3" xfId="0" applyAlignment="1" applyBorder="1" applyFont="1" applyNumberFormat="1">
      <alignment horizontal="left" vertical="center"/>
    </xf>
    <xf borderId="1" fillId="3" fontId="2" numFmtId="3" xfId="0" applyAlignment="1" applyBorder="1" applyFont="1" applyNumberFormat="1">
      <alignment horizontal="left" vertical="center"/>
    </xf>
    <xf borderId="1" fillId="2" fontId="11" numFmtId="165" xfId="0" applyAlignment="1" applyBorder="1" applyFont="1" applyNumberFormat="1">
      <alignment horizontal="center"/>
    </xf>
    <xf borderId="8" fillId="2" fontId="11" numFmtId="165" xfId="0" applyAlignment="1" applyBorder="1" applyFont="1" applyNumberFormat="1">
      <alignment horizontal="center"/>
    </xf>
    <xf borderId="30" fillId="3" fontId="12" numFmtId="165" xfId="0" applyAlignment="1" applyBorder="1" applyFont="1" applyNumberFormat="1">
      <alignment horizontal="left"/>
    </xf>
    <xf borderId="0" fillId="2" fontId="4" numFmtId="3" xfId="0" applyAlignment="1" applyFont="1" applyNumberFormat="1">
      <alignment horizontal="left" vertical="center"/>
    </xf>
    <xf borderId="7" fillId="4" fontId="4" numFmtId="3" xfId="0" applyAlignment="1" applyBorder="1" applyFont="1" applyNumberFormat="1">
      <alignment horizontal="left" vertical="center"/>
    </xf>
    <xf borderId="1" fillId="2" fontId="2" numFmtId="165" xfId="0" applyAlignment="1" applyBorder="1" applyFont="1" applyNumberFormat="1">
      <alignment horizontal="center"/>
    </xf>
    <xf borderId="25" fillId="0" fontId="2" numFmtId="165" xfId="0" applyAlignment="1" applyBorder="1" applyFont="1" applyNumberFormat="1">
      <alignment horizontal="center"/>
    </xf>
    <xf borderId="1" fillId="2" fontId="2" numFmtId="3" xfId="0" applyAlignment="1" applyBorder="1" applyFont="1" applyNumberFormat="1">
      <alignment horizontal="left" vertical="center"/>
    </xf>
    <xf borderId="0" fillId="0" fontId="2" numFmtId="165" xfId="0" applyAlignment="1" applyFont="1" applyNumberFormat="1">
      <alignment horizontal="center"/>
    </xf>
    <xf borderId="0" fillId="0" fontId="2" numFmtId="3" xfId="0" applyAlignment="1" applyFont="1" applyNumberFormat="1">
      <alignment horizontal="left" vertical="center"/>
    </xf>
    <xf borderId="0" fillId="0" fontId="11" numFmtId="165" xfId="0" applyAlignment="1" applyFont="1" applyNumberFormat="1">
      <alignment horizontal="center"/>
    </xf>
    <xf borderId="20" fillId="4" fontId="4" numFmtId="3" xfId="0" applyAlignment="1" applyBorder="1" applyFont="1" applyNumberFormat="1">
      <alignment horizontal="left" vertical="center"/>
    </xf>
    <xf borderId="17" fillId="3" fontId="13" numFmtId="3" xfId="0" applyAlignment="1" applyBorder="1" applyFont="1" applyNumberFormat="1">
      <alignment horizontal="left" vertical="center"/>
    </xf>
    <xf borderId="18" fillId="0" fontId="2" numFmtId="165" xfId="0" applyAlignment="1" applyBorder="1" applyFont="1" applyNumberFormat="1">
      <alignment horizontal="center"/>
    </xf>
    <xf borderId="28" fillId="0" fontId="2" numFmtId="165" xfId="0" applyAlignment="1" applyBorder="1" applyFont="1" applyNumberFormat="1">
      <alignment horizontal="center"/>
    </xf>
    <xf borderId="0" fillId="2" fontId="14" numFmtId="3" xfId="0" applyAlignment="1" applyFont="1" applyNumberFormat="1">
      <alignment horizontal="left" vertical="center"/>
    </xf>
    <xf borderId="20" fillId="7" fontId="15" numFmtId="3" xfId="0" applyAlignment="1" applyBorder="1" applyFill="1" applyFont="1" applyNumberFormat="1">
      <alignment horizontal="left" vertical="center"/>
    </xf>
    <xf borderId="17" fillId="7" fontId="16" numFmtId="3" xfId="0" applyAlignment="1" applyBorder="1" applyFont="1" applyNumberFormat="1">
      <alignment horizontal="right" vertical="center"/>
    </xf>
    <xf borderId="17" fillId="7" fontId="2" numFmtId="165" xfId="0" applyAlignment="1" applyBorder="1" applyFont="1" applyNumberFormat="1">
      <alignment horizontal="center"/>
    </xf>
    <xf borderId="16" fillId="7" fontId="2" numFmtId="165" xfId="0" applyAlignment="1" applyBorder="1" applyFont="1" applyNumberFormat="1">
      <alignment horizontal="center"/>
    </xf>
    <xf borderId="31" fillId="7" fontId="12" numFmtId="165" xfId="0" applyAlignment="1" applyBorder="1" applyFont="1" applyNumberFormat="1">
      <alignment horizontal="center"/>
    </xf>
    <xf borderId="8" fillId="2" fontId="2" numFmtId="165" xfId="0" applyAlignment="1" applyBorder="1" applyFont="1" applyNumberFormat="1">
      <alignment horizontal="center"/>
    </xf>
    <xf borderId="30" fillId="3" fontId="12" numFmtId="165" xfId="0" applyAlignment="1" applyBorder="1" applyFont="1" applyNumberFormat="1">
      <alignment horizontal="center"/>
    </xf>
    <xf borderId="8" fillId="3" fontId="12" numFmtId="165" xfId="0" applyAlignment="1" applyBorder="1" applyFont="1" applyNumberFormat="1">
      <alignment horizontal="center"/>
    </xf>
    <xf borderId="1" fillId="3" fontId="17" numFmtId="3" xfId="0" applyAlignment="1" applyBorder="1" applyFont="1" applyNumberFormat="1">
      <alignment horizontal="left" vertical="center"/>
    </xf>
    <xf borderId="32" fillId="3" fontId="12" numFmtId="165" xfId="0" applyAlignment="1" applyBorder="1" applyFont="1" applyNumberFormat="1">
      <alignment horizontal="center"/>
    </xf>
    <xf borderId="0" fillId="2" fontId="3" numFmtId="3" xfId="0" applyAlignment="1" applyFont="1" applyNumberFormat="1">
      <alignment horizontal="left" vertical="center"/>
    </xf>
    <xf borderId="9" fillId="7" fontId="3" numFmtId="3" xfId="0" applyAlignment="1" applyBorder="1" applyFont="1" applyNumberFormat="1">
      <alignment horizontal="left" vertical="center"/>
    </xf>
    <xf borderId="11" fillId="7" fontId="18" numFmtId="3" xfId="0" applyAlignment="1" applyBorder="1" applyFont="1" applyNumberFormat="1">
      <alignment horizontal="right" vertical="center"/>
    </xf>
    <xf borderId="11" fillId="7" fontId="2" numFmtId="165" xfId="0" applyAlignment="1" applyBorder="1" applyFont="1" applyNumberFormat="1">
      <alignment horizontal="center"/>
    </xf>
    <xf borderId="10" fillId="7" fontId="2" numFmtId="165" xfId="0" applyAlignment="1" applyBorder="1" applyFont="1" applyNumberFormat="1">
      <alignment horizontal="center"/>
    </xf>
    <xf borderId="32" fillId="7" fontId="12" numFmtId="165" xfId="0" applyAlignment="1" applyBorder="1" applyFont="1" applyNumberFormat="1">
      <alignment horizontal="center"/>
    </xf>
    <xf borderId="33" fillId="8" fontId="3" numFmtId="3" xfId="0" applyAlignment="1" applyBorder="1" applyFill="1" applyFont="1" applyNumberFormat="1">
      <alignment horizontal="left" vertical="center"/>
    </xf>
    <xf borderId="34" fillId="8" fontId="19" numFmtId="3" xfId="0" applyAlignment="1" applyBorder="1" applyFont="1" applyNumberFormat="1">
      <alignment horizontal="left" vertical="center"/>
    </xf>
    <xf borderId="34" fillId="8" fontId="2" numFmtId="165" xfId="0" applyAlignment="1" applyBorder="1" applyFont="1" applyNumberFormat="1">
      <alignment horizontal="center"/>
    </xf>
    <xf borderId="35" fillId="8" fontId="2" numFmtId="165" xfId="0" applyAlignment="1" applyBorder="1" applyFont="1" applyNumberFormat="1">
      <alignment horizontal="center"/>
    </xf>
    <xf borderId="36" fillId="8" fontId="2" numFmtId="166" xfId="0" applyBorder="1" applyFont="1" applyNumberFormat="1"/>
    <xf borderId="0" fillId="2" fontId="5" numFmtId="0" xfId="0" applyFont="1"/>
    <xf borderId="3" fillId="5" fontId="5" numFmtId="0" xfId="0" applyBorder="1" applyFont="1"/>
    <xf borderId="4" fillId="5" fontId="20" numFmtId="0" xfId="0" applyBorder="1" applyFont="1"/>
    <xf borderId="5" fillId="5" fontId="20" numFmtId="0" xfId="0" applyBorder="1" applyFont="1"/>
    <xf borderId="8" fillId="3" fontId="2" numFmtId="167" xfId="0" applyBorder="1" applyFont="1" applyNumberFormat="1"/>
    <xf borderId="16" fillId="3" fontId="2" numFmtId="167" xfId="0" applyBorder="1" applyFont="1" applyNumberFormat="1"/>
    <xf borderId="1" fillId="3" fontId="2" numFmtId="9" xfId="0" applyAlignment="1" applyBorder="1" applyFont="1" applyNumberFormat="1">
      <alignment horizontal="center"/>
    </xf>
    <xf borderId="8" fillId="3" fontId="2" numFmtId="9" xfId="0" applyAlignment="1" applyBorder="1" applyFont="1" applyNumberFormat="1">
      <alignment horizontal="center"/>
    </xf>
    <xf borderId="1" fillId="6" fontId="2" numFmtId="0" xfId="0" applyBorder="1" applyFont="1"/>
    <xf borderId="1" fillId="3" fontId="10" numFmtId="0" xfId="0" applyBorder="1" applyFont="1"/>
    <xf borderId="8" fillId="3" fontId="2" numFmtId="10" xfId="0" applyAlignment="1" applyBorder="1" applyFont="1" applyNumberFormat="1">
      <alignment horizontal="center"/>
    </xf>
    <xf borderId="0" fillId="2" fontId="21" numFmtId="0" xfId="0" applyFont="1"/>
    <xf borderId="1" fillId="3" fontId="22" numFmtId="0" xfId="0" applyAlignment="1" applyBorder="1" applyFont="1">
      <alignment vertical="center"/>
    </xf>
    <xf borderId="1" fillId="3" fontId="2" numFmtId="0" xfId="0" applyAlignment="1" applyBorder="1" applyFont="1">
      <alignment vertical="center"/>
    </xf>
    <xf borderId="1" fillId="3" fontId="23" numFmtId="0" xfId="0" applyAlignment="1" applyBorder="1" applyFont="1">
      <alignment vertical="center"/>
    </xf>
    <xf borderId="1" fillId="3" fontId="2" numFmtId="0" xfId="0" applyAlignment="1" applyBorder="1" applyFont="1">
      <alignment horizontal="right" vertical="center"/>
    </xf>
    <xf borderId="1" fillId="3" fontId="2" numFmtId="14" xfId="0" applyAlignment="1" applyBorder="1" applyFont="1" applyNumberFormat="1">
      <alignment horizontal="right" vertical="center"/>
    </xf>
    <xf borderId="1" fillId="3" fontId="3" numFmtId="0" xfId="0" applyAlignment="1" applyBorder="1" applyFont="1">
      <alignment vertical="center"/>
    </xf>
    <xf borderId="37" fillId="3" fontId="24" numFmtId="0" xfId="0" applyAlignment="1" applyBorder="1" applyFont="1">
      <alignment horizontal="center" shrinkToFit="0" vertical="center" wrapText="1"/>
    </xf>
    <xf borderId="38" fillId="3" fontId="24" numFmtId="37" xfId="0" applyAlignment="1" applyBorder="1" applyFont="1" applyNumberFormat="1">
      <alignment horizontal="left" vertical="center"/>
    </xf>
    <xf borderId="39" fillId="0" fontId="9" numFmtId="0" xfId="0" applyBorder="1" applyFont="1"/>
    <xf borderId="37" fillId="3" fontId="24" numFmtId="37" xfId="0" applyAlignment="1" applyBorder="1" applyFont="1" applyNumberFormat="1">
      <alignment horizontal="center" shrinkToFit="0" vertical="center" wrapText="1"/>
    </xf>
    <xf borderId="37" fillId="3" fontId="24" numFmtId="168" xfId="0" applyAlignment="1" applyBorder="1" applyFont="1" applyNumberFormat="1">
      <alignment horizontal="center" shrinkToFit="0" vertical="center" wrapText="1"/>
    </xf>
    <xf borderId="30" fillId="3" fontId="24" numFmtId="0" xfId="0" applyAlignment="1" applyBorder="1" applyFont="1">
      <alignment horizontal="center" shrinkToFit="0" vertical="center" wrapText="1"/>
    </xf>
    <xf borderId="40" fillId="3" fontId="24" numFmtId="37" xfId="0" applyAlignment="1" applyBorder="1" applyFont="1" applyNumberFormat="1">
      <alignment horizontal="left" vertical="center"/>
    </xf>
    <xf borderId="41" fillId="0" fontId="9" numFmtId="0" xfId="0" applyBorder="1" applyFont="1"/>
    <xf borderId="7" fillId="3" fontId="24" numFmtId="37" xfId="0" applyAlignment="1" applyBorder="1" applyFont="1" applyNumberFormat="1">
      <alignment horizontal="center" shrinkToFit="0" vertical="center" wrapText="1"/>
    </xf>
    <xf borderId="30" fillId="3" fontId="24" numFmtId="37" xfId="0" applyAlignment="1" applyBorder="1" applyFont="1" applyNumberFormat="1">
      <alignment horizontal="center" shrinkToFit="0" vertical="center" wrapText="1"/>
    </xf>
    <xf borderId="8" fillId="3" fontId="24" numFmtId="168" xfId="0" applyAlignment="1" applyBorder="1" applyFont="1" applyNumberFormat="1">
      <alignment horizontal="center" shrinkToFit="0" vertical="center" wrapText="1"/>
    </xf>
    <xf borderId="32" fillId="3" fontId="24" numFmtId="0" xfId="0" applyAlignment="1" applyBorder="1" applyFont="1">
      <alignment horizontal="center" shrinkToFit="0" vertical="center" wrapText="1"/>
    </xf>
    <xf borderId="42" fillId="3" fontId="24" numFmtId="37" xfId="0" applyAlignment="1" applyBorder="1" applyFont="1" applyNumberFormat="1">
      <alignment horizontal="left" vertical="center"/>
    </xf>
    <xf borderId="43" fillId="0" fontId="9" numFmtId="0" xfId="0" applyBorder="1" applyFont="1"/>
    <xf borderId="20" fillId="3" fontId="24" numFmtId="37" xfId="0" applyAlignment="1" applyBorder="1" applyFont="1" applyNumberFormat="1">
      <alignment horizontal="center" shrinkToFit="0" vertical="center" wrapText="1"/>
    </xf>
    <xf borderId="32" fillId="3" fontId="24" numFmtId="37" xfId="0" applyAlignment="1" applyBorder="1" applyFont="1" applyNumberFormat="1">
      <alignment horizontal="center" shrinkToFit="0" vertical="center" wrapText="1"/>
    </xf>
    <xf borderId="16" fillId="3" fontId="24" numFmtId="168" xfId="0" applyAlignment="1" applyBorder="1" applyFont="1" applyNumberFormat="1">
      <alignment horizontal="center" shrinkToFit="0" vertical="center" wrapText="1"/>
    </xf>
    <xf borderId="32" fillId="3" fontId="24" numFmtId="2" xfId="0" applyAlignment="1" applyBorder="1" applyFont="1" applyNumberFormat="1">
      <alignment vertical="center"/>
    </xf>
    <xf borderId="37" fillId="3" fontId="25" numFmtId="166" xfId="0" applyAlignment="1" applyBorder="1" applyFont="1" applyNumberFormat="1">
      <alignment vertical="center"/>
    </xf>
    <xf borderId="38" fillId="3" fontId="25" numFmtId="37" xfId="0" applyAlignment="1" applyBorder="1" applyFont="1" applyNumberFormat="1">
      <alignment shrinkToFit="0" vertical="center" wrapText="1"/>
    </xf>
    <xf borderId="37" fillId="4" fontId="4" numFmtId="166" xfId="0" applyAlignment="1" applyBorder="1" applyFont="1" applyNumberFormat="1">
      <alignment vertical="center"/>
    </xf>
    <xf borderId="37" fillId="4" fontId="4" numFmtId="0" xfId="0" applyAlignment="1" applyBorder="1" applyFont="1">
      <alignment vertical="center"/>
    </xf>
    <xf borderId="37" fillId="3" fontId="2" numFmtId="166" xfId="0" applyAlignment="1" applyBorder="1" applyFont="1" applyNumberFormat="1">
      <alignment vertical="center"/>
    </xf>
    <xf borderId="30" fillId="3" fontId="25" numFmtId="2" xfId="0" applyAlignment="1" applyBorder="1" applyFont="1" applyNumberFormat="1">
      <alignment vertical="center"/>
    </xf>
    <xf borderId="30" fillId="3" fontId="25" numFmtId="166" xfId="0" applyAlignment="1" applyBorder="1" applyFont="1" applyNumberFormat="1">
      <alignment vertical="center"/>
    </xf>
    <xf borderId="40" fillId="3" fontId="25" numFmtId="37" xfId="0" applyAlignment="1" applyBorder="1" applyFont="1" applyNumberFormat="1">
      <alignment shrinkToFit="0" vertical="center" wrapText="1"/>
    </xf>
    <xf borderId="30" fillId="4" fontId="4" numFmtId="166" xfId="0" applyAlignment="1" applyBorder="1" applyFont="1" applyNumberFormat="1">
      <alignment vertical="center"/>
    </xf>
    <xf borderId="30" fillId="4" fontId="4" numFmtId="0" xfId="0" applyAlignment="1" applyBorder="1" applyFont="1">
      <alignment vertical="center"/>
    </xf>
    <xf borderId="30" fillId="3" fontId="2" numFmtId="166" xfId="0" applyAlignment="1" applyBorder="1" applyFont="1" applyNumberFormat="1">
      <alignment vertical="center"/>
    </xf>
    <xf borderId="40" fillId="3" fontId="26" numFmtId="37" xfId="0" applyAlignment="1" applyBorder="1" applyFont="1" applyNumberFormat="1">
      <alignment shrinkToFit="0" vertical="center" wrapText="1"/>
    </xf>
    <xf borderId="32" fillId="3" fontId="24" numFmtId="166" xfId="0" applyAlignment="1" applyBorder="1" applyFont="1" applyNumberFormat="1">
      <alignment vertical="center"/>
    </xf>
    <xf borderId="42" fillId="3" fontId="24" numFmtId="37" xfId="0" applyAlignment="1" applyBorder="1" applyFont="1" applyNumberFormat="1">
      <alignment vertical="center"/>
    </xf>
    <xf borderId="32" fillId="3" fontId="3" numFmtId="166" xfId="0" applyAlignment="1" applyBorder="1" applyFont="1" applyNumberFormat="1">
      <alignment vertical="center"/>
    </xf>
    <xf borderId="37" fillId="3" fontId="25" numFmtId="2" xfId="0" applyAlignment="1" applyBorder="1" applyFont="1" applyNumberFormat="1">
      <alignment vertical="center"/>
    </xf>
    <xf borderId="42" fillId="3" fontId="24" numFmtId="37" xfId="0" applyAlignment="1" applyBorder="1" applyFont="1" applyNumberFormat="1">
      <alignment shrinkToFit="0" vertical="center" wrapText="1"/>
    </xf>
    <xf borderId="8" fillId="3" fontId="25" numFmtId="2" xfId="0" applyAlignment="1" applyBorder="1" applyFont="1" applyNumberFormat="1">
      <alignment vertical="center"/>
    </xf>
    <xf borderId="8" fillId="3" fontId="25" numFmtId="166" xfId="0" applyAlignment="1" applyBorder="1" applyFont="1" applyNumberFormat="1">
      <alignment vertical="center"/>
    </xf>
    <xf borderId="7" fillId="3" fontId="25" numFmtId="37" xfId="0" applyAlignment="1" applyBorder="1" applyFont="1" applyNumberFormat="1">
      <alignment shrinkToFit="0" vertical="center" wrapText="1"/>
    </xf>
    <xf borderId="8" fillId="3" fontId="25" numFmtId="37" xfId="0" applyAlignment="1" applyBorder="1" applyFont="1" applyNumberFormat="1">
      <alignment horizontal="center" shrinkToFit="0" vertical="center" wrapText="1"/>
    </xf>
    <xf borderId="30" fillId="3" fontId="4" numFmtId="166" xfId="0" applyAlignment="1" applyBorder="1" applyFont="1" applyNumberFormat="1">
      <alignment vertical="center"/>
    </xf>
    <xf borderId="7" fillId="3" fontId="25" numFmtId="37" xfId="0" applyAlignment="1" applyBorder="1" applyFont="1" applyNumberFormat="1">
      <alignment vertical="center"/>
    </xf>
    <xf borderId="8" fillId="3" fontId="27" numFmtId="10" xfId="0" applyAlignment="1" applyBorder="1" applyFont="1" applyNumberFormat="1">
      <alignment horizontal="center" shrinkToFit="0" vertical="center" wrapText="1"/>
    </xf>
    <xf borderId="30" fillId="3" fontId="11" numFmtId="166" xfId="0" applyAlignment="1" applyBorder="1" applyFont="1" applyNumberFormat="1">
      <alignment vertical="center"/>
    </xf>
    <xf borderId="30" fillId="4" fontId="11" numFmtId="166" xfId="0" applyAlignment="1" applyBorder="1" applyFont="1" applyNumberFormat="1">
      <alignment vertical="center"/>
    </xf>
    <xf borderId="8" fillId="3" fontId="25" numFmtId="9" xfId="0" applyAlignment="1" applyBorder="1" applyFont="1" applyNumberFormat="1">
      <alignment horizontal="center" shrinkToFit="0" vertical="center" wrapText="1"/>
    </xf>
    <xf borderId="30" fillId="4" fontId="4" numFmtId="169" xfId="0" applyAlignment="1" applyBorder="1" applyFont="1" applyNumberFormat="1">
      <alignment vertical="center"/>
    </xf>
    <xf borderId="8" fillId="3" fontId="25" numFmtId="37" xfId="0" applyAlignment="1" applyBorder="1" applyFont="1" applyNumberFormat="1">
      <alignment shrinkToFit="0" vertical="center" wrapText="1"/>
    </xf>
    <xf borderId="32" fillId="3" fontId="25" numFmtId="2" xfId="0" applyAlignment="1" applyBorder="1" applyFont="1" applyNumberFormat="1">
      <alignment vertical="center"/>
    </xf>
    <xf borderId="7" fillId="3" fontId="28" numFmtId="37" xfId="0" applyAlignment="1" applyBorder="1" applyFont="1" applyNumberFormat="1">
      <alignment shrinkToFit="0" vertical="center" wrapText="1"/>
    </xf>
    <xf borderId="0" fillId="0" fontId="2" numFmtId="0" xfId="0" applyAlignment="1" applyFont="1">
      <alignment vertical="center"/>
    </xf>
    <xf borderId="44" fillId="0" fontId="29" numFmtId="166" xfId="0" applyAlignment="1" applyBorder="1" applyFont="1" applyNumberFormat="1">
      <alignment vertical="center"/>
    </xf>
    <xf quotePrefix="1" borderId="1" fillId="3" fontId="2" numFmtId="0" xfId="0" applyAlignment="1" applyBorder="1" applyFont="1">
      <alignment vertical="center"/>
    </xf>
    <xf borderId="45" fillId="4" fontId="4" numFmtId="10" xfId="0" applyAlignment="1" applyBorder="1" applyFont="1" applyNumberFormat="1">
      <alignment vertical="center"/>
    </xf>
    <xf borderId="46" fillId="3" fontId="25" numFmtId="37" xfId="0" applyAlignment="1" applyBorder="1" applyFont="1" applyNumberFormat="1">
      <alignment shrinkToFit="0" vertical="center" wrapText="1"/>
    </xf>
    <xf borderId="47" fillId="0" fontId="11" numFmtId="166" xfId="0" applyAlignment="1" applyBorder="1" applyFont="1" applyNumberFormat="1">
      <alignment vertical="center"/>
    </xf>
    <xf borderId="37" fillId="4" fontId="2" numFmtId="0" xfId="0" applyAlignment="1" applyBorder="1" applyFont="1">
      <alignment vertical="center"/>
    </xf>
    <xf borderId="45" fillId="4" fontId="4" numFmtId="169" xfId="0" applyAlignment="1" applyBorder="1" applyFont="1" applyNumberFormat="1">
      <alignment vertical="center"/>
    </xf>
    <xf borderId="48" fillId="3" fontId="25" numFmtId="37" xfId="0" applyAlignment="1" applyBorder="1" applyFont="1" applyNumberFormat="1">
      <alignment shrinkToFit="0" vertical="center" wrapText="1"/>
    </xf>
    <xf borderId="30" fillId="4" fontId="2" numFmtId="0" xfId="0" applyAlignment="1" applyBorder="1" applyFont="1">
      <alignment vertical="center"/>
    </xf>
    <xf borderId="7" fillId="3" fontId="25" numFmtId="166" xfId="0" applyAlignment="1" applyBorder="1" applyFont="1" applyNumberFormat="1">
      <alignment vertical="center"/>
    </xf>
    <xf borderId="8" fillId="3" fontId="27" numFmtId="10" xfId="0" applyAlignment="1" applyBorder="1" applyFont="1" applyNumberFormat="1">
      <alignment horizontal="center" readingOrder="0" shrinkToFit="0" vertical="center" wrapText="1"/>
    </xf>
    <xf borderId="30" fillId="3" fontId="2" numFmtId="166" xfId="0" applyAlignment="1" applyBorder="1" applyFont="1" applyNumberFormat="1">
      <alignment readingOrder="0" vertical="center"/>
    </xf>
    <xf borderId="30" fillId="3" fontId="2" numFmtId="0" xfId="0" applyAlignment="1" applyBorder="1" applyFont="1">
      <alignment vertical="center"/>
    </xf>
    <xf borderId="48" fillId="3" fontId="25" numFmtId="0" xfId="0" applyAlignment="1" applyBorder="1" applyFont="1">
      <alignment horizontal="left" vertical="center"/>
    </xf>
    <xf borderId="48" fillId="3" fontId="25" numFmtId="0" xfId="0" applyAlignment="1" applyBorder="1" applyFont="1">
      <alignment vertical="center"/>
    </xf>
    <xf borderId="48" fillId="3" fontId="25" numFmtId="0" xfId="0" applyAlignment="1" applyBorder="1" applyFont="1">
      <alignment readingOrder="0" vertical="center"/>
    </xf>
    <xf borderId="30" fillId="4" fontId="4" numFmtId="166" xfId="0" applyAlignment="1" applyBorder="1" applyFont="1" applyNumberFormat="1">
      <alignment readingOrder="0" vertical="center"/>
    </xf>
    <xf borderId="1" fillId="3" fontId="30" numFmtId="37" xfId="0" applyAlignment="1" applyBorder="1" applyFont="1" applyNumberFormat="1">
      <alignment horizontal="left" vertical="center"/>
    </xf>
    <xf borderId="30" fillId="3" fontId="31" numFmtId="0" xfId="0" applyAlignment="1" applyBorder="1" applyFont="1">
      <alignment vertical="center"/>
    </xf>
    <xf borderId="30" fillId="4" fontId="32" numFmtId="0" xfId="0" applyAlignment="1" applyBorder="1" applyFont="1">
      <alignment vertical="center"/>
    </xf>
    <xf borderId="30" fillId="3" fontId="33" numFmtId="166" xfId="0" applyAlignment="1" applyBorder="1" applyFont="1" applyNumberFormat="1">
      <alignment vertical="center"/>
    </xf>
    <xf borderId="48" fillId="3" fontId="24" numFmtId="37" xfId="0" applyAlignment="1" applyBorder="1" applyFont="1" applyNumberFormat="1">
      <alignment horizontal="left" vertical="center"/>
    </xf>
    <xf borderId="49" fillId="0" fontId="34" numFmtId="37" xfId="0" applyAlignment="1" applyBorder="1" applyFont="1" applyNumberFormat="1">
      <alignment horizontal="left" vertical="center"/>
    </xf>
    <xf borderId="50" fillId="0" fontId="34" numFmtId="37" xfId="0" applyAlignment="1" applyBorder="1" applyFont="1" applyNumberFormat="1">
      <alignment horizontal="left" vertical="center"/>
    </xf>
    <xf borderId="0" fillId="0" fontId="34" numFmtId="10" xfId="0" applyAlignment="1" applyFont="1" applyNumberFormat="1">
      <alignment vertical="center"/>
    </xf>
    <xf borderId="44" fillId="0" fontId="34" numFmtId="166" xfId="0" applyAlignment="1" applyBorder="1" applyFont="1" applyNumberFormat="1">
      <alignment vertical="center"/>
    </xf>
    <xf borderId="44" fillId="0" fontId="35" numFmtId="0" xfId="0" applyAlignment="1" applyBorder="1" applyFont="1">
      <alignment vertical="center"/>
    </xf>
    <xf borderId="0" fillId="0" fontId="4" numFmtId="10" xfId="0" applyAlignment="1" applyFont="1" applyNumberFormat="1">
      <alignment vertical="center"/>
    </xf>
    <xf borderId="40" fillId="3" fontId="25" numFmtId="37" xfId="0" applyAlignment="1" applyBorder="1" applyFont="1" applyNumberFormat="1">
      <alignment horizontal="left" vertical="center"/>
    </xf>
    <xf borderId="47" fillId="0" fontId="2" numFmtId="166" xfId="0" applyAlignment="1" applyBorder="1" applyFont="1" applyNumberFormat="1">
      <alignment vertical="center"/>
    </xf>
    <xf borderId="40" fillId="3" fontId="25" numFmtId="0" xfId="0" applyAlignment="1" applyBorder="1" applyFont="1">
      <alignment shrinkToFit="0" vertical="center" wrapText="1"/>
    </xf>
    <xf borderId="40" fillId="3" fontId="25" numFmtId="0" xfId="0" applyAlignment="1" applyBorder="1" applyFont="1">
      <alignment horizontal="left" shrinkToFit="0" vertical="center" wrapText="1"/>
    </xf>
    <xf borderId="40" fillId="3" fontId="25" numFmtId="0" xfId="0" applyAlignment="1" applyBorder="1" applyFont="1">
      <alignment vertical="center"/>
    </xf>
    <xf borderId="40" fillId="3" fontId="36" numFmtId="37" xfId="0" applyAlignment="1" applyBorder="1" applyFont="1" applyNumberFormat="1">
      <alignment horizontal="left" vertical="center"/>
    </xf>
    <xf borderId="30" fillId="4" fontId="37" numFmtId="0" xfId="0" applyAlignment="1" applyBorder="1" applyFont="1">
      <alignment vertical="center"/>
    </xf>
    <xf borderId="42" fillId="3" fontId="24" numFmtId="0" xfId="0" applyAlignment="1" applyBorder="1" applyFont="1">
      <alignment shrinkToFit="0" vertical="center" wrapText="1"/>
    </xf>
    <xf borderId="38" fillId="3" fontId="25" numFmtId="0" xfId="0" applyAlignment="1" applyBorder="1" applyFont="1">
      <alignment shrinkToFit="0" vertical="center" wrapText="1"/>
    </xf>
    <xf borderId="3" fillId="3" fontId="2" numFmtId="0" xfId="0" applyAlignment="1" applyBorder="1" applyFont="1">
      <alignment vertical="center"/>
    </xf>
    <xf borderId="4" fillId="3" fontId="3" numFmtId="0" xfId="0" applyAlignment="1" applyBorder="1" applyFont="1">
      <alignment vertical="center"/>
    </xf>
    <xf borderId="4" fillId="3" fontId="3" numFmtId="0" xfId="0" applyAlignment="1" applyBorder="1" applyFont="1">
      <alignment horizontal="center" vertical="center"/>
    </xf>
    <xf borderId="5" fillId="3" fontId="3" numFmtId="0" xfId="0" applyAlignment="1" applyBorder="1" applyFont="1">
      <alignment vertical="center"/>
    </xf>
    <xf borderId="7" fillId="3" fontId="2" numFmtId="0" xfId="0" applyAlignment="1" applyBorder="1" applyFont="1">
      <alignment vertical="center"/>
    </xf>
    <xf borderId="1" fillId="4" fontId="4" numFmtId="0" xfId="0" applyAlignment="1" applyBorder="1" applyFont="1">
      <alignment horizontal="center" vertical="center"/>
    </xf>
    <xf borderId="8" fillId="3" fontId="2" numFmtId="166" xfId="0" applyAlignment="1" applyBorder="1" applyFont="1" applyNumberFormat="1">
      <alignment vertical="center"/>
    </xf>
    <xf borderId="40" fillId="3" fontId="38" numFmtId="0" xfId="0" applyAlignment="1" applyBorder="1" applyFont="1">
      <alignment shrinkToFit="0" vertical="center" wrapText="1"/>
    </xf>
    <xf borderId="30" fillId="4" fontId="39" numFmtId="166" xfId="0" applyAlignment="1" applyBorder="1" applyFont="1" applyNumberFormat="1">
      <alignment vertical="center"/>
    </xf>
    <xf borderId="20" fillId="3" fontId="2" numFmtId="0" xfId="0" applyAlignment="1" applyBorder="1" applyFont="1">
      <alignment vertical="center"/>
    </xf>
    <xf borderId="17" fillId="3" fontId="2" numFmtId="0" xfId="0" applyAlignment="1" applyBorder="1" applyFont="1">
      <alignment vertical="center"/>
    </xf>
    <xf borderId="17" fillId="4" fontId="2" numFmtId="0" xfId="0" applyAlignment="1" applyBorder="1" applyFont="1">
      <alignment vertical="center"/>
    </xf>
    <xf borderId="16" fillId="3" fontId="2" numFmtId="0" xfId="0" applyAlignment="1" applyBorder="1" applyFont="1">
      <alignment vertical="center"/>
    </xf>
    <xf borderId="38" fillId="3" fontId="25" numFmtId="165" xfId="0" applyAlignment="1" applyBorder="1" applyFont="1" applyNumberFormat="1">
      <alignment horizontal="left" shrinkToFit="0" vertical="center" wrapText="1"/>
    </xf>
    <xf borderId="20" fillId="3" fontId="3" numFmtId="0" xfId="0" applyAlignment="1" applyBorder="1" applyFont="1">
      <alignment vertical="center"/>
    </xf>
    <xf borderId="17" fillId="3" fontId="3" numFmtId="0" xfId="0" applyAlignment="1" applyBorder="1" applyFont="1">
      <alignment vertical="center"/>
    </xf>
    <xf borderId="16" fillId="3" fontId="3" numFmtId="166" xfId="0" applyAlignment="1" applyBorder="1" applyFont="1" applyNumberFormat="1">
      <alignment vertical="center"/>
    </xf>
    <xf borderId="44" fillId="0" fontId="11" numFmtId="166" xfId="0" applyAlignment="1" applyBorder="1" applyFont="1" applyNumberFormat="1">
      <alignment vertical="center"/>
    </xf>
    <xf borderId="3" fillId="3" fontId="3" numFmtId="0" xfId="0" applyAlignment="1" applyBorder="1" applyFont="1">
      <alignment vertical="center"/>
    </xf>
    <xf borderId="4" fillId="3" fontId="24" numFmtId="0" xfId="0" applyAlignment="1" applyBorder="1" applyFont="1">
      <alignment vertical="center"/>
    </xf>
    <xf borderId="5" fillId="3" fontId="3" numFmtId="0" xfId="0" applyAlignment="1" applyBorder="1" applyFont="1">
      <alignment horizontal="center" vertical="center"/>
    </xf>
    <xf borderId="1" fillId="3" fontId="24" numFmtId="0" xfId="0" applyAlignment="1" applyBorder="1" applyFont="1">
      <alignment vertical="center"/>
    </xf>
    <xf borderId="1" fillId="3" fontId="2" numFmtId="166" xfId="0" applyAlignment="1" applyBorder="1" applyFont="1" applyNumberFormat="1">
      <alignment vertical="center"/>
    </xf>
    <xf borderId="8" fillId="9" fontId="4" numFmtId="9" xfId="0" applyAlignment="1" applyBorder="1" applyFill="1" applyFont="1" applyNumberFormat="1">
      <alignment vertical="center"/>
    </xf>
    <xf borderId="40" fillId="3" fontId="40" numFmtId="37" xfId="0" applyAlignment="1" applyBorder="1" applyFont="1" applyNumberFormat="1">
      <alignment horizontal="left" vertical="center"/>
    </xf>
    <xf borderId="1" fillId="3" fontId="4" numFmtId="166" xfId="0" applyAlignment="1" applyBorder="1" applyFont="1" applyNumberFormat="1">
      <alignment vertical="center"/>
    </xf>
    <xf borderId="38" fillId="3" fontId="25" numFmtId="37" xfId="0" applyAlignment="1" applyBorder="1" applyFont="1" applyNumberFormat="1">
      <alignment horizontal="left" vertical="center"/>
    </xf>
    <xf borderId="40" fillId="3" fontId="41" numFmtId="37" xfId="0" applyAlignment="1" applyBorder="1" applyFont="1" applyNumberFormat="1">
      <alignment vertical="center"/>
    </xf>
    <xf borderId="1" fillId="3" fontId="3" numFmtId="0" xfId="0" applyAlignment="1" applyBorder="1" applyFont="1">
      <alignment horizontal="center" vertical="center"/>
    </xf>
    <xf borderId="7" fillId="3" fontId="2" numFmtId="0" xfId="0" applyAlignment="1" applyBorder="1" applyFont="1">
      <alignment horizontal="left" vertical="center"/>
    </xf>
    <xf borderId="1" fillId="4" fontId="4" numFmtId="166" xfId="0" applyAlignment="1" applyBorder="1" applyFont="1" applyNumberFormat="1">
      <alignment vertical="center"/>
    </xf>
    <xf borderId="32" fillId="3" fontId="25" numFmtId="166" xfId="0" applyAlignment="1" applyBorder="1" applyFont="1" applyNumberFormat="1">
      <alignment vertical="center"/>
    </xf>
    <xf borderId="42" fillId="3" fontId="24" numFmtId="165" xfId="0" applyAlignment="1" applyBorder="1" applyFont="1" applyNumberFormat="1">
      <alignment horizontal="left" shrinkToFit="0" vertical="center" wrapText="1"/>
    </xf>
    <xf borderId="32" fillId="3" fontId="2" numFmtId="166" xfId="0" applyAlignment="1" applyBorder="1" applyFont="1" applyNumberFormat="1">
      <alignment vertical="center"/>
    </xf>
    <xf borderId="1" fillId="3" fontId="2" numFmtId="0" xfId="0" applyAlignment="1" applyBorder="1" applyFont="1">
      <alignment horizontal="center" vertical="center"/>
    </xf>
    <xf borderId="31" fillId="3" fontId="24" numFmtId="2" xfId="0" applyAlignment="1" applyBorder="1" applyFont="1" applyNumberFormat="1">
      <alignment vertical="center"/>
    </xf>
    <xf borderId="31" fillId="3" fontId="24" numFmtId="166" xfId="0" applyAlignment="1" applyBorder="1" applyFont="1" applyNumberFormat="1">
      <alignment vertical="center"/>
    </xf>
    <xf borderId="49" fillId="3" fontId="24" numFmtId="37" xfId="0" applyAlignment="1" applyBorder="1" applyFont="1" applyNumberFormat="1">
      <alignment horizontal="left" vertical="center"/>
    </xf>
    <xf borderId="50" fillId="0" fontId="9" numFmtId="0" xfId="0" applyBorder="1" applyFont="1"/>
    <xf borderId="31" fillId="3" fontId="3" numFmtId="166" xfId="0" applyAlignment="1" applyBorder="1" applyFont="1" applyNumberFormat="1">
      <alignment vertical="center"/>
    </xf>
    <xf borderId="4" fillId="3" fontId="3" numFmtId="166" xfId="0" applyAlignment="1" applyBorder="1" applyFont="1" applyNumberFormat="1">
      <alignment vertical="center"/>
    </xf>
    <xf borderId="5" fillId="3" fontId="3" numFmtId="9" xfId="0" applyAlignment="1" applyBorder="1" applyFont="1" applyNumberFormat="1">
      <alignment vertical="center"/>
    </xf>
    <xf borderId="0" fillId="0" fontId="3" numFmtId="0" xfId="0" applyAlignment="1" applyFont="1">
      <alignment vertical="center"/>
    </xf>
    <xf borderId="12" fillId="0" fontId="3" numFmtId="0" xfId="0" applyAlignment="1" applyBorder="1" applyFont="1">
      <alignment vertical="center"/>
    </xf>
    <xf borderId="11" fillId="3" fontId="3" numFmtId="0" xfId="0" applyAlignment="1" applyBorder="1" applyFont="1">
      <alignment vertical="center"/>
    </xf>
    <xf borderId="10" fillId="3" fontId="3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8" fillId="3" fontId="3" numFmtId="0" xfId="0" applyAlignment="1" applyBorder="1" applyFont="1">
      <alignment vertical="center"/>
    </xf>
    <xf borderId="14" fillId="0" fontId="2" numFmtId="0" xfId="0" applyAlignment="1" applyBorder="1" applyFont="1">
      <alignment vertical="center"/>
    </xf>
    <xf borderId="12" fillId="0" fontId="2" numFmtId="3" xfId="0" applyAlignment="1" applyBorder="1" applyFont="1" applyNumberFormat="1">
      <alignment vertical="center"/>
    </xf>
    <xf borderId="1" fillId="3" fontId="2" numFmtId="0" xfId="0" applyAlignment="1" applyBorder="1" applyFont="1">
      <alignment horizontal="left" vertical="center"/>
    </xf>
    <xf borderId="11" fillId="3" fontId="2" numFmtId="0" xfId="0" applyAlignment="1" applyBorder="1" applyFont="1">
      <alignment horizontal="center" vertical="center"/>
    </xf>
    <xf borderId="11" fillId="3" fontId="2" numFmtId="0" xfId="0" applyAlignment="1" applyBorder="1" applyFont="1">
      <alignment vertical="center"/>
    </xf>
    <xf borderId="13" fillId="0" fontId="11" numFmtId="165" xfId="0" applyAlignment="1" applyBorder="1" applyFont="1" applyNumberFormat="1">
      <alignment vertical="center"/>
    </xf>
    <xf borderId="19" fillId="0" fontId="2" numFmtId="0" xfId="0" applyAlignment="1" applyBorder="1" applyFont="1">
      <alignment vertical="center"/>
    </xf>
    <xf borderId="0" fillId="0" fontId="2" numFmtId="3" xfId="0" applyAlignment="1" applyFont="1" applyNumberFormat="1">
      <alignment vertical="center"/>
    </xf>
    <xf borderId="8" fillId="3" fontId="2" numFmtId="165" xfId="0" applyAlignment="1" applyBorder="1" applyFont="1" applyNumberFormat="1">
      <alignment vertical="center"/>
    </xf>
    <xf borderId="25" fillId="0" fontId="11" numFmtId="165" xfId="0" applyAlignment="1" applyBorder="1" applyFont="1" applyNumberFormat="1">
      <alignment vertical="center"/>
    </xf>
    <xf borderId="15" fillId="0" fontId="3" numFmtId="0" xfId="0" applyAlignment="1" applyBorder="1" applyFont="1">
      <alignment vertical="center"/>
    </xf>
    <xf borderId="18" fillId="0" fontId="3" numFmtId="0" xfId="0" applyAlignment="1" applyBorder="1" applyFont="1">
      <alignment vertical="center"/>
    </xf>
    <xf borderId="16" fillId="3" fontId="3" numFmtId="165" xfId="0" applyAlignment="1" applyBorder="1" applyFont="1" applyNumberFormat="1">
      <alignment vertical="center"/>
    </xf>
    <xf borderId="4" fillId="6" fontId="42" numFmtId="0" xfId="0" applyAlignment="1" applyBorder="1" applyFont="1">
      <alignment vertical="center"/>
    </xf>
    <xf borderId="5" fillId="6" fontId="3" numFmtId="165" xfId="0" applyAlignment="1" applyBorder="1" applyFont="1" applyNumberFormat="1">
      <alignment vertical="center"/>
    </xf>
    <xf borderId="1" fillId="10" fontId="2" numFmtId="0" xfId="0" applyAlignment="1" applyBorder="1" applyFill="1" applyFont="1">
      <alignment vertical="center"/>
    </xf>
    <xf borderId="12" fillId="0" fontId="2" numFmtId="0" xfId="0" applyAlignment="1" applyBorder="1" applyFont="1">
      <alignment vertical="center"/>
    </xf>
    <xf borderId="10" fillId="3" fontId="2" numFmtId="0" xfId="0" applyAlignment="1" applyBorder="1" applyFont="1">
      <alignment vertical="center"/>
    </xf>
    <xf borderId="47" fillId="3" fontId="24" numFmtId="37" xfId="0" applyAlignment="1" applyBorder="1" applyFont="1" applyNumberFormat="1">
      <alignment horizontal="center" shrinkToFit="0" vertical="center" wrapText="1"/>
    </xf>
    <xf borderId="47" fillId="3" fontId="24" numFmtId="168" xfId="0" applyAlignment="1" applyBorder="1" applyFont="1" applyNumberFormat="1">
      <alignment horizontal="center" shrinkToFit="0" vertical="center" wrapText="1"/>
    </xf>
    <xf borderId="18" fillId="0" fontId="2" numFmtId="0" xfId="0" applyAlignment="1" applyBorder="1" applyFont="1">
      <alignment vertical="center"/>
    </xf>
    <xf borderId="51" fillId="0" fontId="9" numFmtId="0" xfId="0" applyBorder="1" applyFont="1"/>
    <xf borderId="37" fillId="3" fontId="2" numFmtId="165" xfId="0" applyAlignment="1" applyBorder="1" applyFont="1" applyNumberFormat="1">
      <alignment vertical="center"/>
    </xf>
    <xf borderId="11" fillId="3" fontId="2" numFmtId="165" xfId="0" applyAlignment="1" applyBorder="1" applyFont="1" applyNumberFormat="1">
      <alignment vertical="center"/>
    </xf>
    <xf borderId="30" fillId="3" fontId="2" numFmtId="165" xfId="0" applyAlignment="1" applyBorder="1" applyFont="1" applyNumberFormat="1">
      <alignment vertical="center"/>
    </xf>
    <xf borderId="1" fillId="3" fontId="2" numFmtId="165" xfId="0" applyAlignment="1" applyBorder="1" applyFont="1" applyNumberFormat="1">
      <alignment vertical="center"/>
    </xf>
    <xf borderId="0" fillId="0" fontId="2" numFmtId="37" xfId="0" applyAlignment="1" applyFont="1" applyNumberFormat="1">
      <alignment vertical="center"/>
    </xf>
    <xf borderId="15" fillId="0" fontId="2" numFmtId="0" xfId="0" applyAlignment="1" applyBorder="1" applyFont="1">
      <alignment vertical="center"/>
    </xf>
    <xf borderId="32" fillId="3" fontId="2" numFmtId="165" xfId="0" applyAlignment="1" applyBorder="1" applyFont="1" applyNumberFormat="1">
      <alignment vertical="center"/>
    </xf>
    <xf borderId="17" fillId="3" fontId="2" numFmtId="165" xfId="0" applyAlignment="1" applyBorder="1" applyFont="1" applyNumberFormat="1">
      <alignment vertical="center"/>
    </xf>
    <xf borderId="30" fillId="3" fontId="3" numFmtId="165" xfId="0" applyAlignment="1" applyBorder="1" applyFont="1" applyNumberFormat="1">
      <alignment vertical="center"/>
    </xf>
    <xf borderId="1" fillId="3" fontId="3" numFmtId="165" xfId="0" applyAlignment="1" applyBorder="1" applyFont="1" applyNumberFormat="1">
      <alignment vertical="center"/>
    </xf>
    <xf borderId="32" fillId="3" fontId="3" numFmtId="165" xfId="0" applyAlignment="1" applyBorder="1" applyFont="1" applyNumberFormat="1">
      <alignment vertical="center"/>
    </xf>
    <xf borderId="3" fillId="11" fontId="43" numFmtId="37" xfId="0" applyAlignment="1" applyBorder="1" applyFill="1" applyFont="1" applyNumberFormat="1">
      <alignment vertical="center"/>
    </xf>
    <xf borderId="4" fillId="11" fontId="44" numFmtId="37" xfId="0" applyAlignment="1" applyBorder="1" applyFont="1" applyNumberFormat="1">
      <alignment vertical="center"/>
    </xf>
    <xf borderId="4" fillId="11" fontId="45" numFmtId="165" xfId="0" applyAlignment="1" applyBorder="1" applyFont="1" applyNumberFormat="1">
      <alignment vertical="center"/>
    </xf>
    <xf borderId="4" fillId="11" fontId="3" numFmtId="165" xfId="0" applyAlignment="1" applyBorder="1" applyFont="1" applyNumberFormat="1">
      <alignment vertical="center"/>
    </xf>
    <xf borderId="32" fillId="11" fontId="3" numFmtId="165" xfId="0" applyAlignment="1" applyBorder="1" applyFont="1" applyNumberFormat="1">
      <alignment vertical="center"/>
    </xf>
    <xf borderId="0" fillId="0" fontId="46" numFmtId="0" xfId="0" applyFont="1"/>
    <xf borderId="0" fillId="0" fontId="47" numFmtId="37" xfId="0" applyAlignment="1" applyFont="1" applyNumberFormat="1">
      <alignment vertical="center"/>
    </xf>
    <xf borderId="1" fillId="3" fontId="48" numFmtId="37" xfId="0" applyAlignment="1" applyBorder="1" applyFont="1" applyNumberFormat="1">
      <alignment vertical="center"/>
    </xf>
    <xf borderId="49" fillId="0" fontId="3" numFmtId="0" xfId="0" applyAlignment="1" applyBorder="1" applyFont="1">
      <alignment vertical="center"/>
    </xf>
    <xf borderId="52" fillId="0" fontId="3" numFmtId="0" xfId="0" applyAlignment="1" applyBorder="1" applyFont="1">
      <alignment vertical="center"/>
    </xf>
    <xf borderId="14" fillId="0" fontId="2" numFmtId="3" xfId="0" applyAlignment="1" applyBorder="1" applyFont="1" applyNumberFormat="1">
      <alignment vertical="center"/>
    </xf>
    <xf borderId="10" fillId="3" fontId="2" numFmtId="167" xfId="0" applyAlignment="1" applyBorder="1" applyFont="1" applyNumberFormat="1">
      <alignment vertical="center"/>
    </xf>
    <xf borderId="5" fillId="3" fontId="3" numFmtId="167" xfId="0" applyAlignment="1" applyBorder="1" applyFont="1" applyNumberFormat="1">
      <alignment vertical="center"/>
    </xf>
    <xf borderId="8" fillId="3" fontId="2" numFmtId="0" xfId="0" applyAlignment="1" applyBorder="1" applyFont="1">
      <alignment vertical="center"/>
    </xf>
    <xf borderId="49" fillId="0" fontId="2" numFmtId="0" xfId="0" applyAlignment="1" applyBorder="1" applyFont="1">
      <alignment horizontal="center" vertical="center"/>
    </xf>
    <xf borderId="47" fillId="0" fontId="2" numFmtId="165" xfId="0" applyAlignment="1" applyBorder="1" applyFont="1" applyNumberFormat="1">
      <alignment vertical="center"/>
    </xf>
    <xf borderId="1" fillId="3" fontId="2" numFmtId="3" xfId="0" applyAlignment="1" applyBorder="1" applyFont="1" applyNumberFormat="1">
      <alignment vertical="center"/>
    </xf>
    <xf borderId="14" fillId="0" fontId="2" numFmtId="0" xfId="0" applyAlignment="1" applyBorder="1" applyFont="1">
      <alignment horizontal="center" vertical="center"/>
    </xf>
    <xf borderId="20" fillId="3" fontId="2" numFmtId="0" xfId="0" applyAlignment="1" applyBorder="1" applyFont="1">
      <alignment horizontal="left" vertical="center"/>
    </xf>
    <xf borderId="4" fillId="11" fontId="3" numFmtId="0" xfId="0" applyAlignment="1" applyBorder="1" applyFont="1">
      <alignment vertical="center"/>
    </xf>
    <xf borderId="1" fillId="3" fontId="3" numFmtId="0" xfId="0" applyAlignment="1" applyBorder="1" applyFont="1">
      <alignment horizontal="left" vertical="center"/>
    </xf>
    <xf borderId="0" fillId="0" fontId="3" numFmtId="0" xfId="0" applyAlignment="1" applyFont="1">
      <alignment horizontal="center" vertical="center"/>
    </xf>
    <xf borderId="0" fillId="0" fontId="21" numFmtId="0" xfId="0" applyAlignment="1" applyFont="1">
      <alignment readingOrder="0"/>
    </xf>
    <xf borderId="14" fillId="5" fontId="49" numFmtId="0" xfId="0" applyAlignment="1" applyBorder="1" applyFont="1">
      <alignment readingOrder="0" shrinkToFit="0" vertical="bottom" wrapText="0"/>
    </xf>
    <xf borderId="12" fillId="5" fontId="50" numFmtId="0" xfId="0" applyAlignment="1" applyBorder="1" applyFont="1">
      <alignment readingOrder="0" shrinkToFit="0" vertical="bottom" wrapText="0"/>
    </xf>
    <xf borderId="13" fillId="5" fontId="50" numFmtId="0" xfId="0" applyAlignment="1" applyBorder="1" applyFont="1">
      <alignment readingOrder="0" shrinkToFit="0" vertical="bottom" wrapText="0"/>
    </xf>
    <xf borderId="31" fillId="12" fontId="51" numFmtId="0" xfId="0" applyAlignment="1" applyBorder="1" applyFill="1" applyFont="1">
      <alignment horizontal="center" shrinkToFit="0" wrapText="1"/>
    </xf>
    <xf borderId="5" fillId="12" fontId="51" numFmtId="0" xfId="0" applyAlignment="1" applyBorder="1" applyFont="1">
      <alignment horizontal="center"/>
    </xf>
    <xf borderId="49" fillId="8" fontId="52" numFmtId="0" xfId="0" applyAlignment="1" applyBorder="1" applyFont="1">
      <alignment readingOrder="0"/>
    </xf>
    <xf borderId="52" fillId="8" fontId="53" numFmtId="0" xfId="0" applyBorder="1" applyFont="1"/>
    <xf borderId="50" fillId="8" fontId="53" numFmtId="0" xfId="0" applyBorder="1" applyFont="1"/>
    <xf borderId="30" fillId="13" fontId="2" numFmtId="3" xfId="0" applyAlignment="1" applyBorder="1" applyFill="1" applyFont="1" applyNumberFormat="1">
      <alignment horizontal="center"/>
    </xf>
    <xf borderId="8" fillId="2" fontId="2" numFmtId="167" xfId="0" applyAlignment="1" applyBorder="1" applyFont="1" applyNumberFormat="1">
      <alignment horizontal="center" shrinkToFit="0" wrapText="1"/>
    </xf>
    <xf borderId="14" fillId="0" fontId="53" numFmtId="0" xfId="0" applyBorder="1" applyFont="1"/>
    <xf borderId="12" fillId="0" fontId="54" numFmtId="0" xfId="0" applyAlignment="1" applyBorder="1" applyFont="1">
      <alignment horizontal="center" readingOrder="0"/>
    </xf>
    <xf borderId="13" fillId="0" fontId="55" numFmtId="0" xfId="0" applyAlignment="1" applyBorder="1" applyFont="1">
      <alignment readingOrder="0"/>
    </xf>
    <xf borderId="19" fillId="0" fontId="56" numFmtId="0" xfId="0" applyAlignment="1" applyBorder="1" applyFont="1">
      <alignment readingOrder="0"/>
    </xf>
    <xf borderId="0" fillId="0" fontId="53" numFmtId="0" xfId="0" applyAlignment="1" applyFont="1">
      <alignment horizontal="center"/>
    </xf>
    <xf borderId="0" fillId="0" fontId="53" numFmtId="3" xfId="0" applyAlignment="1" applyFont="1" applyNumberFormat="1">
      <alignment horizontal="center"/>
    </xf>
    <xf borderId="25" fillId="0" fontId="53" numFmtId="9" xfId="0" applyAlignment="1" applyBorder="1" applyFont="1" applyNumberFormat="1">
      <alignment horizontal="center"/>
    </xf>
    <xf borderId="15" fillId="0" fontId="56" numFmtId="0" xfId="0" applyAlignment="1" applyBorder="1" applyFont="1">
      <alignment readingOrder="0"/>
    </xf>
    <xf borderId="18" fillId="0" fontId="53" numFmtId="9" xfId="0" applyAlignment="1" applyBorder="1" applyFont="1" applyNumberFormat="1">
      <alignment horizontal="center" readingOrder="0"/>
    </xf>
    <xf borderId="18" fillId="0" fontId="53" numFmtId="10" xfId="0" applyAlignment="1" applyBorder="1" applyFont="1" applyNumberFormat="1">
      <alignment horizontal="center" readingOrder="0"/>
    </xf>
    <xf borderId="28" fillId="0" fontId="53" numFmtId="0" xfId="0" applyBorder="1" applyFont="1"/>
    <xf borderId="19" fillId="0" fontId="56" numFmtId="0" xfId="0" applyBorder="1" applyFont="1"/>
    <xf borderId="0" fillId="0" fontId="57" numFmtId="0" xfId="0" applyAlignment="1" applyFont="1">
      <alignment horizontal="center" readingOrder="0"/>
    </xf>
    <xf borderId="25" fillId="0" fontId="53" numFmtId="0" xfId="0" applyBorder="1" applyFont="1"/>
    <xf borderId="18" fillId="0" fontId="53" numFmtId="10" xfId="0" applyAlignment="1" applyBorder="1" applyFont="1" applyNumberFormat="1">
      <alignment horizontal="center"/>
    </xf>
    <xf borderId="25" fillId="0" fontId="58" numFmtId="0" xfId="0" applyAlignment="1" applyBorder="1" applyFont="1">
      <alignment horizontal="center" readingOrder="0"/>
    </xf>
    <xf borderId="25" fillId="0" fontId="53" numFmtId="0" xfId="0" applyAlignment="1" applyBorder="1" applyFont="1">
      <alignment horizontal="center"/>
    </xf>
    <xf borderId="0" fillId="0" fontId="53" numFmtId="0" xfId="0" applyAlignment="1" applyFont="1">
      <alignment horizontal="center" readingOrder="0"/>
    </xf>
    <xf quotePrefix="1" borderId="0" fillId="0" fontId="53" numFmtId="0" xfId="0" applyAlignment="1" applyFont="1">
      <alignment horizontal="center" readingOrder="0"/>
    </xf>
    <xf borderId="25" fillId="0" fontId="53" numFmtId="0" xfId="0" applyAlignment="1" applyBorder="1" applyFont="1">
      <alignment horizontal="center" readingOrder="0"/>
    </xf>
    <xf borderId="0" fillId="0" fontId="53" numFmtId="170" xfId="0" applyAlignment="1" applyFont="1" applyNumberFormat="1">
      <alignment horizontal="center"/>
    </xf>
    <xf borderId="25" fillId="0" fontId="53" numFmtId="170" xfId="0" applyAlignment="1" applyBorder="1" applyFont="1" applyNumberFormat="1">
      <alignment horizontal="center"/>
    </xf>
    <xf borderId="15" fillId="0" fontId="21" numFmtId="0" xfId="0" applyBorder="1" applyFont="1"/>
    <xf borderId="18" fillId="0" fontId="21" numFmtId="0" xfId="0" applyBorder="1" applyFont="1"/>
    <xf borderId="28" fillId="0" fontId="21" numFmtId="0" xfId="0" applyBorder="1" applyFont="1"/>
    <xf borderId="31" fillId="2" fontId="3" numFmtId="0" xfId="0" applyAlignment="1" applyBorder="1" applyFont="1">
      <alignment horizontal="center" shrinkToFit="0" wrapText="1"/>
    </xf>
    <xf borderId="5" fillId="2" fontId="3" numFmtId="167" xfId="0" applyAlignment="1" applyBorder="1" applyFont="1" applyNumberFormat="1">
      <alignment horizontal="center" shrinkToFit="0" wrapText="1"/>
    </xf>
    <xf borderId="5" fillId="2" fontId="59" numFmtId="171" xfId="0" applyAlignment="1" applyBorder="1" applyFont="1" applyNumberFormat="1">
      <alignment horizontal="right" shrinkToFit="0" wrapText="1"/>
    </xf>
    <xf borderId="30" fillId="13" fontId="2" numFmtId="3" xfId="0" applyAlignment="1" applyBorder="1" applyFont="1" applyNumberFormat="1">
      <alignment horizontal="center" shrinkToFit="0" wrapText="1"/>
    </xf>
    <xf borderId="8" fillId="2" fontId="60" numFmtId="171" xfId="0" applyAlignment="1" applyBorder="1" applyFont="1" applyNumberFormat="1">
      <alignment horizontal="right" shrinkToFit="0" wrapText="1"/>
    </xf>
    <xf borderId="19" fillId="0" fontId="53" numFmtId="0" xfId="0" applyBorder="1" applyFont="1"/>
    <xf borderId="0" fillId="0" fontId="53" numFmtId="0" xfId="0" applyFont="1"/>
    <xf borderId="0" fillId="0" fontId="53" numFmtId="169" xfId="0" applyAlignment="1" applyFont="1" applyNumberFormat="1">
      <alignment horizontal="center"/>
    </xf>
    <xf borderId="0" fillId="0" fontId="53" numFmtId="165" xfId="0" applyAlignment="1" applyFont="1" applyNumberFormat="1">
      <alignment horizontal="center"/>
    </xf>
    <xf borderId="14" fillId="0" fontId="56" numFmtId="0" xfId="0" applyBorder="1" applyFont="1"/>
    <xf borderId="13" fillId="0" fontId="61" numFmtId="0" xfId="0" applyAlignment="1" applyBorder="1" applyFont="1">
      <alignment horizontal="center" readingOrder="0"/>
    </xf>
    <xf borderId="28" fillId="0" fontId="53" numFmtId="10" xfId="0" applyAlignment="1" applyBorder="1" applyFont="1" applyNumberFormat="1">
      <alignment horizontal="center"/>
    </xf>
    <xf borderId="12" fillId="0" fontId="53" numFmtId="0" xfId="0" applyBorder="1" applyFont="1"/>
    <xf borderId="13" fillId="0" fontId="53" numFmtId="0" xfId="0" applyBorder="1" applyFont="1"/>
    <xf borderId="18" fillId="0" fontId="53" numFmtId="0" xfId="0" applyBorder="1" applyFont="1"/>
    <xf borderId="31" fillId="2" fontId="3" numFmtId="167" xfId="0" applyAlignment="1" applyBorder="1" applyFont="1" applyNumberFormat="1">
      <alignment horizontal="center" shrinkToFit="0" wrapText="1"/>
    </xf>
    <xf borderId="31" fillId="2" fontId="59" numFmtId="171" xfId="0" applyAlignment="1" applyBorder="1" applyFont="1" applyNumberFormat="1">
      <alignment horizontal="right" shrinkToFit="0" wrapText="1"/>
    </xf>
    <xf borderId="32" fillId="2" fontId="3" numFmtId="0" xfId="0" applyAlignment="1" applyBorder="1" applyFont="1">
      <alignment horizontal="center" shrinkToFit="0" wrapText="1"/>
    </xf>
    <xf borderId="16" fillId="2" fontId="7" numFmtId="167" xfId="0" applyAlignment="1" applyBorder="1" applyFont="1" applyNumberFormat="1">
      <alignment horizontal="center" shrinkToFit="0" wrapText="1"/>
    </xf>
    <xf borderId="18" fillId="0" fontId="53" numFmtId="172" xfId="0" applyAlignment="1" applyBorder="1" applyFont="1" applyNumberFormat="1">
      <alignment horizontal="center"/>
    </xf>
    <xf borderId="3" fillId="3" fontId="3" numFmtId="0" xfId="0" applyBorder="1" applyFont="1"/>
    <xf borderId="4" fillId="3" fontId="3" numFmtId="0" xfId="0" applyBorder="1" applyFont="1"/>
    <xf borderId="4" fillId="3" fontId="3" numFmtId="0" xfId="0" applyAlignment="1" applyBorder="1" applyFont="1">
      <alignment horizontal="center"/>
    </xf>
    <xf borderId="5" fillId="3" fontId="3" numFmtId="0" xfId="0" applyBorder="1" applyFont="1"/>
    <xf borderId="31" fillId="3" fontId="12" numFmtId="165" xfId="0" applyAlignment="1" applyBorder="1" applyFont="1" applyNumberFormat="1">
      <alignment horizontal="left"/>
    </xf>
    <xf borderId="1" fillId="3" fontId="2" numFmtId="165" xfId="0" applyAlignment="1" applyBorder="1" applyFont="1" applyNumberFormat="1">
      <alignment horizontal="center"/>
    </xf>
    <xf borderId="8" fillId="3" fontId="4" numFmtId="165" xfId="0" applyAlignment="1" applyBorder="1" applyFont="1" applyNumberFormat="1">
      <alignment horizontal="center"/>
    </xf>
    <xf borderId="1" fillId="3" fontId="4" numFmtId="165" xfId="0" applyAlignment="1" applyBorder="1" applyFont="1" applyNumberFormat="1">
      <alignment horizontal="center"/>
    </xf>
    <xf borderId="8" fillId="3" fontId="2" numFmtId="165" xfId="0" applyAlignment="1" applyBorder="1" applyFont="1" applyNumberFormat="1">
      <alignment horizontal="center"/>
    </xf>
    <xf borderId="7" fillId="4" fontId="4" numFmtId="0" xfId="0" applyBorder="1" applyFont="1"/>
    <xf borderId="25" fillId="0" fontId="11" numFmtId="165" xfId="0" applyAlignment="1" applyBorder="1" applyFont="1" applyNumberFormat="1">
      <alignment horizontal="center"/>
    </xf>
    <xf borderId="49" fillId="5" fontId="62" numFmtId="0" xfId="0" applyAlignment="1" applyBorder="1" applyFont="1">
      <alignment readingOrder="0" shrinkToFit="0" vertical="bottom" wrapText="0"/>
    </xf>
    <xf borderId="50" fillId="5" fontId="63" numFmtId="0" xfId="0" applyAlignment="1" applyBorder="1" applyFont="1">
      <alignment shrinkToFit="0" vertical="bottom" wrapText="0"/>
    </xf>
    <xf borderId="19" fillId="0" fontId="64" numFmtId="0" xfId="0" applyAlignment="1" applyBorder="1" applyFont="1">
      <alignment readingOrder="0" shrinkToFit="0" vertical="bottom" wrapText="0"/>
    </xf>
    <xf borderId="25" fillId="0" fontId="65" numFmtId="165" xfId="0" applyAlignment="1" applyBorder="1" applyFont="1" applyNumberFormat="1">
      <alignment readingOrder="0" shrinkToFit="0" vertical="bottom" wrapText="0"/>
    </xf>
    <xf borderId="0" fillId="0" fontId="8" numFmtId="165" xfId="0" applyAlignment="1" applyFont="1" applyNumberFormat="1">
      <alignment horizontal="center"/>
    </xf>
    <xf borderId="25" fillId="0" fontId="8" numFmtId="165" xfId="0" applyAlignment="1" applyBorder="1" applyFont="1" applyNumberFormat="1">
      <alignment horizontal="center"/>
    </xf>
    <xf borderId="15" fillId="0" fontId="64" numFmtId="0" xfId="0" applyAlignment="1" applyBorder="1" applyFont="1">
      <alignment readingOrder="0" shrinkToFit="0" vertical="bottom" wrapText="0"/>
    </xf>
    <xf borderId="28" fillId="0" fontId="66" numFmtId="165" xfId="0" applyAlignment="1" applyBorder="1" applyFont="1" applyNumberFormat="1">
      <alignment readingOrder="0" shrinkToFit="0" vertical="bottom" wrapText="0"/>
    </xf>
    <xf borderId="18" fillId="0" fontId="11" numFmtId="165" xfId="0" applyAlignment="1" applyBorder="1" applyFont="1" applyNumberFormat="1">
      <alignment horizontal="center"/>
    </xf>
    <xf borderId="28" fillId="0" fontId="4" numFmtId="165" xfId="0" applyAlignment="1" applyBorder="1" applyFont="1" applyNumberFormat="1">
      <alignment horizontal="center"/>
    </xf>
    <xf borderId="19" fillId="0" fontId="64" numFmtId="0" xfId="0" applyAlignment="1" applyBorder="1" applyFont="1">
      <alignment horizontal="left" readingOrder="0" shrinkToFit="0" wrapText="0"/>
    </xf>
    <xf borderId="25" fillId="0" fontId="64" numFmtId="165" xfId="0" applyAlignment="1" applyBorder="1" applyFont="1" applyNumberFormat="1">
      <alignment readingOrder="0" shrinkToFit="0" vertical="bottom" wrapText="0"/>
    </xf>
    <xf borderId="20" fillId="3" fontId="67" numFmtId="3" xfId="0" applyAlignment="1" applyBorder="1" applyFont="1" applyNumberFormat="1">
      <alignment horizontal="left" vertical="center"/>
    </xf>
    <xf borderId="17" fillId="3" fontId="68" numFmtId="3" xfId="0" applyAlignment="1" applyBorder="1" applyFont="1" applyNumberFormat="1">
      <alignment horizontal="right" vertical="center"/>
    </xf>
    <xf borderId="17" fillId="3" fontId="2" numFmtId="165" xfId="0" applyAlignment="1" applyBorder="1" applyFont="1" applyNumberFormat="1">
      <alignment horizontal="center"/>
    </xf>
    <xf borderId="16" fillId="3" fontId="2" numFmtId="165" xfId="0" applyAlignment="1" applyBorder="1" applyFont="1" applyNumberFormat="1">
      <alignment horizontal="center"/>
    </xf>
    <xf borderId="7" fillId="3" fontId="69" numFmtId="3" xfId="0" applyAlignment="1" applyBorder="1" applyFont="1" applyNumberFormat="1">
      <alignment horizontal="left" vertical="center"/>
    </xf>
    <xf borderId="1" fillId="3" fontId="70" numFmtId="3" xfId="0" applyAlignment="1" applyBorder="1" applyFont="1" applyNumberFormat="1">
      <alignment horizontal="right" vertical="center"/>
    </xf>
    <xf borderId="15" fillId="0" fontId="64" numFmtId="0" xfId="0" applyAlignment="1" applyBorder="1" applyFont="1">
      <alignment horizontal="left" readingOrder="0" shrinkToFit="0" wrapText="0"/>
    </xf>
    <xf borderId="28" fillId="0" fontId="64" numFmtId="165" xfId="0" applyAlignment="1" applyBorder="1" applyFont="1" applyNumberFormat="1">
      <alignment readingOrder="0" shrinkToFit="0" vertical="bottom" wrapText="0"/>
    </xf>
    <xf borderId="0" fillId="0" fontId="64" numFmtId="0" xfId="0" applyAlignment="1" applyFont="1">
      <alignment shrinkToFit="0" vertical="bottom" wrapText="0"/>
    </xf>
    <xf borderId="25" fillId="0" fontId="71" numFmtId="165" xfId="0" applyAlignment="1" applyBorder="1" applyFont="1" applyNumberFormat="1">
      <alignment horizontal="right" readingOrder="0" shrinkToFit="0" vertical="bottom" wrapText="0"/>
    </xf>
    <xf borderId="25" fillId="0" fontId="64" numFmtId="165" xfId="0" applyAlignment="1" applyBorder="1" applyFont="1" applyNumberFormat="1">
      <alignment horizontal="right" readingOrder="0" shrinkToFit="0" vertical="bottom" wrapText="0"/>
    </xf>
    <xf borderId="32" fillId="3" fontId="12" numFmtId="165" xfId="0" applyAlignment="1" applyBorder="1" applyFont="1" applyNumberFormat="1">
      <alignment horizontal="left"/>
    </xf>
    <xf borderId="19" fillId="0" fontId="64" numFmtId="0" xfId="0" applyAlignment="1" applyBorder="1" applyFont="1">
      <alignment horizontal="left" readingOrder="0" shrinkToFit="0" vertical="bottom" wrapText="0"/>
    </xf>
    <xf borderId="9" fillId="3" fontId="3" numFmtId="3" xfId="0" applyAlignment="1" applyBorder="1" applyFont="1" applyNumberFormat="1">
      <alignment horizontal="left" vertical="center"/>
    </xf>
    <xf borderId="11" fillId="3" fontId="72" numFmtId="3" xfId="0" applyAlignment="1" applyBorder="1" applyFont="1" applyNumberFormat="1">
      <alignment horizontal="right" vertical="center"/>
    </xf>
    <xf borderId="11" fillId="3" fontId="2" numFmtId="165" xfId="0" applyAlignment="1" applyBorder="1" applyFont="1" applyNumberFormat="1">
      <alignment horizontal="center"/>
    </xf>
    <xf borderId="10" fillId="3" fontId="2" numFmtId="165" xfId="0" applyAlignment="1" applyBorder="1" applyFont="1" applyNumberFormat="1">
      <alignment horizontal="center"/>
    </xf>
    <xf borderId="33" fillId="3" fontId="3" numFmtId="3" xfId="0" applyAlignment="1" applyBorder="1" applyFont="1" applyNumberFormat="1">
      <alignment horizontal="left" vertical="center"/>
    </xf>
    <xf borderId="34" fillId="3" fontId="73" numFmtId="3" xfId="0" applyAlignment="1" applyBorder="1" applyFont="1" applyNumberFormat="1">
      <alignment horizontal="left" vertical="center"/>
    </xf>
    <xf borderId="34" fillId="3" fontId="2" numFmtId="165" xfId="0" applyAlignment="1" applyBorder="1" applyFont="1" applyNumberFormat="1">
      <alignment horizontal="center"/>
    </xf>
    <xf borderId="35" fillId="3" fontId="2" numFmtId="165" xfId="0" applyAlignment="1" applyBorder="1" applyFont="1" applyNumberFormat="1">
      <alignment horizontal="center"/>
    </xf>
    <xf borderId="32" fillId="3" fontId="2" numFmtId="166" xfId="0" applyBorder="1" applyFont="1" applyNumberFormat="1"/>
    <xf borderId="15" fillId="0" fontId="64" numFmtId="0" xfId="0" applyAlignment="1" applyBorder="1" applyFont="1">
      <alignment horizontal="left" readingOrder="0" shrinkToFit="0" vertical="bottom" wrapText="0"/>
    </xf>
    <xf borderId="28" fillId="0" fontId="64" numFmtId="165" xfId="0" applyAlignment="1" applyBorder="1" applyFont="1" applyNumberFormat="1">
      <alignment horizontal="right" readingOrder="0" shrinkToFit="0" vertical="bottom" wrapText="0"/>
    </xf>
    <xf borderId="19" fillId="0" fontId="64" numFmtId="0" xfId="0" applyAlignment="1" applyBorder="1" applyFont="1">
      <alignment readingOrder="0" shrinkToFit="0" vertical="bottom" wrapText="0"/>
    </xf>
    <xf borderId="0" fillId="2" fontId="51" numFmtId="0" xfId="0" applyAlignment="1" applyFont="1">
      <alignment horizontal="center" shrinkToFit="0" wrapText="1"/>
    </xf>
    <xf borderId="52" fillId="5" fontId="63" numFmtId="0" xfId="0" applyAlignment="1" applyBorder="1" applyFont="1">
      <alignment shrinkToFit="0" vertical="bottom" wrapText="0"/>
    </xf>
    <xf borderId="52" fillId="5" fontId="62" numFmtId="0" xfId="0" applyAlignment="1" applyBorder="1" applyFont="1">
      <alignment readingOrder="0" shrinkToFit="0" vertical="bottom" wrapText="0"/>
    </xf>
    <xf borderId="19" fillId="0" fontId="2" numFmtId="0" xfId="0" applyAlignment="1" applyBorder="1" applyFont="1">
      <alignment horizontal="center"/>
    </xf>
    <xf borderId="0" fillId="0" fontId="2" numFmtId="0" xfId="0" applyAlignment="1" applyFont="1">
      <alignment horizontal="center"/>
    </xf>
    <xf borderId="25" fillId="0" fontId="2" numFmtId="0" xfId="0" applyAlignment="1" applyBorder="1" applyFont="1">
      <alignment horizontal="center"/>
    </xf>
    <xf borderId="25" fillId="0" fontId="74" numFmtId="0" xfId="0" applyAlignment="1" applyBorder="1" applyFont="1">
      <alignment horizontal="right" readingOrder="0"/>
    </xf>
    <xf borderId="19" fillId="0" fontId="2" numFmtId="0" xfId="0" applyAlignment="1" applyBorder="1" applyFont="1">
      <alignment readingOrder="0"/>
    </xf>
    <xf borderId="25" fillId="0" fontId="2" numFmtId="0" xfId="0" applyBorder="1" applyFont="1"/>
    <xf borderId="25" fillId="0" fontId="74" numFmtId="170" xfId="0" applyAlignment="1" applyBorder="1" applyFont="1" applyNumberFormat="1">
      <alignment horizontal="right"/>
    </xf>
    <xf borderId="18" fillId="0" fontId="2" numFmtId="10" xfId="0" applyAlignment="1" applyBorder="1" applyFont="1" applyNumberFormat="1">
      <alignment horizontal="right"/>
    </xf>
    <xf borderId="52" fillId="0" fontId="2" numFmtId="0" xfId="0" applyBorder="1" applyFont="1"/>
    <xf borderId="1" fillId="3" fontId="51" numFmtId="0" xfId="0" applyAlignment="1" applyBorder="1" applyFont="1">
      <alignment horizontal="center" shrinkToFit="0" wrapText="1"/>
    </xf>
    <xf borderId="11" fillId="12" fontId="20" numFmtId="0" xfId="0" applyAlignment="1" applyBorder="1" applyFont="1">
      <alignment horizontal="center"/>
    </xf>
    <xf borderId="10" fillId="12" fontId="20" numFmtId="0" xfId="0" applyAlignment="1" applyBorder="1" applyFont="1">
      <alignment horizontal="center"/>
    </xf>
    <xf borderId="0" fillId="0" fontId="2" numFmtId="165" xfId="0" applyFont="1" applyNumberFormat="1"/>
    <xf borderId="25" fillId="0" fontId="2" numFmtId="165" xfId="0" applyBorder="1" applyFont="1" applyNumberFormat="1"/>
    <xf borderId="15" fillId="0" fontId="10" numFmtId="0" xfId="0" applyBorder="1" applyFont="1"/>
    <xf borderId="18" fillId="0" fontId="10" numFmtId="173" xfId="0" applyBorder="1" applyFont="1" applyNumberFormat="1"/>
    <xf borderId="28" fillId="0" fontId="10" numFmtId="173" xfId="0" applyBorder="1" applyFont="1" applyNumberFormat="1"/>
    <xf quotePrefix="1" borderId="0" fillId="0" fontId="2" numFmtId="0" xfId="0" applyFont="1"/>
    <xf borderId="0" fillId="3" fontId="22" numFmtId="0" xfId="0" applyFont="1"/>
    <xf borderId="31" fillId="3" fontId="22" numFmtId="0" xfId="0" applyBorder="1" applyFont="1"/>
    <xf borderId="1" fillId="3" fontId="2" numFmtId="165" xfId="0" applyBorder="1" applyFont="1" applyNumberFormat="1"/>
    <xf borderId="1" fillId="3" fontId="75" numFmtId="165" xfId="0" applyAlignment="1" applyBorder="1" applyFont="1" applyNumberFormat="1">
      <alignment horizontal="center"/>
    </xf>
    <xf borderId="0" fillId="3" fontId="23" numFmtId="0" xfId="0" applyFont="1"/>
    <xf borderId="1" fillId="3" fontId="23" numFmtId="0" xfId="0" applyBorder="1" applyFont="1"/>
    <xf borderId="1" fillId="3" fontId="2" numFmtId="0" xfId="0" applyAlignment="1" applyBorder="1" applyFont="1">
      <alignment horizontal="right"/>
    </xf>
    <xf borderId="1" fillId="3" fontId="2" numFmtId="14" xfId="0" applyAlignment="1" applyBorder="1" applyFont="1" applyNumberFormat="1">
      <alignment horizontal="right"/>
    </xf>
    <xf borderId="0" fillId="3" fontId="2" numFmtId="0" xfId="0" applyFont="1"/>
    <xf borderId="1" fillId="3" fontId="2" numFmtId="10" xfId="0" applyAlignment="1" applyBorder="1" applyFont="1" applyNumberFormat="1">
      <alignment horizontal="center"/>
    </xf>
    <xf borderId="0" fillId="3" fontId="3" numFmtId="0" xfId="0" applyFont="1"/>
    <xf borderId="11" fillId="3" fontId="2" numFmtId="10" xfId="0" applyAlignment="1" applyBorder="1" applyFont="1" applyNumberFormat="1">
      <alignment horizontal="center"/>
    </xf>
    <xf borderId="10" fillId="3" fontId="2" numFmtId="0" xfId="0" applyAlignment="1" applyBorder="1" applyFont="1">
      <alignment horizontal="center"/>
    </xf>
    <xf borderId="0" fillId="0" fontId="2" numFmtId="10" xfId="0" applyAlignment="1" applyFont="1" applyNumberFormat="1">
      <alignment horizontal="center"/>
    </xf>
    <xf borderId="8" fillId="3" fontId="2" numFmtId="0" xfId="0" applyAlignment="1" applyBorder="1" applyFont="1">
      <alignment horizontal="center"/>
    </xf>
    <xf borderId="0" fillId="3" fontId="2" numFmtId="165" xfId="0" applyFont="1" applyNumberFormat="1"/>
    <xf borderId="7" fillId="3" fontId="2" numFmtId="165" xfId="0" applyBorder="1" applyFont="1" applyNumberFormat="1"/>
    <xf borderId="1" fillId="3" fontId="2" numFmtId="3" xfId="0" applyAlignment="1" applyBorder="1" applyFont="1" applyNumberFormat="1">
      <alignment horizontal="center"/>
    </xf>
    <xf borderId="17" fillId="3" fontId="2" numFmtId="10" xfId="0" applyAlignment="1" applyBorder="1" applyFont="1" applyNumberFormat="1">
      <alignment horizontal="center"/>
    </xf>
    <xf borderId="16" fillId="3" fontId="2" numFmtId="0" xfId="0" applyAlignment="1" applyBorder="1" applyFont="1">
      <alignment horizontal="center"/>
    </xf>
    <xf borderId="0" fillId="3" fontId="21" numFmtId="0" xfId="0" applyFont="1"/>
    <xf borderId="1" fillId="3" fontId="3" numFmtId="0" xfId="0" applyAlignment="1" applyBorder="1" applyFont="1">
      <alignment horizontal="center"/>
    </xf>
    <xf borderId="1" fillId="3" fontId="76" numFmtId="165" xfId="0" applyAlignment="1" applyBorder="1" applyFont="1" applyNumberFormat="1">
      <alignment horizontal="center"/>
    </xf>
    <xf borderId="1" fillId="3" fontId="3" numFmtId="169" xfId="0" applyAlignment="1" applyBorder="1" applyFont="1" applyNumberFormat="1">
      <alignment horizontal="center"/>
    </xf>
    <xf borderId="1" fillId="3" fontId="3" numFmtId="165" xfId="0" applyBorder="1" applyFont="1" applyNumberFormat="1"/>
    <xf borderId="1" fillId="3" fontId="5" numFmtId="0" xfId="0" applyBorder="1" applyFont="1"/>
    <xf borderId="1" fillId="3" fontId="3" numFmtId="3" xfId="0" applyAlignment="1" applyBorder="1" applyFont="1" applyNumberFormat="1">
      <alignment horizontal="center"/>
    </xf>
    <xf borderId="1" fillId="3" fontId="3" numFmtId="166" xfId="0" applyBorder="1" applyFont="1" applyNumberFormat="1"/>
    <xf borderId="7" fillId="3" fontId="3" numFmtId="165" xfId="0" applyAlignment="1" applyBorder="1" applyFont="1" applyNumberFormat="1">
      <alignment horizontal="center"/>
    </xf>
    <xf borderId="1" fillId="3" fontId="76" numFmtId="169" xfId="0" applyAlignment="1" applyBorder="1" applyFont="1" applyNumberFormat="1">
      <alignment horizontal="center"/>
    </xf>
    <xf borderId="1" fillId="3" fontId="3" numFmtId="165" xfId="0" applyAlignment="1" applyBorder="1" applyFont="1" applyNumberFormat="1">
      <alignment horizontal="center"/>
    </xf>
    <xf borderId="1" fillId="3" fontId="25" numFmtId="10" xfId="0" applyAlignment="1" applyBorder="1" applyFont="1" applyNumberFormat="1">
      <alignment horizontal="center"/>
    </xf>
    <xf borderId="53" fillId="3" fontId="3" numFmtId="3" xfId="0" applyAlignment="1" applyBorder="1" applyFont="1" applyNumberFormat="1">
      <alignment horizontal="center"/>
    </xf>
    <xf borderId="53" fillId="3" fontId="3" numFmtId="166" xfId="0" applyBorder="1" applyFont="1" applyNumberFormat="1"/>
    <xf borderId="0" fillId="3" fontId="5" numFmtId="0" xfId="0" applyAlignment="1" applyFont="1">
      <alignment horizontal="center" shrinkToFit="0" vertical="center" wrapText="1"/>
    </xf>
    <xf borderId="3" fillId="5" fontId="5" numFmtId="0" xfId="0" applyAlignment="1" applyBorder="1" applyFont="1">
      <alignment horizontal="center" shrinkToFit="0" vertical="center" wrapText="1"/>
    </xf>
    <xf borderId="4" fillId="5" fontId="5" numFmtId="0" xfId="0" applyAlignment="1" applyBorder="1" applyFont="1">
      <alignment horizontal="center" shrinkToFit="0" vertical="center" wrapText="1"/>
    </xf>
    <xf borderId="3" fillId="5" fontId="5" numFmtId="165" xfId="0" applyAlignment="1" applyBorder="1" applyFont="1" applyNumberFormat="1">
      <alignment horizontal="center" shrinkToFit="0" vertical="center" wrapText="1"/>
    </xf>
    <xf borderId="4" fillId="5" fontId="77" numFmtId="165" xfId="0" applyAlignment="1" applyBorder="1" applyFont="1" applyNumberFormat="1">
      <alignment horizontal="center" shrinkToFit="0" vertical="center" wrapText="1"/>
    </xf>
    <xf borderId="4" fillId="5" fontId="5" numFmtId="165" xfId="0" applyAlignment="1" applyBorder="1" applyFont="1" applyNumberFormat="1">
      <alignment horizontal="center" shrinkToFit="0" vertical="center" wrapText="1"/>
    </xf>
    <xf borderId="5" fillId="5" fontId="78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/>
    </xf>
    <xf borderId="17" fillId="3" fontId="3" numFmtId="0" xfId="0" applyAlignment="1" applyBorder="1" applyFont="1">
      <alignment horizontal="center" shrinkToFit="0" wrapText="1"/>
    </xf>
    <xf borderId="1" fillId="3" fontId="2" numFmtId="0" xfId="0" applyAlignment="1" applyBorder="1" applyFont="1">
      <alignment horizontal="center" shrinkToFit="0" wrapText="1"/>
    </xf>
    <xf borderId="0" fillId="3" fontId="4" numFmtId="0" xfId="0" applyAlignment="1" applyFont="1">
      <alignment horizontal="center"/>
    </xf>
    <xf borderId="7" fillId="4" fontId="4" numFmtId="0" xfId="0" applyAlignment="1" applyBorder="1" applyFont="1">
      <alignment horizontal="center"/>
    </xf>
    <xf borderId="1" fillId="9" fontId="4" numFmtId="0" xfId="0" applyAlignment="1" applyBorder="1" applyFont="1">
      <alignment horizontal="center"/>
    </xf>
    <xf borderId="1" fillId="9" fontId="4" numFmtId="9" xfId="0" applyAlignment="1" applyBorder="1" applyFont="1" applyNumberFormat="1">
      <alignment horizontal="center"/>
    </xf>
    <xf borderId="1" fillId="4" fontId="4" numFmtId="3" xfId="0" applyAlignment="1" applyBorder="1" applyFont="1" applyNumberFormat="1">
      <alignment horizontal="center"/>
    </xf>
    <xf borderId="1" fillId="4" fontId="11" numFmtId="3" xfId="0" applyAlignment="1" applyBorder="1" applyFont="1" applyNumberFormat="1">
      <alignment horizontal="center"/>
    </xf>
    <xf borderId="19" fillId="0" fontId="11" numFmtId="165" xfId="0" applyAlignment="1" applyBorder="1" applyFont="1" applyNumberFormat="1">
      <alignment horizontal="center"/>
    </xf>
    <xf borderId="1" fillId="3" fontId="75" numFmtId="169" xfId="0" applyAlignment="1" applyBorder="1" applyFont="1" applyNumberFormat="1">
      <alignment horizontal="center"/>
    </xf>
    <xf borderId="1" fillId="4" fontId="4" numFmtId="165" xfId="0" applyAlignment="1" applyBorder="1" applyFont="1" applyNumberFormat="1">
      <alignment horizontal="center"/>
    </xf>
    <xf borderId="8" fillId="3" fontId="25" numFmtId="170" xfId="0" applyAlignment="1" applyBorder="1" applyFont="1" applyNumberFormat="1">
      <alignment horizontal="center"/>
    </xf>
    <xf borderId="1" fillId="3" fontId="2" numFmtId="166" xfId="0" applyAlignment="1" applyBorder="1" applyFont="1" applyNumberFormat="1">
      <alignment horizontal="center"/>
    </xf>
    <xf borderId="1" fillId="3" fontId="11" numFmtId="0" xfId="0" applyAlignment="1" applyBorder="1" applyFont="1">
      <alignment horizontal="center"/>
    </xf>
    <xf borderId="1" fillId="9" fontId="4" numFmtId="0" xfId="0" applyAlignment="1" applyBorder="1" applyFont="1">
      <alignment horizontal="center" readingOrder="0"/>
    </xf>
    <xf borderId="1" fillId="3" fontId="20" numFmtId="0" xfId="0" applyAlignment="1" applyBorder="1" applyFont="1">
      <alignment horizontal="center"/>
    </xf>
    <xf borderId="1" fillId="4" fontId="2" numFmtId="3" xfId="0" applyAlignment="1" applyBorder="1" applyFont="1" applyNumberFormat="1">
      <alignment horizontal="center"/>
    </xf>
    <xf borderId="9" fillId="4" fontId="4" numFmtId="0" xfId="0" applyAlignment="1" applyBorder="1" applyFont="1">
      <alignment horizontal="center"/>
    </xf>
    <xf borderId="11" fillId="4" fontId="4" numFmtId="0" xfId="0" applyAlignment="1" applyBorder="1" applyFont="1">
      <alignment horizontal="center"/>
    </xf>
    <xf borderId="11" fillId="9" fontId="4" numFmtId="0" xfId="0" applyAlignment="1" applyBorder="1" applyFont="1">
      <alignment horizontal="center"/>
    </xf>
    <xf borderId="11" fillId="9" fontId="4" numFmtId="9" xfId="0" applyAlignment="1" applyBorder="1" applyFont="1" applyNumberFormat="1">
      <alignment horizontal="center"/>
    </xf>
    <xf borderId="11" fillId="4" fontId="4" numFmtId="3" xfId="0" applyAlignment="1" applyBorder="1" applyFont="1" applyNumberFormat="1">
      <alignment horizontal="center"/>
    </xf>
    <xf borderId="11" fillId="4" fontId="11" numFmtId="3" xfId="0" applyAlignment="1" applyBorder="1" applyFont="1" applyNumberFormat="1">
      <alignment horizontal="center"/>
    </xf>
    <xf borderId="14" fillId="0" fontId="11" numFmtId="165" xfId="0" applyAlignment="1" applyBorder="1" applyFont="1" applyNumberFormat="1">
      <alignment horizontal="center"/>
    </xf>
    <xf borderId="11" fillId="3" fontId="75" numFmtId="169" xfId="0" applyAlignment="1" applyBorder="1" applyFont="1" applyNumberFormat="1">
      <alignment horizontal="center"/>
    </xf>
    <xf borderId="12" fillId="0" fontId="11" numFmtId="165" xfId="0" applyAlignment="1" applyBorder="1" applyFont="1" applyNumberFormat="1">
      <alignment horizontal="center"/>
    </xf>
    <xf borderId="11" fillId="4" fontId="4" numFmtId="165" xfId="0" applyAlignment="1" applyBorder="1" applyFont="1" applyNumberFormat="1">
      <alignment horizontal="center"/>
    </xf>
    <xf borderId="10" fillId="3" fontId="25" numFmtId="170" xfId="0" applyAlignment="1" applyBorder="1" applyFont="1" applyNumberFormat="1">
      <alignment horizontal="center"/>
    </xf>
    <xf borderId="4" fillId="4" fontId="4" numFmtId="0" xfId="0" applyAlignment="1" applyBorder="1" applyFont="1">
      <alignment horizontal="center"/>
    </xf>
    <xf borderId="17" fillId="3" fontId="2" numFmtId="166" xfId="0" applyAlignment="1" applyBorder="1" applyFont="1" applyNumberFormat="1">
      <alignment horizontal="center"/>
    </xf>
    <xf borderId="3" fillId="4" fontId="4" numFmtId="0" xfId="0" applyAlignment="1" applyBorder="1" applyFont="1">
      <alignment horizontal="center"/>
    </xf>
    <xf borderId="4" fillId="4" fontId="2" numFmtId="0" xfId="0" applyAlignment="1" applyBorder="1" applyFont="1">
      <alignment horizontal="center"/>
    </xf>
    <xf borderId="4" fillId="4" fontId="4" numFmtId="3" xfId="0" applyAlignment="1" applyBorder="1" applyFont="1" applyNumberFormat="1">
      <alignment horizontal="center"/>
    </xf>
    <xf borderId="4" fillId="4" fontId="11" numFmtId="3" xfId="0" applyAlignment="1" applyBorder="1" applyFont="1" applyNumberFormat="1">
      <alignment horizontal="center"/>
    </xf>
    <xf borderId="49" fillId="0" fontId="11" numFmtId="165" xfId="0" applyAlignment="1" applyBorder="1" applyFont="1" applyNumberFormat="1">
      <alignment horizontal="center"/>
    </xf>
    <xf borderId="52" fillId="0" fontId="79" numFmtId="165" xfId="0" applyAlignment="1" applyBorder="1" applyFont="1" applyNumberFormat="1">
      <alignment horizontal="center"/>
    </xf>
    <xf borderId="52" fillId="0" fontId="4" numFmtId="165" xfId="0" applyAlignment="1" applyBorder="1" applyFont="1" applyNumberFormat="1">
      <alignment horizontal="center"/>
    </xf>
    <xf borderId="4" fillId="4" fontId="4" numFmtId="165" xfId="0" applyAlignment="1" applyBorder="1" applyFont="1" applyNumberFormat="1">
      <alignment horizontal="center"/>
    </xf>
    <xf borderId="5" fillId="3" fontId="2" numFmtId="9" xfId="0" applyAlignment="1" applyBorder="1" applyFont="1" applyNumberFormat="1">
      <alignment horizontal="center"/>
    </xf>
    <xf borderId="1" fillId="3" fontId="20" numFmtId="0" xfId="0" applyBorder="1" applyFont="1"/>
    <xf borderId="1" fillId="3" fontId="11" numFmtId="0" xfId="0" applyBorder="1" applyFont="1"/>
    <xf borderId="0" fillId="3" fontId="80" numFmtId="0" xfId="0" applyFont="1"/>
    <xf borderId="1" fillId="3" fontId="81" numFmtId="0" xfId="0" applyBorder="1" applyFont="1"/>
    <xf borderId="54" fillId="3" fontId="2" numFmtId="0" xfId="0" applyBorder="1" applyFont="1"/>
    <xf borderId="55" fillId="3" fontId="2" numFmtId="0" xfId="0" applyBorder="1" applyFont="1"/>
    <xf borderId="17" fillId="3" fontId="4" numFmtId="0" xfId="0" applyAlignment="1" applyBorder="1" applyFont="1">
      <alignment horizontal="center"/>
    </xf>
    <xf borderId="13" fillId="0" fontId="2" numFmtId="0" xfId="0" applyBorder="1" applyFont="1"/>
    <xf borderId="13" fillId="0" fontId="2" numFmtId="3" xfId="0" applyBorder="1" applyFont="1" applyNumberFormat="1"/>
    <xf borderId="8" fillId="3" fontId="2" numFmtId="165" xfId="0" applyBorder="1" applyFont="1" applyNumberFormat="1"/>
    <xf borderId="8" fillId="9" fontId="4" numFmtId="169" xfId="0" applyBorder="1" applyFont="1" applyNumberFormat="1"/>
    <xf borderId="16" fillId="3" fontId="2" numFmtId="165" xfId="0" applyBorder="1" applyFont="1" applyNumberFormat="1"/>
    <xf borderId="0" fillId="3" fontId="51" numFmtId="0" xfId="0" applyAlignment="1" applyFont="1">
      <alignment horizontal="center"/>
    </xf>
    <xf borderId="48" fillId="14" fontId="51" numFmtId="0" xfId="0" applyAlignment="1" applyBorder="1" applyFill="1" applyFont="1">
      <alignment horizontal="center"/>
    </xf>
    <xf borderId="56" fillId="0" fontId="9" numFmtId="0" xfId="0" applyBorder="1" applyFont="1"/>
    <xf borderId="6" fillId="0" fontId="9" numFmtId="0" xfId="0" applyBorder="1" applyFont="1"/>
    <xf borderId="0" fillId="0" fontId="51" numFmtId="0" xfId="0" applyAlignment="1" applyFont="1">
      <alignment horizontal="center"/>
    </xf>
    <xf borderId="0" fillId="0" fontId="75" numFmtId="165" xfId="0" applyAlignment="1" applyFont="1" applyNumberFormat="1">
      <alignment horizontal="center"/>
    </xf>
    <xf borderId="0" fillId="3" fontId="51" numFmtId="0" xfId="0" applyAlignment="1" applyFont="1">
      <alignment horizontal="center" shrinkToFit="0" vertical="center" wrapText="1"/>
    </xf>
    <xf borderId="31" fillId="15" fontId="51" numFmtId="0" xfId="0" applyAlignment="1" applyBorder="1" applyFill="1" applyFont="1">
      <alignment horizontal="center" shrinkToFit="0" vertical="center" wrapText="1"/>
    </xf>
    <xf borderId="4" fillId="15" fontId="5" numFmtId="0" xfId="0" applyAlignment="1" applyBorder="1" applyFont="1">
      <alignment horizontal="center" shrinkToFit="0" vertical="center" wrapText="1"/>
    </xf>
    <xf borderId="4" fillId="15" fontId="51" numFmtId="0" xfId="0" applyAlignment="1" applyBorder="1" applyFont="1">
      <alignment horizontal="center" shrinkToFit="0" vertical="center" wrapText="1"/>
    </xf>
    <xf borderId="31" fillId="15" fontId="51" numFmtId="0" xfId="0" applyAlignment="1" applyBorder="1" applyFont="1">
      <alignment horizontal="center" readingOrder="0" shrinkToFit="0" vertical="center" wrapText="1"/>
    </xf>
    <xf borderId="0" fillId="3" fontId="2" numFmtId="0" xfId="0" applyAlignment="1" applyFont="1">
      <alignment horizontal="center"/>
    </xf>
    <xf borderId="44" fillId="0" fontId="2" numFmtId="0" xfId="0" applyAlignment="1" applyBorder="1" applyFont="1">
      <alignment horizontal="center"/>
    </xf>
    <xf borderId="1" fillId="4" fontId="8" numFmtId="9" xfId="0" applyAlignment="1" applyBorder="1" applyFont="1" applyNumberFormat="1">
      <alignment horizontal="center"/>
    </xf>
    <xf borderId="0" fillId="0" fontId="11" numFmtId="3" xfId="0" applyAlignment="1" applyFont="1" applyNumberFormat="1">
      <alignment horizontal="center"/>
    </xf>
    <xf borderId="1" fillId="4" fontId="8" numFmtId="165" xfId="0" applyAlignment="1" applyBorder="1" applyFont="1" applyNumberFormat="1">
      <alignment horizontal="center"/>
    </xf>
    <xf borderId="30" fillId="4" fontId="4" numFmtId="3" xfId="0" applyAlignment="1" applyBorder="1" applyFont="1" applyNumberFormat="1">
      <alignment horizontal="center"/>
    </xf>
    <xf borderId="0" fillId="0" fontId="7" numFmtId="0" xfId="0" applyFont="1"/>
    <xf borderId="0" fillId="0" fontId="2" numFmtId="9" xfId="0" applyAlignment="1" applyFont="1" applyNumberFormat="1">
      <alignment horizontal="center"/>
    </xf>
    <xf borderId="31" fillId="0" fontId="2" numFmtId="0" xfId="0" applyAlignment="1" applyBorder="1" applyFont="1">
      <alignment horizontal="center"/>
    </xf>
    <xf borderId="52" fillId="0" fontId="2" numFmtId="9" xfId="0" applyAlignment="1" applyBorder="1" applyFont="1" applyNumberFormat="1">
      <alignment horizontal="center"/>
    </xf>
    <xf borderId="52" fillId="0" fontId="11" numFmtId="3" xfId="0" applyAlignment="1" applyBorder="1" applyFont="1" applyNumberFormat="1">
      <alignment horizontal="center"/>
    </xf>
    <xf borderId="52" fillId="0" fontId="2" numFmtId="165" xfId="0" applyAlignment="1" applyBorder="1" applyFont="1" applyNumberFormat="1">
      <alignment horizontal="center"/>
    </xf>
    <xf borderId="31" fillId="0" fontId="11" numFmtId="3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0" fillId="3" fontId="5" numFmtId="0" xfId="0" applyAlignment="1" applyFont="1">
      <alignment horizontal="center"/>
    </xf>
    <xf borderId="48" fillId="14" fontId="5" numFmtId="0" xfId="0" applyAlignment="1" applyBorder="1" applyFont="1">
      <alignment horizontal="center"/>
    </xf>
    <xf borderId="49" fillId="14" fontId="51" numFmtId="0" xfId="0" applyAlignment="1" applyBorder="1" applyFont="1">
      <alignment horizontal="center"/>
    </xf>
    <xf borderId="52" fillId="0" fontId="9" numFmtId="0" xfId="0" applyBorder="1" applyFont="1"/>
    <xf borderId="0" fillId="0" fontId="5" numFmtId="0" xfId="0" applyAlignment="1" applyFont="1">
      <alignment horizontal="center"/>
    </xf>
    <xf borderId="49" fillId="15" fontId="5" numFmtId="0" xfId="0" applyAlignment="1" applyBorder="1" applyFont="1">
      <alignment horizontal="center"/>
    </xf>
    <xf borderId="0" fillId="0" fontId="3" numFmtId="0" xfId="0" applyFont="1"/>
    <xf borderId="14" fillId="0" fontId="2" numFmtId="0" xfId="0" applyAlignment="1" applyBorder="1" applyFont="1">
      <alignment horizontal="center"/>
    </xf>
    <xf borderId="12" fillId="0" fontId="2" numFmtId="0" xfId="0" applyAlignment="1" applyBorder="1" applyFont="1">
      <alignment horizontal="center"/>
    </xf>
    <xf borderId="13" fillId="0" fontId="2" numFmtId="0" xfId="0" applyAlignment="1" applyBorder="1" applyFont="1">
      <alignment horizontal="center"/>
    </xf>
    <xf borderId="0" fillId="3" fontId="3" numFmtId="0" xfId="0" applyAlignment="1" applyFont="1">
      <alignment horizontal="center"/>
    </xf>
    <xf borderId="19" fillId="0" fontId="3" numFmtId="0" xfId="0" applyAlignment="1" applyBorder="1" applyFont="1">
      <alignment horizontal="center"/>
    </xf>
    <xf borderId="15" fillId="0" fontId="2" numFmtId="0" xfId="0" applyAlignment="1" applyBorder="1" applyFont="1">
      <alignment horizontal="center"/>
    </xf>
    <xf borderId="18" fillId="0" fontId="2" numFmtId="0" xfId="0" applyAlignment="1" applyBorder="1" applyFont="1">
      <alignment horizontal="center"/>
    </xf>
    <xf borderId="28" fillId="0" fontId="2" numFmtId="0" xfId="0" applyAlignment="1" applyBorder="1" applyFont="1">
      <alignment horizontal="center"/>
    </xf>
    <xf borderId="0" fillId="3" fontId="2" numFmtId="9" xfId="0" applyAlignment="1" applyFont="1" applyNumberFormat="1">
      <alignment horizontal="center"/>
    </xf>
    <xf borderId="14" fillId="0" fontId="2" numFmtId="0" xfId="0" applyAlignment="1" applyBorder="1" applyFont="1">
      <alignment horizontal="center" readingOrder="0"/>
    </xf>
    <xf borderId="19" fillId="0" fontId="8" numFmtId="165" xfId="0" applyAlignment="1" applyBorder="1" applyFont="1" applyNumberFormat="1">
      <alignment horizontal="center"/>
    </xf>
    <xf borderId="0" fillId="3" fontId="4" numFmtId="9" xfId="0" applyAlignment="1" applyFont="1" applyNumberFormat="1">
      <alignment horizontal="center"/>
    </xf>
    <xf borderId="19" fillId="0" fontId="4" numFmtId="9" xfId="0" applyAlignment="1" applyBorder="1" applyFont="1" applyNumberFormat="1">
      <alignment horizontal="center"/>
    </xf>
    <xf borderId="19" fillId="0" fontId="2" numFmtId="165" xfId="0" applyAlignment="1" applyBorder="1" applyFont="1" applyNumberFormat="1">
      <alignment horizontal="center"/>
    </xf>
    <xf borderId="0" fillId="0" fontId="82" numFmtId="0" xfId="0" applyFont="1"/>
    <xf borderId="0" fillId="0" fontId="3" numFmtId="165" xfId="0" applyAlignment="1" applyFont="1" applyNumberFormat="1">
      <alignment horizontal="center"/>
    </xf>
    <xf borderId="15" fillId="0" fontId="4" numFmtId="9" xfId="0" applyAlignment="1" applyBorder="1" applyFont="1" applyNumberFormat="1">
      <alignment horizontal="center"/>
    </xf>
    <xf borderId="15" fillId="0" fontId="8" numFmtId="165" xfId="0" applyAlignment="1" applyBorder="1" applyFont="1" applyNumberFormat="1">
      <alignment horizontal="center"/>
    </xf>
    <xf borderId="18" fillId="0" fontId="8" numFmtId="165" xfId="0" applyAlignment="1" applyBorder="1" applyFont="1" applyNumberFormat="1">
      <alignment horizontal="center"/>
    </xf>
    <xf borderId="28" fillId="0" fontId="8" numFmtId="165" xfId="0" applyAlignment="1" applyBorder="1" applyFont="1" applyNumberFormat="1">
      <alignment horizontal="center"/>
    </xf>
    <xf borderId="47" fillId="0" fontId="2" numFmtId="0" xfId="0" applyAlignment="1" applyBorder="1" applyFont="1">
      <alignment horizontal="center"/>
    </xf>
    <xf borderId="8" fillId="11" fontId="2" numFmtId="0" xfId="0" applyAlignment="1" applyBorder="1" applyFont="1">
      <alignment horizontal="center"/>
    </xf>
    <xf borderId="44" fillId="0" fontId="3" numFmtId="0" xfId="0" applyAlignment="1" applyBorder="1" applyFont="1">
      <alignment horizontal="center"/>
    </xf>
    <xf borderId="25" fillId="0" fontId="3" numFmtId="0" xfId="0" applyAlignment="1" applyBorder="1" applyFont="1">
      <alignment horizontal="center"/>
    </xf>
    <xf borderId="8" fillId="11" fontId="3" numFmtId="0" xfId="0" applyAlignment="1" applyBorder="1" applyFont="1">
      <alignment horizontal="center"/>
    </xf>
    <xf borderId="14" fillId="0" fontId="2" numFmtId="9" xfId="0" applyAlignment="1" applyBorder="1" applyFont="1" applyNumberFormat="1">
      <alignment horizontal="center"/>
    </xf>
    <xf borderId="14" fillId="0" fontId="2" numFmtId="169" xfId="0" applyAlignment="1" applyBorder="1" applyFont="1" applyNumberFormat="1">
      <alignment horizontal="center"/>
    </xf>
    <xf borderId="12" fillId="0" fontId="2" numFmtId="169" xfId="0" applyAlignment="1" applyBorder="1" applyFont="1" applyNumberFormat="1">
      <alignment horizontal="center"/>
    </xf>
    <xf borderId="13" fillId="0" fontId="2" numFmtId="169" xfId="0" applyAlignment="1" applyBorder="1" applyFont="1" applyNumberFormat="1">
      <alignment horizontal="center"/>
    </xf>
    <xf borderId="10" fillId="11" fontId="3" numFmtId="169" xfId="0" applyAlignment="1" applyBorder="1" applyFont="1" applyNumberFormat="1">
      <alignment horizontal="center"/>
    </xf>
    <xf borderId="19" fillId="0" fontId="2" numFmtId="9" xfId="0" applyAlignment="1" applyBorder="1" applyFont="1" applyNumberFormat="1">
      <alignment horizontal="center"/>
    </xf>
    <xf borderId="19" fillId="0" fontId="2" numFmtId="169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/>
    </xf>
    <xf borderId="25" fillId="0" fontId="2" numFmtId="169" xfId="0" applyAlignment="1" applyBorder="1" applyFont="1" applyNumberFormat="1">
      <alignment horizontal="center"/>
    </xf>
    <xf borderId="8" fillId="11" fontId="3" numFmtId="169" xfId="0" applyAlignment="1" applyBorder="1" applyFont="1" applyNumberFormat="1">
      <alignment horizontal="center"/>
    </xf>
    <xf borderId="15" fillId="0" fontId="2" numFmtId="9" xfId="0" applyAlignment="1" applyBorder="1" applyFont="1" applyNumberFormat="1">
      <alignment horizontal="center"/>
    </xf>
    <xf borderId="15" fillId="0" fontId="2" numFmtId="169" xfId="0" applyAlignment="1" applyBorder="1" applyFont="1" applyNumberFormat="1">
      <alignment horizontal="center"/>
    </xf>
    <xf borderId="18" fillId="0" fontId="2" numFmtId="169" xfId="0" applyAlignment="1" applyBorder="1" applyFont="1" applyNumberFormat="1">
      <alignment horizontal="center"/>
    </xf>
    <xf borderId="28" fillId="0" fontId="2" numFmtId="169" xfId="0" applyAlignment="1" applyBorder="1" applyFont="1" applyNumberFormat="1">
      <alignment horizontal="center"/>
    </xf>
    <xf borderId="16" fillId="11" fontId="3" numFmtId="169" xfId="0" applyAlignment="1" applyBorder="1" applyFont="1" applyNumberFormat="1">
      <alignment horizontal="center"/>
    </xf>
    <xf borderId="37" fillId="11" fontId="3" numFmtId="0" xfId="0" applyAlignment="1" applyBorder="1" applyFont="1">
      <alignment horizontal="center"/>
    </xf>
    <xf borderId="30" fillId="11" fontId="3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32" fillId="11" fontId="3" numFmtId="0" xfId="0" applyAlignment="1" applyBorder="1" applyFont="1">
      <alignment horizontal="center"/>
    </xf>
    <xf borderId="0" fillId="0" fontId="2" numFmtId="0" xfId="0" applyAlignment="1" applyFont="1">
      <alignment horizontal="center" shrinkToFit="0" wrapText="1"/>
    </xf>
    <xf borderId="0" fillId="3" fontId="2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4" numFmtId="9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3" fontId="3" numFmtId="0" xfId="0" applyAlignment="1" applyFont="1">
      <alignment shrinkToFit="0" wrapText="1"/>
    </xf>
    <xf borderId="0" fillId="0" fontId="3" numFmtId="0" xfId="0" applyAlignment="1" applyFont="1">
      <alignment shrinkToFit="0" wrapText="1"/>
    </xf>
    <xf borderId="0" fillId="0" fontId="3" numFmtId="169" xfId="0" applyAlignment="1" applyFont="1" applyNumberFormat="1">
      <alignment horizontal="center"/>
    </xf>
    <xf borderId="0" fillId="0" fontId="2" numFmtId="0" xfId="0" applyAlignment="1" applyFont="1">
      <alignment horizontal="center" vertical="center"/>
    </xf>
    <xf borderId="1" fillId="3" fontId="10" numFmtId="165" xfId="0" applyBorder="1" applyFont="1" applyNumberFormat="1"/>
    <xf borderId="3" fillId="16" fontId="2" numFmtId="165" xfId="0" applyAlignment="1" applyBorder="1" applyFill="1" applyFont="1" applyNumberFormat="1">
      <alignment horizontal="center"/>
    </xf>
    <xf borderId="4" fillId="16" fontId="2" numFmtId="165" xfId="0" applyAlignment="1" applyBorder="1" applyFont="1" applyNumberFormat="1">
      <alignment horizontal="center"/>
    </xf>
    <xf borderId="4" fillId="16" fontId="2" numFmtId="0" xfId="0" applyAlignment="1" applyBorder="1" applyFont="1">
      <alignment horizontal="center"/>
    </xf>
    <xf borderId="4" fillId="16" fontId="2" numFmtId="0" xfId="0" applyBorder="1" applyFont="1"/>
    <xf borderId="5" fillId="16" fontId="2" numFmtId="0" xfId="0" applyBorder="1" applyFont="1"/>
    <xf borderId="9" fillId="3" fontId="2" numFmtId="165" xfId="0" applyAlignment="1" applyBorder="1" applyFont="1" applyNumberFormat="1">
      <alignment horizontal="center" readingOrder="0"/>
    </xf>
    <xf borderId="12" fillId="0" fontId="2" numFmtId="165" xfId="0" applyAlignment="1" applyBorder="1" applyFont="1" applyNumberFormat="1">
      <alignment horizontal="center"/>
    </xf>
    <xf borderId="10" fillId="3" fontId="2" numFmtId="165" xfId="0" applyBorder="1" applyFont="1" applyNumberFormat="1"/>
    <xf borderId="20" fillId="3" fontId="2" numFmtId="165" xfId="0" applyAlignment="1" applyBorder="1" applyFont="1" applyNumberFormat="1">
      <alignment horizontal="center" readingOrder="0"/>
    </xf>
    <xf borderId="3" fillId="3" fontId="3" numFmtId="165" xfId="0" applyBorder="1" applyFont="1" applyNumberFormat="1"/>
    <xf borderId="4" fillId="3" fontId="3" numFmtId="165" xfId="0" applyBorder="1" applyFont="1" applyNumberFormat="1"/>
    <xf borderId="16" fillId="3" fontId="3" numFmtId="165" xfId="0" applyBorder="1" applyFont="1" applyNumberFormat="1"/>
    <xf borderId="57" fillId="0" fontId="9" numFmtId="0" xfId="0" applyBorder="1" applyFont="1"/>
    <xf borderId="1" fillId="3" fontId="51" numFmtId="0" xfId="0" applyAlignment="1" applyBorder="1" applyFont="1">
      <alignment horizontal="center"/>
    </xf>
    <xf borderId="3" fillId="3" fontId="2" numFmtId="165" xfId="0" applyBorder="1" applyFont="1" applyNumberFormat="1"/>
    <xf borderId="4" fillId="3" fontId="2" numFmtId="165" xfId="0" applyAlignment="1" applyBorder="1" applyFont="1" applyNumberFormat="1">
      <alignment horizontal="center"/>
    </xf>
    <xf borderId="4" fillId="3" fontId="2" numFmtId="165" xfId="0" applyAlignment="1" applyBorder="1" applyFont="1" applyNumberFormat="1">
      <alignment horizontal="center" shrinkToFit="0" wrapText="1"/>
    </xf>
    <xf borderId="5" fillId="3" fontId="2" numFmtId="0" xfId="0" applyAlignment="1" applyBorder="1" applyFont="1">
      <alignment horizontal="center" shrinkToFit="0" wrapText="1"/>
    </xf>
    <xf borderId="9" fillId="3" fontId="2" numFmtId="165" xfId="0" applyBorder="1" applyFont="1" applyNumberFormat="1"/>
    <xf borderId="12" fillId="0" fontId="2" numFmtId="165" xfId="0" applyBorder="1" applyFont="1" applyNumberFormat="1"/>
    <xf borderId="11" fillId="3" fontId="2" numFmtId="165" xfId="0" applyBorder="1" applyFont="1" applyNumberFormat="1"/>
    <xf borderId="17" fillId="3" fontId="2" numFmtId="165" xfId="0" applyBorder="1" applyFont="1" applyNumberFormat="1"/>
    <xf borderId="0" fillId="0" fontId="2" numFmtId="14" xfId="0" applyFont="1" applyNumberFormat="1"/>
    <xf borderId="17" fillId="3" fontId="3" numFmtId="0" xfId="0" applyAlignment="1" applyBorder="1" applyFont="1">
      <alignment horizontal="left"/>
    </xf>
    <xf borderId="1" fillId="3" fontId="2" numFmtId="166" xfId="0" applyBorder="1" applyFont="1" applyNumberFormat="1"/>
    <xf borderId="1" fillId="4" fontId="4" numFmtId="10" xfId="0" applyBorder="1" applyFont="1" applyNumberFormat="1"/>
    <xf borderId="17" fillId="3" fontId="2" numFmtId="0" xfId="0" applyAlignment="1" applyBorder="1" applyFont="1">
      <alignment horizontal="left"/>
    </xf>
    <xf borderId="17" fillId="3" fontId="2" numFmtId="167" xfId="0" applyBorder="1" applyFont="1" applyNumberFormat="1"/>
    <xf borderId="1" fillId="3" fontId="3" numFmtId="0" xfId="0" applyAlignment="1" applyBorder="1" applyFont="1">
      <alignment horizontal="left"/>
    </xf>
    <xf borderId="1" fillId="3" fontId="3" numFmtId="167" xfId="0" applyBorder="1" applyFont="1" applyNumberFormat="1"/>
    <xf borderId="17" fillId="3" fontId="3" numFmtId="0" xfId="0" applyAlignment="1" applyBorder="1" applyFont="1">
      <alignment horizontal="center"/>
    </xf>
    <xf borderId="1" fillId="4" fontId="4" numFmtId="165" xfId="0" applyBorder="1" applyFont="1" applyNumberFormat="1"/>
    <xf borderId="1" fillId="4" fontId="4" numFmtId="9" xfId="0" applyBorder="1" applyFont="1" applyNumberFormat="1"/>
    <xf borderId="17" fillId="3" fontId="3" numFmtId="0" xfId="0" applyBorder="1" applyFont="1"/>
    <xf borderId="0" fillId="0" fontId="3" numFmtId="0" xfId="0" applyAlignment="1" applyFont="1">
      <alignment horizontal="center" shrinkToFit="0" wrapText="1"/>
    </xf>
    <xf borderId="17" fillId="3" fontId="3" numFmtId="3" xfId="0" applyAlignment="1" applyBorder="1" applyFont="1" applyNumberFormat="1">
      <alignment horizontal="center"/>
    </xf>
    <xf borderId="0" fillId="0" fontId="11" numFmtId="167" xfId="0" applyAlignment="1" applyFont="1" applyNumberFormat="1">
      <alignment horizontal="center"/>
    </xf>
    <xf borderId="0" fillId="0" fontId="2" numFmtId="167" xfId="0" applyAlignment="1" applyFont="1" applyNumberFormat="1">
      <alignment horizontal="center"/>
    </xf>
    <xf borderId="1" fillId="4" fontId="4" numFmtId="167" xfId="0" applyBorder="1" applyFont="1" applyNumberFormat="1"/>
    <xf borderId="1" fillId="3" fontId="2" numFmtId="0" xfId="0" applyAlignment="1" applyBorder="1" applyFont="1">
      <alignment readingOrder="0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0" fillId="0" fontId="4" numFmtId="10" xfId="0" applyAlignment="1" applyFont="1" applyNumberFormat="1">
      <alignment horizontal="center"/>
    </xf>
    <xf borderId="1" fillId="4" fontId="4" numFmtId="10" xfId="0" applyAlignment="1" applyBorder="1" applyFont="1" applyNumberFormat="1">
      <alignment horizontal="center"/>
    </xf>
    <xf borderId="1" fillId="4" fontId="4" numFmtId="0" xfId="0" applyBorder="1" applyFont="1"/>
    <xf borderId="1" fillId="3" fontId="2" numFmtId="167" xfId="0" applyBorder="1" applyFont="1" applyNumberFormat="1"/>
    <xf borderId="3" fillId="3" fontId="2" numFmtId="0" xfId="0" applyBorder="1" applyFont="1"/>
    <xf borderId="4" fillId="3" fontId="2" numFmtId="0" xfId="0" applyBorder="1" applyFont="1"/>
    <xf borderId="31" fillId="3" fontId="2" numFmtId="165" xfId="0" applyAlignment="1" applyBorder="1" applyFont="1" applyNumberFormat="1">
      <alignment horizontal="center"/>
    </xf>
    <xf borderId="1" fillId="3" fontId="2" numFmtId="167" xfId="0" applyAlignment="1" applyBorder="1" applyFont="1" applyNumberFormat="1">
      <alignment horizontal="center"/>
    </xf>
    <xf borderId="31" fillId="3" fontId="2" numFmtId="165" xfId="0" applyBorder="1" applyFont="1" applyNumberFormat="1"/>
    <xf borderId="31" fillId="17" fontId="20" numFmtId="165" xfId="0" applyAlignment="1" applyBorder="1" applyFill="1" applyFont="1" applyNumberFormat="1">
      <alignment horizontal="center"/>
    </xf>
    <xf borderId="1" fillId="3" fontId="2" numFmtId="173" xfId="0" applyAlignment="1" applyBorder="1" applyFont="1" applyNumberFormat="1">
      <alignment horizontal="center"/>
    </xf>
    <xf borderId="0" fillId="0" fontId="2" numFmtId="173" xfId="0" applyAlignment="1" applyFont="1" applyNumberFormat="1">
      <alignment horizontal="center"/>
    </xf>
    <xf borderId="31" fillId="3" fontId="2" numFmtId="4" xfId="0" applyAlignment="1" applyBorder="1" applyFont="1" applyNumberFormat="1">
      <alignment horizontal="center"/>
    </xf>
    <xf borderId="49" fillId="0" fontId="2" numFmtId="0" xfId="0" applyBorder="1" applyFont="1"/>
    <xf borderId="52" fillId="0" fontId="2" numFmtId="0" xfId="0" applyAlignment="1" applyBorder="1" applyFont="1">
      <alignment horizontal="center"/>
    </xf>
    <xf borderId="50" fillId="0" fontId="2" numFmtId="0" xfId="0" applyAlignment="1" applyBorder="1" applyFont="1">
      <alignment horizontal="center"/>
    </xf>
    <xf borderId="13" fillId="0" fontId="2" numFmtId="165" xfId="0" applyAlignment="1" applyBorder="1" applyFont="1" applyNumberFormat="1">
      <alignment horizontal="center"/>
    </xf>
    <xf borderId="0" fillId="0" fontId="2" numFmtId="169" xfId="0" applyFont="1" applyNumberFormat="1"/>
    <xf borderId="0" fillId="0" fontId="2" numFmtId="9" xfId="0" applyFont="1" applyNumberFormat="1"/>
    <xf borderId="17" fillId="4" fontId="4" numFmtId="165" xfId="0" applyAlignment="1" applyBorder="1" applyFont="1" applyNumberFormat="1">
      <alignment horizontal="center"/>
    </xf>
    <xf borderId="50" fillId="0" fontId="2" numFmtId="165" xfId="0" applyAlignment="1" applyBorder="1" applyFont="1" applyNumberFormat="1">
      <alignment horizontal="center"/>
    </xf>
    <xf borderId="1" fillId="4" fontId="11" numFmtId="165" xfId="0" applyAlignment="1" applyBorder="1" applyFont="1" applyNumberFormat="1">
      <alignment horizontal="center"/>
    </xf>
    <xf borderId="8" fillId="4" fontId="4" numFmtId="165" xfId="0" applyAlignment="1" applyBorder="1" applyFont="1" applyNumberFormat="1">
      <alignment horizontal="center"/>
    </xf>
    <xf borderId="1" fillId="14" fontId="51" numFmtId="0" xfId="0" applyBorder="1" applyFont="1"/>
    <xf borderId="1" fillId="14" fontId="5" numFmtId="0" xfId="0" applyAlignment="1" applyBorder="1" applyFont="1">
      <alignment horizontal="center"/>
    </xf>
    <xf borderId="1" fillId="14" fontId="5" numFmtId="0" xfId="0" applyBorder="1" applyFont="1"/>
    <xf borderId="1" fillId="3" fontId="22" numFmtId="0" xfId="0" applyBorder="1" applyFont="1"/>
    <xf borderId="3" fillId="5" fontId="5" numFmtId="174" xfId="0" applyAlignment="1" applyBorder="1" applyFont="1" applyNumberFormat="1">
      <alignment horizontal="center"/>
    </xf>
    <xf borderId="5" fillId="5" fontId="5" numFmtId="14" xfId="0" applyBorder="1" applyFont="1" applyNumberFormat="1"/>
    <xf borderId="1" fillId="4" fontId="4" numFmtId="9" xfId="0" applyAlignment="1" applyBorder="1" applyFont="1" applyNumberFormat="1">
      <alignment horizontal="center"/>
    </xf>
    <xf borderId="1" fillId="3" fontId="2" numFmtId="38" xfId="0" applyBorder="1" applyFont="1" applyNumberFormat="1"/>
    <xf borderId="1" fillId="4" fontId="4" numFmtId="166" xfId="0" applyBorder="1" applyFont="1" applyNumberFormat="1"/>
    <xf borderId="0" fillId="0" fontId="11" numFmtId="37" xfId="0" applyAlignment="1" applyFont="1" applyNumberFormat="1">
      <alignment horizontal="center"/>
    </xf>
    <xf borderId="8" fillId="3" fontId="2" numFmtId="166" xfId="0" applyBorder="1" applyFont="1" applyNumberFormat="1"/>
    <xf borderId="0" fillId="0" fontId="11" numFmtId="38" xfId="0" applyAlignment="1" applyFont="1" applyNumberFormat="1">
      <alignment horizontal="center"/>
    </xf>
    <xf borderId="17" fillId="4" fontId="4" numFmtId="166" xfId="0" applyBorder="1" applyFont="1" applyNumberFormat="1"/>
    <xf borderId="17" fillId="4" fontId="4" numFmtId="38" xfId="0" applyAlignment="1" applyBorder="1" applyFont="1" applyNumberFormat="1">
      <alignment horizontal="center"/>
    </xf>
    <xf borderId="16" fillId="3" fontId="2" numFmtId="166" xfId="0" applyBorder="1" applyFont="1" applyNumberFormat="1"/>
    <xf borderId="17" fillId="3" fontId="2" numFmtId="37" xfId="0" applyAlignment="1" applyBorder="1" applyFont="1" applyNumberFormat="1">
      <alignment horizontal="center"/>
    </xf>
    <xf borderId="58" fillId="3" fontId="2" numFmtId="38" xfId="0" applyBorder="1" applyFont="1" applyNumberFormat="1"/>
    <xf borderId="58" fillId="3" fontId="3" numFmtId="0" xfId="0" applyBorder="1" applyFont="1"/>
    <xf borderId="58" fillId="3" fontId="3" numFmtId="0" xfId="0" applyAlignment="1" applyBorder="1" applyFont="1">
      <alignment horizontal="center"/>
    </xf>
    <xf borderId="45" fillId="3" fontId="3" numFmtId="38" xfId="0" applyBorder="1" applyFont="1" applyNumberFormat="1"/>
    <xf borderId="9" fillId="3" fontId="3" numFmtId="0" xfId="0" applyBorder="1" applyFont="1"/>
    <xf borderId="10" fillId="3" fontId="2" numFmtId="38" xfId="0" applyBorder="1" applyFont="1" applyNumberFormat="1"/>
    <xf borderId="17" fillId="4" fontId="2" numFmtId="38" xfId="0" applyBorder="1" applyFont="1" applyNumberFormat="1"/>
    <xf borderId="17" fillId="4" fontId="4" numFmtId="38" xfId="0" applyBorder="1" applyFont="1" applyNumberFormat="1"/>
    <xf borderId="1" fillId="3" fontId="3" numFmtId="38" xfId="0" applyBorder="1" applyFont="1" applyNumberFormat="1"/>
    <xf borderId="16" fillId="3" fontId="2" numFmtId="10" xfId="0" applyBorder="1" applyFont="1" applyNumberFormat="1"/>
    <xf borderId="1" fillId="4" fontId="2" numFmtId="9" xfId="0" applyAlignment="1" applyBorder="1" applyFont="1" applyNumberFormat="1">
      <alignment horizontal="center"/>
    </xf>
    <xf borderId="17" fillId="3" fontId="2" numFmtId="9" xfId="0" applyBorder="1" applyFont="1" applyNumberFormat="1"/>
    <xf borderId="17" fillId="4" fontId="4" numFmtId="9" xfId="0" applyBorder="1" applyFont="1" applyNumberFormat="1"/>
    <xf borderId="1" fillId="3" fontId="2" numFmtId="9" xfId="0" applyBorder="1" applyFont="1" applyNumberFormat="1"/>
    <xf borderId="17" fillId="3" fontId="2" numFmtId="10" xfId="0" applyBorder="1" applyFont="1" applyNumberFormat="1"/>
    <xf borderId="1" fillId="3" fontId="46" numFmtId="0" xfId="0" applyAlignment="1" applyBorder="1" applyFont="1">
      <alignment horizontal="center"/>
    </xf>
    <xf borderId="1" fillId="3" fontId="46" numFmtId="38" xfId="0" applyBorder="1" applyFont="1" applyNumberFormat="1"/>
    <xf borderId="17" fillId="4" fontId="4" numFmtId="175" xfId="0" applyBorder="1" applyFont="1" applyNumberFormat="1"/>
    <xf borderId="17" fillId="3" fontId="2" numFmtId="38" xfId="0" applyBorder="1" applyFont="1" applyNumberFormat="1"/>
    <xf borderId="17" fillId="3" fontId="3" numFmtId="167" xfId="0" applyBorder="1" applyFont="1" applyNumberFormat="1"/>
    <xf borderId="1" fillId="4" fontId="4" numFmtId="38" xfId="0" applyBorder="1" applyFont="1" applyNumberFormat="1"/>
    <xf borderId="59" fillId="3" fontId="3" numFmtId="0" xfId="0" applyBorder="1" applyFont="1"/>
    <xf borderId="60" fillId="3" fontId="3" numFmtId="0" xfId="0" applyBorder="1" applyFont="1"/>
    <xf borderId="60" fillId="3" fontId="2" numFmtId="0" xfId="0" applyBorder="1" applyFont="1"/>
    <xf borderId="61" fillId="3" fontId="3" numFmtId="167" xfId="0" applyBorder="1" applyFont="1" applyNumberFormat="1"/>
    <xf borderId="1" fillId="3" fontId="83" numFmtId="0" xfId="0" applyBorder="1" applyFont="1"/>
    <xf borderId="1" fillId="4" fontId="4" numFmtId="170" xfId="0" applyAlignment="1" applyBorder="1" applyFont="1" applyNumberFormat="1">
      <alignment horizontal="center"/>
    </xf>
    <xf borderId="1" fillId="3" fontId="2" numFmtId="170" xfId="0" applyAlignment="1" applyBorder="1" applyFont="1" applyNumberFormat="1">
      <alignment horizontal="center"/>
    </xf>
    <xf borderId="17" fillId="4" fontId="4" numFmtId="170" xfId="0" applyAlignment="1" applyBorder="1" applyFont="1" applyNumberFormat="1">
      <alignment horizontal="center"/>
    </xf>
    <xf borderId="17" fillId="3" fontId="2" numFmtId="166" xfId="0" applyBorder="1" applyFont="1" applyNumberFormat="1"/>
    <xf borderId="1" fillId="3" fontId="11" numFmtId="0" xfId="0" applyAlignment="1" applyBorder="1" applyFont="1">
      <alignment horizontal="right"/>
    </xf>
    <xf borderId="1" fillId="3" fontId="84" numFmtId="0" xfId="0" applyBorder="1" applyFont="1"/>
    <xf borderId="3" fillId="3" fontId="3" numFmtId="0" xfId="0" applyAlignment="1" applyBorder="1" applyFont="1">
      <alignment horizontal="center"/>
    </xf>
    <xf borderId="4" fillId="3" fontId="24" numFmtId="169" xfId="0" applyAlignment="1" applyBorder="1" applyFont="1" applyNumberFormat="1">
      <alignment horizontal="center"/>
    </xf>
    <xf borderId="5" fillId="3" fontId="24" numFmtId="169" xfId="0" applyAlignment="1" applyBorder="1" applyFont="1" applyNumberFormat="1">
      <alignment horizontal="center"/>
    </xf>
    <xf borderId="7" fillId="3" fontId="2" numFmtId="38" xfId="0" applyBorder="1" applyFont="1" applyNumberFormat="1"/>
    <xf borderId="1" fillId="3" fontId="25" numFmtId="165" xfId="0" applyAlignment="1" applyBorder="1" applyFont="1" applyNumberFormat="1">
      <alignment horizontal="center"/>
    </xf>
    <xf borderId="8" fillId="3" fontId="25" numFmtId="169" xfId="0" applyAlignment="1" applyBorder="1" applyFont="1" applyNumberFormat="1">
      <alignment horizontal="center"/>
    </xf>
    <xf borderId="19" fillId="0" fontId="2" numFmtId="38" xfId="0" applyBorder="1" applyFont="1" applyNumberFormat="1"/>
    <xf borderId="1" fillId="4" fontId="4" numFmtId="165" xfId="0" applyAlignment="1" applyBorder="1" applyFont="1" applyNumberFormat="1">
      <alignment horizontal="center" vertical="center"/>
    </xf>
    <xf borderId="19" fillId="0" fontId="11" numFmtId="38" xfId="0" applyBorder="1" applyFont="1" applyNumberFormat="1"/>
    <xf borderId="7" fillId="3" fontId="3" numFmtId="0" xfId="0" applyAlignment="1" applyBorder="1" applyFont="1">
      <alignment horizontal="left" vertical="center"/>
    </xf>
    <xf borderId="7" fillId="3" fontId="3" numFmtId="38" xfId="0" applyBorder="1" applyFont="1" applyNumberFormat="1"/>
    <xf borderId="1" fillId="3" fontId="24" numFmtId="165" xfId="0" applyAlignment="1" applyBorder="1" applyFont="1" applyNumberFormat="1">
      <alignment horizontal="center"/>
    </xf>
    <xf borderId="8" fillId="3" fontId="24" numFmtId="169" xfId="0" applyAlignment="1" applyBorder="1" applyFont="1" applyNumberFormat="1">
      <alignment horizontal="center"/>
    </xf>
    <xf borderId="1" fillId="4" fontId="4" numFmtId="9" xfId="0" applyAlignment="1" applyBorder="1" applyFont="1" applyNumberFormat="1">
      <alignment horizontal="center" vertical="center"/>
    </xf>
    <xf borderId="9" fillId="3" fontId="2" numFmtId="0" xfId="0" applyAlignment="1" applyBorder="1" applyFont="1">
      <alignment horizontal="left" vertical="center"/>
    </xf>
    <xf borderId="11" fillId="3" fontId="85" numFmtId="0" xfId="0" applyAlignment="1" applyBorder="1" applyFont="1">
      <alignment horizontal="center" vertical="center"/>
    </xf>
    <xf borderId="9" fillId="3" fontId="2" numFmtId="38" xfId="0" applyBorder="1" applyFont="1" applyNumberFormat="1"/>
    <xf borderId="11" fillId="3" fontId="25" numFmtId="165" xfId="0" applyAlignment="1" applyBorder="1" applyFont="1" applyNumberFormat="1">
      <alignment horizontal="center"/>
    </xf>
    <xf borderId="10" fillId="3" fontId="25" numFmtId="169" xfId="0" applyAlignment="1" applyBorder="1" applyFont="1" applyNumberFormat="1">
      <alignment horizontal="center"/>
    </xf>
    <xf borderId="20" fillId="3" fontId="3" numFmtId="0" xfId="0" applyAlignment="1" applyBorder="1" applyFont="1">
      <alignment horizontal="left" vertical="center"/>
    </xf>
    <xf borderId="17" fillId="3" fontId="3" numFmtId="0" xfId="0" applyAlignment="1" applyBorder="1" applyFont="1">
      <alignment horizontal="center" vertical="center"/>
    </xf>
    <xf borderId="20" fillId="3" fontId="3" numFmtId="38" xfId="0" applyBorder="1" applyFont="1" applyNumberFormat="1"/>
    <xf borderId="17" fillId="3" fontId="24" numFmtId="165" xfId="0" applyAlignment="1" applyBorder="1" applyFont="1" applyNumberFormat="1">
      <alignment horizontal="center"/>
    </xf>
    <xf borderId="16" fillId="3" fontId="24" numFmtId="169" xfId="0" applyAlignment="1" applyBorder="1" applyFont="1" applyNumberFormat="1">
      <alignment horizontal="center"/>
    </xf>
    <xf borderId="7" fillId="3" fontId="2" numFmtId="166" xfId="0" applyBorder="1" applyFont="1" applyNumberFormat="1"/>
    <xf borderId="19" fillId="0" fontId="11" numFmtId="166" xfId="0" applyBorder="1" applyFont="1" applyNumberFormat="1"/>
    <xf borderId="0" fillId="0" fontId="4" numFmtId="166" xfId="0" applyFont="1" applyNumberFormat="1"/>
    <xf borderId="1" fillId="3" fontId="2" numFmtId="166" xfId="0" applyAlignment="1" applyBorder="1" applyFont="1" applyNumberFormat="1">
      <alignment horizontal="left" vertical="center"/>
    </xf>
    <xf borderId="7" fillId="4" fontId="4" numFmtId="166" xfId="0" applyBorder="1" applyFont="1" applyNumberFormat="1"/>
    <xf borderId="1" fillId="3" fontId="2" numFmtId="10" xfId="0" applyBorder="1" applyFont="1" applyNumberFormat="1"/>
    <xf borderId="7" fillId="4" fontId="4" numFmtId="166" xfId="0" applyAlignment="1" applyBorder="1" applyFont="1" applyNumberFormat="1">
      <alignment horizontal="right" vertical="center"/>
    </xf>
    <xf borderId="1" fillId="4" fontId="4" numFmtId="166" xfId="0" applyAlignment="1" applyBorder="1" applyFont="1" applyNumberFormat="1">
      <alignment horizontal="right" vertical="center"/>
    </xf>
    <xf borderId="17" fillId="4" fontId="4" numFmtId="166" xfId="0" applyAlignment="1" applyBorder="1" applyFont="1" applyNumberFormat="1">
      <alignment horizontal="right" vertical="center"/>
    </xf>
    <xf borderId="1" fillId="3" fontId="3" numFmtId="166" xfId="0" applyAlignment="1" applyBorder="1" applyFont="1" applyNumberFormat="1">
      <alignment horizontal="left" vertical="center"/>
    </xf>
    <xf borderId="7" fillId="9" fontId="8" numFmtId="166" xfId="0" applyBorder="1" applyFont="1" applyNumberFormat="1"/>
    <xf borderId="17" fillId="3" fontId="3" numFmtId="166" xfId="0" applyAlignment="1" applyBorder="1" applyFont="1" applyNumberFormat="1">
      <alignment horizontal="left" vertical="center"/>
    </xf>
    <xf borderId="20" fillId="3" fontId="3" numFmtId="166" xfId="0" applyBorder="1" applyFont="1" applyNumberFormat="1"/>
    <xf borderId="7" fillId="9" fontId="4" numFmtId="166" xfId="0" applyAlignment="1" applyBorder="1" applyFont="1" applyNumberFormat="1">
      <alignment horizontal="left" vertical="center"/>
    </xf>
    <xf borderId="1" fillId="4" fontId="4" numFmtId="166" xfId="0" applyAlignment="1" applyBorder="1" applyFont="1" applyNumberFormat="1">
      <alignment horizontal="left" vertical="center"/>
    </xf>
    <xf borderId="7" fillId="4" fontId="4" numFmtId="166" xfId="0" applyAlignment="1" applyBorder="1" applyFont="1" applyNumberFormat="1">
      <alignment horizontal="left" vertical="center"/>
    </xf>
    <xf borderId="17" fillId="4" fontId="4" numFmtId="166" xfId="0" applyAlignment="1" applyBorder="1" applyFont="1" applyNumberFormat="1">
      <alignment horizontal="left" vertical="center"/>
    </xf>
    <xf borderId="7" fillId="9" fontId="4" numFmtId="166" xfId="0" applyAlignment="1" applyBorder="1" applyFont="1" applyNumberFormat="1">
      <alignment horizontal="right" vertical="center"/>
    </xf>
    <xf borderId="0" fillId="0" fontId="25" numFmtId="165" xfId="0" applyAlignment="1" applyFont="1" applyNumberFormat="1">
      <alignment horizontal="center"/>
    </xf>
    <xf borderId="1" fillId="3" fontId="86" numFmtId="0" xfId="0" applyAlignment="1" applyBorder="1" applyFont="1">
      <alignment horizontal="center"/>
    </xf>
    <xf borderId="11" fillId="3" fontId="2" numFmtId="3" xfId="0" applyAlignment="1" applyBorder="1" applyFont="1" applyNumberFormat="1">
      <alignment horizontal="center"/>
    </xf>
    <xf borderId="11" fillId="3" fontId="87" numFmtId="0" xfId="0" applyAlignment="1" applyBorder="1" applyFont="1">
      <alignment horizontal="center"/>
    </xf>
    <xf borderId="1" fillId="3" fontId="88" numFmtId="0" xfId="0" applyAlignment="1" applyBorder="1" applyFont="1">
      <alignment horizontal="left" vertical="center"/>
    </xf>
    <xf borderId="17" fillId="3" fontId="2" numFmtId="0" xfId="0" applyAlignment="1" applyBorder="1" applyFont="1">
      <alignment horizontal="left" vertical="center"/>
    </xf>
    <xf borderId="20" fillId="4" fontId="4" numFmtId="166" xfId="0" applyBorder="1" applyFont="1" applyNumberFormat="1"/>
    <xf borderId="17" fillId="3" fontId="25" numFmtId="165" xfId="0" applyAlignment="1" applyBorder="1" applyFont="1" applyNumberFormat="1">
      <alignment horizontal="center"/>
    </xf>
    <xf borderId="16" fillId="3" fontId="25" numFmtId="169" xfId="0" applyAlignment="1" applyBorder="1" applyFont="1" applyNumberFormat="1">
      <alignment horizontal="center"/>
    </xf>
    <xf borderId="7" fillId="3" fontId="3" numFmtId="166" xfId="0" applyBorder="1" applyFont="1" applyNumberFormat="1"/>
    <xf borderId="17" fillId="4" fontId="4" numFmtId="0" xfId="0" applyAlignment="1" applyBorder="1" applyFont="1">
      <alignment horizontal="right" vertical="center"/>
    </xf>
    <xf borderId="20" fillId="3" fontId="2" numFmtId="166" xfId="0" applyBorder="1" applyFont="1" applyNumberFormat="1"/>
    <xf borderId="3" fillId="3" fontId="3" numFmtId="49" xfId="0" applyAlignment="1" applyBorder="1" applyFont="1" applyNumberFormat="1">
      <alignment horizontal="left" vertical="center"/>
    </xf>
    <xf borderId="4" fillId="3" fontId="3" numFmtId="49" xfId="0" applyAlignment="1" applyBorder="1" applyFont="1" applyNumberFormat="1">
      <alignment horizontal="left" vertical="center"/>
    </xf>
    <xf borderId="3" fillId="3" fontId="3" numFmtId="166" xfId="0" applyBorder="1" applyFont="1" applyNumberFormat="1"/>
    <xf borderId="4" fillId="3" fontId="24" numFmtId="165" xfId="0" applyAlignment="1" applyBorder="1" applyFont="1" applyNumberFormat="1">
      <alignment horizontal="center"/>
    </xf>
    <xf borderId="1" fillId="3" fontId="2" numFmtId="0" xfId="0" applyAlignment="1" applyBorder="1" applyFont="1">
      <alignment shrinkToFit="0" vertical="center" wrapText="1"/>
    </xf>
    <xf borderId="1" fillId="3" fontId="25" numFmtId="0" xfId="0" applyBorder="1" applyFont="1"/>
    <xf borderId="17" fillId="3" fontId="24" numFmtId="0" xfId="0" applyBorder="1" applyFont="1"/>
    <xf borderId="17" fillId="18" fontId="3" numFmtId="0" xfId="0" applyAlignment="1" applyBorder="1" applyFill="1" applyFont="1">
      <alignment horizontal="center"/>
    </xf>
    <xf borderId="1" fillId="4" fontId="89" numFmtId="10" xfId="0" applyAlignment="1" applyBorder="1" applyFont="1" applyNumberFormat="1">
      <alignment vertical="center"/>
    </xf>
    <xf borderId="1" fillId="18" fontId="2" numFmtId="38" xfId="0" applyBorder="1" applyFont="1" applyNumberFormat="1"/>
    <xf borderId="18" fillId="0" fontId="25" numFmtId="10" xfId="0" applyBorder="1" applyFont="1" applyNumberFormat="1"/>
    <xf borderId="17" fillId="18" fontId="2" numFmtId="38" xfId="0" applyBorder="1" applyFont="1" applyNumberFormat="1"/>
    <xf borderId="53" fillId="8" fontId="3" numFmtId="0" xfId="0" applyBorder="1" applyFont="1"/>
    <xf borderId="53" fillId="8" fontId="24" numFmtId="0" xfId="0" applyBorder="1" applyFont="1"/>
    <xf borderId="53" fillId="8" fontId="3" numFmtId="38" xfId="0" applyBorder="1" applyFont="1" applyNumberFormat="1"/>
    <xf borderId="53" fillId="18" fontId="3" numFmtId="38" xfId="0" applyBorder="1" applyFont="1" applyNumberFormat="1"/>
    <xf borderId="1" fillId="18" fontId="2" numFmtId="0" xfId="0" applyBorder="1" applyFont="1"/>
    <xf borderId="0" fillId="0" fontId="25" numFmtId="10" xfId="0" applyFont="1" applyNumberFormat="1"/>
    <xf borderId="1" fillId="18" fontId="2" numFmtId="166" xfId="0" applyBorder="1" applyFont="1" applyNumberFormat="1"/>
    <xf borderId="1" fillId="4" fontId="89" numFmtId="10" xfId="0" applyBorder="1" applyFont="1" applyNumberFormat="1"/>
    <xf borderId="17" fillId="4" fontId="89" numFmtId="10" xfId="0" applyBorder="1" applyFont="1" applyNumberFormat="1"/>
    <xf borderId="17" fillId="18" fontId="2" numFmtId="166" xfId="0" applyBorder="1" applyFont="1" applyNumberFormat="1"/>
    <xf borderId="17" fillId="3" fontId="24" numFmtId="10" xfId="0" applyBorder="1" applyFont="1" applyNumberFormat="1"/>
    <xf borderId="17" fillId="3" fontId="3" numFmtId="166" xfId="0" applyBorder="1" applyFont="1" applyNumberFormat="1"/>
    <xf borderId="17" fillId="18" fontId="3" numFmtId="166" xfId="0" applyBorder="1" applyFont="1" applyNumberFormat="1"/>
    <xf borderId="34" fillId="19" fontId="3" numFmtId="0" xfId="0" applyBorder="1" applyFill="1" applyFont="1"/>
    <xf borderId="34" fillId="19" fontId="24" numFmtId="0" xfId="0" applyBorder="1" applyFont="1"/>
    <xf borderId="34" fillId="19" fontId="3" numFmtId="166" xfId="0" applyBorder="1" applyFont="1" applyNumberFormat="1"/>
    <xf borderId="34" fillId="18" fontId="3" numFmtId="166" xfId="0" applyBorder="1" applyFont="1" applyNumberFormat="1"/>
    <xf borderId="34" fillId="16" fontId="3" numFmtId="49" xfId="0" applyBorder="1" applyFont="1" applyNumberFormat="1"/>
    <xf borderId="34" fillId="16" fontId="24" numFmtId="0" xfId="0" applyBorder="1" applyFont="1"/>
    <xf borderId="34" fillId="16" fontId="3" numFmtId="166" xfId="0" applyBorder="1" applyFont="1" applyNumberFormat="1"/>
    <xf borderId="11" fillId="3" fontId="2" numFmtId="49" xfId="0" applyBorder="1" applyFont="1" applyNumberFormat="1"/>
    <xf borderId="11" fillId="3" fontId="24" numFmtId="0" xfId="0" applyBorder="1" applyFont="1"/>
    <xf borderId="11" fillId="3" fontId="2" numFmtId="166" xfId="0" applyBorder="1" applyFont="1" applyNumberFormat="1"/>
    <xf borderId="11" fillId="18" fontId="2" numFmtId="166" xfId="0" applyBorder="1" applyFont="1" applyNumberFormat="1"/>
    <xf borderId="1" fillId="3" fontId="2" numFmtId="3" xfId="0" applyBorder="1" applyFont="1" applyNumberFormat="1"/>
    <xf borderId="34" fillId="8" fontId="3" numFmtId="49" xfId="0" applyBorder="1" applyFont="1" applyNumberFormat="1"/>
    <xf borderId="34" fillId="8" fontId="24" numFmtId="0" xfId="0" applyBorder="1" applyFont="1"/>
    <xf borderId="34" fillId="8" fontId="3" numFmtId="166" xfId="0" applyBorder="1" applyFont="1" applyNumberFormat="1"/>
    <xf borderId="1" fillId="3" fontId="25" numFmtId="173" xfId="0" applyBorder="1" applyFont="1" applyNumberFormat="1"/>
    <xf borderId="1" fillId="18" fontId="25" numFmtId="173" xfId="0" applyBorder="1" applyFont="1" applyNumberFormat="1"/>
    <xf borderId="1" fillId="3" fontId="25" numFmtId="0" xfId="0" applyAlignment="1" applyBorder="1" applyFont="1">
      <alignment readingOrder="0"/>
    </xf>
    <xf borderId="1" fillId="3" fontId="25" numFmtId="170" xfId="0" applyBorder="1" applyFont="1" applyNumberFormat="1"/>
    <xf borderId="1" fillId="18" fontId="25" numFmtId="170" xfId="0" applyBorder="1" applyFont="1" applyNumberFormat="1"/>
    <xf borderId="1" fillId="4" fontId="89" numFmtId="10" xfId="0" applyAlignment="1" applyBorder="1" applyFont="1" applyNumberFormat="1">
      <alignment horizontal="center"/>
    </xf>
    <xf borderId="17" fillId="18" fontId="2" numFmtId="0" xfId="0" applyBorder="1" applyFont="1"/>
    <xf borderId="1" fillId="3" fontId="3" numFmtId="3" xfId="0" applyBorder="1" applyFont="1" applyNumberFormat="1"/>
    <xf borderId="62" fillId="3" fontId="3" numFmtId="0" xfId="0" applyBorder="1" applyFont="1"/>
    <xf borderId="63" fillId="3" fontId="2" numFmtId="0" xfId="0" applyBorder="1" applyFont="1"/>
    <xf borderId="63" fillId="3" fontId="3" numFmtId="0" xfId="0" applyAlignment="1" applyBorder="1" applyFont="1">
      <alignment horizontal="center"/>
    </xf>
    <xf borderId="64" fillId="3" fontId="10" numFmtId="0" xfId="0" applyAlignment="1" applyBorder="1" applyFont="1">
      <alignment horizontal="center"/>
    </xf>
    <xf borderId="54" fillId="3" fontId="3" numFmtId="0" xfId="0" applyBorder="1" applyFont="1"/>
    <xf borderId="65" fillId="3" fontId="3" numFmtId="0" xfId="0" applyAlignment="1" applyBorder="1" applyFont="1">
      <alignment horizontal="center"/>
    </xf>
    <xf borderId="66" fillId="3" fontId="2" numFmtId="0" xfId="0" applyBorder="1" applyFont="1"/>
    <xf borderId="54" fillId="3" fontId="90" numFmtId="0" xfId="0" applyBorder="1" applyFont="1"/>
    <xf borderId="1" fillId="4" fontId="4" numFmtId="173" xfId="0" applyBorder="1" applyFont="1" applyNumberFormat="1"/>
    <xf borderId="66" fillId="3" fontId="2" numFmtId="173" xfId="0" applyBorder="1" applyFont="1" applyNumberFormat="1"/>
    <xf borderId="1" fillId="4" fontId="4" numFmtId="173" xfId="0" applyAlignment="1" applyBorder="1" applyFont="1" applyNumberFormat="1">
      <alignment horizontal="right"/>
    </xf>
    <xf borderId="1" fillId="3" fontId="2" numFmtId="173" xfId="0" applyAlignment="1" applyBorder="1" applyFont="1" applyNumberFormat="1">
      <alignment horizontal="right"/>
    </xf>
    <xf borderId="1" fillId="3" fontId="2" numFmtId="173" xfId="0" applyBorder="1" applyFont="1" applyNumberFormat="1"/>
    <xf borderId="65" fillId="3" fontId="2" numFmtId="173" xfId="0" applyBorder="1" applyFont="1" applyNumberFormat="1"/>
    <xf borderId="54" fillId="3" fontId="3" numFmtId="176" xfId="0" applyBorder="1" applyFont="1" applyNumberFormat="1"/>
    <xf borderId="1" fillId="3" fontId="3" numFmtId="176" xfId="0" applyBorder="1" applyFont="1" applyNumberFormat="1"/>
    <xf borderId="1" fillId="3" fontId="3" numFmtId="176" xfId="0" applyAlignment="1" applyBorder="1" applyFont="1" applyNumberFormat="1">
      <alignment horizontal="right"/>
    </xf>
    <xf borderId="66" fillId="3" fontId="3" numFmtId="176" xfId="0" applyBorder="1" applyFont="1" applyNumberFormat="1"/>
    <xf borderId="67" fillId="3" fontId="25" numFmtId="0" xfId="0" applyBorder="1" applyFont="1"/>
    <xf borderId="58" fillId="3" fontId="25" numFmtId="0" xfId="0" applyBorder="1" applyFont="1"/>
    <xf borderId="68" fillId="3" fontId="25" numFmtId="40" xfId="0" applyBorder="1" applyFont="1" applyNumberFormat="1"/>
    <xf borderId="1" fillId="3" fontId="4" numFmtId="173" xfId="0" applyAlignment="1" applyBorder="1" applyFont="1" applyNumberFormat="1">
      <alignment horizontal="right"/>
    </xf>
    <xf borderId="1" fillId="3" fontId="4" numFmtId="173" xfId="0" applyBorder="1" applyFont="1" applyNumberFormat="1"/>
    <xf borderId="64" fillId="3" fontId="2" numFmtId="0" xfId="0" applyBorder="1" applyFont="1"/>
    <xf borderId="66" fillId="3" fontId="4" numFmtId="169" xfId="0" applyBorder="1" applyFont="1" applyNumberFormat="1"/>
    <xf borderId="66" fillId="4" fontId="4" numFmtId="4" xfId="0" applyBorder="1" applyFont="1" applyNumberFormat="1"/>
    <xf borderId="66" fillId="3" fontId="4" numFmtId="4" xfId="0" applyBorder="1" applyFont="1" applyNumberFormat="1"/>
    <xf borderId="66" fillId="3" fontId="2" numFmtId="4" xfId="0" applyBorder="1" applyFont="1" applyNumberFormat="1"/>
    <xf borderId="65" fillId="3" fontId="2" numFmtId="4" xfId="0" applyBorder="1" applyFont="1" applyNumberFormat="1"/>
    <xf borderId="66" fillId="3" fontId="3" numFmtId="4" xfId="0" applyBorder="1" applyFont="1" applyNumberFormat="1"/>
    <xf borderId="66" fillId="3" fontId="2" numFmtId="169" xfId="0" applyBorder="1" applyFont="1" applyNumberFormat="1"/>
    <xf borderId="5" fillId="3" fontId="3" numFmtId="169" xfId="0" applyBorder="1" applyFont="1" applyNumberFormat="1"/>
    <xf borderId="1" fillId="3" fontId="2" numFmtId="171" xfId="0" applyBorder="1" applyFont="1" applyNumberFormat="1"/>
    <xf borderId="1" fillId="3" fontId="2" numFmtId="0" xfId="0" applyAlignment="1" applyBorder="1" applyFont="1">
      <alignment horizontal="left" shrinkToFit="0" vertical="center" wrapText="1"/>
    </xf>
    <xf borderId="17" fillId="3" fontId="2" numFmtId="0" xfId="0" applyAlignment="1" applyBorder="1" applyFont="1">
      <alignment horizontal="left" shrinkToFit="0" vertical="center" wrapText="1"/>
    </xf>
    <xf borderId="17" fillId="4" fontId="4" numFmtId="10" xfId="0" applyBorder="1" applyFont="1" applyNumberFormat="1"/>
    <xf borderId="17" fillId="4" fontId="4" numFmtId="9" xfId="0" applyAlignment="1" applyBorder="1" applyFont="1" applyNumberFormat="1">
      <alignment horizontal="center" vertical="center"/>
    </xf>
    <xf borderId="1" fillId="3" fontId="10" numFmtId="0" xfId="0" applyAlignment="1" applyBorder="1" applyFont="1">
      <alignment horizontal="left" vertical="center"/>
    </xf>
    <xf borderId="15" fillId="0" fontId="11" numFmtId="38" xfId="0" applyBorder="1" applyFont="1" applyNumberFormat="1"/>
    <xf borderId="17" fillId="9" fontId="4" numFmtId="9" xfId="0" applyAlignment="1" applyBorder="1" applyFont="1" applyNumberFormat="1">
      <alignment horizontal="center" vertical="center"/>
    </xf>
    <xf borderId="20" fillId="3" fontId="2" numFmtId="38" xfId="0" applyBorder="1" applyFont="1" applyNumberFormat="1"/>
    <xf borderId="4" fillId="3" fontId="25" numFmtId="0" xfId="0" applyBorder="1" applyFont="1"/>
    <xf borderId="4" fillId="18" fontId="2" numFmtId="0" xfId="0" applyBorder="1" applyFont="1"/>
    <xf borderId="5" fillId="3" fontId="2" numFmtId="0" xfId="0" applyBorder="1" applyFont="1"/>
    <xf borderId="1" fillId="4" fontId="89" numFmtId="9" xfId="0" applyAlignment="1" applyBorder="1" applyFont="1" applyNumberFormat="1">
      <alignment horizontal="center"/>
    </xf>
    <xf borderId="1" fillId="3" fontId="2" numFmtId="3" xfId="0" applyAlignment="1" applyBorder="1" applyFont="1" applyNumberFormat="1">
      <alignment horizontal="right"/>
    </xf>
    <xf borderId="1" fillId="18" fontId="2" numFmtId="3" xfId="0" applyAlignment="1" applyBorder="1" applyFont="1" applyNumberFormat="1">
      <alignment horizontal="right"/>
    </xf>
    <xf borderId="8" fillId="3" fontId="2" numFmtId="3" xfId="0" applyAlignment="1" applyBorder="1" applyFont="1" applyNumberFormat="1">
      <alignment horizontal="right"/>
    </xf>
    <xf borderId="8" fillId="3" fontId="2" numFmtId="38" xfId="0" applyBorder="1" applyFont="1" applyNumberFormat="1"/>
    <xf borderId="17" fillId="3" fontId="25" numFmtId="0" xfId="0" applyBorder="1" applyFont="1"/>
    <xf borderId="34" fillId="8" fontId="3" numFmtId="0" xfId="0" applyBorder="1" applyFont="1"/>
    <xf borderId="34" fillId="8" fontId="3" numFmtId="38" xfId="0" applyBorder="1" applyFont="1" applyNumberFormat="1"/>
    <xf borderId="34" fillId="18" fontId="3" numFmtId="38" xfId="0" applyBorder="1" applyFont="1" applyNumberFormat="1"/>
    <xf borderId="0" fillId="0" fontId="2" numFmtId="0" xfId="0" applyAlignment="1" applyFont="1">
      <alignment horizontal="left"/>
    </xf>
    <xf borderId="1" fillId="10" fontId="91" numFmtId="0" xfId="0" applyAlignment="1" applyBorder="1" applyFont="1">
      <alignment horizontal="left"/>
    </xf>
    <xf borderId="1" fillId="10" fontId="92" numFmtId="0" xfId="0" applyBorder="1" applyFont="1"/>
    <xf borderId="0" fillId="0" fontId="93" numFmtId="0" xfId="0" applyAlignment="1" applyFont="1">
      <alignment horizontal="left"/>
    </xf>
    <xf borderId="0" fillId="0" fontId="94" numFmtId="0" xfId="0" applyFont="1"/>
    <xf borderId="0" fillId="0" fontId="95" numFmtId="0" xfId="0" applyAlignment="1" applyFont="1">
      <alignment horizontal="left"/>
    </xf>
    <xf borderId="0" fillId="0" fontId="95" numFmtId="0" xfId="0" applyFont="1"/>
    <xf borderId="0" fillId="0" fontId="2" numFmtId="10" xfId="0" applyFont="1" applyNumberFormat="1"/>
    <xf borderId="0" fillId="0" fontId="95" numFmtId="0" xfId="0" applyAlignment="1" applyFont="1">
      <alignment readingOrder="0"/>
    </xf>
    <xf borderId="0" fillId="0" fontId="96" numFmtId="0" xfId="0" applyFont="1"/>
    <xf borderId="0" fillId="0" fontId="97" numFmtId="0" xfId="0" applyFont="1"/>
    <xf borderId="0" fillId="0" fontId="4" numFmtId="0" xfId="0" applyFont="1"/>
    <xf borderId="0" fillId="0" fontId="10" numFmtId="0" xfId="0" applyFon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000000"/>
                </a:solidFill>
                <a:latin typeface="+mn-lt"/>
              </a:defRPr>
            </a:pPr>
            <a:r>
              <a:rPr b="1" i="0" sz="1800">
                <a:solidFill>
                  <a:srgbClr val="000000"/>
                </a:solidFill>
                <a:latin typeface="+mn-lt"/>
              </a:rPr>
              <a:t>Capital Stack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Construction Loan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Charts!$C$4:$D$4</c:f>
              <c:numCache/>
            </c:numRef>
          </c:val>
        </c:ser>
        <c:ser>
          <c:idx val="1"/>
          <c:order val="1"/>
          <c:tx>
            <c:v>Senior Permanent Loan</c:v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Charts!$C$5:$D$5</c:f>
              <c:numCache/>
            </c:numRef>
          </c:val>
        </c:ser>
        <c:ser>
          <c:idx val="2"/>
          <c:order val="2"/>
          <c:tx>
            <c:v>LIHTC Equity</c:v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Charts!$C$6:$D$6</c:f>
              <c:numCache/>
            </c:numRef>
          </c:val>
        </c:ser>
        <c:ser>
          <c:idx val="3"/>
          <c:order val="3"/>
          <c:tx>
            <c:v>HPD ELLA Program</c:v>
          </c:tx>
          <c:spPr>
            <a:solidFill>
              <a:srgbClr val="9FC5E8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Charts!$C$7:$D$7</c:f>
              <c:numCache/>
            </c:numRef>
          </c:val>
        </c:ser>
        <c:ser>
          <c:idx val="4"/>
          <c:order val="4"/>
          <c:tx>
            <c:v>HPD Resolution A Grant</c:v>
          </c:tx>
          <c:spPr>
            <a:solidFill>
              <a:srgbClr val="F4CCCC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Charts!$C$8:$D$8</c:f>
              <c:numCache/>
            </c:numRef>
          </c:val>
        </c:ser>
        <c:ser>
          <c:idx val="5"/>
          <c:order val="5"/>
          <c:tx>
            <c:v>HDC ELLA Program</c:v>
          </c:tx>
          <c:spPr>
            <a:solidFill>
              <a:srgbClr val="FFE599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Charts!$C$9:$D$9</c:f>
              <c:numCache/>
            </c:numRef>
          </c:val>
        </c:ser>
        <c:ser>
          <c:idx val="6"/>
          <c:order val="6"/>
          <c:spPr>
            <a:solidFill>
              <a:srgbClr val="D5E5F4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Charts!$C$10:$D$10</c:f>
              <c:numCache/>
            </c:numRef>
          </c:val>
        </c:ser>
        <c:ser>
          <c:idx val="7"/>
          <c:order val="7"/>
          <c:spPr>
            <a:solidFill>
              <a:srgbClr val="F9D6BE"/>
            </a:solidFill>
            <a:ln cmpd="sng">
              <a:solidFill>
                <a:srgbClr val="000000"/>
              </a:solidFill>
            </a:ln>
          </c:spPr>
          <c:cat>
            <c:strRef>
              <c:f>Charts!$C$3:$D$3</c:f>
            </c:strRef>
          </c:cat>
          <c:val>
            <c:numRef>
              <c:f>Charts!$C$13:$D$13</c:f>
              <c:numCache/>
            </c:numRef>
          </c:val>
        </c:ser>
        <c:overlap val="100"/>
        <c:axId val="1330595272"/>
        <c:axId val="733300454"/>
      </c:barChart>
      <c:catAx>
        <c:axId val="1330595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>
                <a:solidFill>
                  <a:srgbClr val="000000"/>
                </a:solidFill>
                <a:latin typeface="+mn-lt"/>
              </a:defRPr>
            </a:pPr>
          </a:p>
        </c:txPr>
        <c:crossAx val="733300454"/>
      </c:catAx>
      <c:valAx>
        <c:axId val="733300454"/>
        <c:scaling>
          <c:orientation val="minMax"/>
          <c:max val="5.8E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&quot;$&quot;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30595272"/>
      </c:valAx>
    </c:plotArea>
    <c:legend>
      <c:legendPos val="r"/>
      <c:layout>
        <c:manualLayout>
          <c:xMode val="edge"/>
          <c:yMode val="edge"/>
          <c:x val="0.7414744222124344"/>
          <c:y val="0.09210986354629055"/>
        </c:manualLayout>
      </c:layout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7.png"/><Relationship Id="rId6" Type="http://schemas.openxmlformats.org/officeDocument/2006/relationships/image" Target="../media/image6.png"/><Relationship Id="rId7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133350</xdr:colOff>
      <xdr:row>1</xdr:row>
      <xdr:rowOff>76200</xdr:rowOff>
    </xdr:from>
    <xdr:ext cx="3819525" cy="5572125"/>
    <xdr:graphicFrame>
      <xdr:nvGraphicFramePr>
        <xdr:cNvPr id="105801455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962025</xdr:colOff>
      <xdr:row>61</xdr:row>
      <xdr:rowOff>190500</xdr:rowOff>
    </xdr:from>
    <xdr:ext cx="9886950" cy="25050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101</xdr:row>
      <xdr:rowOff>57150</xdr:rowOff>
    </xdr:from>
    <xdr:ext cx="4067175" cy="15621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113</xdr:row>
      <xdr:rowOff>38100</xdr:rowOff>
    </xdr:from>
    <xdr:ext cx="5457825" cy="1790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125</xdr:row>
      <xdr:rowOff>161925</xdr:rowOff>
    </xdr:from>
    <xdr:ext cx="5419725" cy="45720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155</xdr:row>
      <xdr:rowOff>76200</xdr:rowOff>
    </xdr:from>
    <xdr:ext cx="5210175" cy="108585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342900</xdr:colOff>
      <xdr:row>67</xdr:row>
      <xdr:rowOff>142875</xdr:rowOff>
    </xdr:from>
    <xdr:ext cx="4010025" cy="4972050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342900</xdr:colOff>
      <xdr:row>99</xdr:row>
      <xdr:rowOff>95250</xdr:rowOff>
    </xdr:from>
    <xdr:ext cx="4010025" cy="265747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342900</xdr:colOff>
      <xdr:row>58</xdr:row>
      <xdr:rowOff>19050</xdr:rowOff>
    </xdr:from>
    <xdr:ext cx="4533900" cy="942975"/>
    <xdr:pic>
      <xdr:nvPicPr>
        <xdr:cNvPr id="0" name="image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485775</xdr:colOff>
      <xdr:row>6</xdr:row>
      <xdr:rowOff>9525</xdr:rowOff>
    </xdr:from>
    <xdr:ext cx="3305175" cy="20574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57</xdr:row>
      <xdr:rowOff>190500</xdr:rowOff>
    </xdr:from>
    <xdr:ext cx="4314825" cy="226695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58</xdr:row>
      <xdr:rowOff>57150</xdr:rowOff>
    </xdr:from>
    <xdr:ext cx="5429250" cy="1352550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619125</xdr:colOff>
      <xdr:row>1</xdr:row>
      <xdr:rowOff>9525</xdr:rowOff>
    </xdr:from>
    <xdr:ext cx="6496050" cy="11715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10</xdr:row>
      <xdr:rowOff>19050</xdr:rowOff>
    </xdr:from>
    <xdr:ext cx="7143750" cy="3886200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466725</xdr:colOff>
      <xdr:row>0</xdr:row>
      <xdr:rowOff>0</xdr:rowOff>
    </xdr:from>
    <xdr:ext cx="4791075" cy="5324475"/>
    <xdr:pic>
      <xdr:nvPicPr>
        <xdr:cNvPr id="0" name="image1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www.huduser.gov/portal/datasets/fmr/fmrs/FY2023_code/2023summary.odn" TargetMode="External"/><Relationship Id="rId3" Type="http://schemas.openxmlformats.org/officeDocument/2006/relationships/drawing" Target="../drawings/drawing8.xml"/><Relationship Id="rId4" Type="http://schemas.openxmlformats.org/officeDocument/2006/relationships/vmlDrawing" Target="../drawings/vmlDrawing3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4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5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7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.13"/>
    <col customWidth="1" min="2" max="2" width="35.0"/>
    <col customWidth="1" min="3" max="3" width="24.75"/>
    <col customWidth="1" min="4" max="4" width="14.63"/>
    <col customWidth="1" min="5" max="5" width="11.63"/>
    <col customWidth="1" min="6" max="6" width="24.5"/>
    <col customWidth="1" min="7" max="7" width="6.75"/>
    <col customWidth="1" min="8" max="8" width="13.75"/>
    <col customWidth="1" min="9" max="9" width="19.0"/>
    <col customWidth="1" min="10" max="27" width="8.75"/>
  </cols>
  <sheetData>
    <row r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/>
      <c r="B2" s="5" t="s">
        <v>1</v>
      </c>
      <c r="C2" s="3"/>
      <c r="D2" s="6" t="s">
        <v>2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4"/>
      <c r="B3" s="5" t="s">
        <v>3</v>
      </c>
      <c r="C3" s="3"/>
      <c r="D3" s="7">
        <f>TODAY()</f>
        <v>45033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9"/>
      <c r="C4" s="9"/>
      <c r="D4" s="9"/>
      <c r="E4" s="9"/>
      <c r="F4" s="9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0"/>
      <c r="B5" s="11" t="s">
        <v>4</v>
      </c>
      <c r="C5" s="12"/>
      <c r="D5" s="12"/>
      <c r="E5" s="12"/>
      <c r="F5" s="13"/>
      <c r="G5" s="14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8"/>
      <c r="B6" s="15" t="s">
        <v>5</v>
      </c>
      <c r="C6" s="16" t="s">
        <v>6</v>
      </c>
      <c r="D6" s="17" t="s">
        <v>7</v>
      </c>
      <c r="E6" s="17"/>
      <c r="F6" s="18">
        <f>28945/43560</f>
        <v>0.6644857668</v>
      </c>
      <c r="G6" s="14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8"/>
      <c r="B7" s="15" t="s">
        <v>8</v>
      </c>
      <c r="C7" s="16" t="s">
        <v>9</v>
      </c>
      <c r="D7" s="17" t="s">
        <v>10</v>
      </c>
      <c r="E7" s="17"/>
      <c r="F7" s="19">
        <v>28945.0</v>
      </c>
      <c r="G7" s="14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8"/>
      <c r="B8" s="20" t="s">
        <v>11</v>
      </c>
      <c r="C8" s="21" t="s">
        <v>12</v>
      </c>
      <c r="D8" s="22" t="s">
        <v>13</v>
      </c>
      <c r="E8" s="23"/>
      <c r="F8" s="24">
        <v>3.44</v>
      </c>
      <c r="G8" s="25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8"/>
      <c r="B9" s="15" t="s">
        <v>14</v>
      </c>
      <c r="C9" s="26">
        <f>F7*F8</f>
        <v>99570.8</v>
      </c>
      <c r="D9" s="3" t="s">
        <v>15</v>
      </c>
      <c r="E9" s="17"/>
      <c r="F9" s="27">
        <v>680.0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2.75" customHeight="1">
      <c r="A10" s="8"/>
      <c r="B10" s="15" t="s">
        <v>16</v>
      </c>
      <c r="C10" s="26">
        <f>C9/F9</f>
        <v>146.4276471</v>
      </c>
      <c r="D10" s="3" t="s">
        <v>17</v>
      </c>
      <c r="E10" s="17"/>
      <c r="F10" s="28">
        <v>116.0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2.75" customHeight="1">
      <c r="A11" s="8"/>
      <c r="B11" s="20" t="s">
        <v>18</v>
      </c>
      <c r="C11" s="29">
        <f>C12/C9</f>
        <v>0.1186457998</v>
      </c>
      <c r="D11" s="22" t="s">
        <v>19</v>
      </c>
      <c r="E11" s="23"/>
      <c r="F11" s="30">
        <v>0.86</v>
      </c>
      <c r="G11" s="14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2.75" customHeight="1">
      <c r="A12" s="8"/>
      <c r="B12" s="15" t="s">
        <v>20</v>
      </c>
      <c r="C12" s="26">
        <f>C9-F12-SUM(C15,C16,F15,F16)</f>
        <v>11813.6572</v>
      </c>
      <c r="D12" s="3" t="s">
        <v>21</v>
      </c>
      <c r="E12" s="17"/>
      <c r="F12" s="26">
        <f>F11*C9</f>
        <v>85630.888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2.75" customHeight="1">
      <c r="A13" s="8"/>
      <c r="B13" s="15" t="s">
        <v>22</v>
      </c>
      <c r="C13" s="31">
        <v>0.05</v>
      </c>
      <c r="D13" s="3" t="s">
        <v>23</v>
      </c>
      <c r="E13" s="17"/>
      <c r="F13" s="32">
        <v>0.15</v>
      </c>
      <c r="G13" s="14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2.75" customHeight="1">
      <c r="A14" s="8"/>
      <c r="B14" s="15" t="s">
        <v>24</v>
      </c>
      <c r="C14" s="26">
        <f>C12*(1-C13)</f>
        <v>11222.97434</v>
      </c>
      <c r="D14" s="3" t="s">
        <v>25</v>
      </c>
      <c r="E14" s="17"/>
      <c r="F14" s="26">
        <f>F12*(1-F13)</f>
        <v>72786.2548</v>
      </c>
      <c r="G14" s="14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2.75" customHeight="1">
      <c r="A15" s="8"/>
      <c r="B15" s="33" t="s">
        <v>26</v>
      </c>
      <c r="C15" s="34">
        <f>600+(F14-Rents!G14)</f>
        <v>1476.2548</v>
      </c>
      <c r="D15" s="22" t="s">
        <v>27</v>
      </c>
      <c r="E15" s="35"/>
      <c r="F15" s="36">
        <v>150.0</v>
      </c>
      <c r="G15" s="1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2.75" customHeight="1">
      <c r="A16" s="8"/>
      <c r="B16" s="37" t="s">
        <v>28</v>
      </c>
      <c r="C16" s="38">
        <v>200.0</v>
      </c>
      <c r="D16" s="39" t="s">
        <v>29</v>
      </c>
      <c r="E16" s="40"/>
      <c r="F16" s="38">
        <v>300.0</v>
      </c>
      <c r="G16" s="1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2.75" customHeight="1">
      <c r="A17" s="8"/>
      <c r="B17" s="20" t="s">
        <v>30</v>
      </c>
      <c r="C17" s="21">
        <f>Rents!F14</f>
        <v>116</v>
      </c>
      <c r="D17" s="20" t="s">
        <v>31</v>
      </c>
      <c r="E17" s="23"/>
      <c r="F17" s="41">
        <f>C17/F6</f>
        <v>174.5710831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2.75" customHeight="1">
      <c r="A18" s="8"/>
      <c r="B18" s="15" t="s">
        <v>32</v>
      </c>
      <c r="C18" s="28">
        <f>C17-C21</f>
        <v>115</v>
      </c>
      <c r="D18" s="15" t="s">
        <v>33</v>
      </c>
      <c r="E18" s="3"/>
      <c r="F18" s="16">
        <v>0.0</v>
      </c>
      <c r="G18" s="1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2.75" customHeight="1">
      <c r="A19" s="8"/>
      <c r="B19" s="15" t="s">
        <v>34</v>
      </c>
      <c r="C19" s="28">
        <v>0.0</v>
      </c>
      <c r="D19" s="15" t="s">
        <v>35</v>
      </c>
      <c r="E19" s="3"/>
      <c r="F19" s="42">
        <f>F18/Rents!F14</f>
        <v>0</v>
      </c>
      <c r="G19" s="1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2.75" customHeight="1">
      <c r="A20" s="8"/>
      <c r="B20" s="15" t="s">
        <v>36</v>
      </c>
      <c r="C20" s="28">
        <v>0.0</v>
      </c>
      <c r="D20" s="43" t="s">
        <v>37</v>
      </c>
      <c r="E20" s="3"/>
      <c r="F20" s="26">
        <f>Rents!G14</f>
        <v>71910</v>
      </c>
      <c r="G20" s="44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2.75" customHeight="1">
      <c r="A21" s="8"/>
      <c r="B21" s="45" t="s">
        <v>38</v>
      </c>
      <c r="C21" s="46">
        <f>Rents!F29</f>
        <v>1</v>
      </c>
      <c r="D21" s="45" t="s">
        <v>39</v>
      </c>
      <c r="E21" s="47"/>
      <c r="F21" s="48">
        <f>'Tax Credits'!C8</f>
        <v>0.04</v>
      </c>
      <c r="G21" s="1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2.75" customHeight="1">
      <c r="A22" s="49"/>
      <c r="B22" s="50" t="s">
        <v>40</v>
      </c>
      <c r="C22" s="51"/>
      <c r="D22" s="52"/>
      <c r="E22" s="52"/>
      <c r="F22" s="53"/>
      <c r="G22" s="14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2.75" customHeight="1">
      <c r="A23" s="49"/>
      <c r="B23" s="54"/>
      <c r="C23" s="55"/>
      <c r="F23" s="56"/>
      <c r="G23" s="14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2.75" customHeight="1">
      <c r="A24" s="49"/>
      <c r="B24" s="57"/>
      <c r="C24" s="58"/>
      <c r="D24" s="59"/>
      <c r="E24" s="59"/>
      <c r="F24" s="60"/>
      <c r="G24" s="14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2.75" customHeight="1">
      <c r="A25" s="8"/>
      <c r="B25" s="61"/>
      <c r="C25" s="61"/>
      <c r="D25" s="61"/>
      <c r="E25" s="61"/>
      <c r="F25" s="61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2.75" customHeight="1">
      <c r="A26" s="8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2.75" customHeight="1">
      <c r="A27" s="10"/>
      <c r="B27" s="11" t="s">
        <v>41</v>
      </c>
      <c r="C27" s="12"/>
      <c r="D27" s="12"/>
      <c r="E27" s="12"/>
      <c r="F27" s="1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2.75" customHeight="1">
      <c r="A28" s="62"/>
      <c r="B28" s="63" t="s">
        <v>42</v>
      </c>
      <c r="C28" s="22"/>
      <c r="D28" s="64">
        <v>45076.0</v>
      </c>
      <c r="E28" s="65"/>
      <c r="F28" s="66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2.75" customHeight="1">
      <c r="A29" s="62"/>
      <c r="B29" s="67" t="s">
        <v>43</v>
      </c>
      <c r="C29" s="3"/>
      <c r="D29" s="68">
        <f>EDATE(D28,E29)</f>
        <v>45960</v>
      </c>
      <c r="E29" s="6">
        <v>29.0</v>
      </c>
      <c r="F29" s="69" t="s">
        <v>44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2.75" customHeight="1">
      <c r="A30" s="62"/>
      <c r="B30" s="67" t="s">
        <v>45</v>
      </c>
      <c r="C30" s="3"/>
      <c r="D30" s="68"/>
      <c r="E30" s="70"/>
      <c r="F30" s="69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2.75" customHeight="1">
      <c r="A31" s="62"/>
      <c r="B31" s="67" t="s">
        <v>46</v>
      </c>
      <c r="C31" s="3"/>
      <c r="D31" s="68">
        <f>EDATE(D28,E31)</f>
        <v>45899</v>
      </c>
      <c r="E31" s="6">
        <v>27.0</v>
      </c>
      <c r="F31" s="69" t="s">
        <v>44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2.75" customHeight="1">
      <c r="A32" s="62"/>
      <c r="B32" s="67" t="s">
        <v>47</v>
      </c>
      <c r="C32" s="3"/>
      <c r="D32" s="68">
        <f t="shared" ref="D32:D33" si="1">EDATE(D31,E32)</f>
        <v>46052</v>
      </c>
      <c r="E32" s="6">
        <v>5.0</v>
      </c>
      <c r="F32" s="69" t="s">
        <v>48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2.75" customHeight="1">
      <c r="A33" s="62"/>
      <c r="B33" s="67" t="s">
        <v>49</v>
      </c>
      <c r="C33" s="3"/>
      <c r="D33" s="68">
        <f t="shared" si="1"/>
        <v>46111</v>
      </c>
      <c r="E33" s="6">
        <v>2.0</v>
      </c>
      <c r="F33" s="69" t="s">
        <v>50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2.75" customHeight="1">
      <c r="A34" s="8"/>
      <c r="B34" s="15"/>
      <c r="C34" s="3"/>
      <c r="D34" s="3"/>
      <c r="E34" s="71"/>
      <c r="F34" s="69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2.75" customHeight="1">
      <c r="A35" s="62"/>
      <c r="B35" s="67" t="s">
        <v>51</v>
      </c>
      <c r="C35" s="3"/>
      <c r="D35" s="3"/>
      <c r="E35" s="71">
        <f>E37-E32-E31</f>
        <v>4</v>
      </c>
      <c r="F35" s="69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2.75" customHeight="1">
      <c r="A36" s="62"/>
      <c r="B36" s="72" t="s">
        <v>52</v>
      </c>
      <c r="C36" s="39"/>
      <c r="D36" s="39"/>
      <c r="E36" s="73">
        <f>E37-E31-E32-E33</f>
        <v>2</v>
      </c>
      <c r="F36" s="74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2.75" customHeight="1">
      <c r="A37" s="62"/>
      <c r="B37" s="72" t="s">
        <v>53</v>
      </c>
      <c r="C37" s="39"/>
      <c r="D37" s="75"/>
      <c r="E37" s="76">
        <v>36.0</v>
      </c>
      <c r="F37" s="74" t="s">
        <v>54</v>
      </c>
      <c r="G37" s="77" t="s">
        <v>55</v>
      </c>
      <c r="H37" s="77"/>
      <c r="I37" s="77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2.75" customHeight="1">
      <c r="A38" s="62"/>
      <c r="B38" s="78"/>
      <c r="C38" s="3"/>
      <c r="D38" s="68"/>
      <c r="E38" s="7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2.75" customHeight="1">
      <c r="A39" s="10"/>
      <c r="B39" s="11" t="s">
        <v>56</v>
      </c>
      <c r="C39" s="12"/>
      <c r="D39" s="80" t="s">
        <v>57</v>
      </c>
      <c r="E39" s="80" t="s">
        <v>58</v>
      </c>
      <c r="F39" s="1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2.75" customHeight="1">
      <c r="A40" s="81"/>
      <c r="B40" s="82" t="s">
        <v>59</v>
      </c>
      <c r="C40" s="83"/>
      <c r="D40" s="84">
        <f>'Debt &amp; Valuation'!C24</f>
        <v>25905724.48</v>
      </c>
      <c r="E40" s="85">
        <v>0.0</v>
      </c>
      <c r="F40" s="86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2.75" customHeight="1">
      <c r="A41" s="81"/>
      <c r="B41" s="82" t="str">
        <f>'Debt &amp; Valuation'!E23&amp;" "&amp;'Debt &amp; Valuation'!E22</f>
        <v>Bank of America Senior Permanent Debt</v>
      </c>
      <c r="C41" s="83"/>
      <c r="D41" s="84">
        <v>0.0</v>
      </c>
      <c r="E41" s="85">
        <f>'Debt &amp; Valuation'!E24</f>
        <v>7196458.287</v>
      </c>
      <c r="F41" s="86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2.75" customHeight="1">
      <c r="A42" s="87"/>
      <c r="B42" s="88" t="s">
        <v>60</v>
      </c>
      <c r="D42" s="89">
        <f>'Tax Credits'!E69</f>
        <v>684895.6488</v>
      </c>
      <c r="E42" s="90">
        <f>'Tax Credits'!E74</f>
        <v>22107671.04</v>
      </c>
      <c r="F42" s="86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2.75" customHeight="1">
      <c r="A43" s="87"/>
      <c r="B43" s="88" t="s">
        <v>61</v>
      </c>
      <c r="C43" s="91"/>
      <c r="D43" s="92">
        <f>'Debt &amp; Valuation'!G24</f>
        <v>14067900</v>
      </c>
      <c r="E43" s="90">
        <f>'Debt &amp; Valuation'!G24</f>
        <v>14067900</v>
      </c>
      <c r="F43" s="86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2.75" customHeight="1">
      <c r="A44" s="87"/>
      <c r="B44" s="88" t="s">
        <v>62</v>
      </c>
      <c r="C44" s="93"/>
      <c r="D44" s="94">
        <v>912700.0</v>
      </c>
      <c r="E44" s="94">
        <v>912700.0</v>
      </c>
      <c r="F44" s="86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2.75" customHeight="1">
      <c r="A45" s="87"/>
      <c r="B45" s="88" t="s">
        <v>63</v>
      </c>
      <c r="C45" s="83"/>
      <c r="D45" s="92">
        <f>'Debt &amp; Valuation'!I24</f>
        <v>7464600</v>
      </c>
      <c r="E45" s="90">
        <f t="shared" ref="E45:E46" si="2">D45</f>
        <v>7464600</v>
      </c>
      <c r="F45" s="86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2.0" customHeight="1">
      <c r="A46" s="87"/>
      <c r="B46" s="88" t="s">
        <v>64</v>
      </c>
      <c r="C46" s="83"/>
      <c r="D46" s="92">
        <f>'Debt &amp; Valuation'!I53</f>
        <v>1265637</v>
      </c>
      <c r="E46" s="92">
        <f t="shared" si="2"/>
        <v>1265637</v>
      </c>
      <c r="F46" s="86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2.75" customHeight="1">
      <c r="A47" s="87"/>
      <c r="B47" s="88" t="s">
        <v>65</v>
      </c>
      <c r="C47" s="83"/>
      <c r="D47" s="94">
        <f>'Sources and Uses'!G90</f>
        <v>5599709.871</v>
      </c>
      <c r="E47" s="90">
        <f>'Sources and Uses'!O91</f>
        <v>3110949.928</v>
      </c>
      <c r="F47" s="86"/>
      <c r="G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2.0" customHeight="1">
      <c r="A48" s="87"/>
      <c r="B48" s="88" t="s">
        <v>66</v>
      </c>
      <c r="C48" s="83"/>
      <c r="D48" s="92">
        <v>0.0</v>
      </c>
      <c r="E48" s="92">
        <v>0.0</v>
      </c>
      <c r="F48" s="86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2.75" customHeight="1">
      <c r="A49" s="87"/>
      <c r="B49" s="95" t="s">
        <v>67</v>
      </c>
      <c r="C49" s="96"/>
      <c r="D49" s="97">
        <f>'Sources and Uses'!G92-'Sources and Uses'!G91</f>
        <v>224749.461</v>
      </c>
      <c r="E49" s="98">
        <v>0.0</v>
      </c>
      <c r="F49" s="86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2.75" customHeight="1">
      <c r="A50" s="99"/>
      <c r="B50" s="100" t="s">
        <v>68</v>
      </c>
      <c r="C50" s="101"/>
      <c r="D50" s="102">
        <f t="shared" ref="D50:E50" si="3">SUM(D40:D49)</f>
        <v>56125916.46</v>
      </c>
      <c r="E50" s="103">
        <f t="shared" si="3"/>
        <v>56125916.26</v>
      </c>
      <c r="F50" s="104" t="s">
        <v>69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2.75" customHeight="1">
      <c r="A51" s="81"/>
      <c r="B51" s="82" t="s">
        <v>70</v>
      </c>
      <c r="C51" s="83"/>
      <c r="D51" s="89">
        <f>'Sources and Uses'!H14</f>
        <v>50000</v>
      </c>
      <c r="E51" s="105">
        <f>D51</f>
        <v>50000</v>
      </c>
      <c r="F51" s="106">
        <f t="shared" ref="F51:F59" si="4">E51/$C$9</f>
        <v>0.5021552503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2.75" customHeight="1">
      <c r="A52" s="81"/>
      <c r="B52" s="82" t="s">
        <v>71</v>
      </c>
      <c r="C52" s="83"/>
      <c r="D52" s="84">
        <f>'Sources and Uses'!H18</f>
        <v>3000000</v>
      </c>
      <c r="E52" s="85">
        <f>'Sources and Uses'!F18</f>
        <v>3000000</v>
      </c>
      <c r="F52" s="106">
        <f t="shared" si="4"/>
        <v>30.12931502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2.75" customHeight="1">
      <c r="A53" s="81"/>
      <c r="B53" s="82" t="s">
        <v>72</v>
      </c>
      <c r="C53" s="83"/>
      <c r="D53" s="92">
        <f>'Sources and Uses'!H30</f>
        <v>37980200.4</v>
      </c>
      <c r="E53" s="90">
        <f t="shared" ref="E53:E56" si="5">D53</f>
        <v>37980200.4</v>
      </c>
      <c r="F53" s="107">
        <f t="shared" si="4"/>
        <v>381.4391407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2.75" customHeight="1">
      <c r="A54" s="81"/>
      <c r="B54" s="82" t="s">
        <v>73</v>
      </c>
      <c r="C54" s="108"/>
      <c r="D54" s="92">
        <f>'Sources and Uses'!E53</f>
        <v>3955470.196</v>
      </c>
      <c r="E54" s="90">
        <f t="shared" si="5"/>
        <v>3955470.196</v>
      </c>
      <c r="F54" s="106">
        <f t="shared" si="4"/>
        <v>39.72520253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2.75" customHeight="1">
      <c r="A55" s="81"/>
      <c r="B55" s="82" t="s">
        <v>74</v>
      </c>
      <c r="C55" s="108"/>
      <c r="D55" s="92">
        <f>'Sources and Uses'!E75</f>
        <v>4463468.552</v>
      </c>
      <c r="E55" s="90">
        <f t="shared" si="5"/>
        <v>4463468.552</v>
      </c>
      <c r="F55" s="106">
        <f t="shared" si="4"/>
        <v>44.82708337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2.75" customHeight="1">
      <c r="A56" s="81"/>
      <c r="B56" s="82" t="s">
        <v>75</v>
      </c>
      <c r="C56" s="108"/>
      <c r="D56" s="92">
        <f>'Sources and Uses'!E81</f>
        <v>211738</v>
      </c>
      <c r="E56" s="90">
        <f t="shared" si="5"/>
        <v>211738</v>
      </c>
      <c r="F56" s="106">
        <f t="shared" si="4"/>
        <v>2.126506968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2.75" customHeight="1">
      <c r="A57" s="81"/>
      <c r="B57" s="82" t="s">
        <v>76</v>
      </c>
      <c r="C57" s="108"/>
      <c r="D57" s="92">
        <f>'Sources and Uses'!E88</f>
        <v>203139.461</v>
      </c>
      <c r="E57" s="90">
        <f>'Sources and Uses'!F88</f>
        <v>203139.461</v>
      </c>
      <c r="F57" s="106">
        <f t="shared" si="4"/>
        <v>2.040150938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2.75" customHeight="1">
      <c r="A58" s="81"/>
      <c r="B58" s="82" t="s">
        <v>77</v>
      </c>
      <c r="C58" s="108"/>
      <c r="D58" s="92">
        <f>'Sources and Uses'!E91</f>
        <v>6261899.857</v>
      </c>
      <c r="E58" s="90">
        <f>D58</f>
        <v>6261899.857</v>
      </c>
      <c r="F58" s="109">
        <f t="shared" si="4"/>
        <v>62.8889178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2.75" customHeight="1">
      <c r="A59" s="110"/>
      <c r="B59" s="111" t="s">
        <v>78</v>
      </c>
      <c r="C59" s="112" t="str">
        <f>IF(E59&lt;D59,"ERROR","")</f>
        <v/>
      </c>
      <c r="D59" s="113">
        <f t="shared" ref="D59:E59" si="6">SUM(D51:D58)</f>
        <v>56125916.46</v>
      </c>
      <c r="E59" s="114">
        <f t="shared" si="6"/>
        <v>56125916.46</v>
      </c>
      <c r="F59" s="115">
        <f t="shared" si="4"/>
        <v>563.6784726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2.75" customHeight="1">
      <c r="A60" s="110"/>
      <c r="B60" s="116" t="s">
        <v>79</v>
      </c>
      <c r="C60" s="117"/>
      <c r="D60" s="118">
        <f t="shared" ref="D60:E60" si="7">D50-D59</f>
        <v>0.000000007450580597</v>
      </c>
      <c r="E60" s="119">
        <f t="shared" si="7"/>
        <v>-0.2061283886</v>
      </c>
      <c r="F60" s="120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2.75" customHeight="1">
      <c r="A61" s="8"/>
      <c r="B61" s="3"/>
      <c r="C61" s="3"/>
      <c r="D61" s="3"/>
      <c r="E61" s="3"/>
      <c r="F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2.75" customHeight="1">
      <c r="A62" s="121"/>
      <c r="B62" s="122" t="s">
        <v>80</v>
      </c>
      <c r="C62" s="123"/>
      <c r="D62" s="123"/>
      <c r="E62" s="124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2.75" customHeight="1">
      <c r="A63" s="8"/>
      <c r="B63" s="15" t="s">
        <v>81</v>
      </c>
      <c r="C63" s="3"/>
      <c r="D63" s="3"/>
      <c r="E63" s="125">
        <f>'Debt &amp; Valuation'!C10</f>
        <v>15894791.12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2.75" customHeight="1">
      <c r="A64" s="8"/>
      <c r="B64" s="45" t="s">
        <v>82</v>
      </c>
      <c r="C64" s="39"/>
      <c r="D64" s="39"/>
      <c r="E64" s="126">
        <f>SUM('Debt &amp; Valuation'!C12:C13)</f>
        <v>22107671.04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2.75" customHeight="1">
      <c r="A65" s="8"/>
      <c r="B65" s="45" t="s">
        <v>83</v>
      </c>
      <c r="C65" s="39"/>
      <c r="D65" s="39"/>
      <c r="E65" s="126">
        <f>SUM(E63:E64)</f>
        <v>38002462.16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2.75" customHeight="1">
      <c r="A66" s="8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2.75" customHeight="1">
      <c r="A67" s="121"/>
      <c r="B67" s="122" t="s">
        <v>84</v>
      </c>
      <c r="C67" s="123"/>
      <c r="D67" s="123"/>
      <c r="E67" s="12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2.75" customHeight="1">
      <c r="A68" s="8"/>
      <c r="B68" s="15" t="s">
        <v>85</v>
      </c>
      <c r="C68" s="3"/>
      <c r="D68" s="127">
        <f t="shared" ref="D68:E68" si="8">D41/$E$65</f>
        <v>0</v>
      </c>
      <c r="E68" s="128">
        <f t="shared" si="8"/>
        <v>0.1893682114</v>
      </c>
      <c r="F68" s="77" t="s">
        <v>86</v>
      </c>
      <c r="G68" s="129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2.75" customHeight="1">
      <c r="A69" s="8"/>
      <c r="B69" s="15" t="s">
        <v>87</v>
      </c>
      <c r="C69" s="3"/>
      <c r="D69" s="127">
        <f>D41/'Sources and Uses'!$E$92</f>
        <v>0</v>
      </c>
      <c r="E69" s="128">
        <f>E41/'Sources and Uses'!$E$92</f>
        <v>0.1282198802</v>
      </c>
      <c r="F69" s="130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2.75" customHeight="1">
      <c r="A70" s="8"/>
      <c r="B70" s="15" t="s">
        <v>88</v>
      </c>
      <c r="C70" s="3"/>
      <c r="D70" s="3"/>
      <c r="E70" s="131">
        <f>'Sources and Uses'!E29/SUM('Sources and Uses'!E19:E28)</f>
        <v>0.055</v>
      </c>
      <c r="F70" s="77" t="s">
        <v>89</v>
      </c>
      <c r="G70" s="129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2.75" customHeight="1">
      <c r="A71" s="8"/>
      <c r="B71" s="15" t="s">
        <v>90</v>
      </c>
      <c r="C71" s="3"/>
      <c r="D71" s="3"/>
      <c r="E71" s="131">
        <f>'Sources and Uses'!E52/(SUM('Sources and Uses'!E31:E51)+'Sources and Uses'!E81)</f>
        <v>0.03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2.75" customHeight="1">
      <c r="A72" s="8"/>
      <c r="B72" s="45" t="s">
        <v>91</v>
      </c>
      <c r="C72" s="39"/>
      <c r="D72" s="39"/>
      <c r="E72" s="48">
        <f>D47/D40</f>
        <v>0.2161572387</v>
      </c>
      <c r="F72" s="17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2.75" customHeight="1">
      <c r="A73" s="8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2.75" customHeight="1">
      <c r="A74" s="8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2.75" customHeight="1">
      <c r="A75" s="8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2.75" customHeight="1">
      <c r="A76" s="8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2.75" customHeight="1">
      <c r="A77" s="8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2.75" customHeight="1">
      <c r="A78" s="8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2.75" customHeight="1">
      <c r="A79" s="8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2.75" customHeight="1">
      <c r="A80" s="8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2.75" customHeight="1">
      <c r="A81" s="8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2.75" customHeight="1">
      <c r="A82" s="8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2.75" customHeight="1">
      <c r="A83" s="8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2.75" customHeight="1">
      <c r="A84" s="8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2.75" customHeight="1">
      <c r="A85" s="8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2.75" customHeight="1">
      <c r="A86" s="8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2.75" customHeight="1">
      <c r="A87" s="8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2.75" customHeight="1">
      <c r="A88" s="8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2.75" customHeight="1">
      <c r="A89" s="8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2.75" customHeight="1">
      <c r="A90" s="8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2.75" customHeight="1">
      <c r="A91" s="8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2.75" customHeight="1">
      <c r="A92" s="8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2.75" customHeight="1">
      <c r="A93" s="8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2.75" customHeight="1">
      <c r="A94" s="8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2.75" customHeight="1">
      <c r="A95" s="8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2.75" customHeight="1">
      <c r="A96" s="8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2.75" customHeight="1">
      <c r="A97" s="8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2.75" customHeight="1">
      <c r="A98" s="8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2.75" customHeight="1">
      <c r="A99" s="8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2.75" customHeight="1">
      <c r="A100" s="8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2.75" customHeight="1">
      <c r="A101" s="8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2.75" customHeight="1">
      <c r="A102" s="8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2.75" customHeight="1">
      <c r="A103" s="8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2.75" customHeight="1">
      <c r="A104" s="8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2.75" customHeight="1">
      <c r="A105" s="8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2.75" customHeight="1">
      <c r="A106" s="8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2.75" customHeight="1">
      <c r="A107" s="8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2.75" customHeight="1">
      <c r="A108" s="8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2.75" customHeight="1">
      <c r="A109" s="8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2.75" customHeight="1">
      <c r="A110" s="8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2.75" customHeight="1">
      <c r="A111" s="8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2.75" customHeight="1">
      <c r="A112" s="8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2.75" customHeight="1">
      <c r="A113" s="8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2.75" customHeight="1">
      <c r="A114" s="8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2.75" customHeight="1">
      <c r="A115" s="8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2.75" customHeight="1">
      <c r="A116" s="8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2.75" customHeight="1">
      <c r="A117" s="8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2.75" customHeight="1">
      <c r="A118" s="8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2.75" customHeight="1">
      <c r="A119" s="8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2.75" customHeight="1">
      <c r="A120" s="8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2.75" customHeight="1">
      <c r="A121" s="8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2.75" customHeight="1">
      <c r="A122" s="8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2.75" customHeight="1">
      <c r="A123" s="8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2.75" customHeight="1">
      <c r="A124" s="8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2.75" customHeight="1">
      <c r="A125" s="8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2.75" customHeight="1">
      <c r="A126" s="8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2.75" customHeight="1">
      <c r="A127" s="8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2.75" customHeight="1">
      <c r="A128" s="8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2.75" customHeight="1">
      <c r="A129" s="8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2.75" customHeight="1">
      <c r="A130" s="8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2.75" customHeight="1">
      <c r="A131" s="8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2.75" customHeight="1">
      <c r="A132" s="8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2.75" customHeight="1">
      <c r="A133" s="8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2.75" customHeight="1">
      <c r="A134" s="8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2.75" customHeight="1">
      <c r="A135" s="8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2.75" customHeight="1">
      <c r="A136" s="8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2.75" customHeight="1">
      <c r="A137" s="8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2.75" customHeight="1">
      <c r="A138" s="8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2.75" customHeight="1">
      <c r="A139" s="8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2.75" customHeight="1">
      <c r="A140" s="8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2.75" customHeight="1">
      <c r="A141" s="8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2.75" customHeight="1">
      <c r="A142" s="8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2.75" customHeight="1">
      <c r="A143" s="8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2.75" customHeight="1">
      <c r="A144" s="8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2.75" customHeight="1">
      <c r="A145" s="8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2.75" customHeight="1">
      <c r="A146" s="8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2.75" customHeight="1">
      <c r="A147" s="8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2.75" customHeight="1">
      <c r="A148" s="8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2.75" customHeight="1">
      <c r="A149" s="8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2.75" customHeight="1">
      <c r="A150" s="8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2.75" customHeight="1">
      <c r="A151" s="8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2.75" customHeight="1">
      <c r="A152" s="8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2.75" customHeight="1">
      <c r="A153" s="8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2.75" customHeight="1">
      <c r="A154" s="8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2.75" customHeight="1">
      <c r="A155" s="8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2.75" customHeight="1">
      <c r="A156" s="8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2.75" customHeight="1">
      <c r="A157" s="8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2.75" customHeight="1">
      <c r="A158" s="8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2.75" customHeight="1">
      <c r="A159" s="8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2.75" customHeight="1">
      <c r="A160" s="8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2.75" customHeight="1">
      <c r="A161" s="8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2.75" customHeight="1">
      <c r="A162" s="8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2.75" customHeight="1">
      <c r="A163" s="8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2.75" customHeight="1">
      <c r="A164" s="8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2.75" customHeight="1">
      <c r="A165" s="8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2.75" customHeight="1">
      <c r="A166" s="8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2.75" customHeight="1">
      <c r="A167" s="8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2.75" customHeight="1">
      <c r="A168" s="8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2.75" customHeight="1">
      <c r="A169" s="8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2.75" customHeight="1">
      <c r="A170" s="8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2.75" customHeight="1">
      <c r="A171" s="8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2.75" customHeight="1">
      <c r="A172" s="8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2.75" customHeight="1">
      <c r="A173" s="8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2.75" customHeight="1">
      <c r="A174" s="8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2.75" customHeight="1">
      <c r="A175" s="8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2.75" customHeight="1">
      <c r="A176" s="8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2.75" customHeight="1">
      <c r="A177" s="8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2.75" customHeight="1">
      <c r="A178" s="8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2.75" customHeight="1">
      <c r="A179" s="8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2.75" customHeight="1">
      <c r="A180" s="8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2.75" customHeight="1">
      <c r="A181" s="8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2.75" customHeight="1">
      <c r="A182" s="8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2.75" customHeight="1">
      <c r="A183" s="8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2.75" customHeight="1">
      <c r="A184" s="8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2.75" customHeight="1">
      <c r="A185" s="8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2.75" customHeight="1">
      <c r="A186" s="8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2.75" customHeight="1">
      <c r="A187" s="8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2.75" customHeight="1">
      <c r="A188" s="8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2.75" customHeight="1">
      <c r="A189" s="8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2.75" customHeight="1">
      <c r="A190" s="8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2.75" customHeight="1">
      <c r="A191" s="8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2.75" customHeight="1">
      <c r="A192" s="8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2.75" customHeight="1">
      <c r="A193" s="8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2.75" customHeight="1">
      <c r="A194" s="8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2.75" customHeight="1">
      <c r="A195" s="8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2.75" customHeight="1">
      <c r="A196" s="8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2.75" customHeight="1">
      <c r="A197" s="8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2.75" customHeight="1">
      <c r="A198" s="8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2.75" customHeight="1">
      <c r="A199" s="8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2.75" customHeight="1">
      <c r="A200" s="8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2.75" customHeight="1">
      <c r="A201" s="8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2.75" customHeight="1">
      <c r="A202" s="8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2.75" customHeight="1">
      <c r="A203" s="8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2.75" customHeight="1">
      <c r="A204" s="8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2.75" customHeight="1">
      <c r="A205" s="8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2.75" customHeight="1">
      <c r="A206" s="8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2.75" customHeight="1">
      <c r="A207" s="8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2.75" customHeight="1">
      <c r="A208" s="8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2.75" customHeight="1">
      <c r="A209" s="8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2.75" customHeight="1">
      <c r="A210" s="8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2.75" customHeight="1">
      <c r="A211" s="8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2.75" customHeight="1">
      <c r="A212" s="8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2.75" customHeight="1">
      <c r="A213" s="8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2.75" customHeight="1">
      <c r="A214" s="8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2.75" customHeight="1">
      <c r="A215" s="8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2.75" customHeight="1">
      <c r="A216" s="8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2.75" customHeight="1">
      <c r="A217" s="8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2.75" customHeight="1">
      <c r="A218" s="8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2.75" customHeight="1">
      <c r="A219" s="8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2.75" customHeight="1">
      <c r="A220" s="8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2.75" customHeight="1">
      <c r="A221" s="8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2.75" customHeight="1">
      <c r="A222" s="8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2.75" customHeight="1">
      <c r="A223" s="8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2.75" customHeight="1">
      <c r="A224" s="8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2.75" customHeight="1">
      <c r="A225" s="8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2.75" customHeight="1">
      <c r="A226" s="8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2.75" customHeight="1">
      <c r="A227" s="8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2.75" customHeight="1">
      <c r="A228" s="8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2.75" customHeight="1">
      <c r="A229" s="8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2.75" customHeight="1">
      <c r="A230" s="8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2.75" customHeight="1">
      <c r="A231" s="8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2.75" customHeight="1">
      <c r="A232" s="8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2.75" customHeight="1">
      <c r="A233" s="8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2.75" customHeight="1">
      <c r="A234" s="8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2.75" customHeight="1">
      <c r="A235" s="8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2.75" customHeight="1">
      <c r="A236" s="8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2.75" customHeight="1">
      <c r="A237" s="8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2.75" customHeight="1">
      <c r="A238" s="8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2.75" customHeight="1">
      <c r="A239" s="8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2.75" customHeight="1">
      <c r="A240" s="8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2.75" customHeight="1">
      <c r="A241" s="8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2.75" customHeight="1">
      <c r="A242" s="8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2.75" customHeight="1">
      <c r="A243" s="8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2.75" customHeight="1">
      <c r="A244" s="8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2.75" customHeight="1">
      <c r="A245" s="8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2.75" customHeight="1">
      <c r="A246" s="8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2.75" customHeight="1">
      <c r="A247" s="8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2.75" customHeight="1">
      <c r="A248" s="8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2.75" customHeight="1">
      <c r="A249" s="8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2.75" customHeight="1">
      <c r="A250" s="8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2.75" customHeight="1">
      <c r="A251" s="8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2.75" customHeight="1">
      <c r="A252" s="8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2.75" customHeight="1">
      <c r="A253" s="8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2.75" customHeight="1">
      <c r="A254" s="8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2.75" customHeight="1">
      <c r="A255" s="8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2.75" customHeight="1">
      <c r="A256" s="8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2.75" customHeight="1">
      <c r="A257" s="8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2.75" customHeight="1">
      <c r="A258" s="8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2.75" customHeight="1">
      <c r="A259" s="8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2.75" customHeight="1">
      <c r="A260" s="8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2.75" customHeight="1">
      <c r="A261" s="8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2.75" customHeight="1">
      <c r="A262" s="8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2.75" customHeight="1">
      <c r="A263" s="8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2.75" customHeight="1">
      <c r="A264" s="8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2.75" customHeight="1">
      <c r="A265" s="8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2.75" customHeight="1">
      <c r="A266" s="8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2.75" customHeight="1">
      <c r="A267" s="8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2.75" customHeight="1">
      <c r="A268" s="8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2.75" customHeight="1">
      <c r="A269" s="8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2.75" customHeight="1">
      <c r="A270" s="8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2.75" customHeight="1">
      <c r="A271" s="8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2.75" customHeight="1">
      <c r="A272" s="8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132"/>
    </row>
    <row r="274" ht="15.75" customHeight="1">
      <c r="A274" s="132"/>
    </row>
    <row r="275" ht="15.75" customHeight="1">
      <c r="A275" s="132"/>
    </row>
    <row r="276" ht="15.75" customHeight="1">
      <c r="A276" s="132"/>
    </row>
    <row r="277" ht="15.75" customHeight="1">
      <c r="A277" s="132"/>
    </row>
    <row r="278" ht="15.75" customHeight="1">
      <c r="A278" s="132"/>
    </row>
    <row r="279" ht="15.75" customHeight="1">
      <c r="A279" s="132"/>
    </row>
    <row r="280" ht="15.75" customHeight="1">
      <c r="A280" s="132"/>
    </row>
    <row r="281" ht="15.75" customHeight="1">
      <c r="A281" s="132"/>
    </row>
    <row r="282" ht="15.75" customHeight="1">
      <c r="A282" s="132"/>
    </row>
    <row r="283" ht="15.75" customHeight="1">
      <c r="A283" s="132"/>
    </row>
    <row r="284" ht="15.75" customHeight="1">
      <c r="A284" s="132"/>
    </row>
    <row r="285" ht="15.75" customHeight="1">
      <c r="A285" s="132"/>
    </row>
    <row r="286" ht="15.75" customHeight="1">
      <c r="A286" s="132"/>
    </row>
    <row r="287" ht="15.75" customHeight="1">
      <c r="A287" s="132"/>
    </row>
    <row r="288" ht="15.75" customHeight="1">
      <c r="A288" s="132"/>
    </row>
    <row r="289" ht="15.75" customHeight="1">
      <c r="A289" s="132"/>
    </row>
    <row r="290" ht="15.75" customHeight="1">
      <c r="A290" s="132"/>
    </row>
    <row r="291" ht="15.75" customHeight="1">
      <c r="A291" s="132"/>
    </row>
    <row r="292" ht="15.75" customHeight="1">
      <c r="A292" s="132"/>
    </row>
    <row r="293" ht="15.75" customHeight="1">
      <c r="A293" s="132"/>
    </row>
    <row r="294" ht="15.75" customHeight="1">
      <c r="A294" s="132"/>
    </row>
    <row r="295" ht="15.75" customHeight="1">
      <c r="A295" s="132"/>
    </row>
    <row r="296" ht="15.75" customHeight="1">
      <c r="A296" s="132"/>
    </row>
    <row r="297" ht="15.75" customHeight="1">
      <c r="A297" s="132"/>
    </row>
    <row r="298" ht="15.75" customHeight="1">
      <c r="A298" s="132"/>
    </row>
    <row r="299" ht="15.75" customHeight="1">
      <c r="A299" s="132"/>
    </row>
    <row r="300" ht="15.75" customHeight="1">
      <c r="A300" s="132"/>
    </row>
    <row r="301" ht="15.75" customHeight="1">
      <c r="A301" s="132"/>
    </row>
    <row r="302" ht="15.75" customHeight="1">
      <c r="A302" s="132"/>
    </row>
    <row r="303" ht="15.75" customHeight="1">
      <c r="A303" s="132"/>
    </row>
    <row r="304" ht="15.75" customHeight="1">
      <c r="A304" s="132"/>
    </row>
    <row r="305" ht="15.75" customHeight="1">
      <c r="A305" s="132"/>
    </row>
    <row r="306" ht="15.75" customHeight="1">
      <c r="A306" s="132"/>
    </row>
    <row r="307" ht="15.75" customHeight="1">
      <c r="A307" s="132"/>
    </row>
    <row r="308" ht="15.75" customHeight="1">
      <c r="A308" s="132"/>
    </row>
    <row r="309" ht="15.75" customHeight="1">
      <c r="A309" s="132"/>
    </row>
    <row r="310" ht="15.75" customHeight="1">
      <c r="A310" s="132"/>
    </row>
    <row r="311" ht="15.75" customHeight="1">
      <c r="A311" s="132"/>
    </row>
    <row r="312" ht="15.75" customHeight="1">
      <c r="A312" s="132"/>
    </row>
    <row r="313" ht="15.75" customHeight="1">
      <c r="A313" s="132"/>
    </row>
    <row r="314" ht="15.75" customHeight="1">
      <c r="A314" s="132"/>
    </row>
    <row r="315" ht="15.75" customHeight="1">
      <c r="A315" s="132"/>
    </row>
    <row r="316" ht="15.75" customHeight="1">
      <c r="A316" s="132"/>
    </row>
    <row r="317" ht="15.75" customHeight="1">
      <c r="A317" s="132"/>
    </row>
    <row r="318" ht="15.75" customHeight="1">
      <c r="A318" s="132"/>
    </row>
    <row r="319" ht="15.75" customHeight="1">
      <c r="A319" s="132"/>
    </row>
    <row r="320" ht="15.75" customHeight="1">
      <c r="A320" s="132"/>
    </row>
    <row r="321" ht="15.75" customHeight="1">
      <c r="A321" s="132"/>
    </row>
    <row r="322" ht="15.75" customHeight="1">
      <c r="A322" s="132"/>
    </row>
    <row r="323" ht="15.75" customHeight="1">
      <c r="A323" s="132"/>
    </row>
    <row r="324" ht="15.75" customHeight="1">
      <c r="A324" s="132"/>
    </row>
    <row r="325" ht="15.75" customHeight="1">
      <c r="A325" s="132"/>
    </row>
    <row r="326" ht="15.75" customHeight="1">
      <c r="A326" s="132"/>
    </row>
    <row r="327" ht="15.75" customHeight="1">
      <c r="A327" s="132"/>
    </row>
    <row r="328" ht="15.75" customHeight="1">
      <c r="A328" s="132"/>
    </row>
    <row r="329" ht="15.75" customHeight="1">
      <c r="A329" s="132"/>
    </row>
    <row r="330" ht="15.75" customHeight="1">
      <c r="A330" s="132"/>
    </row>
    <row r="331" ht="15.75" customHeight="1">
      <c r="A331" s="132"/>
    </row>
    <row r="332" ht="15.75" customHeight="1">
      <c r="A332" s="132"/>
    </row>
    <row r="333" ht="15.75" customHeight="1">
      <c r="A333" s="132"/>
    </row>
    <row r="334" ht="15.75" customHeight="1">
      <c r="A334" s="132"/>
    </row>
    <row r="335" ht="15.75" customHeight="1">
      <c r="A335" s="132"/>
    </row>
    <row r="336" ht="15.75" customHeight="1">
      <c r="A336" s="132"/>
    </row>
    <row r="337" ht="15.75" customHeight="1">
      <c r="A337" s="132"/>
    </row>
    <row r="338" ht="15.75" customHeight="1">
      <c r="A338" s="132"/>
    </row>
    <row r="339" ht="15.75" customHeight="1">
      <c r="A339" s="132"/>
    </row>
    <row r="340" ht="15.75" customHeight="1">
      <c r="A340" s="132"/>
    </row>
    <row r="341" ht="15.75" customHeight="1">
      <c r="A341" s="132"/>
    </row>
    <row r="342" ht="15.75" customHeight="1">
      <c r="A342" s="132"/>
    </row>
    <row r="343" ht="15.75" customHeight="1">
      <c r="A343" s="132"/>
    </row>
    <row r="344" ht="15.75" customHeight="1">
      <c r="A344" s="132"/>
    </row>
    <row r="345" ht="15.75" customHeight="1">
      <c r="A345" s="132"/>
    </row>
    <row r="346" ht="15.75" customHeight="1">
      <c r="A346" s="132"/>
    </row>
    <row r="347" ht="15.75" customHeight="1">
      <c r="A347" s="132"/>
    </row>
    <row r="348" ht="15.75" customHeight="1">
      <c r="A348" s="132"/>
    </row>
    <row r="349" ht="15.75" customHeight="1">
      <c r="A349" s="132"/>
    </row>
    <row r="350" ht="15.75" customHeight="1">
      <c r="A350" s="132"/>
    </row>
    <row r="351" ht="15.75" customHeight="1">
      <c r="A351" s="132"/>
    </row>
    <row r="352" ht="15.75" customHeight="1">
      <c r="A352" s="132"/>
    </row>
    <row r="353" ht="15.75" customHeight="1">
      <c r="A353" s="132"/>
    </row>
    <row r="354" ht="15.75" customHeight="1">
      <c r="A354" s="132"/>
    </row>
    <row r="355" ht="15.75" customHeight="1">
      <c r="A355" s="132"/>
    </row>
    <row r="356" ht="15.75" customHeight="1">
      <c r="A356" s="132"/>
    </row>
    <row r="357" ht="15.75" customHeight="1">
      <c r="A357" s="132"/>
    </row>
    <row r="358" ht="15.75" customHeight="1">
      <c r="A358" s="132"/>
    </row>
    <row r="359" ht="15.75" customHeight="1">
      <c r="A359" s="132"/>
    </row>
    <row r="360" ht="15.75" customHeight="1">
      <c r="A360" s="132"/>
    </row>
    <row r="361" ht="15.75" customHeight="1">
      <c r="A361" s="132"/>
    </row>
    <row r="362" ht="15.75" customHeight="1">
      <c r="A362" s="132"/>
    </row>
    <row r="363" ht="15.75" customHeight="1">
      <c r="A363" s="132"/>
    </row>
    <row r="364" ht="15.75" customHeight="1">
      <c r="A364" s="132"/>
    </row>
    <row r="365" ht="15.75" customHeight="1">
      <c r="A365" s="132"/>
    </row>
    <row r="366" ht="15.75" customHeight="1">
      <c r="A366" s="132"/>
    </row>
    <row r="367" ht="15.75" customHeight="1">
      <c r="A367" s="132"/>
    </row>
    <row r="368" ht="15.75" customHeight="1">
      <c r="A368" s="132"/>
    </row>
    <row r="369" ht="15.75" customHeight="1">
      <c r="A369" s="132"/>
    </row>
    <row r="370" ht="15.75" customHeight="1">
      <c r="A370" s="132"/>
    </row>
    <row r="371" ht="15.75" customHeight="1">
      <c r="A371" s="132"/>
    </row>
    <row r="372" ht="15.75" customHeight="1">
      <c r="A372" s="132"/>
    </row>
    <row r="373" ht="15.75" customHeight="1">
      <c r="A373" s="132"/>
    </row>
    <row r="374" ht="15.75" customHeight="1">
      <c r="A374" s="132"/>
    </row>
    <row r="375" ht="15.75" customHeight="1">
      <c r="A375" s="132"/>
    </row>
    <row r="376" ht="15.75" customHeight="1">
      <c r="A376" s="132"/>
    </row>
    <row r="377" ht="15.75" customHeight="1">
      <c r="A377" s="132"/>
    </row>
    <row r="378" ht="15.75" customHeight="1">
      <c r="A378" s="132"/>
    </row>
    <row r="379" ht="15.75" customHeight="1">
      <c r="A379" s="132"/>
    </row>
    <row r="380" ht="15.75" customHeight="1">
      <c r="A380" s="132"/>
    </row>
    <row r="381" ht="15.75" customHeight="1">
      <c r="A381" s="132"/>
    </row>
    <row r="382" ht="15.75" customHeight="1">
      <c r="A382" s="132"/>
    </row>
    <row r="383" ht="15.75" customHeight="1">
      <c r="A383" s="132"/>
    </row>
    <row r="384" ht="15.75" customHeight="1">
      <c r="A384" s="132"/>
    </row>
    <row r="385" ht="15.75" customHeight="1">
      <c r="A385" s="132"/>
    </row>
    <row r="386" ht="15.75" customHeight="1">
      <c r="A386" s="132"/>
    </row>
    <row r="387" ht="15.75" customHeight="1">
      <c r="A387" s="132"/>
    </row>
    <row r="388" ht="15.75" customHeight="1">
      <c r="A388" s="132"/>
    </row>
    <row r="389" ht="15.75" customHeight="1">
      <c r="A389" s="132"/>
    </row>
    <row r="390" ht="15.75" customHeight="1">
      <c r="A390" s="132"/>
    </row>
    <row r="391" ht="15.75" customHeight="1">
      <c r="A391" s="132"/>
    </row>
    <row r="392" ht="15.75" customHeight="1">
      <c r="A392" s="132"/>
    </row>
    <row r="393" ht="15.75" customHeight="1">
      <c r="A393" s="132"/>
    </row>
    <row r="394" ht="15.75" customHeight="1">
      <c r="A394" s="132"/>
    </row>
    <row r="395" ht="15.75" customHeight="1">
      <c r="A395" s="132"/>
    </row>
    <row r="396" ht="15.75" customHeight="1">
      <c r="A396" s="132"/>
    </row>
    <row r="397" ht="15.75" customHeight="1">
      <c r="A397" s="132"/>
    </row>
    <row r="398" ht="15.75" customHeight="1">
      <c r="A398" s="132"/>
    </row>
    <row r="399" ht="15.75" customHeight="1">
      <c r="A399" s="132"/>
    </row>
    <row r="400" ht="15.75" customHeight="1">
      <c r="A400" s="132"/>
    </row>
    <row r="401" ht="15.75" customHeight="1">
      <c r="A401" s="132"/>
    </row>
    <row r="402" ht="15.75" customHeight="1">
      <c r="A402" s="132"/>
    </row>
    <row r="403" ht="15.75" customHeight="1">
      <c r="A403" s="132"/>
    </row>
    <row r="404" ht="15.75" customHeight="1">
      <c r="A404" s="132"/>
    </row>
    <row r="405" ht="15.75" customHeight="1">
      <c r="A405" s="132"/>
    </row>
    <row r="406" ht="15.75" customHeight="1">
      <c r="A406" s="132"/>
    </row>
    <row r="407" ht="15.75" customHeight="1">
      <c r="A407" s="132"/>
    </row>
    <row r="408" ht="15.75" customHeight="1">
      <c r="A408" s="132"/>
    </row>
    <row r="409" ht="15.75" customHeight="1">
      <c r="A409" s="132"/>
    </row>
    <row r="410" ht="15.75" customHeight="1">
      <c r="A410" s="132"/>
    </row>
    <row r="411" ht="15.75" customHeight="1">
      <c r="A411" s="132"/>
    </row>
    <row r="412" ht="15.75" customHeight="1">
      <c r="A412" s="132"/>
    </row>
    <row r="413" ht="15.75" customHeight="1">
      <c r="A413" s="132"/>
    </row>
    <row r="414" ht="15.75" customHeight="1">
      <c r="A414" s="132"/>
    </row>
    <row r="415" ht="15.75" customHeight="1">
      <c r="A415" s="132"/>
    </row>
    <row r="416" ht="15.75" customHeight="1">
      <c r="A416" s="132"/>
    </row>
    <row r="417" ht="15.75" customHeight="1">
      <c r="A417" s="132"/>
    </row>
    <row r="418" ht="15.75" customHeight="1">
      <c r="A418" s="132"/>
    </row>
    <row r="419" ht="15.75" customHeight="1">
      <c r="A419" s="132"/>
    </row>
    <row r="420" ht="15.75" customHeight="1">
      <c r="A420" s="132"/>
    </row>
    <row r="421" ht="15.75" customHeight="1">
      <c r="A421" s="132"/>
    </row>
    <row r="422" ht="15.75" customHeight="1">
      <c r="A422" s="132"/>
    </row>
    <row r="423" ht="15.75" customHeight="1">
      <c r="A423" s="132"/>
    </row>
    <row r="424" ht="15.75" customHeight="1">
      <c r="A424" s="132"/>
    </row>
    <row r="425" ht="15.75" customHeight="1">
      <c r="A425" s="132"/>
    </row>
    <row r="426" ht="15.75" customHeight="1">
      <c r="A426" s="132"/>
    </row>
    <row r="427" ht="15.75" customHeight="1">
      <c r="A427" s="132"/>
    </row>
    <row r="428" ht="15.75" customHeight="1">
      <c r="A428" s="132"/>
    </row>
    <row r="429" ht="15.75" customHeight="1">
      <c r="A429" s="132"/>
    </row>
    <row r="430" ht="15.75" customHeight="1">
      <c r="A430" s="132"/>
    </row>
    <row r="431" ht="15.75" customHeight="1">
      <c r="A431" s="132"/>
    </row>
    <row r="432" ht="15.75" customHeight="1">
      <c r="A432" s="132"/>
    </row>
    <row r="433" ht="15.75" customHeight="1">
      <c r="A433" s="132"/>
    </row>
    <row r="434" ht="15.75" customHeight="1">
      <c r="A434" s="132"/>
    </row>
    <row r="435" ht="15.75" customHeight="1">
      <c r="A435" s="132"/>
    </row>
    <row r="436" ht="15.75" customHeight="1">
      <c r="A436" s="132"/>
    </row>
    <row r="437" ht="15.75" customHeight="1">
      <c r="A437" s="132"/>
    </row>
    <row r="438" ht="15.75" customHeight="1">
      <c r="A438" s="132"/>
    </row>
    <row r="439" ht="15.75" customHeight="1">
      <c r="A439" s="132"/>
    </row>
    <row r="440" ht="15.75" customHeight="1">
      <c r="A440" s="132"/>
    </row>
    <row r="441" ht="15.75" customHeight="1">
      <c r="A441" s="132"/>
    </row>
    <row r="442" ht="15.75" customHeight="1">
      <c r="A442" s="132"/>
    </row>
    <row r="443" ht="15.75" customHeight="1">
      <c r="A443" s="132"/>
    </row>
    <row r="444" ht="15.75" customHeight="1">
      <c r="A444" s="132"/>
    </row>
    <row r="445" ht="15.75" customHeight="1">
      <c r="A445" s="132"/>
    </row>
    <row r="446" ht="15.75" customHeight="1">
      <c r="A446" s="132"/>
    </row>
    <row r="447" ht="15.75" customHeight="1">
      <c r="A447" s="132"/>
    </row>
    <row r="448" ht="15.75" customHeight="1">
      <c r="A448" s="132"/>
    </row>
    <row r="449" ht="15.75" customHeight="1">
      <c r="A449" s="132"/>
    </row>
    <row r="450" ht="15.75" customHeight="1">
      <c r="A450" s="132"/>
    </row>
    <row r="451" ht="15.75" customHeight="1">
      <c r="A451" s="132"/>
    </row>
    <row r="452" ht="15.75" customHeight="1">
      <c r="A452" s="132"/>
    </row>
    <row r="453" ht="15.75" customHeight="1">
      <c r="A453" s="132"/>
    </row>
    <row r="454" ht="15.75" customHeight="1">
      <c r="A454" s="132"/>
    </row>
    <row r="455" ht="15.75" customHeight="1">
      <c r="A455" s="132"/>
    </row>
    <row r="456" ht="15.75" customHeight="1">
      <c r="A456" s="132"/>
    </row>
    <row r="457" ht="15.75" customHeight="1">
      <c r="A457" s="132"/>
    </row>
    <row r="458" ht="15.75" customHeight="1">
      <c r="A458" s="132"/>
    </row>
    <row r="459" ht="15.75" customHeight="1">
      <c r="A459" s="132"/>
    </row>
    <row r="460" ht="15.75" customHeight="1">
      <c r="A460" s="132"/>
    </row>
    <row r="461" ht="15.75" customHeight="1">
      <c r="A461" s="132"/>
    </row>
    <row r="462" ht="15.75" customHeight="1">
      <c r="A462" s="132"/>
    </row>
    <row r="463" ht="15.75" customHeight="1">
      <c r="A463" s="132"/>
    </row>
    <row r="464" ht="15.75" customHeight="1">
      <c r="A464" s="132"/>
    </row>
    <row r="465" ht="15.75" customHeight="1">
      <c r="A465" s="132"/>
    </row>
    <row r="466" ht="15.75" customHeight="1">
      <c r="A466" s="132"/>
    </row>
    <row r="467" ht="15.75" customHeight="1">
      <c r="A467" s="132"/>
    </row>
    <row r="468" ht="15.75" customHeight="1">
      <c r="A468" s="132"/>
    </row>
    <row r="469" ht="15.75" customHeight="1">
      <c r="A469" s="132"/>
    </row>
    <row r="470" ht="15.75" customHeight="1">
      <c r="A470" s="132"/>
    </row>
    <row r="471" ht="15.75" customHeight="1">
      <c r="A471" s="132"/>
    </row>
    <row r="472" ht="15.75" customHeight="1">
      <c r="A472" s="132"/>
    </row>
    <row r="473" ht="15.75" customHeight="1">
      <c r="A473" s="132"/>
    </row>
    <row r="474" ht="15.75" customHeight="1">
      <c r="A474" s="132"/>
    </row>
    <row r="475" ht="15.75" customHeight="1">
      <c r="A475" s="132"/>
    </row>
    <row r="476" ht="15.75" customHeight="1">
      <c r="A476" s="132"/>
    </row>
    <row r="477" ht="15.75" customHeight="1">
      <c r="A477" s="132"/>
    </row>
    <row r="478" ht="15.75" customHeight="1">
      <c r="A478" s="132"/>
    </row>
    <row r="479" ht="15.75" customHeight="1">
      <c r="A479" s="132"/>
    </row>
    <row r="480" ht="15.75" customHeight="1">
      <c r="A480" s="132"/>
    </row>
    <row r="481" ht="15.75" customHeight="1">
      <c r="A481" s="132"/>
    </row>
    <row r="482" ht="15.75" customHeight="1">
      <c r="A482" s="132"/>
    </row>
    <row r="483" ht="15.75" customHeight="1">
      <c r="A483" s="132"/>
    </row>
    <row r="484" ht="15.75" customHeight="1">
      <c r="A484" s="132"/>
    </row>
    <row r="485" ht="15.75" customHeight="1">
      <c r="A485" s="132"/>
    </row>
    <row r="486" ht="15.75" customHeight="1">
      <c r="A486" s="132"/>
    </row>
    <row r="487" ht="15.75" customHeight="1">
      <c r="A487" s="132"/>
    </row>
    <row r="488" ht="15.75" customHeight="1">
      <c r="A488" s="132"/>
    </row>
    <row r="489" ht="15.75" customHeight="1">
      <c r="A489" s="132"/>
    </row>
    <row r="490" ht="15.75" customHeight="1">
      <c r="A490" s="132"/>
    </row>
    <row r="491" ht="15.75" customHeight="1">
      <c r="A491" s="132"/>
    </row>
    <row r="492" ht="15.75" customHeight="1">
      <c r="A492" s="132"/>
    </row>
    <row r="493" ht="15.75" customHeight="1">
      <c r="A493" s="132"/>
    </row>
    <row r="494" ht="15.75" customHeight="1">
      <c r="A494" s="132"/>
    </row>
    <row r="495" ht="15.75" customHeight="1">
      <c r="A495" s="132"/>
    </row>
    <row r="496" ht="15.75" customHeight="1">
      <c r="A496" s="132"/>
    </row>
    <row r="497" ht="15.75" customHeight="1">
      <c r="A497" s="132"/>
    </row>
    <row r="498" ht="15.75" customHeight="1">
      <c r="A498" s="132"/>
    </row>
    <row r="499" ht="15.75" customHeight="1">
      <c r="A499" s="132"/>
    </row>
    <row r="500" ht="15.75" customHeight="1">
      <c r="A500" s="132"/>
    </row>
    <row r="501" ht="15.75" customHeight="1">
      <c r="A501" s="132"/>
    </row>
    <row r="502" ht="15.75" customHeight="1">
      <c r="A502" s="132"/>
    </row>
    <row r="503" ht="15.75" customHeight="1">
      <c r="A503" s="132"/>
    </row>
    <row r="504" ht="15.75" customHeight="1">
      <c r="A504" s="132"/>
    </row>
    <row r="505" ht="15.75" customHeight="1">
      <c r="A505" s="132"/>
    </row>
    <row r="506" ht="15.75" customHeight="1">
      <c r="A506" s="132"/>
    </row>
    <row r="507" ht="15.75" customHeight="1">
      <c r="A507" s="132"/>
    </row>
    <row r="508" ht="15.75" customHeight="1">
      <c r="A508" s="132"/>
    </row>
    <row r="509" ht="15.75" customHeight="1">
      <c r="A509" s="132"/>
    </row>
    <row r="510" ht="15.75" customHeight="1">
      <c r="A510" s="132"/>
    </row>
    <row r="511" ht="15.75" customHeight="1">
      <c r="A511" s="132"/>
    </row>
    <row r="512" ht="15.75" customHeight="1">
      <c r="A512" s="132"/>
    </row>
    <row r="513" ht="15.75" customHeight="1">
      <c r="A513" s="132"/>
    </row>
    <row r="514" ht="15.75" customHeight="1">
      <c r="A514" s="132"/>
    </row>
    <row r="515" ht="15.75" customHeight="1">
      <c r="A515" s="132"/>
    </row>
    <row r="516" ht="15.75" customHeight="1">
      <c r="A516" s="132"/>
    </row>
    <row r="517" ht="15.75" customHeight="1">
      <c r="A517" s="132"/>
    </row>
    <row r="518" ht="15.75" customHeight="1">
      <c r="A518" s="132"/>
    </row>
    <row r="519" ht="15.75" customHeight="1">
      <c r="A519" s="132"/>
    </row>
    <row r="520" ht="15.75" customHeight="1">
      <c r="A520" s="132"/>
    </row>
    <row r="521" ht="15.75" customHeight="1">
      <c r="A521" s="132"/>
    </row>
    <row r="522" ht="15.75" customHeight="1">
      <c r="A522" s="132"/>
    </row>
    <row r="523" ht="15.75" customHeight="1">
      <c r="A523" s="132"/>
    </row>
    <row r="524" ht="15.75" customHeight="1">
      <c r="A524" s="132"/>
    </row>
    <row r="525" ht="15.75" customHeight="1">
      <c r="A525" s="132"/>
    </row>
    <row r="526" ht="15.75" customHeight="1">
      <c r="A526" s="132"/>
    </row>
    <row r="527" ht="15.75" customHeight="1">
      <c r="A527" s="132"/>
    </row>
    <row r="528" ht="15.75" customHeight="1">
      <c r="A528" s="132"/>
    </row>
    <row r="529" ht="15.75" customHeight="1">
      <c r="A529" s="132"/>
    </row>
    <row r="530" ht="15.75" customHeight="1">
      <c r="A530" s="132"/>
    </row>
    <row r="531" ht="15.75" customHeight="1">
      <c r="A531" s="132"/>
    </row>
    <row r="532" ht="15.75" customHeight="1">
      <c r="A532" s="132"/>
    </row>
    <row r="533" ht="15.75" customHeight="1">
      <c r="A533" s="132"/>
    </row>
    <row r="534" ht="15.75" customHeight="1">
      <c r="A534" s="132"/>
    </row>
    <row r="535" ht="15.75" customHeight="1">
      <c r="A535" s="132"/>
    </row>
    <row r="536" ht="15.75" customHeight="1">
      <c r="A536" s="132"/>
    </row>
    <row r="537" ht="15.75" customHeight="1">
      <c r="A537" s="132"/>
    </row>
    <row r="538" ht="15.75" customHeight="1">
      <c r="A538" s="132"/>
    </row>
    <row r="539" ht="15.75" customHeight="1">
      <c r="A539" s="132"/>
    </row>
    <row r="540" ht="15.75" customHeight="1">
      <c r="A540" s="132"/>
    </row>
    <row r="541" ht="15.75" customHeight="1">
      <c r="A541" s="132"/>
    </row>
    <row r="542" ht="15.75" customHeight="1">
      <c r="A542" s="132"/>
    </row>
    <row r="543" ht="15.75" customHeight="1">
      <c r="A543" s="132"/>
    </row>
    <row r="544" ht="15.75" customHeight="1">
      <c r="A544" s="132"/>
    </row>
    <row r="545" ht="15.75" customHeight="1">
      <c r="A545" s="132"/>
    </row>
    <row r="546" ht="15.75" customHeight="1">
      <c r="A546" s="132"/>
    </row>
    <row r="547" ht="15.75" customHeight="1">
      <c r="A547" s="132"/>
    </row>
    <row r="548" ht="15.75" customHeight="1">
      <c r="A548" s="132"/>
    </row>
    <row r="549" ht="15.75" customHeight="1">
      <c r="A549" s="132"/>
    </row>
    <row r="550" ht="15.75" customHeight="1">
      <c r="A550" s="132"/>
    </row>
    <row r="551" ht="15.75" customHeight="1">
      <c r="A551" s="132"/>
    </row>
    <row r="552" ht="15.75" customHeight="1">
      <c r="A552" s="132"/>
    </row>
    <row r="553" ht="15.75" customHeight="1">
      <c r="A553" s="132"/>
    </row>
    <row r="554" ht="15.75" customHeight="1">
      <c r="A554" s="132"/>
    </row>
    <row r="555" ht="15.75" customHeight="1">
      <c r="A555" s="132"/>
    </row>
    <row r="556" ht="15.75" customHeight="1">
      <c r="A556" s="132"/>
    </row>
    <row r="557" ht="15.75" customHeight="1">
      <c r="A557" s="132"/>
    </row>
    <row r="558" ht="15.75" customHeight="1">
      <c r="A558" s="132"/>
    </row>
    <row r="559" ht="15.75" customHeight="1">
      <c r="A559" s="132"/>
    </row>
    <row r="560" ht="15.75" customHeight="1">
      <c r="A560" s="132"/>
    </row>
    <row r="561" ht="15.75" customHeight="1">
      <c r="A561" s="132"/>
    </row>
    <row r="562" ht="15.75" customHeight="1">
      <c r="A562" s="132"/>
    </row>
    <row r="563" ht="15.75" customHeight="1">
      <c r="A563" s="132"/>
    </row>
    <row r="564" ht="15.75" customHeight="1">
      <c r="A564" s="132"/>
    </row>
    <row r="565" ht="15.75" customHeight="1">
      <c r="A565" s="132"/>
    </row>
    <row r="566" ht="15.75" customHeight="1">
      <c r="A566" s="132"/>
    </row>
    <row r="567" ht="15.75" customHeight="1">
      <c r="A567" s="132"/>
    </row>
    <row r="568" ht="15.75" customHeight="1">
      <c r="A568" s="132"/>
    </row>
    <row r="569" ht="15.75" customHeight="1">
      <c r="A569" s="132"/>
    </row>
    <row r="570" ht="15.75" customHeight="1">
      <c r="A570" s="132"/>
    </row>
    <row r="571" ht="15.75" customHeight="1">
      <c r="A571" s="132"/>
    </row>
    <row r="572" ht="15.75" customHeight="1">
      <c r="A572" s="132"/>
    </row>
    <row r="573" ht="15.75" customHeight="1">
      <c r="A573" s="132"/>
    </row>
    <row r="574" ht="15.75" customHeight="1">
      <c r="A574" s="132"/>
    </row>
    <row r="575" ht="15.75" customHeight="1">
      <c r="A575" s="132"/>
    </row>
    <row r="576" ht="15.75" customHeight="1">
      <c r="A576" s="132"/>
    </row>
    <row r="577" ht="15.75" customHeight="1">
      <c r="A577" s="132"/>
    </row>
    <row r="578" ht="15.75" customHeight="1">
      <c r="A578" s="132"/>
    </row>
    <row r="579" ht="15.75" customHeight="1">
      <c r="A579" s="132"/>
    </row>
    <row r="580" ht="15.75" customHeight="1">
      <c r="A580" s="132"/>
    </row>
    <row r="581" ht="15.75" customHeight="1">
      <c r="A581" s="132"/>
    </row>
    <row r="582" ht="15.75" customHeight="1">
      <c r="A582" s="132"/>
    </row>
    <row r="583" ht="15.75" customHeight="1">
      <c r="A583" s="132"/>
    </row>
    <row r="584" ht="15.75" customHeight="1">
      <c r="A584" s="132"/>
    </row>
    <row r="585" ht="15.75" customHeight="1">
      <c r="A585" s="132"/>
    </row>
    <row r="586" ht="15.75" customHeight="1">
      <c r="A586" s="132"/>
    </row>
    <row r="587" ht="15.75" customHeight="1">
      <c r="A587" s="132"/>
    </row>
    <row r="588" ht="15.75" customHeight="1">
      <c r="A588" s="132"/>
    </row>
    <row r="589" ht="15.75" customHeight="1">
      <c r="A589" s="132"/>
    </row>
    <row r="590" ht="15.75" customHeight="1">
      <c r="A590" s="132"/>
    </row>
    <row r="591" ht="15.75" customHeight="1">
      <c r="A591" s="132"/>
    </row>
    <row r="592" ht="15.75" customHeight="1">
      <c r="A592" s="132"/>
    </row>
    <row r="593" ht="15.75" customHeight="1">
      <c r="A593" s="132"/>
    </row>
    <row r="594" ht="15.75" customHeight="1">
      <c r="A594" s="132"/>
    </row>
    <row r="595" ht="15.75" customHeight="1">
      <c r="A595" s="132"/>
    </row>
    <row r="596" ht="15.75" customHeight="1">
      <c r="A596" s="132"/>
    </row>
    <row r="597" ht="15.75" customHeight="1">
      <c r="A597" s="132"/>
    </row>
    <row r="598" ht="15.75" customHeight="1">
      <c r="A598" s="132"/>
    </row>
    <row r="599" ht="15.75" customHeight="1">
      <c r="A599" s="132"/>
    </row>
    <row r="600" ht="15.75" customHeight="1">
      <c r="A600" s="132"/>
    </row>
    <row r="601" ht="15.75" customHeight="1">
      <c r="A601" s="132"/>
    </row>
    <row r="602" ht="15.75" customHeight="1">
      <c r="A602" s="132"/>
    </row>
    <row r="603" ht="15.75" customHeight="1">
      <c r="A603" s="132"/>
    </row>
    <row r="604" ht="15.75" customHeight="1">
      <c r="A604" s="132"/>
    </row>
    <row r="605" ht="15.75" customHeight="1">
      <c r="A605" s="132"/>
    </row>
    <row r="606" ht="15.75" customHeight="1">
      <c r="A606" s="132"/>
    </row>
    <row r="607" ht="15.75" customHeight="1">
      <c r="A607" s="132"/>
    </row>
    <row r="608" ht="15.75" customHeight="1">
      <c r="A608" s="132"/>
    </row>
    <row r="609" ht="15.75" customHeight="1">
      <c r="A609" s="132"/>
    </row>
    <row r="610" ht="15.75" customHeight="1">
      <c r="A610" s="132"/>
    </row>
    <row r="611" ht="15.75" customHeight="1">
      <c r="A611" s="132"/>
    </row>
    <row r="612" ht="15.75" customHeight="1">
      <c r="A612" s="132"/>
    </row>
    <row r="613" ht="15.75" customHeight="1">
      <c r="A613" s="132"/>
    </row>
    <row r="614" ht="15.75" customHeight="1">
      <c r="A614" s="132"/>
    </row>
    <row r="615" ht="15.75" customHeight="1">
      <c r="A615" s="132"/>
    </row>
    <row r="616" ht="15.75" customHeight="1">
      <c r="A616" s="132"/>
    </row>
    <row r="617" ht="15.75" customHeight="1">
      <c r="A617" s="132"/>
    </row>
    <row r="618" ht="15.75" customHeight="1">
      <c r="A618" s="132"/>
    </row>
    <row r="619" ht="15.75" customHeight="1">
      <c r="A619" s="132"/>
    </row>
    <row r="620" ht="15.75" customHeight="1">
      <c r="A620" s="132"/>
    </row>
    <row r="621" ht="15.75" customHeight="1">
      <c r="A621" s="132"/>
    </row>
    <row r="622" ht="15.75" customHeight="1">
      <c r="A622" s="132"/>
    </row>
    <row r="623" ht="15.75" customHeight="1">
      <c r="A623" s="132"/>
    </row>
    <row r="624" ht="15.75" customHeight="1">
      <c r="A624" s="132"/>
    </row>
    <row r="625" ht="15.75" customHeight="1">
      <c r="A625" s="132"/>
    </row>
    <row r="626" ht="15.75" customHeight="1">
      <c r="A626" s="132"/>
    </row>
    <row r="627" ht="15.75" customHeight="1">
      <c r="A627" s="132"/>
    </row>
    <row r="628" ht="15.75" customHeight="1">
      <c r="A628" s="132"/>
    </row>
    <row r="629" ht="15.75" customHeight="1">
      <c r="A629" s="132"/>
    </row>
    <row r="630" ht="15.75" customHeight="1">
      <c r="A630" s="132"/>
    </row>
    <row r="631" ht="15.75" customHeight="1">
      <c r="A631" s="132"/>
    </row>
    <row r="632" ht="15.75" customHeight="1">
      <c r="A632" s="132"/>
    </row>
    <row r="633" ht="15.75" customHeight="1">
      <c r="A633" s="132"/>
    </row>
    <row r="634" ht="15.75" customHeight="1">
      <c r="A634" s="132"/>
    </row>
    <row r="635" ht="15.75" customHeight="1">
      <c r="A635" s="132"/>
    </row>
    <row r="636" ht="15.75" customHeight="1">
      <c r="A636" s="132"/>
    </row>
    <row r="637" ht="15.75" customHeight="1">
      <c r="A637" s="132"/>
    </row>
    <row r="638" ht="15.75" customHeight="1">
      <c r="A638" s="132"/>
    </row>
    <row r="639" ht="15.75" customHeight="1">
      <c r="A639" s="132"/>
    </row>
    <row r="640" ht="15.75" customHeight="1">
      <c r="A640" s="132"/>
    </row>
    <row r="641" ht="15.75" customHeight="1">
      <c r="A641" s="132"/>
    </row>
    <row r="642" ht="15.75" customHeight="1">
      <c r="A642" s="132"/>
    </row>
    <row r="643" ht="15.75" customHeight="1">
      <c r="A643" s="132"/>
    </row>
    <row r="644" ht="15.75" customHeight="1">
      <c r="A644" s="132"/>
    </row>
    <row r="645" ht="15.75" customHeight="1">
      <c r="A645" s="132"/>
    </row>
    <row r="646" ht="15.75" customHeight="1">
      <c r="A646" s="132"/>
    </row>
    <row r="647" ht="15.75" customHeight="1">
      <c r="A647" s="132"/>
    </row>
    <row r="648" ht="15.75" customHeight="1">
      <c r="A648" s="132"/>
    </row>
    <row r="649" ht="15.75" customHeight="1">
      <c r="A649" s="132"/>
    </row>
    <row r="650" ht="15.75" customHeight="1">
      <c r="A650" s="132"/>
    </row>
    <row r="651" ht="15.75" customHeight="1">
      <c r="A651" s="132"/>
    </row>
    <row r="652" ht="15.75" customHeight="1">
      <c r="A652" s="132"/>
    </row>
    <row r="653" ht="15.75" customHeight="1">
      <c r="A653" s="132"/>
    </row>
    <row r="654" ht="15.75" customHeight="1">
      <c r="A654" s="132"/>
    </row>
    <row r="655" ht="15.75" customHeight="1">
      <c r="A655" s="132"/>
    </row>
    <row r="656" ht="15.75" customHeight="1">
      <c r="A656" s="132"/>
    </row>
    <row r="657" ht="15.75" customHeight="1">
      <c r="A657" s="132"/>
    </row>
    <row r="658" ht="15.75" customHeight="1">
      <c r="A658" s="132"/>
    </row>
    <row r="659" ht="15.75" customHeight="1">
      <c r="A659" s="132"/>
    </row>
    <row r="660" ht="15.75" customHeight="1">
      <c r="A660" s="132"/>
    </row>
    <row r="661" ht="15.75" customHeight="1">
      <c r="A661" s="132"/>
    </row>
    <row r="662" ht="15.75" customHeight="1">
      <c r="A662" s="132"/>
    </row>
    <row r="663" ht="15.75" customHeight="1">
      <c r="A663" s="132"/>
    </row>
    <row r="664" ht="15.75" customHeight="1">
      <c r="A664" s="132"/>
    </row>
    <row r="665" ht="15.75" customHeight="1">
      <c r="A665" s="132"/>
    </row>
    <row r="666" ht="15.75" customHeight="1">
      <c r="A666" s="132"/>
    </row>
    <row r="667" ht="15.75" customHeight="1">
      <c r="A667" s="132"/>
    </row>
    <row r="668" ht="15.75" customHeight="1">
      <c r="A668" s="132"/>
    </row>
    <row r="669" ht="15.75" customHeight="1">
      <c r="A669" s="132"/>
    </row>
    <row r="670" ht="15.75" customHeight="1">
      <c r="A670" s="132"/>
    </row>
    <row r="671" ht="15.75" customHeight="1">
      <c r="A671" s="132"/>
    </row>
    <row r="672" ht="15.75" customHeight="1">
      <c r="A672" s="132"/>
    </row>
    <row r="673" ht="15.75" customHeight="1">
      <c r="A673" s="132"/>
    </row>
    <row r="674" ht="15.75" customHeight="1">
      <c r="A674" s="132"/>
    </row>
    <row r="675" ht="15.75" customHeight="1">
      <c r="A675" s="132"/>
    </row>
    <row r="676" ht="15.75" customHeight="1">
      <c r="A676" s="132"/>
    </row>
    <row r="677" ht="15.75" customHeight="1">
      <c r="A677" s="132"/>
    </row>
    <row r="678" ht="15.75" customHeight="1">
      <c r="A678" s="132"/>
    </row>
    <row r="679" ht="15.75" customHeight="1">
      <c r="A679" s="132"/>
    </row>
    <row r="680" ht="15.75" customHeight="1">
      <c r="A680" s="132"/>
    </row>
    <row r="681" ht="15.75" customHeight="1">
      <c r="A681" s="132"/>
    </row>
    <row r="682" ht="15.75" customHeight="1">
      <c r="A682" s="132"/>
    </row>
    <row r="683" ht="15.75" customHeight="1">
      <c r="A683" s="132"/>
    </row>
    <row r="684" ht="15.75" customHeight="1">
      <c r="A684" s="132"/>
    </row>
    <row r="685" ht="15.75" customHeight="1">
      <c r="A685" s="132"/>
    </row>
    <row r="686" ht="15.75" customHeight="1">
      <c r="A686" s="132"/>
    </row>
    <row r="687" ht="15.75" customHeight="1">
      <c r="A687" s="132"/>
    </row>
    <row r="688" ht="15.75" customHeight="1">
      <c r="A688" s="132"/>
    </row>
    <row r="689" ht="15.75" customHeight="1">
      <c r="A689" s="132"/>
    </row>
    <row r="690" ht="15.75" customHeight="1">
      <c r="A690" s="132"/>
    </row>
    <row r="691" ht="15.75" customHeight="1">
      <c r="A691" s="132"/>
    </row>
    <row r="692" ht="15.75" customHeight="1">
      <c r="A692" s="132"/>
    </row>
    <row r="693" ht="15.75" customHeight="1">
      <c r="A693" s="132"/>
    </row>
    <row r="694" ht="15.75" customHeight="1">
      <c r="A694" s="132"/>
    </row>
    <row r="695" ht="15.75" customHeight="1">
      <c r="A695" s="132"/>
    </row>
    <row r="696" ht="15.75" customHeight="1">
      <c r="A696" s="132"/>
    </row>
    <row r="697" ht="15.75" customHeight="1">
      <c r="A697" s="132"/>
    </row>
    <row r="698" ht="15.75" customHeight="1">
      <c r="A698" s="132"/>
    </row>
    <row r="699" ht="15.75" customHeight="1">
      <c r="A699" s="132"/>
    </row>
    <row r="700" ht="15.75" customHeight="1">
      <c r="A700" s="132"/>
    </row>
    <row r="701" ht="15.75" customHeight="1">
      <c r="A701" s="132"/>
    </row>
    <row r="702" ht="15.75" customHeight="1">
      <c r="A702" s="132"/>
    </row>
    <row r="703" ht="15.75" customHeight="1">
      <c r="A703" s="132"/>
    </row>
    <row r="704" ht="15.75" customHeight="1">
      <c r="A704" s="132"/>
    </row>
    <row r="705" ht="15.75" customHeight="1">
      <c r="A705" s="132"/>
    </row>
    <row r="706" ht="15.75" customHeight="1">
      <c r="A706" s="132"/>
    </row>
    <row r="707" ht="15.75" customHeight="1">
      <c r="A707" s="132"/>
    </row>
    <row r="708" ht="15.75" customHeight="1">
      <c r="A708" s="132"/>
    </row>
    <row r="709" ht="15.75" customHeight="1">
      <c r="A709" s="132"/>
    </row>
    <row r="710" ht="15.75" customHeight="1">
      <c r="A710" s="132"/>
    </row>
    <row r="711" ht="15.75" customHeight="1">
      <c r="A711" s="132"/>
    </row>
    <row r="712" ht="15.75" customHeight="1">
      <c r="A712" s="132"/>
    </row>
    <row r="713" ht="15.75" customHeight="1">
      <c r="A713" s="132"/>
    </row>
    <row r="714" ht="15.75" customHeight="1">
      <c r="A714" s="132"/>
    </row>
    <row r="715" ht="15.75" customHeight="1">
      <c r="A715" s="132"/>
    </row>
    <row r="716" ht="15.75" customHeight="1">
      <c r="A716" s="132"/>
    </row>
    <row r="717" ht="15.75" customHeight="1">
      <c r="A717" s="132"/>
    </row>
    <row r="718" ht="15.75" customHeight="1">
      <c r="A718" s="132"/>
    </row>
    <row r="719" ht="15.75" customHeight="1">
      <c r="A719" s="132"/>
    </row>
    <row r="720" ht="15.75" customHeight="1">
      <c r="A720" s="132"/>
    </row>
    <row r="721" ht="15.75" customHeight="1">
      <c r="A721" s="132"/>
    </row>
    <row r="722" ht="15.75" customHeight="1">
      <c r="A722" s="132"/>
    </row>
    <row r="723" ht="15.75" customHeight="1">
      <c r="A723" s="132"/>
    </row>
    <row r="724" ht="15.75" customHeight="1">
      <c r="A724" s="132"/>
    </row>
    <row r="725" ht="15.75" customHeight="1">
      <c r="A725" s="132"/>
    </row>
    <row r="726" ht="15.75" customHeight="1">
      <c r="A726" s="132"/>
    </row>
    <row r="727" ht="15.75" customHeight="1">
      <c r="A727" s="132"/>
    </row>
    <row r="728" ht="15.75" customHeight="1">
      <c r="A728" s="132"/>
    </row>
    <row r="729" ht="15.75" customHeight="1">
      <c r="A729" s="132"/>
    </row>
    <row r="730" ht="15.75" customHeight="1">
      <c r="A730" s="132"/>
    </row>
    <row r="731" ht="15.75" customHeight="1">
      <c r="A731" s="132"/>
    </row>
    <row r="732" ht="15.75" customHeight="1">
      <c r="A732" s="132"/>
    </row>
    <row r="733" ht="15.75" customHeight="1">
      <c r="A733" s="132"/>
    </row>
    <row r="734" ht="15.75" customHeight="1">
      <c r="A734" s="132"/>
    </row>
    <row r="735" ht="15.75" customHeight="1">
      <c r="A735" s="132"/>
    </row>
    <row r="736" ht="15.75" customHeight="1">
      <c r="A736" s="132"/>
    </row>
    <row r="737" ht="15.75" customHeight="1">
      <c r="A737" s="132"/>
    </row>
    <row r="738" ht="15.75" customHeight="1">
      <c r="A738" s="132"/>
    </row>
    <row r="739" ht="15.75" customHeight="1">
      <c r="A739" s="132"/>
    </row>
    <row r="740" ht="15.75" customHeight="1">
      <c r="A740" s="132"/>
    </row>
    <row r="741" ht="15.75" customHeight="1">
      <c r="A741" s="132"/>
    </row>
    <row r="742" ht="15.75" customHeight="1">
      <c r="A742" s="132"/>
    </row>
    <row r="743" ht="15.75" customHeight="1">
      <c r="A743" s="132"/>
    </row>
    <row r="744" ht="15.75" customHeight="1">
      <c r="A744" s="132"/>
    </row>
    <row r="745" ht="15.75" customHeight="1">
      <c r="A745" s="132"/>
    </row>
    <row r="746" ht="15.75" customHeight="1">
      <c r="A746" s="132"/>
    </row>
    <row r="747" ht="15.75" customHeight="1">
      <c r="A747" s="132"/>
    </row>
    <row r="748" ht="15.75" customHeight="1">
      <c r="A748" s="132"/>
    </row>
    <row r="749" ht="15.75" customHeight="1">
      <c r="A749" s="132"/>
    </row>
    <row r="750" ht="15.75" customHeight="1">
      <c r="A750" s="132"/>
    </row>
    <row r="751" ht="15.75" customHeight="1">
      <c r="A751" s="132"/>
    </row>
    <row r="752" ht="15.75" customHeight="1">
      <c r="A752" s="132"/>
    </row>
    <row r="753" ht="15.75" customHeight="1">
      <c r="A753" s="132"/>
    </row>
    <row r="754" ht="15.75" customHeight="1">
      <c r="A754" s="132"/>
    </row>
    <row r="755" ht="15.75" customHeight="1">
      <c r="A755" s="132"/>
    </row>
    <row r="756" ht="15.75" customHeight="1">
      <c r="A756" s="132"/>
    </row>
    <row r="757" ht="15.75" customHeight="1">
      <c r="A757" s="132"/>
    </row>
    <row r="758" ht="15.75" customHeight="1">
      <c r="A758" s="132"/>
    </row>
    <row r="759" ht="15.75" customHeight="1">
      <c r="A759" s="132"/>
    </row>
    <row r="760" ht="15.75" customHeight="1">
      <c r="A760" s="132"/>
    </row>
    <row r="761" ht="15.75" customHeight="1">
      <c r="A761" s="132"/>
    </row>
    <row r="762" ht="15.75" customHeight="1">
      <c r="A762" s="132"/>
    </row>
    <row r="763" ht="15.75" customHeight="1">
      <c r="A763" s="132"/>
    </row>
    <row r="764" ht="15.75" customHeight="1">
      <c r="A764" s="132"/>
    </row>
    <row r="765" ht="15.75" customHeight="1">
      <c r="A765" s="132"/>
    </row>
    <row r="766" ht="15.75" customHeight="1">
      <c r="A766" s="132"/>
    </row>
    <row r="767" ht="15.75" customHeight="1">
      <c r="A767" s="132"/>
    </row>
    <row r="768" ht="15.75" customHeight="1">
      <c r="A768" s="132"/>
    </row>
    <row r="769" ht="15.75" customHeight="1">
      <c r="A769" s="132"/>
    </row>
    <row r="770" ht="15.75" customHeight="1">
      <c r="A770" s="132"/>
    </row>
    <row r="771" ht="15.75" customHeight="1">
      <c r="A771" s="132"/>
    </row>
    <row r="772" ht="15.75" customHeight="1">
      <c r="A772" s="132"/>
    </row>
    <row r="773" ht="15.75" customHeight="1">
      <c r="A773" s="132"/>
    </row>
    <row r="774" ht="15.75" customHeight="1">
      <c r="A774" s="132"/>
    </row>
    <row r="775" ht="15.75" customHeight="1">
      <c r="A775" s="132"/>
    </row>
    <row r="776" ht="15.75" customHeight="1">
      <c r="A776" s="132"/>
    </row>
    <row r="777" ht="15.75" customHeight="1">
      <c r="A777" s="132"/>
    </row>
    <row r="778" ht="15.75" customHeight="1">
      <c r="A778" s="132"/>
    </row>
    <row r="779" ht="15.75" customHeight="1">
      <c r="A779" s="132"/>
    </row>
    <row r="780" ht="15.75" customHeight="1">
      <c r="A780" s="132"/>
    </row>
    <row r="781" ht="15.75" customHeight="1">
      <c r="A781" s="132"/>
    </row>
    <row r="782" ht="15.75" customHeight="1">
      <c r="A782" s="132"/>
    </row>
    <row r="783" ht="15.75" customHeight="1">
      <c r="A783" s="132"/>
    </row>
    <row r="784" ht="15.75" customHeight="1">
      <c r="A784" s="132"/>
    </row>
    <row r="785" ht="15.75" customHeight="1">
      <c r="A785" s="132"/>
    </row>
    <row r="786" ht="15.75" customHeight="1">
      <c r="A786" s="132"/>
    </row>
    <row r="787" ht="15.75" customHeight="1">
      <c r="A787" s="132"/>
    </row>
    <row r="788" ht="15.75" customHeight="1">
      <c r="A788" s="132"/>
    </row>
    <row r="789" ht="15.75" customHeight="1">
      <c r="A789" s="132"/>
    </row>
    <row r="790" ht="15.75" customHeight="1">
      <c r="A790" s="132"/>
    </row>
    <row r="791" ht="15.75" customHeight="1">
      <c r="A791" s="132"/>
    </row>
    <row r="792" ht="15.75" customHeight="1">
      <c r="A792" s="132"/>
    </row>
    <row r="793" ht="15.75" customHeight="1">
      <c r="A793" s="132"/>
    </row>
    <row r="794" ht="15.75" customHeight="1">
      <c r="A794" s="132"/>
    </row>
    <row r="795" ht="15.75" customHeight="1">
      <c r="A795" s="132"/>
    </row>
    <row r="796" ht="15.75" customHeight="1">
      <c r="A796" s="132"/>
    </row>
    <row r="797" ht="15.75" customHeight="1">
      <c r="A797" s="132"/>
    </row>
    <row r="798" ht="15.75" customHeight="1">
      <c r="A798" s="132"/>
    </row>
    <row r="799" ht="15.75" customHeight="1">
      <c r="A799" s="132"/>
    </row>
    <row r="800" ht="15.75" customHeight="1">
      <c r="A800" s="132"/>
    </row>
    <row r="801" ht="15.75" customHeight="1">
      <c r="A801" s="132"/>
    </row>
    <row r="802" ht="15.75" customHeight="1">
      <c r="A802" s="132"/>
    </row>
    <row r="803" ht="15.75" customHeight="1">
      <c r="A803" s="132"/>
    </row>
    <row r="804" ht="15.75" customHeight="1">
      <c r="A804" s="132"/>
    </row>
    <row r="805" ht="15.75" customHeight="1">
      <c r="A805" s="132"/>
    </row>
    <row r="806" ht="15.75" customHeight="1">
      <c r="A806" s="132"/>
    </row>
    <row r="807" ht="15.75" customHeight="1">
      <c r="A807" s="132"/>
    </row>
    <row r="808" ht="15.75" customHeight="1">
      <c r="A808" s="132"/>
    </row>
    <row r="809" ht="15.75" customHeight="1">
      <c r="A809" s="132"/>
    </row>
    <row r="810" ht="15.75" customHeight="1">
      <c r="A810" s="132"/>
    </row>
    <row r="811" ht="15.75" customHeight="1">
      <c r="A811" s="132"/>
    </row>
    <row r="812" ht="15.75" customHeight="1">
      <c r="A812" s="132"/>
    </row>
    <row r="813" ht="15.75" customHeight="1">
      <c r="A813" s="132"/>
    </row>
    <row r="814" ht="15.75" customHeight="1">
      <c r="A814" s="132"/>
    </row>
    <row r="815" ht="15.75" customHeight="1">
      <c r="A815" s="132"/>
    </row>
    <row r="816" ht="15.75" customHeight="1">
      <c r="A816" s="132"/>
    </row>
    <row r="817" ht="15.75" customHeight="1">
      <c r="A817" s="132"/>
    </row>
    <row r="818" ht="15.75" customHeight="1">
      <c r="A818" s="132"/>
    </row>
    <row r="819" ht="15.75" customHeight="1">
      <c r="A819" s="132"/>
    </row>
    <row r="820" ht="15.75" customHeight="1">
      <c r="A820" s="132"/>
    </row>
    <row r="821" ht="15.75" customHeight="1">
      <c r="A821" s="132"/>
    </row>
    <row r="822" ht="15.75" customHeight="1">
      <c r="A822" s="132"/>
    </row>
    <row r="823" ht="15.75" customHeight="1">
      <c r="A823" s="132"/>
    </row>
    <row r="824" ht="15.75" customHeight="1">
      <c r="A824" s="132"/>
    </row>
    <row r="825" ht="15.75" customHeight="1">
      <c r="A825" s="132"/>
    </row>
    <row r="826" ht="15.75" customHeight="1">
      <c r="A826" s="132"/>
    </row>
    <row r="827" ht="15.75" customHeight="1">
      <c r="A827" s="132"/>
    </row>
    <row r="828" ht="15.75" customHeight="1">
      <c r="A828" s="132"/>
    </row>
    <row r="829" ht="15.75" customHeight="1">
      <c r="A829" s="132"/>
    </row>
    <row r="830" ht="15.75" customHeight="1">
      <c r="A830" s="132"/>
    </row>
    <row r="831" ht="15.75" customHeight="1">
      <c r="A831" s="132"/>
    </row>
    <row r="832" ht="15.75" customHeight="1">
      <c r="A832" s="132"/>
    </row>
    <row r="833" ht="15.75" customHeight="1">
      <c r="A833" s="132"/>
    </row>
    <row r="834" ht="15.75" customHeight="1">
      <c r="A834" s="132"/>
    </row>
    <row r="835" ht="15.75" customHeight="1">
      <c r="A835" s="132"/>
    </row>
    <row r="836" ht="15.75" customHeight="1">
      <c r="A836" s="132"/>
    </row>
    <row r="837" ht="15.75" customHeight="1">
      <c r="A837" s="132"/>
    </row>
    <row r="838" ht="15.75" customHeight="1">
      <c r="A838" s="132"/>
    </row>
    <row r="839" ht="15.75" customHeight="1">
      <c r="A839" s="132"/>
    </row>
    <row r="840" ht="15.75" customHeight="1">
      <c r="A840" s="132"/>
    </row>
    <row r="841" ht="15.75" customHeight="1">
      <c r="A841" s="132"/>
    </row>
    <row r="842" ht="15.75" customHeight="1">
      <c r="A842" s="132"/>
    </row>
    <row r="843" ht="15.75" customHeight="1">
      <c r="A843" s="132"/>
    </row>
    <row r="844" ht="15.75" customHeight="1">
      <c r="A844" s="132"/>
    </row>
    <row r="845" ht="15.75" customHeight="1">
      <c r="A845" s="132"/>
    </row>
    <row r="846" ht="15.75" customHeight="1">
      <c r="A846" s="132"/>
    </row>
    <row r="847" ht="15.75" customHeight="1">
      <c r="A847" s="132"/>
    </row>
    <row r="848" ht="15.75" customHeight="1">
      <c r="A848" s="132"/>
    </row>
    <row r="849" ht="15.75" customHeight="1">
      <c r="A849" s="132"/>
    </row>
    <row r="850" ht="15.75" customHeight="1">
      <c r="A850" s="132"/>
    </row>
    <row r="851" ht="15.75" customHeight="1">
      <c r="A851" s="132"/>
    </row>
    <row r="852" ht="15.75" customHeight="1">
      <c r="A852" s="132"/>
    </row>
    <row r="853" ht="15.75" customHeight="1">
      <c r="A853" s="132"/>
    </row>
    <row r="854" ht="15.75" customHeight="1">
      <c r="A854" s="132"/>
    </row>
    <row r="855" ht="15.75" customHeight="1">
      <c r="A855" s="132"/>
    </row>
    <row r="856" ht="15.75" customHeight="1">
      <c r="A856" s="132"/>
    </row>
    <row r="857" ht="15.75" customHeight="1">
      <c r="A857" s="132"/>
    </row>
    <row r="858" ht="15.75" customHeight="1">
      <c r="A858" s="132"/>
    </row>
    <row r="859" ht="15.75" customHeight="1">
      <c r="A859" s="132"/>
    </row>
    <row r="860" ht="15.75" customHeight="1">
      <c r="A860" s="132"/>
    </row>
    <row r="861" ht="15.75" customHeight="1">
      <c r="A861" s="132"/>
    </row>
    <row r="862" ht="15.75" customHeight="1">
      <c r="A862" s="132"/>
    </row>
    <row r="863" ht="15.75" customHeight="1">
      <c r="A863" s="132"/>
    </row>
    <row r="864" ht="15.75" customHeight="1">
      <c r="A864" s="132"/>
    </row>
    <row r="865" ht="15.75" customHeight="1">
      <c r="A865" s="132"/>
    </row>
    <row r="866" ht="15.75" customHeight="1">
      <c r="A866" s="132"/>
    </row>
    <row r="867" ht="15.75" customHeight="1">
      <c r="A867" s="132"/>
    </row>
    <row r="868" ht="15.75" customHeight="1">
      <c r="A868" s="132"/>
    </row>
    <row r="869" ht="15.75" customHeight="1">
      <c r="A869" s="132"/>
    </row>
    <row r="870" ht="15.75" customHeight="1">
      <c r="A870" s="132"/>
    </row>
    <row r="871" ht="15.75" customHeight="1">
      <c r="A871" s="132"/>
    </row>
    <row r="872" ht="15.75" customHeight="1">
      <c r="A872" s="132"/>
    </row>
    <row r="873" ht="15.75" customHeight="1">
      <c r="A873" s="132"/>
    </row>
    <row r="874" ht="15.75" customHeight="1">
      <c r="A874" s="132"/>
    </row>
    <row r="875" ht="15.75" customHeight="1">
      <c r="A875" s="132"/>
    </row>
    <row r="876" ht="15.75" customHeight="1">
      <c r="A876" s="132"/>
    </row>
    <row r="877" ht="15.75" customHeight="1">
      <c r="A877" s="132"/>
    </row>
    <row r="878" ht="15.75" customHeight="1">
      <c r="A878" s="132"/>
    </row>
    <row r="879" ht="15.75" customHeight="1">
      <c r="A879" s="132"/>
    </row>
    <row r="880" ht="15.75" customHeight="1">
      <c r="A880" s="132"/>
    </row>
    <row r="881" ht="15.75" customHeight="1">
      <c r="A881" s="132"/>
    </row>
    <row r="882" ht="15.75" customHeight="1">
      <c r="A882" s="132"/>
    </row>
    <row r="883" ht="15.75" customHeight="1">
      <c r="A883" s="132"/>
    </row>
    <row r="884" ht="15.75" customHeight="1">
      <c r="A884" s="132"/>
    </row>
    <row r="885" ht="15.75" customHeight="1">
      <c r="A885" s="132"/>
    </row>
    <row r="886" ht="15.75" customHeight="1">
      <c r="A886" s="132"/>
    </row>
    <row r="887" ht="15.75" customHeight="1">
      <c r="A887" s="132"/>
    </row>
    <row r="888" ht="15.75" customHeight="1">
      <c r="A888" s="132"/>
    </row>
    <row r="889" ht="15.75" customHeight="1">
      <c r="A889" s="132"/>
    </row>
    <row r="890" ht="15.75" customHeight="1">
      <c r="A890" s="132"/>
    </row>
    <row r="891" ht="15.75" customHeight="1">
      <c r="A891" s="132"/>
    </row>
    <row r="892" ht="15.75" customHeight="1">
      <c r="A892" s="132"/>
    </row>
    <row r="893" ht="15.75" customHeight="1">
      <c r="A893" s="132"/>
    </row>
    <row r="894" ht="15.75" customHeight="1">
      <c r="A894" s="132"/>
    </row>
    <row r="895" ht="15.75" customHeight="1">
      <c r="A895" s="132"/>
    </row>
    <row r="896" ht="15.75" customHeight="1">
      <c r="A896" s="132"/>
    </row>
    <row r="897" ht="15.75" customHeight="1">
      <c r="A897" s="132"/>
    </row>
    <row r="898" ht="15.75" customHeight="1">
      <c r="A898" s="132"/>
    </row>
    <row r="899" ht="15.75" customHeight="1">
      <c r="A899" s="132"/>
    </row>
    <row r="900" ht="15.75" customHeight="1">
      <c r="A900" s="132"/>
    </row>
    <row r="901" ht="15.75" customHeight="1">
      <c r="A901" s="132"/>
    </row>
    <row r="902" ht="15.75" customHeight="1">
      <c r="A902" s="132"/>
    </row>
    <row r="903" ht="15.75" customHeight="1">
      <c r="A903" s="132"/>
    </row>
    <row r="904" ht="15.75" customHeight="1">
      <c r="A904" s="132"/>
    </row>
    <row r="905" ht="15.75" customHeight="1">
      <c r="A905" s="132"/>
    </row>
    <row r="906" ht="15.75" customHeight="1">
      <c r="A906" s="132"/>
    </row>
    <row r="907" ht="15.75" customHeight="1">
      <c r="A907" s="132"/>
    </row>
    <row r="908" ht="15.75" customHeight="1">
      <c r="A908" s="132"/>
    </row>
    <row r="909" ht="15.75" customHeight="1">
      <c r="A909" s="132"/>
    </row>
    <row r="910" ht="15.75" customHeight="1">
      <c r="A910" s="132"/>
    </row>
    <row r="911" ht="15.75" customHeight="1">
      <c r="A911" s="132"/>
    </row>
    <row r="912" ht="15.75" customHeight="1">
      <c r="A912" s="132"/>
    </row>
    <row r="913" ht="15.75" customHeight="1">
      <c r="A913" s="132"/>
    </row>
    <row r="914" ht="15.75" customHeight="1">
      <c r="A914" s="132"/>
    </row>
    <row r="915" ht="15.75" customHeight="1">
      <c r="A915" s="132"/>
    </row>
    <row r="916" ht="15.75" customHeight="1">
      <c r="A916" s="132"/>
    </row>
    <row r="917" ht="15.75" customHeight="1">
      <c r="A917" s="132"/>
    </row>
    <row r="918" ht="15.75" customHeight="1">
      <c r="A918" s="132"/>
    </row>
    <row r="919" ht="15.75" customHeight="1">
      <c r="A919" s="132"/>
    </row>
    <row r="920" ht="15.75" customHeight="1">
      <c r="A920" s="132"/>
    </row>
    <row r="921" ht="15.75" customHeight="1">
      <c r="A921" s="132"/>
    </row>
    <row r="922" ht="15.75" customHeight="1">
      <c r="A922" s="132"/>
    </row>
    <row r="923" ht="15.75" customHeight="1">
      <c r="A923" s="132"/>
    </row>
    <row r="924" ht="15.75" customHeight="1">
      <c r="A924" s="132"/>
    </row>
    <row r="925" ht="15.75" customHeight="1">
      <c r="A925" s="132"/>
    </row>
    <row r="926" ht="15.75" customHeight="1">
      <c r="A926" s="132"/>
    </row>
    <row r="927" ht="15.75" customHeight="1">
      <c r="A927" s="132"/>
    </row>
    <row r="928" ht="15.75" customHeight="1">
      <c r="A928" s="132"/>
    </row>
    <row r="929" ht="15.75" customHeight="1">
      <c r="A929" s="132"/>
    </row>
    <row r="930" ht="15.75" customHeight="1">
      <c r="A930" s="132"/>
    </row>
    <row r="931" ht="15.75" customHeight="1">
      <c r="A931" s="132"/>
    </row>
    <row r="932" ht="15.75" customHeight="1">
      <c r="A932" s="132"/>
    </row>
    <row r="933" ht="15.75" customHeight="1">
      <c r="A933" s="132"/>
    </row>
    <row r="934" ht="15.75" customHeight="1">
      <c r="A934" s="132"/>
    </row>
    <row r="935" ht="15.75" customHeight="1">
      <c r="A935" s="132"/>
    </row>
    <row r="936" ht="15.75" customHeight="1">
      <c r="A936" s="132"/>
    </row>
    <row r="937" ht="15.75" customHeight="1">
      <c r="A937" s="132"/>
    </row>
    <row r="938" ht="15.75" customHeight="1">
      <c r="A938" s="132"/>
    </row>
    <row r="939" ht="15.75" customHeight="1">
      <c r="A939" s="132"/>
    </row>
    <row r="940" ht="15.75" customHeight="1">
      <c r="A940" s="132"/>
    </row>
    <row r="941" ht="15.75" customHeight="1">
      <c r="A941" s="132"/>
    </row>
    <row r="942" ht="15.75" customHeight="1">
      <c r="A942" s="132"/>
    </row>
    <row r="943" ht="15.75" customHeight="1">
      <c r="A943" s="132"/>
    </row>
    <row r="944" ht="15.75" customHeight="1">
      <c r="A944" s="132"/>
    </row>
    <row r="945" ht="15.75" customHeight="1">
      <c r="A945" s="132"/>
    </row>
    <row r="946" ht="15.75" customHeight="1">
      <c r="A946" s="132"/>
    </row>
    <row r="947" ht="15.75" customHeight="1">
      <c r="A947" s="132"/>
    </row>
    <row r="948" ht="15.75" customHeight="1">
      <c r="A948" s="132"/>
    </row>
    <row r="949" ht="15.75" customHeight="1">
      <c r="A949" s="132"/>
    </row>
    <row r="950" ht="15.75" customHeight="1">
      <c r="A950" s="132"/>
    </row>
    <row r="951" ht="15.75" customHeight="1">
      <c r="A951" s="132"/>
    </row>
    <row r="952" ht="15.75" customHeight="1">
      <c r="A952" s="132"/>
    </row>
    <row r="953" ht="15.75" customHeight="1">
      <c r="A953" s="132"/>
    </row>
    <row r="954" ht="15.75" customHeight="1">
      <c r="A954" s="132"/>
    </row>
    <row r="955" ht="15.75" customHeight="1">
      <c r="A955" s="132"/>
    </row>
    <row r="956" ht="15.75" customHeight="1">
      <c r="A956" s="132"/>
    </row>
    <row r="957" ht="15.75" customHeight="1">
      <c r="A957" s="132"/>
    </row>
    <row r="958" ht="15.75" customHeight="1">
      <c r="A958" s="132"/>
    </row>
    <row r="959" ht="15.75" customHeight="1">
      <c r="A959" s="132"/>
    </row>
    <row r="960" ht="15.75" customHeight="1">
      <c r="A960" s="132"/>
    </row>
    <row r="961" ht="15.75" customHeight="1">
      <c r="A961" s="132"/>
    </row>
    <row r="962" ht="15.75" customHeight="1">
      <c r="A962" s="132"/>
    </row>
    <row r="963" ht="15.75" customHeight="1">
      <c r="A963" s="132"/>
    </row>
    <row r="964" ht="15.75" customHeight="1">
      <c r="A964" s="132"/>
    </row>
    <row r="965" ht="15.75" customHeight="1">
      <c r="A965" s="132"/>
    </row>
    <row r="966" ht="15.75" customHeight="1">
      <c r="A966" s="132"/>
    </row>
    <row r="967" ht="15.75" customHeight="1">
      <c r="A967" s="132"/>
    </row>
    <row r="968" ht="15.75" customHeight="1">
      <c r="A968" s="132"/>
    </row>
    <row r="969" ht="15.75" customHeight="1">
      <c r="A969" s="132"/>
    </row>
    <row r="970" ht="15.75" customHeight="1">
      <c r="A970" s="132"/>
    </row>
    <row r="971" ht="15.75" customHeight="1">
      <c r="A971" s="132"/>
    </row>
    <row r="972" ht="15.75" customHeight="1">
      <c r="A972" s="132"/>
    </row>
    <row r="973" ht="15.75" customHeight="1">
      <c r="A973" s="132"/>
    </row>
    <row r="974" ht="15.75" customHeight="1">
      <c r="A974" s="132"/>
    </row>
    <row r="975" ht="15.75" customHeight="1">
      <c r="A975" s="132"/>
    </row>
    <row r="976" ht="15.75" customHeight="1">
      <c r="A976" s="132"/>
    </row>
    <row r="977" ht="15.75" customHeight="1">
      <c r="A977" s="132"/>
    </row>
    <row r="978" ht="15.75" customHeight="1">
      <c r="A978" s="132"/>
    </row>
    <row r="979" ht="15.75" customHeight="1">
      <c r="A979" s="132"/>
    </row>
    <row r="980" ht="15.75" customHeight="1">
      <c r="A980" s="132"/>
    </row>
    <row r="981" ht="15.75" customHeight="1">
      <c r="A981" s="132"/>
    </row>
    <row r="982" ht="15.75" customHeight="1">
      <c r="A982" s="132"/>
    </row>
    <row r="983" ht="15.75" customHeight="1">
      <c r="A983" s="132"/>
    </row>
    <row r="984" ht="15.75" customHeight="1">
      <c r="A984" s="132"/>
    </row>
    <row r="985" ht="15.75" customHeight="1">
      <c r="A985" s="132"/>
    </row>
    <row r="986" ht="15.75" customHeight="1">
      <c r="A986" s="132"/>
    </row>
    <row r="987" ht="15.75" customHeight="1">
      <c r="A987" s="132"/>
    </row>
    <row r="988" ht="15.75" customHeight="1">
      <c r="A988" s="132"/>
    </row>
    <row r="989" ht="15.75" customHeight="1">
      <c r="A989" s="132"/>
    </row>
    <row r="990" ht="15.75" customHeight="1">
      <c r="A990" s="132"/>
    </row>
    <row r="991" ht="15.75" customHeight="1">
      <c r="A991" s="132"/>
    </row>
    <row r="992" ht="15.75" customHeight="1">
      <c r="A992" s="132"/>
    </row>
    <row r="993" ht="15.75" customHeight="1">
      <c r="A993" s="132"/>
    </row>
    <row r="994" ht="15.75" customHeight="1">
      <c r="A994" s="132"/>
    </row>
    <row r="995" ht="15.75" customHeight="1">
      <c r="A995" s="132"/>
    </row>
    <row r="996" ht="15.75" customHeight="1">
      <c r="A996" s="132"/>
    </row>
    <row r="997" ht="15.75" customHeight="1">
      <c r="A997" s="132"/>
    </row>
    <row r="998" ht="15.75" customHeight="1">
      <c r="A998" s="132"/>
    </row>
    <row r="999" ht="15.75" customHeight="1">
      <c r="A999" s="132"/>
    </row>
    <row r="1000" ht="15.75" customHeight="1">
      <c r="A1000" s="132"/>
    </row>
  </sheetData>
  <mergeCells count="2">
    <mergeCell ref="B22:B24"/>
    <mergeCell ref="C22:F24"/>
  </mergeCells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12.13"/>
    <col customWidth="1" min="2" max="2" width="11.0"/>
    <col customWidth="1" min="3" max="3" width="27.88"/>
    <col customWidth="1" min="4" max="4" width="11.25"/>
    <col customWidth="1" min="5" max="5" width="34.25"/>
    <col customWidth="1" min="6" max="6" width="14.63"/>
    <col customWidth="1" min="7" max="7" width="22.75"/>
    <col customWidth="1" min="8" max="8" width="17.25"/>
    <col customWidth="1" min="9" max="9" width="8.75"/>
    <col customWidth="1" min="10" max="10" width="14.0"/>
    <col customWidth="1" min="11" max="11" width="8.75"/>
    <col customWidth="1" min="12" max="12" width="13.38"/>
    <col customWidth="1" min="13" max="13" width="8.75"/>
    <col customWidth="1" min="14" max="14" width="12.25"/>
    <col customWidth="1" min="15" max="15" width="12.38"/>
    <col customWidth="1" min="16" max="26" width="8.75"/>
  </cols>
  <sheetData>
    <row r="1">
      <c r="A1" s="133" t="s">
        <v>0</v>
      </c>
      <c r="B1" s="134"/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</row>
    <row r="2" ht="15.0" customHeight="1">
      <c r="A2" s="135" t="s">
        <v>1</v>
      </c>
      <c r="B2" s="134"/>
      <c r="D2" s="136" t="str">
        <f>Summary!D2</f>
        <v>NYU VIDA</v>
      </c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 ht="15.0" customHeight="1">
      <c r="A3" s="135" t="s">
        <v>5</v>
      </c>
      <c r="B3" s="134"/>
      <c r="D3" s="136" t="str">
        <f>Summary!C6</f>
        <v>The Beacon Apartments</v>
      </c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 ht="15.0" customHeight="1">
      <c r="A4" s="135" t="s">
        <v>92</v>
      </c>
      <c r="B4" s="134"/>
      <c r="D4" s="137">
        <f>Summary!D3</f>
        <v>45033</v>
      </c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 ht="15.0" customHeight="1">
      <c r="A5" s="134"/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 ht="15.0" customHeight="1">
      <c r="A6" s="138" t="s">
        <v>93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 ht="15.0" customHeight="1">
      <c r="A7" s="139" t="s">
        <v>94</v>
      </c>
      <c r="B7" s="139" t="s">
        <v>94</v>
      </c>
      <c r="C7" s="140" t="s">
        <v>95</v>
      </c>
      <c r="D7" s="141"/>
      <c r="E7" s="142" t="s">
        <v>96</v>
      </c>
      <c r="F7" s="142" t="s">
        <v>97</v>
      </c>
      <c r="G7" s="142" t="s">
        <v>98</v>
      </c>
      <c r="H7" s="143" t="s">
        <v>99</v>
      </c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 ht="15.0" customHeight="1">
      <c r="A8" s="144" t="s">
        <v>100</v>
      </c>
      <c r="B8" s="144" t="s">
        <v>101</v>
      </c>
      <c r="C8" s="145"/>
      <c r="D8" s="146"/>
      <c r="E8" s="147"/>
      <c r="F8" s="147"/>
      <c r="G8" s="148" t="s">
        <v>102</v>
      </c>
      <c r="H8" s="149" t="s">
        <v>103</v>
      </c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 ht="15.0" customHeight="1">
      <c r="A9" s="150"/>
      <c r="B9" s="150"/>
      <c r="C9" s="151" t="s">
        <v>104</v>
      </c>
      <c r="D9" s="152"/>
      <c r="E9" s="153"/>
      <c r="F9" s="153"/>
      <c r="G9" s="154"/>
      <c r="H9" s="155" t="s">
        <v>105</v>
      </c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 ht="15.0" customHeight="1">
      <c r="A10" s="156" t="str">
        <f>IF(E10=0,"",E10/Rents!$G$14)</f>
        <v/>
      </c>
      <c r="B10" s="157" t="str">
        <f>IF(E10=0,"",E10/Rents!$F$14)</f>
        <v/>
      </c>
      <c r="C10" s="158" t="s">
        <v>106</v>
      </c>
      <c r="D10" s="141"/>
      <c r="E10" s="159">
        <v>0.0</v>
      </c>
      <c r="F10" s="160">
        <v>0.0</v>
      </c>
      <c r="G10" s="160"/>
      <c r="H10" s="161">
        <f t="shared" ref="H10:H13" si="1">IF(E10-G10&lt;0,ERROR,E10-G10)</f>
        <v>0</v>
      </c>
      <c r="I10" s="134"/>
      <c r="J10" s="134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 ht="15.0" customHeight="1">
      <c r="A11" s="162" t="str">
        <f>IF(E11=0,"",E11/Rents!$G$14)</f>
        <v/>
      </c>
      <c r="B11" s="163" t="str">
        <f>IF(E11=0,"",E11/Rents!$F$14)</f>
        <v/>
      </c>
      <c r="C11" s="164" t="s">
        <v>107</v>
      </c>
      <c r="D11" s="146"/>
      <c r="E11" s="165">
        <v>0.0</v>
      </c>
      <c r="F11" s="166">
        <v>0.0</v>
      </c>
      <c r="G11" s="166"/>
      <c r="H11" s="167">
        <f t="shared" si="1"/>
        <v>0</v>
      </c>
      <c r="I11" s="134"/>
      <c r="J11" s="134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 ht="15.0" customHeight="1">
      <c r="A12" s="162">
        <f>IF(E12=0,"",E12/Rents!$G$14)</f>
        <v>0.6953135864</v>
      </c>
      <c r="B12" s="163">
        <f>IF(E12=0,"",E12/Rents!$F$14)</f>
        <v>431.0344828</v>
      </c>
      <c r="C12" s="164" t="s">
        <v>108</v>
      </c>
      <c r="D12" s="146"/>
      <c r="E12" s="165">
        <v>50000.0</v>
      </c>
      <c r="F12" s="166">
        <v>0.0</v>
      </c>
      <c r="G12" s="166"/>
      <c r="H12" s="167">
        <f t="shared" si="1"/>
        <v>50000</v>
      </c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 ht="15.0" customHeight="1">
      <c r="A13" s="162" t="str">
        <f>IF(E13=0,"",E13/Rents!$G$14)</f>
        <v/>
      </c>
      <c r="B13" s="163" t="str">
        <f>IF(E13=0,"",E13/Rents!$F$14)</f>
        <v/>
      </c>
      <c r="C13" s="168" t="s">
        <v>109</v>
      </c>
      <c r="D13" s="146"/>
      <c r="E13" s="165">
        <v>0.0</v>
      </c>
      <c r="F13" s="166">
        <v>0.0</v>
      </c>
      <c r="G13" s="166"/>
      <c r="H13" s="167">
        <f t="shared" si="1"/>
        <v>0</v>
      </c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 ht="15.0" customHeight="1">
      <c r="A14" s="156">
        <f>IF(E14=0,"",E14/Rents!$G$14)</f>
        <v>0.6953135864</v>
      </c>
      <c r="B14" s="169">
        <f>IF(E14=0,"",E14/Rents!$F$14)</f>
        <v>431.0344828</v>
      </c>
      <c r="C14" s="170" t="s">
        <v>110</v>
      </c>
      <c r="D14" s="152"/>
      <c r="E14" s="171">
        <f t="shared" ref="E14:H14" si="2">SUM(E10:E13)</f>
        <v>50000</v>
      </c>
      <c r="F14" s="171">
        <f t="shared" si="2"/>
        <v>0</v>
      </c>
      <c r="G14" s="171">
        <f t="shared" si="2"/>
        <v>0</v>
      </c>
      <c r="H14" s="171">
        <f t="shared" si="2"/>
        <v>50000</v>
      </c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 ht="15.0" customHeight="1">
      <c r="A15" s="172">
        <f>IF(E15=0,"",E15/Rents!$G$14)</f>
        <v>3.476567932</v>
      </c>
      <c r="B15" s="157">
        <f>IF(E15=0,"",E15/Rents!$F$14)</f>
        <v>2155.172414</v>
      </c>
      <c r="C15" s="158" t="s">
        <v>111</v>
      </c>
      <c r="D15" s="141"/>
      <c r="E15" s="159">
        <v>250000.0</v>
      </c>
      <c r="F15" s="159">
        <v>250000.0</v>
      </c>
      <c r="G15" s="160"/>
      <c r="H15" s="161">
        <f t="shared" ref="H15:H17" si="3">IF(E15-G15&lt;0,ERROR,E15-G15)</f>
        <v>250000</v>
      </c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 ht="15.0" customHeight="1">
      <c r="A16" s="162">
        <f>IF(E16=0,"",E16/Rents!$G$14)</f>
        <v>10.4297038</v>
      </c>
      <c r="B16" s="163">
        <f>IF(E16=0,"",E16/Rents!$F$14)</f>
        <v>6465.517241</v>
      </c>
      <c r="C16" s="164" t="s">
        <v>112</v>
      </c>
      <c r="D16" s="146"/>
      <c r="E16" s="165">
        <v>750000.0</v>
      </c>
      <c r="F16" s="165">
        <f>E16</f>
        <v>750000</v>
      </c>
      <c r="G16" s="166"/>
      <c r="H16" s="167">
        <f t="shared" si="3"/>
        <v>750000</v>
      </c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 ht="15.0" customHeight="1">
      <c r="A17" s="162">
        <f>IF(E17=0,"",E17/Rents!$G$14)</f>
        <v>27.81254346</v>
      </c>
      <c r="B17" s="163">
        <f>IF(E17=0,"",E17/Rents!$F$14)</f>
        <v>17241.37931</v>
      </c>
      <c r="C17" s="168" t="s">
        <v>113</v>
      </c>
      <c r="D17" s="146"/>
      <c r="E17" s="165">
        <v>2000000.0</v>
      </c>
      <c r="F17" s="165">
        <v>2000000.0</v>
      </c>
      <c r="G17" s="166"/>
      <c r="H17" s="167">
        <f t="shared" si="3"/>
        <v>2000000</v>
      </c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 ht="15.0" customHeight="1">
      <c r="A18" s="156">
        <f>IF(E18=0,"",E18/Rents!$G$14)</f>
        <v>41.71881519</v>
      </c>
      <c r="B18" s="169">
        <f>IF(E18=0,"",E18/Rents!$F$14)</f>
        <v>25862.06897</v>
      </c>
      <c r="C18" s="173" t="s">
        <v>114</v>
      </c>
      <c r="D18" s="152"/>
      <c r="E18" s="171">
        <f t="shared" ref="E18:H18" si="4">SUM(E15:E17)</f>
        <v>3000000</v>
      </c>
      <c r="F18" s="171">
        <f t="shared" si="4"/>
        <v>3000000</v>
      </c>
      <c r="G18" s="171">
        <f t="shared" si="4"/>
        <v>0</v>
      </c>
      <c r="H18" s="171">
        <f t="shared" si="4"/>
        <v>3000000</v>
      </c>
      <c r="I18" s="134"/>
      <c r="J18" s="134"/>
      <c r="K18" s="134"/>
      <c r="L18" s="134"/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 ht="15.0" customHeight="1">
      <c r="A19" s="174">
        <f>IF(E19=0,"",E19/SUM(Summary!$C$12,Summary!$F$12))</f>
        <v>29.6851867</v>
      </c>
      <c r="B19" s="175">
        <f>IF(E19=0,"",E19/Rents!$F$14)</f>
        <v>24936.71998</v>
      </c>
      <c r="C19" s="176" t="s">
        <v>115</v>
      </c>
      <c r="D19" s="177"/>
      <c r="E19" s="178">
        <v>2892659.5175445</v>
      </c>
      <c r="F19" s="165">
        <v>2892659.5175445</v>
      </c>
      <c r="G19" s="166"/>
      <c r="H19" s="167">
        <f t="shared" ref="H19:H22" si="5">IF(E19-G19&lt;0,ERROR,E19-G19)</f>
        <v>2892659.518</v>
      </c>
      <c r="I19" s="134"/>
      <c r="J19" s="134"/>
      <c r="K19" s="134"/>
      <c r="L19" s="134"/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 ht="15.0" customHeight="1">
      <c r="A20" s="174">
        <f>IF(E20=0,"",E20/SUM(Summary!$C$12,Summary!$F$12))</f>
        <v>72.8473073</v>
      </c>
      <c r="B20" s="175">
        <f>IF(E20=0,"",E20/Rents!$F$14)</f>
        <v>61194.59249</v>
      </c>
      <c r="C20" s="176" t="s">
        <v>116</v>
      </c>
      <c r="D20" s="177"/>
      <c r="E20" s="178">
        <v>7098572.728962001</v>
      </c>
      <c r="F20" s="165">
        <v>7098572.728962001</v>
      </c>
      <c r="G20" s="166"/>
      <c r="H20" s="167">
        <f t="shared" si="5"/>
        <v>7098572.729</v>
      </c>
      <c r="I20" s="134"/>
      <c r="J20" s="134"/>
      <c r="K20" s="134"/>
      <c r="L20" s="134"/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 ht="15.0" customHeight="1">
      <c r="A21" s="174">
        <f>IF(E21=0,"",E21/SUM(Summary!$C$12,Summary!$F$12))</f>
        <v>61.81088299</v>
      </c>
      <c r="B21" s="175">
        <f>IF(E21=0,"",E21/Rents!$F$14)</f>
        <v>51923.56364</v>
      </c>
      <c r="C21" s="176" t="s">
        <v>117</v>
      </c>
      <c r="D21" s="177"/>
      <c r="E21" s="178">
        <v>6023133.381672001</v>
      </c>
      <c r="F21" s="165">
        <v>6023133.381672001</v>
      </c>
      <c r="G21" s="166"/>
      <c r="H21" s="167">
        <f t="shared" si="5"/>
        <v>6023133.382</v>
      </c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 ht="15.0" customHeight="1">
      <c r="A22" s="174">
        <f>IF(E22=0,"",E22/SUM(Summary!$C$12,Summary!$F$12))</f>
        <v>125.3357412</v>
      </c>
      <c r="B22" s="175">
        <f>IF(E22=0,"",E22/Rents!$F$14)</f>
        <v>105286.9336</v>
      </c>
      <c r="C22" s="179" t="s">
        <v>118</v>
      </c>
      <c r="D22" s="177"/>
      <c r="E22" s="178">
        <v>1.2213284298088502E7</v>
      </c>
      <c r="F22" s="165">
        <v>1.2213284298088502E7</v>
      </c>
      <c r="G22" s="166"/>
      <c r="H22" s="167">
        <f t="shared" si="5"/>
        <v>12213284.3</v>
      </c>
      <c r="I22" s="134"/>
      <c r="J22" s="134"/>
      <c r="K22" s="134"/>
      <c r="L22" s="134"/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 ht="15.0" customHeight="1">
      <c r="A23" s="174">
        <f>IF(E23=0,"",E23/SUM(Summary!$C$12,Summary!$F$12))</f>
        <v>5.069384568</v>
      </c>
      <c r="B23" s="175">
        <f>IF(E23=0,"",E23/Rents!$F$14)</f>
        <v>4258.48167</v>
      </c>
      <c r="C23" s="179" t="s">
        <v>119</v>
      </c>
      <c r="D23" s="180">
        <v>0.0175</v>
      </c>
      <c r="E23" s="181">
        <f>SUM(E19:E22)*D23</f>
        <v>493983.8737</v>
      </c>
      <c r="F23" s="182">
        <f t="shared" ref="F23:F25" si="6">E23</f>
        <v>493983.8737</v>
      </c>
      <c r="G23" s="166"/>
      <c r="H23" s="167">
        <f t="shared" ref="H23:H24" si="7">F23</f>
        <v>493983.8737</v>
      </c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 ht="15.0" customHeight="1">
      <c r="A24" s="174">
        <f>IF(E24=0,"",E24/SUM(Summary!$C$12,Summary!$F$12))</f>
        <v>2.929117268</v>
      </c>
      <c r="B24" s="175">
        <f>IF(E24=0,"",E24/Rents!$F$14)</f>
        <v>2460.573276</v>
      </c>
      <c r="C24" s="179" t="s">
        <v>120</v>
      </c>
      <c r="D24" s="183"/>
      <c r="E24" s="178">
        <v>285426.5</v>
      </c>
      <c r="F24" s="165">
        <f t="shared" si="6"/>
        <v>285426.5</v>
      </c>
      <c r="G24" s="166"/>
      <c r="H24" s="167">
        <f t="shared" si="7"/>
        <v>285426.5</v>
      </c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</row>
    <row r="25" ht="15.0" customHeight="1">
      <c r="A25" s="174">
        <f>IF(E25=0,"",E25/SUM(Summary!$C$12,Summary!$F$12))</f>
        <v>32.7445382</v>
      </c>
      <c r="B25" s="175">
        <f>IF(E25=0,"",E25/Rents!$F$14)</f>
        <v>27506.69511</v>
      </c>
      <c r="C25" s="176" t="s">
        <v>121</v>
      </c>
      <c r="D25" s="180">
        <v>0.11</v>
      </c>
      <c r="E25" s="181">
        <f>SUM(E19:E24)*D25</f>
        <v>3190776.633</v>
      </c>
      <c r="F25" s="182">
        <f t="shared" si="6"/>
        <v>3190776.633</v>
      </c>
      <c r="G25" s="184"/>
      <c r="H25" s="167">
        <f t="shared" ref="H25:H29" si="8">IF(E25-G25&lt;0,ERROR,E25-G25)</f>
        <v>3190776.633</v>
      </c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</row>
    <row r="26" ht="15.0" customHeight="1">
      <c r="A26" s="174">
        <f>IF(E26=0,"",E26/SUM(Summary!$C$12,Summary!$F$12))</f>
        <v>14.883881</v>
      </c>
      <c r="B26" s="175">
        <f>IF(E26=0,"",E26/Rents!$F$14)</f>
        <v>12503.04323</v>
      </c>
      <c r="C26" s="176" t="s">
        <v>122</v>
      </c>
      <c r="D26" s="180">
        <v>0.05</v>
      </c>
      <c r="E26" s="181">
        <f>SUM(E19:E24)*D26</f>
        <v>1450353.015</v>
      </c>
      <c r="F26" s="166"/>
      <c r="G26" s="166"/>
      <c r="H26" s="167">
        <f t="shared" si="8"/>
        <v>1450353.015</v>
      </c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</row>
    <row r="27" ht="15.0" customHeight="1">
      <c r="A27" s="174">
        <f>IF(E27=0,"",E27/SUM(Summary!$C$12,Summary!$F$12))</f>
        <v>24.13680515</v>
      </c>
      <c r="B27" s="175">
        <f>IF(E27=0,"",E27/Rents!$F$14)</f>
        <v>20275.86207</v>
      </c>
      <c r="C27" s="176" t="s">
        <v>123</v>
      </c>
      <c r="D27" s="185"/>
      <c r="E27" s="178">
        <v>2352000.0</v>
      </c>
      <c r="F27" s="165">
        <f>E27</f>
        <v>2352000</v>
      </c>
      <c r="G27" s="166"/>
      <c r="H27" s="167">
        <f t="shared" si="8"/>
        <v>2352000</v>
      </c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/>
      <c r="T27" s="134"/>
      <c r="U27" s="134"/>
      <c r="V27" s="134"/>
      <c r="W27" s="134"/>
      <c r="X27" s="134"/>
      <c r="Y27" s="134"/>
      <c r="Z27" s="134"/>
    </row>
    <row r="28" ht="15.0" customHeight="1">
      <c r="A28" s="174" t="str">
        <f>IF(E28=0,"",E28/Rents!$G$14)</f>
        <v/>
      </c>
      <c r="B28" s="175" t="str">
        <f>IF(E28=0,"",E28/Rents!$F$14)</f>
        <v/>
      </c>
      <c r="C28" s="164"/>
      <c r="D28" s="146"/>
      <c r="E28" s="165"/>
      <c r="F28" s="166"/>
      <c r="G28" s="166"/>
      <c r="H28" s="167">
        <f t="shared" si="8"/>
        <v>0</v>
      </c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</row>
    <row r="29" ht="15.0" customHeight="1">
      <c r="A29" s="186">
        <f>IF(E29=0,"",E29/SUM(Summary!$C$12,Summary!$F$12))</f>
        <v>20.31935644</v>
      </c>
      <c r="B29" s="163">
        <f>IF(E29=0,"",E29/Rents!$F$14)</f>
        <v>17069.05558</v>
      </c>
      <c r="C29" s="187" t="s">
        <v>124</v>
      </c>
      <c r="D29" s="188"/>
      <c r="E29" s="189">
        <f t="shared" ref="E29:F29" si="9">$J$29*SUM(E19:E28)</f>
        <v>1980010.447</v>
      </c>
      <c r="F29" s="189">
        <f t="shared" si="9"/>
        <v>1900241.031</v>
      </c>
      <c r="G29" s="166"/>
      <c r="H29" s="167">
        <f t="shared" si="8"/>
        <v>1980010.447</v>
      </c>
      <c r="I29" s="190" t="s">
        <v>125</v>
      </c>
      <c r="J29" s="191">
        <v>0.055</v>
      </c>
      <c r="K29" s="134"/>
      <c r="L29" s="134"/>
      <c r="M29" s="134"/>
      <c r="N29" s="134"/>
      <c r="O29" s="13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</row>
    <row r="30" ht="15.0" customHeight="1">
      <c r="A30" s="156">
        <f>IF(E30=0,"",E30/SUM(Summary!$C$12,Summary!$F$12))</f>
        <v>389.7622008</v>
      </c>
      <c r="B30" s="169">
        <f>IF(E30=0,"",E30/Rents!$F$14)</f>
        <v>327415.5206</v>
      </c>
      <c r="C30" s="151" t="s">
        <v>126</v>
      </c>
      <c r="D30" s="152"/>
      <c r="E30" s="171">
        <f t="shared" ref="E30:H30" si="10">SUM(E19:E29)</f>
        <v>37980200.4</v>
      </c>
      <c r="F30" s="171">
        <f t="shared" si="10"/>
        <v>36450077.96</v>
      </c>
      <c r="G30" s="171">
        <f t="shared" si="10"/>
        <v>0</v>
      </c>
      <c r="H30" s="171">
        <f t="shared" si="10"/>
        <v>37980200.4</v>
      </c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</row>
    <row r="31" ht="15.0" customHeight="1">
      <c r="A31" s="172">
        <f>IF(E31=0,"",E31/Rents!$G$14)</f>
        <v>2.076987902</v>
      </c>
      <c r="B31" s="157">
        <f>IF(E31=0,"",E31/Rents!$F$14)</f>
        <v>1287.553448</v>
      </c>
      <c r="C31" s="192" t="s">
        <v>127</v>
      </c>
      <c r="D31" s="141"/>
      <c r="E31" s="193">
        <f>Summary!C9*J31</f>
        <v>149356.2</v>
      </c>
      <c r="F31" s="161">
        <f t="shared" ref="F31:F33" si="11">E31</f>
        <v>149356.2</v>
      </c>
      <c r="G31" s="194"/>
      <c r="H31" s="161">
        <f t="shared" ref="H31:H52" si="12">IF(E31-G31&lt;0,ERROR,E31-G31)</f>
        <v>149356.2</v>
      </c>
      <c r="I31" s="190" t="s">
        <v>125</v>
      </c>
      <c r="J31" s="195">
        <v>1.5</v>
      </c>
      <c r="K31" s="134"/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</row>
    <row r="32" ht="15.0" customHeight="1">
      <c r="A32" s="162">
        <f>IF(E32=0,"",E32/Rents!$G$14)</f>
        <v>0.6953135864</v>
      </c>
      <c r="B32" s="163">
        <f>IF(E32=0,"",E32/Rents!$F$14)</f>
        <v>431.0344828</v>
      </c>
      <c r="C32" s="196" t="s">
        <v>128</v>
      </c>
      <c r="D32" s="146"/>
      <c r="E32" s="165">
        <v>50000.0</v>
      </c>
      <c r="F32" s="167">
        <f t="shared" si="11"/>
        <v>50000</v>
      </c>
      <c r="G32" s="197"/>
      <c r="H32" s="167">
        <f t="shared" si="12"/>
        <v>50000</v>
      </c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134"/>
      <c r="V32" s="134"/>
      <c r="W32" s="134"/>
      <c r="X32" s="134"/>
      <c r="Y32" s="134"/>
      <c r="Z32" s="134"/>
    </row>
    <row r="33" ht="15.0" customHeight="1">
      <c r="A33" s="162" t="str">
        <f>IF(E33=0,"",E33/Rents!$G$14)</f>
        <v/>
      </c>
      <c r="B33" s="163" t="str">
        <f>IF(E33=0,"",E33/Rents!$F$14)</f>
        <v/>
      </c>
      <c r="C33" s="196" t="s">
        <v>129</v>
      </c>
      <c r="D33" s="146"/>
      <c r="E33" s="165">
        <v>0.0</v>
      </c>
      <c r="F33" s="167">
        <f t="shared" si="11"/>
        <v>0</v>
      </c>
      <c r="G33" s="197"/>
      <c r="H33" s="167">
        <f t="shared" si="12"/>
        <v>0</v>
      </c>
      <c r="I33" s="134"/>
      <c r="J33" s="134"/>
      <c r="K33" s="134"/>
      <c r="L33" s="134"/>
      <c r="M33" s="134"/>
      <c r="N33" s="134"/>
      <c r="O33" s="134"/>
      <c r="P33" s="134"/>
      <c r="Q33" s="134"/>
      <c r="R33" s="134"/>
      <c r="S33" s="134"/>
      <c r="T33" s="134"/>
      <c r="U33" s="134"/>
      <c r="V33" s="134"/>
      <c r="W33" s="134"/>
      <c r="X33" s="134"/>
      <c r="Y33" s="134"/>
      <c r="Z33" s="134"/>
    </row>
    <row r="34" ht="15.0" customHeight="1">
      <c r="A34" s="162">
        <f>IF(E34=0,"",E34/Rents!$G$14)</f>
        <v>1.390627173</v>
      </c>
      <c r="B34" s="163">
        <f>IF(E34=0,"",E34/Rents!$F$14)</f>
        <v>862.0689655</v>
      </c>
      <c r="C34" s="196" t="s">
        <v>130</v>
      </c>
      <c r="D34" s="146"/>
      <c r="E34" s="165">
        <v>100000.0</v>
      </c>
      <c r="F34" s="167"/>
      <c r="G34" s="197"/>
      <c r="H34" s="167">
        <f t="shared" si="12"/>
        <v>100000</v>
      </c>
      <c r="I34" s="134"/>
      <c r="J34" s="134"/>
      <c r="K34" s="134"/>
      <c r="L34" s="134"/>
      <c r="M34" s="134"/>
      <c r="N34" s="134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</row>
    <row r="35" ht="15.0" customHeight="1">
      <c r="A35" s="162">
        <f>IF(E35=0,"",E35/Rents!$G$14)</f>
        <v>0.06953135864</v>
      </c>
      <c r="B35" s="163">
        <f>IF(E35=0,"",E35/Rents!$F$14)</f>
        <v>43.10344828</v>
      </c>
      <c r="C35" s="196" t="s">
        <v>131</v>
      </c>
      <c r="D35" s="146"/>
      <c r="E35" s="165">
        <v>5000.0</v>
      </c>
      <c r="F35" s="167"/>
      <c r="G35" s="197"/>
      <c r="H35" s="167">
        <f t="shared" si="12"/>
        <v>5000</v>
      </c>
      <c r="I35" s="134"/>
      <c r="J35" s="134"/>
      <c r="K35" s="134"/>
      <c r="L35" s="134"/>
      <c r="M35" s="134"/>
      <c r="N35" s="134"/>
      <c r="O35" s="134"/>
      <c r="P35" s="134"/>
      <c r="Q35" s="134"/>
      <c r="R35" s="134"/>
      <c r="S35" s="134"/>
      <c r="T35" s="134"/>
      <c r="U35" s="134"/>
      <c r="V35" s="134"/>
      <c r="W35" s="134"/>
      <c r="X35" s="134"/>
      <c r="Y35" s="134"/>
      <c r="Z35" s="134"/>
    </row>
    <row r="36" ht="15.0" customHeight="1">
      <c r="A36" s="162">
        <f>IF(E36=0,"",E36/Rents!$G$14)</f>
        <v>7.227131136</v>
      </c>
      <c r="B36" s="198">
        <f>IF(E36=0,"",E36/Rents!$F$14)</f>
        <v>4480.198276</v>
      </c>
      <c r="C36" s="176" t="s">
        <v>132</v>
      </c>
      <c r="D36" s="199">
        <v>0.01368352459</v>
      </c>
      <c r="E36" s="200">
        <v>519703.0</v>
      </c>
      <c r="F36" s="167">
        <f t="shared" ref="F36:F38" si="13">E36</f>
        <v>519703</v>
      </c>
      <c r="G36" s="197"/>
      <c r="H36" s="167">
        <f t="shared" si="12"/>
        <v>519703</v>
      </c>
      <c r="I36" s="134"/>
      <c r="J36" s="188"/>
      <c r="K36" s="188"/>
      <c r="L36" s="134"/>
      <c r="M36" s="134"/>
      <c r="N36" s="134"/>
      <c r="O36" s="134"/>
      <c r="P36" s="134"/>
      <c r="Q36" s="134"/>
      <c r="R36" s="134"/>
      <c r="S36" s="134"/>
      <c r="T36" s="134"/>
      <c r="U36" s="134"/>
      <c r="V36" s="134"/>
      <c r="W36" s="134"/>
      <c r="X36" s="134"/>
      <c r="Y36" s="134"/>
      <c r="Z36" s="134"/>
    </row>
    <row r="37" ht="15.0" customHeight="1">
      <c r="A37" s="162">
        <f>IF(E37=0,"",E37/Rents!$G$14)</f>
        <v>0.6953135864</v>
      </c>
      <c r="B37" s="163">
        <f>IF(E37=0,"",E37/Rents!$F$14)</f>
        <v>431.0344828</v>
      </c>
      <c r="C37" s="196" t="s">
        <v>133</v>
      </c>
      <c r="D37" s="146"/>
      <c r="E37" s="165">
        <v>50000.0</v>
      </c>
      <c r="F37" s="167">
        <f t="shared" si="13"/>
        <v>50000</v>
      </c>
      <c r="G37" s="197"/>
      <c r="H37" s="167">
        <f t="shared" si="12"/>
        <v>50000</v>
      </c>
      <c r="I37" s="134"/>
      <c r="J37" s="188"/>
      <c r="K37" s="188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</row>
    <row r="38" ht="15.0" customHeight="1">
      <c r="A38" s="162">
        <f>IF(E38=0,"",E38/Rents!$G$14)</f>
        <v>0.6953135864</v>
      </c>
      <c r="B38" s="163">
        <f>IF(E38=0,"",E38/Rents!$F$14)</f>
        <v>431.0344828</v>
      </c>
      <c r="C38" s="196" t="s">
        <v>134</v>
      </c>
      <c r="D38" s="146"/>
      <c r="E38" s="165">
        <v>50000.0</v>
      </c>
      <c r="F38" s="167">
        <f t="shared" si="13"/>
        <v>50000</v>
      </c>
      <c r="G38" s="197"/>
      <c r="H38" s="167">
        <f t="shared" si="12"/>
        <v>50000</v>
      </c>
      <c r="I38" s="134"/>
      <c r="J38" s="188"/>
      <c r="K38" s="188"/>
      <c r="L38" s="134"/>
      <c r="M38" s="134"/>
      <c r="N38" s="134"/>
      <c r="O38" s="134"/>
      <c r="P38" s="134"/>
      <c r="Q38" s="134"/>
      <c r="R38" s="134"/>
      <c r="S38" s="134"/>
      <c r="T38" s="134"/>
      <c r="U38" s="134"/>
      <c r="V38" s="134"/>
      <c r="W38" s="134"/>
      <c r="X38" s="134"/>
      <c r="Y38" s="134"/>
      <c r="Z38" s="134"/>
    </row>
    <row r="39" ht="15.0" customHeight="1">
      <c r="A39" s="162" t="str">
        <f>IF(E39=0,"",E39/Rents!$G$14)</f>
        <v/>
      </c>
      <c r="B39" s="163" t="str">
        <f>IF(E39=0,"",E39/Rents!$F$14)</f>
        <v/>
      </c>
      <c r="C39" s="196" t="s">
        <v>135</v>
      </c>
      <c r="D39" s="146"/>
      <c r="E39" s="165"/>
      <c r="F39" s="201"/>
      <c r="G39" s="197"/>
      <c r="H39" s="167">
        <f t="shared" si="12"/>
        <v>0</v>
      </c>
      <c r="I39" s="134"/>
      <c r="J39" s="188"/>
      <c r="K39" s="188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</row>
    <row r="40" ht="15.0" customHeight="1">
      <c r="A40" s="162">
        <f>IF(E40=0,"",E40/Rents!$G$14)</f>
        <v>16.47943262</v>
      </c>
      <c r="B40" s="163">
        <f>IF(E40=0,"",E40/Rents!$F$14)</f>
        <v>10215.82759</v>
      </c>
      <c r="C40" s="196" t="s">
        <v>136</v>
      </c>
      <c r="D40" s="146"/>
      <c r="E40" s="167">
        <f>'City Impact Fees'!H88</f>
        <v>1185036</v>
      </c>
      <c r="F40" s="167">
        <f t="shared" ref="F40:F41" si="14">E40</f>
        <v>1185036</v>
      </c>
      <c r="G40" s="197"/>
      <c r="H40" s="167">
        <f t="shared" si="12"/>
        <v>1185036</v>
      </c>
      <c r="I40" s="134"/>
      <c r="J40" s="188"/>
      <c r="K40" s="188"/>
      <c r="L40" s="134"/>
      <c r="M40" s="134"/>
      <c r="N40" s="134"/>
      <c r="O40" s="134"/>
      <c r="P40" s="134"/>
      <c r="Q40" s="134"/>
      <c r="R40" s="134"/>
      <c r="S40" s="134"/>
      <c r="T40" s="134"/>
      <c r="U40" s="134"/>
      <c r="V40" s="134"/>
      <c r="W40" s="134"/>
      <c r="X40" s="134"/>
      <c r="Y40" s="134"/>
      <c r="Z40" s="134"/>
    </row>
    <row r="41" ht="15.0" customHeight="1">
      <c r="A41" s="162">
        <f>IF(E41=0,"",E41/Rents!$G$14)</f>
        <v>4.171881519</v>
      </c>
      <c r="B41" s="163">
        <f>IF(E41=0,"",E41/Rents!$F$14)</f>
        <v>2586.206897</v>
      </c>
      <c r="C41" s="196" t="s">
        <v>137</v>
      </c>
      <c r="D41" s="146"/>
      <c r="E41" s="165">
        <v>300000.0</v>
      </c>
      <c r="F41" s="167">
        <f t="shared" si="14"/>
        <v>300000</v>
      </c>
      <c r="G41" s="197"/>
      <c r="H41" s="167">
        <f t="shared" si="12"/>
        <v>300000</v>
      </c>
      <c r="I41" s="134"/>
      <c r="J41" s="188"/>
      <c r="K41" s="188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</row>
    <row r="42" ht="15.0" customHeight="1">
      <c r="A42" s="162" t="str">
        <f>IF(E42=0,"",E42/Rents!$G$14)</f>
        <v/>
      </c>
      <c r="B42" s="163" t="str">
        <f>IF(E42=0,"",E42/Rents!$F$14)</f>
        <v/>
      </c>
      <c r="C42" s="196" t="s">
        <v>138</v>
      </c>
      <c r="D42" s="146"/>
      <c r="E42" s="165"/>
      <c r="F42" s="201"/>
      <c r="G42" s="197"/>
      <c r="H42" s="167">
        <f t="shared" si="12"/>
        <v>0</v>
      </c>
      <c r="I42" s="134"/>
      <c r="J42" s="188"/>
      <c r="K42" s="188"/>
      <c r="L42" s="134"/>
      <c r="M42" s="134"/>
      <c r="N42" s="134"/>
      <c r="O42" s="134"/>
      <c r="P42" s="134"/>
      <c r="Q42" s="134"/>
      <c r="R42" s="134"/>
      <c r="S42" s="134"/>
      <c r="T42" s="134"/>
      <c r="U42" s="134"/>
      <c r="V42" s="134"/>
      <c r="W42" s="134"/>
      <c r="X42" s="134"/>
      <c r="Y42" s="134"/>
      <c r="Z42" s="134"/>
    </row>
    <row r="43" ht="15.0" customHeight="1">
      <c r="A43" s="162">
        <f>IF(E43=0,"",E43/Rents!$G$14)</f>
        <v>0.6953135864</v>
      </c>
      <c r="B43" s="163">
        <f>IF(E43=0,"",E43/Rents!$F$14)</f>
        <v>431.0344828</v>
      </c>
      <c r="C43" s="196" t="s">
        <v>139</v>
      </c>
      <c r="D43" s="146"/>
      <c r="E43" s="165">
        <v>50000.0</v>
      </c>
      <c r="F43" s="167">
        <f t="shared" ref="F43:F48" si="15">E43</f>
        <v>50000</v>
      </c>
      <c r="G43" s="197"/>
      <c r="H43" s="167">
        <f t="shared" si="12"/>
        <v>50000</v>
      </c>
      <c r="I43" s="134"/>
      <c r="J43" s="188"/>
      <c r="K43" s="188"/>
      <c r="L43" s="134"/>
      <c r="M43" s="134"/>
      <c r="N43" s="134"/>
      <c r="O43" s="134"/>
      <c r="P43" s="134"/>
      <c r="Q43" s="134"/>
      <c r="R43" s="134"/>
      <c r="S43" s="134"/>
      <c r="T43" s="134"/>
      <c r="U43" s="134"/>
      <c r="V43" s="134"/>
      <c r="W43" s="134"/>
      <c r="X43" s="134"/>
      <c r="Y43" s="134"/>
      <c r="Z43" s="134"/>
    </row>
    <row r="44" ht="15.0" customHeight="1">
      <c r="A44" s="162">
        <f>IF(E44=0,"",E44/Rents!$G$14)</f>
        <v>1.390627173</v>
      </c>
      <c r="B44" s="163">
        <f>IF(E44=0,"",E44/Rents!$F$14)</f>
        <v>862.0689655</v>
      </c>
      <c r="C44" s="196" t="s">
        <v>140</v>
      </c>
      <c r="D44" s="146"/>
      <c r="E44" s="165">
        <v>100000.0</v>
      </c>
      <c r="F44" s="167">
        <f t="shared" si="15"/>
        <v>100000</v>
      </c>
      <c r="G44" s="197"/>
      <c r="H44" s="167">
        <f t="shared" si="12"/>
        <v>100000</v>
      </c>
      <c r="I44" s="134"/>
      <c r="J44" s="188"/>
      <c r="K44" s="188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  <c r="Z44" s="134"/>
    </row>
    <row r="45" ht="15.0" customHeight="1">
      <c r="A45" s="162">
        <f>IF(E45=0,"",E45/Rents!$G$14)</f>
        <v>6.953135864</v>
      </c>
      <c r="B45" s="163">
        <f>IF(E45=0,"",E45/Rents!$F$14)</f>
        <v>4310.344828</v>
      </c>
      <c r="C45" s="202" t="s">
        <v>141</v>
      </c>
      <c r="D45" s="146"/>
      <c r="E45" s="165">
        <v>500000.0</v>
      </c>
      <c r="F45" s="167">
        <f t="shared" si="15"/>
        <v>500000</v>
      </c>
      <c r="G45" s="197"/>
      <c r="H45" s="167">
        <f t="shared" si="12"/>
        <v>500000</v>
      </c>
      <c r="I45" s="134"/>
      <c r="J45" s="188"/>
      <c r="K45" s="188"/>
      <c r="L45" s="134"/>
      <c r="M45" s="134"/>
      <c r="N45" s="134"/>
      <c r="O45" s="134"/>
      <c r="P45" s="134"/>
      <c r="Q45" s="134"/>
      <c r="R45" s="134"/>
      <c r="S45" s="134"/>
      <c r="T45" s="134"/>
      <c r="U45" s="134"/>
      <c r="V45" s="134"/>
      <c r="W45" s="134"/>
      <c r="X45" s="134"/>
      <c r="Y45" s="134"/>
      <c r="Z45" s="134"/>
    </row>
    <row r="46" ht="15.0" customHeight="1">
      <c r="A46" s="162">
        <f>IF(E46=0,"",E46/Rents!$G$14)</f>
        <v>6.953135864</v>
      </c>
      <c r="B46" s="163">
        <f>IF(E46=0,"",E46/Rents!$F$14)</f>
        <v>4310.344828</v>
      </c>
      <c r="C46" s="202" t="s">
        <v>142</v>
      </c>
      <c r="D46" s="146"/>
      <c r="E46" s="165">
        <v>500000.0</v>
      </c>
      <c r="F46" s="167">
        <f t="shared" si="15"/>
        <v>500000</v>
      </c>
      <c r="G46" s="197"/>
      <c r="H46" s="167">
        <f t="shared" si="12"/>
        <v>500000</v>
      </c>
      <c r="I46" s="134"/>
      <c r="J46" s="188"/>
      <c r="K46" s="188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</row>
    <row r="47" ht="15.0" customHeight="1">
      <c r="A47" s="162">
        <f>IF(E47=0,"",E47/Rents!$G$14)</f>
        <v>2.433597552</v>
      </c>
      <c r="B47" s="163">
        <f>IF(E47=0,"",E47/Rents!$F$14)</f>
        <v>1508.62069</v>
      </c>
      <c r="C47" s="203" t="s">
        <v>143</v>
      </c>
      <c r="D47" s="146"/>
      <c r="E47" s="165">
        <v>175000.0</v>
      </c>
      <c r="F47" s="167">
        <f t="shared" si="15"/>
        <v>175000</v>
      </c>
      <c r="G47" s="197"/>
      <c r="H47" s="167">
        <f t="shared" si="12"/>
        <v>175000</v>
      </c>
      <c r="I47" s="134"/>
      <c r="J47" s="188"/>
      <c r="K47" s="188"/>
      <c r="L47" s="134"/>
      <c r="M47" s="134"/>
      <c r="N47" s="188"/>
      <c r="O47" s="134"/>
      <c r="P47" s="134"/>
      <c r="Q47" s="134"/>
      <c r="R47" s="134"/>
      <c r="S47" s="134"/>
      <c r="T47" s="134"/>
      <c r="U47" s="134"/>
      <c r="V47" s="134"/>
      <c r="W47" s="134"/>
      <c r="X47" s="134"/>
      <c r="Y47" s="134"/>
      <c r="Z47" s="134"/>
    </row>
    <row r="48" ht="15.0" customHeight="1">
      <c r="A48" s="162">
        <f>IF(E48=0,"",E48/Rents!$G$14)</f>
        <v>0.6953135864</v>
      </c>
      <c r="B48" s="163">
        <f>IF(E48=0,"",E48/Rents!$F$14)</f>
        <v>431.0344828</v>
      </c>
      <c r="C48" s="204" t="s">
        <v>144</v>
      </c>
      <c r="D48" s="146"/>
      <c r="E48" s="205">
        <v>50000.0</v>
      </c>
      <c r="F48" s="167">
        <f t="shared" si="15"/>
        <v>50000</v>
      </c>
      <c r="G48" s="197"/>
      <c r="H48" s="167">
        <f t="shared" si="12"/>
        <v>50000</v>
      </c>
      <c r="I48" s="134"/>
      <c r="J48" s="134"/>
      <c r="K48" s="134"/>
      <c r="L48" s="134"/>
      <c r="M48" s="134"/>
      <c r="N48" s="134"/>
      <c r="O48" s="134"/>
      <c r="P48" s="134"/>
      <c r="Q48" s="134"/>
      <c r="R48" s="134"/>
      <c r="S48" s="134"/>
      <c r="T48" s="134"/>
      <c r="U48" s="134"/>
      <c r="V48" s="134"/>
      <c r="W48" s="134"/>
      <c r="X48" s="134"/>
      <c r="Y48" s="134"/>
      <c r="Z48" s="134"/>
    </row>
    <row r="49" ht="15.0" customHeight="1">
      <c r="A49" s="162" t="str">
        <f>IF(E49=0,"",E49/Rents!$G$14)</f>
        <v/>
      </c>
      <c r="B49" s="163" t="str">
        <f>IF(E49=0,"",E49/Rents!$F$14)</f>
        <v/>
      </c>
      <c r="C49" s="202"/>
      <c r="D49" s="146"/>
      <c r="E49" s="165"/>
      <c r="F49" s="201"/>
      <c r="G49" s="197"/>
      <c r="H49" s="167">
        <f t="shared" si="12"/>
        <v>0</v>
      </c>
      <c r="I49" s="134"/>
      <c r="J49" s="134"/>
      <c r="K49" s="134"/>
      <c r="L49" s="134"/>
      <c r="M49" s="134"/>
      <c r="N49" s="134"/>
      <c r="O49" s="134"/>
      <c r="P49" s="134"/>
      <c r="Q49" s="134"/>
      <c r="R49" s="134"/>
      <c r="S49" s="134"/>
      <c r="T49" s="134"/>
      <c r="U49" s="134"/>
      <c r="V49" s="134"/>
      <c r="W49" s="134"/>
      <c r="X49" s="134"/>
      <c r="Y49" s="134"/>
      <c r="Z49" s="134"/>
    </row>
    <row r="50" ht="15.0" customHeight="1">
      <c r="A50" s="162">
        <f>IF(E50=0,"",E50/Rents!$G$14)</f>
        <v>0.6953135864</v>
      </c>
      <c r="B50" s="163">
        <f>IF(E50=0,"",E50/Rents!$F$14)</f>
        <v>431.0344828</v>
      </c>
      <c r="C50" s="204" t="s">
        <v>145</v>
      </c>
      <c r="D50" s="146"/>
      <c r="E50" s="165">
        <v>50000.0</v>
      </c>
      <c r="F50" s="201">
        <v>0.0</v>
      </c>
      <c r="G50" s="197"/>
      <c r="H50" s="167">
        <f t="shared" si="12"/>
        <v>50000</v>
      </c>
      <c r="I50" s="134"/>
      <c r="J50" s="134"/>
      <c r="K50" s="134"/>
      <c r="L50" s="134"/>
      <c r="M50" s="134"/>
      <c r="N50" s="134"/>
      <c r="O50" s="134"/>
      <c r="P50" s="134"/>
      <c r="Q50" s="134"/>
      <c r="R50" s="134"/>
      <c r="S50" s="134"/>
      <c r="T50" s="134"/>
      <c r="U50" s="134"/>
      <c r="V50" s="134"/>
      <c r="W50" s="134"/>
      <c r="X50" s="134"/>
      <c r="Y50" s="134"/>
      <c r="Z50" s="134"/>
    </row>
    <row r="51" ht="15.0" customHeight="1">
      <c r="A51" s="162" t="str">
        <f>IF(E51=0,"",E51/Rents!$G$14)</f>
        <v/>
      </c>
      <c r="B51" s="163" t="str">
        <f>IF(E51=0,"",E51/Rents!$F$14)</f>
        <v/>
      </c>
      <c r="C51" s="202"/>
      <c r="D51" s="146"/>
      <c r="E51" s="165"/>
      <c r="F51" s="201"/>
      <c r="G51" s="197"/>
      <c r="H51" s="167">
        <f t="shared" si="12"/>
        <v>0</v>
      </c>
      <c r="I51" s="134"/>
      <c r="J51" s="134"/>
      <c r="K51" s="134"/>
      <c r="L51" s="188"/>
      <c r="M51" s="134"/>
      <c r="N51" s="134"/>
      <c r="O51" s="134"/>
      <c r="P51" s="134"/>
      <c r="Q51" s="134"/>
      <c r="R51" s="134"/>
      <c r="S51" s="134"/>
      <c r="T51" s="134"/>
      <c r="U51" s="134"/>
      <c r="V51" s="134"/>
      <c r="W51" s="134"/>
      <c r="X51" s="134"/>
      <c r="Y51" s="134"/>
      <c r="Z51" s="134"/>
    </row>
    <row r="52" ht="15.0" customHeight="1">
      <c r="A52" s="162">
        <f>IF(E52=0,"",E52/Rents!$G$14)</f>
        <v>1.687873675</v>
      </c>
      <c r="B52" s="163">
        <f>IF(E52=0,"",E52/Rents!$F$14)</f>
        <v>1046.336172</v>
      </c>
      <c r="C52" s="206" t="s">
        <v>146</v>
      </c>
      <c r="D52" s="188"/>
      <c r="E52" s="189">
        <f>$J$52*SUM(E31:E51,E81)</f>
        <v>121374.996</v>
      </c>
      <c r="F52" s="207">
        <v>0.0</v>
      </c>
      <c r="G52" s="208"/>
      <c r="H52" s="209">
        <f t="shared" si="12"/>
        <v>121374.996</v>
      </c>
      <c r="I52" s="190" t="s">
        <v>125</v>
      </c>
      <c r="J52" s="191">
        <v>0.03</v>
      </c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</row>
    <row r="53" ht="15.0" customHeight="1">
      <c r="A53" s="156">
        <f>IF(E53=0,"",E53/Rents!$G$14)</f>
        <v>55.00584336</v>
      </c>
      <c r="B53" s="169">
        <f>IF(E53=0,"",E53/Rents!$F$14)</f>
        <v>34098.881</v>
      </c>
      <c r="C53" s="210" t="s">
        <v>147</v>
      </c>
      <c r="D53" s="146"/>
      <c r="E53" s="171">
        <f t="shared" ref="E53:H53" si="16">SUM(E31:E52)</f>
        <v>3955470.196</v>
      </c>
      <c r="F53" s="171">
        <f t="shared" si="16"/>
        <v>3679095.2</v>
      </c>
      <c r="G53" s="171">
        <f t="shared" si="16"/>
        <v>0</v>
      </c>
      <c r="H53" s="171">
        <f t="shared" si="16"/>
        <v>3955470.196</v>
      </c>
      <c r="I53" s="134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 ht="15.0" customHeight="1">
      <c r="A54" s="162"/>
      <c r="B54" s="198"/>
      <c r="C54" s="211" t="s">
        <v>148</v>
      </c>
      <c r="D54" s="212"/>
      <c r="E54" s="213">
        <f>E53/E30</f>
        <v>0.1041455852</v>
      </c>
      <c r="F54" s="214"/>
      <c r="G54" s="215"/>
      <c r="H54" s="214"/>
      <c r="I54" s="134"/>
      <c r="J54" s="216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4"/>
    </row>
    <row r="55" ht="15.0" customHeight="1">
      <c r="A55" s="172">
        <f>IF(E55=0,"",E55/Rents!$G$14)</f>
        <v>3.602520439</v>
      </c>
      <c r="B55" s="157">
        <f>IF(E55=0,"",E55/Rents!$F$14)</f>
        <v>2233.25211</v>
      </c>
      <c r="C55" s="217" t="s">
        <v>149</v>
      </c>
      <c r="D55" s="146"/>
      <c r="E55" s="218">
        <f>J55*Summary!D40</f>
        <v>259057.2448</v>
      </c>
      <c r="F55" s="161">
        <f t="shared" ref="F55:F58" si="17">E55</f>
        <v>259057.2448</v>
      </c>
      <c r="G55" s="160"/>
      <c r="H55" s="161">
        <f t="shared" ref="H55:H74" si="18">IF(E55-G55&lt;0,ERROR,E55-G55)</f>
        <v>259057.2448</v>
      </c>
      <c r="I55" s="190" t="s">
        <v>125</v>
      </c>
      <c r="J55" s="191">
        <v>0.01</v>
      </c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4"/>
    </row>
    <row r="56" ht="15.0" customHeight="1">
      <c r="A56" s="162">
        <f>IF(E56=0,"",E56/Rents!$G$14)</f>
        <v>0.4171881519</v>
      </c>
      <c r="B56" s="163">
        <f>IF(E56=0,"",E56/Rents!$F$14)</f>
        <v>258.6206897</v>
      </c>
      <c r="C56" s="217" t="s">
        <v>150</v>
      </c>
      <c r="D56" s="146"/>
      <c r="E56" s="165">
        <v>30000.0</v>
      </c>
      <c r="F56" s="167">
        <f t="shared" si="17"/>
        <v>30000</v>
      </c>
      <c r="G56" s="166"/>
      <c r="H56" s="167">
        <f t="shared" si="18"/>
        <v>30000</v>
      </c>
      <c r="I56" s="134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4"/>
    </row>
    <row r="57" ht="15.0" customHeight="1">
      <c r="A57" s="162">
        <f>IF(E57=0,"",E57/Rents!$G$14)</f>
        <v>0.2781254346</v>
      </c>
      <c r="B57" s="163">
        <f>IF(E57=0,"",E57/Rents!$F$14)</f>
        <v>172.4137931</v>
      </c>
      <c r="C57" s="217" t="s">
        <v>151</v>
      </c>
      <c r="D57" s="146"/>
      <c r="E57" s="165">
        <v>20000.0</v>
      </c>
      <c r="F57" s="167">
        <f t="shared" si="17"/>
        <v>20000</v>
      </c>
      <c r="G57" s="166"/>
      <c r="H57" s="167">
        <f t="shared" si="18"/>
        <v>20000</v>
      </c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</row>
    <row r="58" ht="15.0" customHeight="1">
      <c r="A58" s="162">
        <f>IF(E58=0,"",E58/Rents!$G$14)</f>
        <v>0.6373244333</v>
      </c>
      <c r="B58" s="163">
        <f>IF(E58=0,"",E58/Rents!$F$14)</f>
        <v>395.0862069</v>
      </c>
      <c r="C58" s="219" t="s">
        <v>152</v>
      </c>
      <c r="D58" s="146"/>
      <c r="E58" s="165">
        <v>45830.0</v>
      </c>
      <c r="F58" s="167">
        <f t="shared" si="17"/>
        <v>45830</v>
      </c>
      <c r="G58" s="166"/>
      <c r="H58" s="167">
        <f t="shared" si="18"/>
        <v>45830</v>
      </c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4"/>
    </row>
    <row r="59" ht="15.0" customHeight="1">
      <c r="A59" s="162" t="str">
        <f>IF(E59=0,"",E59/Rents!$G$14)</f>
        <v/>
      </c>
      <c r="B59" s="163" t="str">
        <f>IF(E59=0,"",E59/Rents!$F$14)</f>
        <v/>
      </c>
      <c r="C59" s="219" t="s">
        <v>153</v>
      </c>
      <c r="D59" s="146"/>
      <c r="E59" s="165"/>
      <c r="F59" s="166"/>
      <c r="G59" s="166"/>
      <c r="H59" s="167">
        <f t="shared" si="18"/>
        <v>0</v>
      </c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</row>
    <row r="60" ht="15.0" customHeight="1">
      <c r="A60" s="162">
        <f>IF(E60=0,"",E60/Rents!$G$14)</f>
        <v>1.000759044</v>
      </c>
      <c r="B60" s="163">
        <f>IF(E60=0,"",E60/Rents!$F$14)</f>
        <v>620.3843351</v>
      </c>
      <c r="C60" s="220" t="s">
        <v>154</v>
      </c>
      <c r="D60" s="146"/>
      <c r="E60" s="167">
        <f>J60*'Sources and Uses'!H127</f>
        <v>71964.58287</v>
      </c>
      <c r="F60" s="167">
        <f t="shared" ref="F60:F65" si="19">E60</f>
        <v>71964.58287</v>
      </c>
      <c r="G60" s="166"/>
      <c r="H60" s="167">
        <f t="shared" si="18"/>
        <v>71964.58287</v>
      </c>
      <c r="I60" s="190" t="s">
        <v>125</v>
      </c>
      <c r="J60" s="191">
        <v>0.01</v>
      </c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4"/>
    </row>
    <row r="61" ht="15.0" customHeight="1">
      <c r="A61" s="162">
        <f>IF(E61=0,"",E61/Rents!$G$14)</f>
        <v>0.1390627173</v>
      </c>
      <c r="B61" s="163">
        <f>IF(E61=0,"",E61/Rents!$F$14)</f>
        <v>86.20689655</v>
      </c>
      <c r="C61" s="217" t="s">
        <v>155</v>
      </c>
      <c r="D61" s="146"/>
      <c r="E61" s="165">
        <v>10000.0</v>
      </c>
      <c r="F61" s="167">
        <f t="shared" si="19"/>
        <v>10000</v>
      </c>
      <c r="G61" s="166"/>
      <c r="H61" s="167">
        <f t="shared" si="18"/>
        <v>10000</v>
      </c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4"/>
    </row>
    <row r="62" ht="15.0" customHeight="1">
      <c r="A62" s="162">
        <f>IF(E62=0,"",E62/Rents!$G$14)</f>
        <v>1.478539722</v>
      </c>
      <c r="B62" s="163">
        <f>IF(E62=0,"",E62/Rents!$F$14)</f>
        <v>916.5671675</v>
      </c>
      <c r="C62" s="217" t="s">
        <v>156</v>
      </c>
      <c r="D62" s="146"/>
      <c r="E62" s="167">
        <f>J62*('Debt &amp; Valuation'!E24+'Debt &amp; Valuation'!G24)</f>
        <v>106321.7914</v>
      </c>
      <c r="F62" s="167">
        <f t="shared" si="19"/>
        <v>106321.7914</v>
      </c>
      <c r="G62" s="166"/>
      <c r="H62" s="167">
        <f t="shared" si="18"/>
        <v>106321.7914</v>
      </c>
      <c r="I62" s="190" t="s">
        <v>125</v>
      </c>
      <c r="J62" s="191">
        <v>0.005</v>
      </c>
      <c r="K62" s="188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4"/>
    </row>
    <row r="63" ht="15.0" customHeight="1">
      <c r="A63" s="162">
        <f>IF(E63=0,"",E63/Rents!$G$14)</f>
        <v>0.3476567932</v>
      </c>
      <c r="B63" s="163">
        <f>IF(E63=0,"",E63/Rents!$F$14)</f>
        <v>215.5172414</v>
      </c>
      <c r="C63" s="220" t="s">
        <v>157</v>
      </c>
      <c r="D63" s="146"/>
      <c r="E63" s="165">
        <v>25000.0</v>
      </c>
      <c r="F63" s="167">
        <f t="shared" si="19"/>
        <v>25000</v>
      </c>
      <c r="G63" s="166"/>
      <c r="H63" s="167">
        <f t="shared" si="18"/>
        <v>25000</v>
      </c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4"/>
    </row>
    <row r="64" ht="15.0" customHeight="1">
      <c r="A64" s="162">
        <f>IF(E64=0,"",E64/Rents!$G$14)</f>
        <v>0.3476567932</v>
      </c>
      <c r="B64" s="163">
        <f>IF(E64=0,"",E64/Rents!$F$14)</f>
        <v>215.5172414</v>
      </c>
      <c r="C64" s="164" t="s">
        <v>158</v>
      </c>
      <c r="D64" s="146"/>
      <c r="E64" s="165">
        <v>25000.0</v>
      </c>
      <c r="F64" s="167">
        <f t="shared" si="19"/>
        <v>25000</v>
      </c>
      <c r="G64" s="166"/>
      <c r="H64" s="167">
        <f t="shared" si="18"/>
        <v>25000</v>
      </c>
      <c r="I64" s="134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4"/>
    </row>
    <row r="65" ht="15.0" customHeight="1">
      <c r="A65" s="162">
        <f>IF(E65=0,"",E65/Rents!$G$14)</f>
        <v>0.3476567932</v>
      </c>
      <c r="B65" s="163">
        <f>IF(E65=0,"",E65/Rents!$F$14)</f>
        <v>215.5172414</v>
      </c>
      <c r="C65" s="220" t="s">
        <v>159</v>
      </c>
      <c r="D65" s="146"/>
      <c r="E65" s="165">
        <v>25000.0</v>
      </c>
      <c r="F65" s="167">
        <f t="shared" si="19"/>
        <v>25000</v>
      </c>
      <c r="G65" s="166"/>
      <c r="H65" s="167">
        <f t="shared" si="18"/>
        <v>25000</v>
      </c>
      <c r="I65" s="134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4"/>
    </row>
    <row r="66" ht="15.0" customHeight="1">
      <c r="A66" s="162" t="str">
        <f>IF(E66=0,"",E66/Rents!$G$14)</f>
        <v/>
      </c>
      <c r="B66" s="163" t="str">
        <f>IF(E66=0,"",E66/Rents!$F$14)</f>
        <v/>
      </c>
      <c r="C66" s="220" t="s">
        <v>160</v>
      </c>
      <c r="D66" s="146"/>
      <c r="E66" s="165"/>
      <c r="F66" s="166"/>
      <c r="G66" s="166"/>
      <c r="H66" s="167">
        <f t="shared" si="18"/>
        <v>0</v>
      </c>
      <c r="I66" s="134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4"/>
    </row>
    <row r="67" ht="15.0" customHeight="1">
      <c r="A67" s="162" t="str">
        <f>IF(E67=0,"",E67/Rents!$G$14)</f>
        <v/>
      </c>
      <c r="B67" s="163" t="str">
        <f>IF(E67=0,"",E67/Rents!$F$14)</f>
        <v/>
      </c>
      <c r="C67" s="220" t="s">
        <v>161</v>
      </c>
      <c r="D67" s="146"/>
      <c r="E67" s="165"/>
      <c r="F67" s="166"/>
      <c r="G67" s="166"/>
      <c r="H67" s="167">
        <f t="shared" si="18"/>
        <v>0</v>
      </c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4"/>
    </row>
    <row r="68" ht="15.0" customHeight="1">
      <c r="A68" s="162" t="str">
        <f>IF(E68=0,"",E68/Rents!$G$14)</f>
        <v/>
      </c>
      <c r="B68" s="163" t="str">
        <f>IF(E68=0,"",E68/Rents!$F$14)</f>
        <v/>
      </c>
      <c r="C68" s="219" t="s">
        <v>162</v>
      </c>
      <c r="D68" s="146"/>
      <c r="E68" s="165"/>
      <c r="F68" s="166"/>
      <c r="G68" s="166"/>
      <c r="H68" s="167">
        <f t="shared" si="18"/>
        <v>0</v>
      </c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</row>
    <row r="69" ht="15.0" customHeight="1">
      <c r="A69" s="162" t="str">
        <f>IF(E69=0,"",E69/Rents!$G$14)</f>
        <v/>
      </c>
      <c r="B69" s="163" t="str">
        <f>IF(E69=0,"",E69/Rents!$F$14)</f>
        <v/>
      </c>
      <c r="C69" s="219" t="s">
        <v>163</v>
      </c>
      <c r="D69" s="146"/>
      <c r="E69" s="165"/>
      <c r="F69" s="166"/>
      <c r="G69" s="166"/>
      <c r="H69" s="167">
        <f t="shared" si="18"/>
        <v>0</v>
      </c>
      <c r="I69" s="134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4"/>
    </row>
    <row r="70" ht="15.0" customHeight="1">
      <c r="A70" s="162" t="str">
        <f>IF(E70=0,"",E70/Rents!$G$14)</f>
        <v/>
      </c>
      <c r="B70" s="163" t="str">
        <f>IF(E70=0,"",E70/Rents!$F$14)</f>
        <v/>
      </c>
      <c r="C70" s="219" t="s">
        <v>164</v>
      </c>
      <c r="D70" s="146"/>
      <c r="E70" s="165"/>
      <c r="F70" s="166"/>
      <c r="G70" s="166"/>
      <c r="H70" s="167">
        <f t="shared" si="18"/>
        <v>0</v>
      </c>
      <c r="I70" s="134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</row>
    <row r="71" ht="15.0" customHeight="1">
      <c r="A71" s="162">
        <f>IF(E71=0,"",E71/Rents!$G$14)</f>
        <v>0.3005145321</v>
      </c>
      <c r="B71" s="163">
        <f>IF(E71=0,"",E71/Rents!$F$14)</f>
        <v>186.2931034</v>
      </c>
      <c r="C71" s="221" t="s">
        <v>165</v>
      </c>
      <c r="D71" s="146"/>
      <c r="E71" s="165">
        <v>21610.0</v>
      </c>
      <c r="F71" s="166">
        <v>0.0</v>
      </c>
      <c r="G71" s="165">
        <f>E71</f>
        <v>21610</v>
      </c>
      <c r="H71" s="167">
        <f t="shared" si="18"/>
        <v>0</v>
      </c>
      <c r="I71" s="134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4"/>
    </row>
    <row r="72" ht="15.0" customHeight="1">
      <c r="A72" s="162" t="str">
        <f>IF(E72=0,"",E72/Rents!$G$14)</f>
        <v/>
      </c>
      <c r="B72" s="163" t="str">
        <f>IF(E72=0,"",E72/Rents!$F$14)</f>
        <v/>
      </c>
      <c r="C72" s="221" t="s">
        <v>166</v>
      </c>
      <c r="D72" s="146"/>
      <c r="E72" s="165"/>
      <c r="F72" s="166"/>
      <c r="G72" s="166"/>
      <c r="H72" s="167">
        <f t="shared" si="18"/>
        <v>0</v>
      </c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4"/>
    </row>
    <row r="73" ht="15.0" customHeight="1">
      <c r="A73" s="162" t="str">
        <f>IF(E73=0,"",E73/Rents!$G$14)</f>
        <v/>
      </c>
      <c r="B73" s="163" t="str">
        <f>IF(E73=0,"",E73/Rents!$F$14)</f>
        <v/>
      </c>
      <c r="C73" s="221" t="s">
        <v>166</v>
      </c>
      <c r="D73" s="146"/>
      <c r="E73" s="165"/>
      <c r="F73" s="166"/>
      <c r="G73" s="166"/>
      <c r="H73" s="167">
        <f t="shared" si="18"/>
        <v>0</v>
      </c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</row>
    <row r="74" ht="15.0" customHeight="1">
      <c r="A74" s="162">
        <f>IF(E74=0,"",E74/Rents!$G$14)</f>
        <v>53.17320169</v>
      </c>
      <c r="B74" s="163">
        <f>IF(E74=0,"",E74/Rents!$F$14)</f>
        <v>32962.80115</v>
      </c>
      <c r="C74" s="222" t="s">
        <v>167</v>
      </c>
      <c r="D74" s="146"/>
      <c r="E74" s="209">
        <f>'Interest Reserve'!C16</f>
        <v>3823684.933</v>
      </c>
      <c r="F74" s="223"/>
      <c r="G74" s="223"/>
      <c r="H74" s="209">
        <f t="shared" si="18"/>
        <v>3823684.933</v>
      </c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</row>
    <row r="75" ht="15.0" customHeight="1">
      <c r="A75" s="156">
        <f>IF(E75=0,"",E75/Rents!$G$14)</f>
        <v>62.07020654</v>
      </c>
      <c r="B75" s="169">
        <f>IF(E75=0,"",E75/Rents!$F$14)</f>
        <v>38478.17718</v>
      </c>
      <c r="C75" s="224" t="s">
        <v>168</v>
      </c>
      <c r="D75" s="152"/>
      <c r="E75" s="171">
        <f t="shared" ref="E75:H75" si="20">SUM(E55:E74)</f>
        <v>4463468.552</v>
      </c>
      <c r="F75" s="171">
        <f t="shared" si="20"/>
        <v>618173.6191</v>
      </c>
      <c r="G75" s="171">
        <f t="shared" si="20"/>
        <v>21610</v>
      </c>
      <c r="H75" s="171">
        <f t="shared" si="20"/>
        <v>4441858.552</v>
      </c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</row>
    <row r="76" ht="15.0" customHeight="1">
      <c r="A76" s="172">
        <f>IF(E76=0,"",E76/Rents!$G$14)</f>
        <v>0.9276039494</v>
      </c>
      <c r="B76" s="157">
        <f>IF(E76=0,"",E76/Rents!$F$14)</f>
        <v>575.0344828</v>
      </c>
      <c r="C76" s="225" t="s">
        <v>169</v>
      </c>
      <c r="D76" s="141"/>
      <c r="E76" s="159">
        <v>66704.0</v>
      </c>
      <c r="F76" s="160">
        <v>0.0</v>
      </c>
      <c r="G76" s="160"/>
      <c r="H76" s="161">
        <f t="shared" ref="H76:H80" si="21">IF(E76-G76&lt;0,ERROR,E76-G76)</f>
        <v>66704</v>
      </c>
      <c r="I76" s="134"/>
      <c r="J76" s="134"/>
      <c r="K76" s="134"/>
      <c r="L76" s="138" t="s">
        <v>170</v>
      </c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</row>
    <row r="77" ht="15.0" customHeight="1">
      <c r="A77" s="162" t="str">
        <f>IF(E77=0,"",E77/Rents!$G$14)</f>
        <v/>
      </c>
      <c r="B77" s="163" t="str">
        <f>IF(E77=0,"",E77/Rents!$F$14)</f>
        <v/>
      </c>
      <c r="C77" s="219" t="s">
        <v>171</v>
      </c>
      <c r="D77" s="146"/>
      <c r="E77" s="165"/>
      <c r="F77" s="166"/>
      <c r="G77" s="166"/>
      <c r="H77" s="167">
        <f t="shared" si="21"/>
        <v>0</v>
      </c>
      <c r="I77" s="134"/>
      <c r="J77" s="134"/>
      <c r="K77" s="134"/>
      <c r="L77" s="226"/>
      <c r="M77" s="227"/>
      <c r="N77" s="228" t="s">
        <v>172</v>
      </c>
      <c r="O77" s="229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4"/>
    </row>
    <row r="78" ht="15.0" customHeight="1">
      <c r="A78" s="162">
        <f>IF(E78=0,"",E78/Rents!$G$14)</f>
        <v>1.043443193</v>
      </c>
      <c r="B78" s="163">
        <f>IF(E78=0,"",E78/Rents!$F$14)</f>
        <v>646.8448276</v>
      </c>
      <c r="C78" s="219" t="s">
        <v>173</v>
      </c>
      <c r="D78" s="146"/>
      <c r="E78" s="165">
        <v>75034.0</v>
      </c>
      <c r="F78" s="166">
        <v>0.0</v>
      </c>
      <c r="G78" s="166"/>
      <c r="H78" s="167">
        <f t="shared" si="21"/>
        <v>75034</v>
      </c>
      <c r="I78" s="134"/>
      <c r="J78" s="134"/>
      <c r="K78" s="134"/>
      <c r="L78" s="230" t="s">
        <v>174</v>
      </c>
      <c r="M78" s="134"/>
      <c r="N78" s="231">
        <v>3.0</v>
      </c>
      <c r="O78" s="232">
        <f>'BY Proforma No Comm '!C63*(N78/12)</f>
        <v>194439.461</v>
      </c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</row>
    <row r="79" ht="15.0" customHeight="1">
      <c r="A79" s="162">
        <f>IF(E79=0,"",E79/Rents!$G$14)</f>
        <v>0.2085940759</v>
      </c>
      <c r="B79" s="163">
        <f>IF(E79=0,"",E79/Rents!$F$14)</f>
        <v>129.3103448</v>
      </c>
      <c r="C79" s="219" t="s">
        <v>175</v>
      </c>
      <c r="D79" s="146"/>
      <c r="E79" s="165">
        <v>15000.0</v>
      </c>
      <c r="F79" s="165">
        <f>E79</f>
        <v>15000</v>
      </c>
      <c r="G79" s="166"/>
      <c r="H79" s="167">
        <f t="shared" si="21"/>
        <v>15000</v>
      </c>
      <c r="I79" s="134"/>
      <c r="J79" s="134"/>
      <c r="K79" s="134"/>
      <c r="L79" s="230" t="s">
        <v>176</v>
      </c>
      <c r="M79" s="134"/>
      <c r="N79" s="231">
        <v>3.0</v>
      </c>
      <c r="O79" s="232">
        <f>'Debt &amp; Valuation'!K34*(N79/12)</f>
        <v>0</v>
      </c>
      <c r="P79" s="134"/>
      <c r="Q79" s="134"/>
      <c r="R79" s="134"/>
      <c r="S79" s="134"/>
      <c r="T79" s="134"/>
      <c r="U79" s="134"/>
      <c r="V79" s="134"/>
      <c r="W79" s="134"/>
      <c r="X79" s="134"/>
      <c r="Y79" s="134"/>
      <c r="Z79" s="134"/>
    </row>
    <row r="80" ht="15.0" customHeight="1">
      <c r="A80" s="162">
        <f>IF(E80=0,"",E80/Rents!$G$14)</f>
        <v>0.7648449451</v>
      </c>
      <c r="B80" s="163">
        <f>IF(E80=0,"",E80/Rents!$F$14)</f>
        <v>474.137931</v>
      </c>
      <c r="C80" s="233" t="s">
        <v>177</v>
      </c>
      <c r="D80" s="146"/>
      <c r="E80" s="234">
        <v>55000.0</v>
      </c>
      <c r="F80" s="165">
        <v>0.0</v>
      </c>
      <c r="G80" s="223"/>
      <c r="H80" s="167">
        <f t="shared" si="21"/>
        <v>55000</v>
      </c>
      <c r="I80" s="134"/>
      <c r="J80" s="134"/>
      <c r="K80" s="134"/>
      <c r="L80" s="230" t="s">
        <v>178</v>
      </c>
      <c r="M80" s="134"/>
      <c r="N80" s="231">
        <v>3.0</v>
      </c>
      <c r="O80" s="232">
        <f>'BY Proforma No Comm '!C66*(N80/12)</f>
        <v>8700</v>
      </c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</row>
    <row r="81" ht="15.0" customHeight="1">
      <c r="A81" s="156">
        <f>IF(E81=0,"",E81/Rents!$G$14)</f>
        <v>2.944486163</v>
      </c>
      <c r="B81" s="169">
        <f>IF(E81=0,"",E81/Rents!$F$14)</f>
        <v>1825.327586</v>
      </c>
      <c r="C81" s="224" t="s">
        <v>179</v>
      </c>
      <c r="D81" s="152"/>
      <c r="E81" s="171">
        <f t="shared" ref="E81:H81" si="22">SUM(E76:E80)</f>
        <v>211738</v>
      </c>
      <c r="F81" s="171">
        <f t="shared" si="22"/>
        <v>15000</v>
      </c>
      <c r="G81" s="171">
        <f t="shared" si="22"/>
        <v>0</v>
      </c>
      <c r="H81" s="171">
        <f t="shared" si="22"/>
        <v>211738</v>
      </c>
      <c r="I81" s="134"/>
      <c r="J81" s="134"/>
      <c r="K81" s="134"/>
      <c r="L81" s="235" t="s">
        <v>166</v>
      </c>
      <c r="M81" s="236"/>
      <c r="N81" s="237"/>
      <c r="O81" s="238"/>
      <c r="P81" s="134"/>
      <c r="Q81" s="134"/>
      <c r="R81" s="134"/>
      <c r="S81" s="134"/>
      <c r="T81" s="134"/>
      <c r="U81" s="134"/>
      <c r="V81" s="134"/>
      <c r="W81" s="134"/>
      <c r="X81" s="134"/>
      <c r="Y81" s="134"/>
      <c r="Z81" s="134"/>
    </row>
    <row r="82" ht="15.0" customHeight="1">
      <c r="A82" s="172" t="str">
        <f>IF(E82=0,"",E82/Rents!$G$14)</f>
        <v/>
      </c>
      <c r="B82" s="157" t="str">
        <f>IF(E82=0,"",E82/Rents!$F$14)</f>
        <v/>
      </c>
      <c r="C82" s="239" t="s">
        <v>180</v>
      </c>
      <c r="D82" s="141"/>
      <c r="E82" s="159"/>
      <c r="F82" s="160"/>
      <c r="G82" s="160"/>
      <c r="H82" s="161">
        <f t="shared" ref="H82:H83" si="23">IF(E82-G82&lt;0,ERROR,E82-G82)</f>
        <v>0</v>
      </c>
      <c r="I82" s="190" t="s">
        <v>181</v>
      </c>
      <c r="J82" s="134"/>
      <c r="K82" s="134"/>
      <c r="L82" s="240" t="s">
        <v>182</v>
      </c>
      <c r="M82" s="241"/>
      <c r="N82" s="241"/>
      <c r="O82" s="242">
        <f>SUM(O78:O81)</f>
        <v>203139.461</v>
      </c>
      <c r="P82" s="134"/>
      <c r="Q82" s="134"/>
      <c r="R82" s="134"/>
      <c r="S82" s="134"/>
      <c r="T82" s="134"/>
      <c r="U82" s="134"/>
      <c r="V82" s="134"/>
      <c r="W82" s="134"/>
      <c r="X82" s="134"/>
      <c r="Y82" s="134"/>
      <c r="Z82" s="134"/>
    </row>
    <row r="83" ht="15.0" customHeight="1">
      <c r="A83" s="162" t="str">
        <f>IF(E83=0,"",E83/Rents!$G$14)</f>
        <v/>
      </c>
      <c r="B83" s="163" t="str">
        <f>IF(E83=0,"",E83/Rents!$F$14)</f>
        <v/>
      </c>
      <c r="C83" s="220" t="s">
        <v>183</v>
      </c>
      <c r="D83" s="146"/>
      <c r="E83" s="165"/>
      <c r="F83" s="166"/>
      <c r="G83" s="166"/>
      <c r="H83" s="167">
        <f t="shared" si="23"/>
        <v>0</v>
      </c>
      <c r="I83" s="134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4"/>
      <c r="U83" s="134"/>
      <c r="V83" s="134"/>
      <c r="W83" s="134"/>
      <c r="X83" s="134"/>
      <c r="Y83" s="134"/>
      <c r="Z83" s="134"/>
    </row>
    <row r="84" ht="15.0" customHeight="1">
      <c r="A84" s="162">
        <f>IF(E84=0,"",E84/Rents!$G$14)</f>
        <v>2.824912543</v>
      </c>
      <c r="B84" s="163">
        <f>IF(E84=0,"",E84/Rents!$F$14)</f>
        <v>1751.20225</v>
      </c>
      <c r="C84" s="220" t="s">
        <v>184</v>
      </c>
      <c r="D84" s="146"/>
      <c r="E84" s="243">
        <f>F84</f>
        <v>203139.461</v>
      </c>
      <c r="F84" s="243">
        <f>O82</f>
        <v>203139.461</v>
      </c>
      <c r="G84" s="243">
        <f>O82</f>
        <v>203139.461</v>
      </c>
      <c r="H84" s="167"/>
      <c r="I84" s="134"/>
      <c r="J84" s="134"/>
      <c r="K84" s="134"/>
      <c r="L84" s="138" t="s">
        <v>185</v>
      </c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</row>
    <row r="85" ht="15.0" customHeight="1">
      <c r="A85" s="162" t="str">
        <f>IF(E85=0,"",E85/Rents!$G$14)</f>
        <v/>
      </c>
      <c r="B85" s="163" t="str">
        <f>IF(E85=0,"",E85/Rents!$F$14)</f>
        <v/>
      </c>
      <c r="C85" s="220" t="s">
        <v>186</v>
      </c>
      <c r="D85" s="146"/>
      <c r="E85" s="165"/>
      <c r="F85" s="166"/>
      <c r="G85" s="166"/>
      <c r="H85" s="167">
        <f t="shared" ref="H85:H87" si="24">IF(E85-G85&lt;0,ERROR,E85-G85)</f>
        <v>0</v>
      </c>
      <c r="I85" s="134"/>
      <c r="J85" s="134"/>
      <c r="K85" s="134"/>
      <c r="L85" s="244" t="s">
        <v>187</v>
      </c>
      <c r="M85" s="245"/>
      <c r="N85" s="227"/>
      <c r="O85" s="228" t="s">
        <v>188</v>
      </c>
      <c r="P85" s="246" t="s">
        <v>189</v>
      </c>
      <c r="Q85" s="134"/>
      <c r="R85" s="134"/>
      <c r="S85" s="134"/>
      <c r="T85" s="134"/>
      <c r="U85" s="134"/>
      <c r="V85" s="134"/>
      <c r="W85" s="134"/>
      <c r="X85" s="134"/>
      <c r="Y85" s="134"/>
      <c r="Z85" s="134"/>
    </row>
    <row r="86" ht="15.0" customHeight="1">
      <c r="A86" s="162" t="str">
        <f>IF(E86=0,"",E86/Rents!$G$14)</f>
        <v/>
      </c>
      <c r="B86" s="163" t="str">
        <f>IF(E86=0,"",E86/Rents!$F$14)</f>
        <v/>
      </c>
      <c r="C86" s="220" t="s">
        <v>190</v>
      </c>
      <c r="D86" s="146"/>
      <c r="E86" s="165">
        <v>0.0</v>
      </c>
      <c r="F86" s="243">
        <f>E86</f>
        <v>0</v>
      </c>
      <c r="G86" s="243">
        <f>E86</f>
        <v>0</v>
      </c>
      <c r="H86" s="167">
        <f t="shared" si="24"/>
        <v>0</v>
      </c>
      <c r="I86" s="134"/>
      <c r="J86" s="134"/>
      <c r="K86" s="134"/>
      <c r="L86" s="230" t="s">
        <v>191</v>
      </c>
      <c r="M86" s="247"/>
      <c r="N86" s="134"/>
      <c r="O86" s="248">
        <f>$O$92*P86</f>
        <v>622189.9857</v>
      </c>
      <c r="P86" s="249">
        <v>0.1</v>
      </c>
      <c r="Q86" s="134" t="s">
        <v>192</v>
      </c>
      <c r="R86" s="134"/>
      <c r="S86" s="134"/>
      <c r="T86" s="134"/>
      <c r="U86" s="134"/>
      <c r="V86" s="134"/>
      <c r="W86" s="134"/>
      <c r="X86" s="134"/>
      <c r="Y86" s="134"/>
      <c r="Z86" s="134"/>
    </row>
    <row r="87" ht="15.0" customHeight="1">
      <c r="A87" s="162" t="str">
        <f>IF(E87=0,"",E87/Rents!$G$14)</f>
        <v/>
      </c>
      <c r="B87" s="163" t="str">
        <f>IF(E87=0,"",E87/Rents!$F$14)</f>
        <v/>
      </c>
      <c r="C87" s="250" t="s">
        <v>193</v>
      </c>
      <c r="D87" s="146"/>
      <c r="E87" s="165"/>
      <c r="F87" s="166"/>
      <c r="G87" s="166"/>
      <c r="H87" s="167">
        <f t="shared" si="24"/>
        <v>0</v>
      </c>
      <c r="I87" s="134"/>
      <c r="J87" s="134"/>
      <c r="K87" s="134"/>
      <c r="L87" s="230" t="s">
        <v>57</v>
      </c>
      <c r="M87" s="134"/>
      <c r="N87" s="134"/>
      <c r="P87" s="249"/>
      <c r="Q87" s="134"/>
      <c r="R87" s="134"/>
      <c r="S87" s="134"/>
      <c r="T87" s="134"/>
      <c r="U87" s="134"/>
      <c r="V87" s="134"/>
      <c r="W87" s="134"/>
      <c r="X87" s="134"/>
      <c r="Y87" s="134"/>
      <c r="Z87" s="134"/>
    </row>
    <row r="88" ht="15.0" customHeight="1">
      <c r="A88" s="156">
        <f>IF(E88=0,"",E88/Rents!$G$14)</f>
        <v>2.824912543</v>
      </c>
      <c r="B88" s="169">
        <f>IF(E88=0,"",E88/Rents!$F$14)</f>
        <v>1751.20225</v>
      </c>
      <c r="C88" s="224" t="s">
        <v>194</v>
      </c>
      <c r="D88" s="152"/>
      <c r="E88" s="171">
        <f t="shared" ref="E88:H88" si="25">SUM(E82:E87)</f>
        <v>203139.461</v>
      </c>
      <c r="F88" s="171">
        <f t="shared" si="25"/>
        <v>203139.461</v>
      </c>
      <c r="G88" s="171">
        <f t="shared" si="25"/>
        <v>203139.461</v>
      </c>
      <c r="H88" s="171">
        <f t="shared" si="25"/>
        <v>0</v>
      </c>
      <c r="I88" s="190" t="s">
        <v>125</v>
      </c>
      <c r="J88" s="191">
        <v>0.12582423</v>
      </c>
      <c r="K88" s="190" t="s">
        <v>125</v>
      </c>
      <c r="L88" s="230" t="s">
        <v>195</v>
      </c>
      <c r="M88" s="134"/>
      <c r="N88" s="134"/>
      <c r="O88" s="251"/>
      <c r="P88" s="249" t="str">
        <f>IF(O88=0,"",O88/$O$92)</f>
        <v/>
      </c>
      <c r="Q88" s="134"/>
      <c r="R88" s="134"/>
      <c r="S88" s="134"/>
      <c r="T88" s="134"/>
      <c r="U88" s="134"/>
      <c r="V88" s="134"/>
      <c r="W88" s="134"/>
      <c r="X88" s="134"/>
      <c r="Y88" s="134"/>
      <c r="Z88" s="134"/>
    </row>
    <row r="89" ht="15.0" customHeight="1">
      <c r="A89" s="172">
        <f>IF(E89=0,"",E89/Rents!$G$14)</f>
        <v>0.5562508691</v>
      </c>
      <c r="B89" s="157">
        <f>IF(E89=0,"",E89/Rents!$F$14)</f>
        <v>344.8275862</v>
      </c>
      <c r="C89" s="252" t="s">
        <v>196</v>
      </c>
      <c r="D89" s="141"/>
      <c r="E89" s="159">
        <v>40000.0</v>
      </c>
      <c r="F89" s="159">
        <v>40000.0</v>
      </c>
      <c r="G89" s="159"/>
      <c r="H89" s="161">
        <f t="shared" ref="H89:H90" si="26">IF(E89-G89&lt;0,ERROR,E89-G89)</f>
        <v>40000</v>
      </c>
      <c r="I89" s="134"/>
      <c r="J89" s="191">
        <v>0.9</v>
      </c>
      <c r="K89" s="134"/>
      <c r="L89" s="230" t="s">
        <v>49</v>
      </c>
      <c r="M89" s="134"/>
      <c r="N89" s="134"/>
      <c r="O89" s="248">
        <f>$O$92*P89</f>
        <v>2238759.943</v>
      </c>
      <c r="P89" s="249">
        <f>1-SUM(P86:P88,P90:P91)</f>
        <v>0.3598193469</v>
      </c>
      <c r="Q89" s="134" t="s">
        <v>192</v>
      </c>
      <c r="R89" s="134"/>
      <c r="S89" s="134"/>
      <c r="T89" s="134"/>
      <c r="U89" s="134"/>
      <c r="V89" s="134"/>
      <c r="W89" s="134"/>
      <c r="X89" s="134"/>
      <c r="Y89" s="134"/>
      <c r="Z89" s="134"/>
    </row>
    <row r="90" ht="15.0" customHeight="1">
      <c r="A90" s="162">
        <f>IF(E90=0,"",E90/Rents!$G$14)</f>
        <v>86.52343008</v>
      </c>
      <c r="B90" s="163">
        <f>IF(E90=0,"",E90/Rents!$F$14)</f>
        <v>53637.06773</v>
      </c>
      <c r="C90" s="253" t="s">
        <v>77</v>
      </c>
      <c r="D90" s="146"/>
      <c r="E90" s="243">
        <f>J88*(E75+E53+E30+E18+E14)</f>
        <v>6221899.857</v>
      </c>
      <c r="F90" s="243">
        <f>E90</f>
        <v>6221899.857</v>
      </c>
      <c r="G90" s="243">
        <f>J89*F90</f>
        <v>5599709.871</v>
      </c>
      <c r="H90" s="167">
        <f t="shared" si="26"/>
        <v>622189.9857</v>
      </c>
      <c r="I90" s="134"/>
      <c r="J90" s="254"/>
      <c r="K90" s="134"/>
      <c r="L90" s="255">
        <v>8609.0</v>
      </c>
      <c r="M90" s="134"/>
      <c r="N90" s="134"/>
      <c r="O90" s="256">
        <v>250000.0</v>
      </c>
      <c r="P90" s="249">
        <f>IF(O90=0,"",O90/$O$92)</f>
        <v>0.04018065314</v>
      </c>
      <c r="Q90" s="134"/>
      <c r="R90" s="134"/>
      <c r="S90" s="134"/>
      <c r="T90" s="134"/>
      <c r="U90" s="134"/>
      <c r="V90" s="134"/>
      <c r="W90" s="134"/>
      <c r="X90" s="134"/>
      <c r="Y90" s="134"/>
      <c r="Z90" s="134"/>
    </row>
    <row r="91" ht="15.0" customHeight="1">
      <c r="A91" s="186">
        <f>IF(E91=0,"",E91/Rents!$G$14)</f>
        <v>87.07968095</v>
      </c>
      <c r="B91" s="257">
        <f>IF(E91=0,"",E91/Rents!$F$14)</f>
        <v>53981.89532</v>
      </c>
      <c r="C91" s="258" t="s">
        <v>197</v>
      </c>
      <c r="D91" s="152"/>
      <c r="E91" s="259">
        <f t="shared" ref="E91:H91" si="27">SUM(E89:E90)</f>
        <v>6261899.857</v>
      </c>
      <c r="F91" s="259">
        <f t="shared" si="27"/>
        <v>6261899.857</v>
      </c>
      <c r="G91" s="259">
        <f t="shared" si="27"/>
        <v>5599709.871</v>
      </c>
      <c r="H91" s="259">
        <f t="shared" si="27"/>
        <v>662189.9857</v>
      </c>
      <c r="I91" s="134"/>
      <c r="J91" s="260"/>
      <c r="K91" s="134"/>
      <c r="L91" s="230" t="s">
        <v>198</v>
      </c>
      <c r="M91" s="134"/>
      <c r="N91" s="134"/>
      <c r="O91" s="248">
        <f>$O$92*P91</f>
        <v>3110949.928</v>
      </c>
      <c r="P91" s="249">
        <v>0.5</v>
      </c>
      <c r="Q91" s="134" t="s">
        <v>199</v>
      </c>
      <c r="R91" s="134"/>
      <c r="S91" s="134"/>
      <c r="T91" s="134"/>
      <c r="U91" s="134"/>
      <c r="V91" s="134"/>
      <c r="W91" s="134"/>
      <c r="X91" s="134"/>
      <c r="Y91" s="134"/>
      <c r="Z91" s="134"/>
    </row>
    <row r="92" ht="15.0" customHeight="1">
      <c r="A92" s="261">
        <f>IF(E92=0,"",E92/Rents!$G$14)</f>
        <v>780.5022453</v>
      </c>
      <c r="B92" s="262">
        <f>IF(E92=0,"",E92/Rents!$F$14)</f>
        <v>483844.1074</v>
      </c>
      <c r="C92" s="263" t="s">
        <v>200</v>
      </c>
      <c r="D92" s="264"/>
      <c r="E92" s="265">
        <f t="shared" ref="E92:H92" si="28">E14+E18+E30+E53+E75+E81+E88+E91</f>
        <v>56125916.46</v>
      </c>
      <c r="F92" s="265">
        <f t="shared" si="28"/>
        <v>50227386.1</v>
      </c>
      <c r="G92" s="265">
        <f t="shared" si="28"/>
        <v>5824459.332</v>
      </c>
      <c r="H92" s="265">
        <f t="shared" si="28"/>
        <v>50301457.13</v>
      </c>
      <c r="J92" s="254" t="s">
        <v>201</v>
      </c>
      <c r="K92" s="134"/>
      <c r="L92" s="244" t="s">
        <v>202</v>
      </c>
      <c r="M92" s="227"/>
      <c r="N92" s="227"/>
      <c r="O92" s="266">
        <f>E90</f>
        <v>6221899.857</v>
      </c>
      <c r="P92" s="267">
        <f>IF(O92=0,"",O92/$O$92)</f>
        <v>1</v>
      </c>
      <c r="Q92" s="134"/>
      <c r="R92" s="134"/>
      <c r="S92" s="134"/>
      <c r="T92" s="134"/>
      <c r="U92" s="134"/>
      <c r="V92" s="134"/>
      <c r="W92" s="134"/>
      <c r="X92" s="134"/>
      <c r="Y92" s="134"/>
      <c r="Z92" s="134"/>
    </row>
    <row r="93" ht="15.0" customHeight="1">
      <c r="A93" s="134"/>
      <c r="B93" s="134"/>
      <c r="C93" s="134"/>
      <c r="D93" s="134"/>
      <c r="E93" s="134"/>
      <c r="F93" s="134"/>
      <c r="G93" s="248">
        <f>E92-H92</f>
        <v>5824459.332</v>
      </c>
      <c r="H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</row>
    <row r="94" ht="15.0" customHeight="1">
      <c r="A94" s="134"/>
      <c r="B94" s="134"/>
      <c r="C94" s="134"/>
      <c r="D94" s="134"/>
      <c r="E94" s="134"/>
      <c r="F94" s="134"/>
      <c r="G94" s="134"/>
      <c r="H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</row>
    <row r="95" ht="15.0" customHeight="1">
      <c r="A95" s="241" t="s">
        <v>93</v>
      </c>
      <c r="B95" s="134"/>
      <c r="C95" s="134"/>
      <c r="D95" s="134"/>
      <c r="E95" s="134"/>
      <c r="F95" s="134"/>
      <c r="G95" s="134"/>
      <c r="H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</row>
    <row r="96" ht="15.0" customHeight="1">
      <c r="A96" s="268" t="s">
        <v>203</v>
      </c>
      <c r="B96" s="269"/>
      <c r="C96" s="270"/>
      <c r="D96" s="270"/>
      <c r="E96" s="270"/>
      <c r="F96" s="270"/>
      <c r="G96" s="270"/>
      <c r="H96" s="271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</row>
    <row r="97" ht="15.0" customHeight="1">
      <c r="A97" s="272" t="s">
        <v>57</v>
      </c>
      <c r="B97" s="268"/>
      <c r="C97" s="241" t="s">
        <v>204</v>
      </c>
      <c r="D97" s="138" t="s">
        <v>205</v>
      </c>
      <c r="E97" s="138"/>
      <c r="F97" s="138"/>
      <c r="G97" s="138"/>
      <c r="H97" s="273" t="s">
        <v>188</v>
      </c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</row>
    <row r="98" ht="15.0" customHeight="1">
      <c r="A98" s="274" t="s">
        <v>57</v>
      </c>
      <c r="B98" s="275" t="str">
        <f>Summary!B40</f>
        <v>Construction Loan (HDC Tax Exempt Bonds)</v>
      </c>
      <c r="C98" s="276"/>
      <c r="D98" s="277"/>
      <c r="E98" s="278"/>
      <c r="F98" s="278"/>
      <c r="G98" s="278"/>
      <c r="H98" s="279">
        <f>Summary!D40</f>
        <v>25905724.48</v>
      </c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</row>
    <row r="99" ht="15.0" customHeight="1">
      <c r="A99" s="280" t="s">
        <v>191</v>
      </c>
      <c r="B99" s="281" t="str">
        <f>Summary!B42</f>
        <v>LIHTC Equity</v>
      </c>
      <c r="C99" s="276"/>
      <c r="D99" s="260"/>
      <c r="E99" s="134"/>
      <c r="F99" s="134"/>
      <c r="G99" s="134"/>
      <c r="H99" s="282">
        <f>Summary!D42</f>
        <v>684895.6488</v>
      </c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</row>
    <row r="100" ht="15.0" customHeight="1">
      <c r="A100" s="280" t="s">
        <v>57</v>
      </c>
      <c r="B100" s="281" t="str">
        <f>Summary!B43</f>
        <v>HPD ELLA Subsidy Program Loan</v>
      </c>
      <c r="C100" s="276"/>
      <c r="D100" s="260"/>
      <c r="E100" s="134"/>
      <c r="F100" s="134"/>
      <c r="G100" s="134"/>
      <c r="H100" s="282">
        <f>Summary!D43</f>
        <v>14067900</v>
      </c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</row>
    <row r="101" ht="15.0" customHeight="1">
      <c r="A101" s="280" t="s">
        <v>191</v>
      </c>
      <c r="B101" s="281" t="str">
        <f>Summary!B44</f>
        <v>HPD Resolution A Grant</v>
      </c>
      <c r="C101" s="276"/>
      <c r="D101" s="260"/>
      <c r="E101" s="134"/>
      <c r="F101" s="134"/>
      <c r="G101" s="134"/>
      <c r="H101" s="283">
        <f>Summary!D44</f>
        <v>912700</v>
      </c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</row>
    <row r="102" ht="15.0" customHeight="1">
      <c r="A102" s="280" t="s">
        <v>57</v>
      </c>
      <c r="B102" s="281" t="str">
        <f>Summary!B45</f>
        <v>HDC ELLA Subsidy Program Loan</v>
      </c>
      <c r="C102" s="134"/>
      <c r="D102" s="134"/>
      <c r="E102" s="134"/>
      <c r="F102" s="134"/>
      <c r="G102" s="134"/>
      <c r="H102" s="282">
        <f>Summary!D45</f>
        <v>7464600</v>
      </c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</row>
    <row r="103" ht="15.0" customHeight="1">
      <c r="A103" s="280" t="s">
        <v>191</v>
      </c>
      <c r="B103" s="281" t="str">
        <f>Summary!B46</f>
        <v>Bronx Borough President Discretionary Grant</v>
      </c>
      <c r="C103" s="134"/>
      <c r="D103" s="134"/>
      <c r="E103" s="134"/>
      <c r="F103" s="134"/>
      <c r="G103" s="134"/>
      <c r="H103" s="282">
        <f>Summary!D46</f>
        <v>1265637</v>
      </c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</row>
    <row r="104" ht="15.0" customHeight="1">
      <c r="A104" s="280"/>
      <c r="B104" s="281"/>
      <c r="C104" s="134"/>
      <c r="D104" s="134"/>
      <c r="E104" s="134"/>
      <c r="F104" s="134"/>
      <c r="G104" s="134"/>
      <c r="H104" s="282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</row>
    <row r="105" ht="15.0" customHeight="1">
      <c r="A105" s="284" t="s">
        <v>206</v>
      </c>
      <c r="B105" s="285"/>
      <c r="C105" s="241"/>
      <c r="D105" s="241"/>
      <c r="E105" s="241"/>
      <c r="F105" s="241"/>
      <c r="G105" s="241"/>
      <c r="H105" s="286">
        <f>SUM(H98:H103)</f>
        <v>50301457.13</v>
      </c>
      <c r="J105" s="254" t="s">
        <v>207</v>
      </c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</row>
    <row r="106" ht="15.0" customHeight="1">
      <c r="A106" s="287" t="s">
        <v>208</v>
      </c>
      <c r="B106" s="287"/>
      <c r="C106" s="287"/>
      <c r="D106" s="287"/>
      <c r="E106" s="287"/>
      <c r="F106" s="287"/>
      <c r="G106" s="287"/>
      <c r="H106" s="288">
        <f>ROUND(H105-H92,-2)</f>
        <v>0</v>
      </c>
      <c r="J106" s="254" t="s">
        <v>209</v>
      </c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</row>
    <row r="107" ht="15.0" customHeight="1">
      <c r="A107" s="134"/>
      <c r="B107" s="134"/>
      <c r="C107" s="134"/>
      <c r="D107" s="134"/>
      <c r="E107" s="134"/>
      <c r="F107" s="134"/>
      <c r="G107" s="134"/>
      <c r="H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</row>
    <row r="108" ht="15.0" customHeight="1">
      <c r="A108" s="289"/>
      <c r="B108" s="289"/>
      <c r="C108" s="289"/>
      <c r="D108" s="289"/>
      <c r="E108" s="289"/>
      <c r="F108" s="289"/>
      <c r="G108" s="289"/>
      <c r="H108" s="289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</row>
    <row r="109" ht="15.0" customHeight="1">
      <c r="A109" s="188"/>
      <c r="B109" s="188"/>
      <c r="C109" s="134"/>
      <c r="D109" s="134"/>
      <c r="E109" s="134"/>
      <c r="F109" s="134"/>
      <c r="G109" s="134"/>
      <c r="H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</row>
    <row r="110" ht="15.0" customHeight="1">
      <c r="A110" s="268" t="s">
        <v>210</v>
      </c>
      <c r="B110" s="188"/>
      <c r="C110" s="134"/>
      <c r="D110" s="134"/>
      <c r="E110" s="134"/>
      <c r="F110" s="134"/>
      <c r="G110" s="134"/>
      <c r="H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</row>
    <row r="111" ht="15.0" customHeight="1">
      <c r="A111" s="274"/>
      <c r="B111" s="290"/>
      <c r="C111" s="278"/>
      <c r="D111" s="291"/>
      <c r="E111" s="292" t="s">
        <v>211</v>
      </c>
      <c r="F111" s="142"/>
      <c r="G111" s="292" t="s">
        <v>212</v>
      </c>
      <c r="H111" s="293" t="s">
        <v>213</v>
      </c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</row>
    <row r="112" ht="21.75" customHeight="1">
      <c r="A112" s="294" t="s">
        <v>104</v>
      </c>
      <c r="B112" s="294"/>
      <c r="C112" s="236"/>
      <c r="D112" s="238"/>
      <c r="E112" s="295"/>
      <c r="F112" s="154"/>
      <c r="G112" s="295"/>
      <c r="H112" s="29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</row>
    <row r="113" ht="15.0" customHeight="1">
      <c r="A113" s="274"/>
      <c r="B113" s="290" t="str">
        <f>C71</f>
        <v>Soft Cost + HTF Interest</v>
      </c>
      <c r="C113" s="278"/>
      <c r="D113" s="278"/>
      <c r="E113" s="296">
        <f>G75</f>
        <v>21610</v>
      </c>
      <c r="F113" s="297"/>
      <c r="G113" s="297"/>
      <c r="H113" s="296">
        <f t="shared" ref="H113:H117" si="29">IF(E113-G113&lt;0,"Error",E113-G113)</f>
        <v>21610</v>
      </c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</row>
    <row r="114" ht="15.0" customHeight="1">
      <c r="A114" s="280"/>
      <c r="B114" s="188" t="str">
        <f>C84</f>
        <v>Operating Reserve</v>
      </c>
      <c r="C114" s="134"/>
      <c r="D114" s="134"/>
      <c r="E114" s="298">
        <f>G84</f>
        <v>203139.461</v>
      </c>
      <c r="F114" s="299"/>
      <c r="G114" s="299"/>
      <c r="H114" s="298">
        <f t="shared" si="29"/>
        <v>203139.461</v>
      </c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</row>
    <row r="115" ht="15.0" customHeight="1">
      <c r="A115" s="280"/>
      <c r="B115" s="300" t="str">
        <f>C90</f>
        <v>Developer Fees</v>
      </c>
      <c r="C115" s="134"/>
      <c r="D115" s="134"/>
      <c r="E115" s="298">
        <f>G90</f>
        <v>5599709.871</v>
      </c>
      <c r="F115" s="299"/>
      <c r="G115" s="299">
        <f>O91</f>
        <v>3110949.928</v>
      </c>
      <c r="H115" s="298">
        <f t="shared" si="29"/>
        <v>2488759.943</v>
      </c>
      <c r="J115" s="134" t="s">
        <v>214</v>
      </c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</row>
    <row r="116" ht="15.0" customHeight="1">
      <c r="A116" s="280"/>
      <c r="B116" s="188"/>
      <c r="C116" s="134"/>
      <c r="D116" s="134"/>
      <c r="E116" s="298"/>
      <c r="F116" s="299"/>
      <c r="G116" s="299"/>
      <c r="H116" s="298">
        <f t="shared" si="29"/>
        <v>0</v>
      </c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</row>
    <row r="117" ht="15.0" customHeight="1">
      <c r="A117" s="301"/>
      <c r="B117" s="294"/>
      <c r="C117" s="236"/>
      <c r="D117" s="236"/>
      <c r="E117" s="302"/>
      <c r="F117" s="303"/>
      <c r="G117" s="303"/>
      <c r="H117" s="302">
        <f t="shared" si="29"/>
        <v>0</v>
      </c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</row>
    <row r="118" ht="15.0" customHeight="1">
      <c r="A118" s="280"/>
      <c r="B118" s="268" t="s">
        <v>202</v>
      </c>
      <c r="C118" s="138"/>
      <c r="D118" s="138"/>
      <c r="E118" s="304">
        <f>SUM(E113:E117)</f>
        <v>5824459.332</v>
      </c>
      <c r="F118" s="305"/>
      <c r="G118" s="305">
        <f t="shared" ref="G118:H118" si="30">SUM(G113:G117)</f>
        <v>3110949.928</v>
      </c>
      <c r="H118" s="304">
        <f t="shared" si="30"/>
        <v>2713509.404</v>
      </c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</row>
    <row r="119" ht="15.0" customHeight="1">
      <c r="A119" s="280"/>
      <c r="B119" s="188"/>
      <c r="C119" s="134"/>
      <c r="D119" s="134"/>
      <c r="E119" s="298"/>
      <c r="F119" s="299"/>
      <c r="G119" s="299"/>
      <c r="H119" s="298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</row>
    <row r="120" ht="15.0" customHeight="1">
      <c r="A120" s="272" t="s">
        <v>215</v>
      </c>
      <c r="B120" s="268"/>
      <c r="C120" s="138"/>
      <c r="D120" s="138"/>
      <c r="E120" s="304"/>
      <c r="F120" s="305"/>
      <c r="G120" s="305"/>
      <c r="H120" s="306">
        <f>H98</f>
        <v>25905724.48</v>
      </c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</row>
    <row r="121" ht="15.0" customHeight="1">
      <c r="A121" s="307" t="s">
        <v>216</v>
      </c>
      <c r="B121" s="308"/>
      <c r="C121" s="308"/>
      <c r="D121" s="308"/>
      <c r="E121" s="309"/>
      <c r="F121" s="309"/>
      <c r="G121" s="310"/>
      <c r="H121" s="311">
        <f>SUM(H118:H120)</f>
        <v>28619233.88</v>
      </c>
      <c r="J121" s="254" t="s">
        <v>217</v>
      </c>
      <c r="K121" s="312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</row>
    <row r="122" ht="15.0" customHeight="1">
      <c r="A122" s="313"/>
      <c r="B122" s="313"/>
      <c r="C122" s="314"/>
      <c r="D122" s="314"/>
      <c r="E122" s="314"/>
      <c r="F122" s="314"/>
      <c r="G122" s="134"/>
      <c r="H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</row>
    <row r="123" ht="15.0" customHeight="1">
      <c r="A123" s="188"/>
      <c r="B123" s="188"/>
      <c r="C123" s="134"/>
      <c r="D123" s="134"/>
      <c r="E123" s="134"/>
      <c r="F123" s="134"/>
      <c r="G123" s="134"/>
      <c r="H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</row>
    <row r="124" ht="15.0" customHeight="1">
      <c r="A124" s="268" t="s">
        <v>218</v>
      </c>
      <c r="B124" s="188"/>
      <c r="C124" s="134"/>
      <c r="D124" s="134"/>
      <c r="E124" s="134"/>
      <c r="F124" s="134"/>
      <c r="G124" s="134"/>
      <c r="H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</row>
    <row r="125" ht="15.0" customHeight="1">
      <c r="A125" s="315" t="s">
        <v>219</v>
      </c>
      <c r="B125" s="316"/>
      <c r="C125" s="227"/>
      <c r="D125" s="227"/>
      <c r="E125" s="227"/>
      <c r="F125" s="227"/>
      <c r="G125" s="227"/>
      <c r="H125" s="229" t="s">
        <v>188</v>
      </c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</row>
    <row r="126" ht="15.0" customHeight="1">
      <c r="A126" s="317" t="str">
        <f>Summary!B41</f>
        <v>Bank of America Senior Permanent Debt</v>
      </c>
      <c r="B126" s="290"/>
      <c r="C126" s="278" t="s">
        <v>220</v>
      </c>
      <c r="D126" s="278"/>
      <c r="E126" s="278"/>
      <c r="F126" s="278"/>
      <c r="G126" s="278"/>
      <c r="H126" s="318">
        <f>'Debt &amp; Valuation'!E24</f>
        <v>7196458.287</v>
      </c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</row>
    <row r="127" ht="15.0" customHeight="1">
      <c r="A127" s="315" t="s">
        <v>221</v>
      </c>
      <c r="B127" s="316"/>
      <c r="C127" s="227"/>
      <c r="D127" s="227"/>
      <c r="E127" s="227"/>
      <c r="F127" s="227"/>
      <c r="G127" s="227"/>
      <c r="H127" s="319">
        <f>SUM(H126)</f>
        <v>7196458.287</v>
      </c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</row>
    <row r="128" ht="15.0" customHeight="1">
      <c r="A128" s="280" t="s">
        <v>222</v>
      </c>
      <c r="B128" s="188"/>
      <c r="C128" s="134"/>
      <c r="D128" s="134"/>
      <c r="E128" s="134"/>
      <c r="F128" s="134"/>
      <c r="G128" s="134"/>
      <c r="H128" s="320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</row>
    <row r="129" ht="15.0" customHeight="1">
      <c r="A129" s="315" t="s">
        <v>223</v>
      </c>
      <c r="B129" s="316"/>
      <c r="C129" s="227"/>
      <c r="D129" s="227"/>
      <c r="E129" s="227"/>
      <c r="F129" s="227"/>
      <c r="G129" s="227"/>
      <c r="H129" s="319">
        <f>SUM(H127:H128)</f>
        <v>7196458.287</v>
      </c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</row>
    <row r="130" ht="15.0" customHeight="1">
      <c r="A130" s="188"/>
      <c r="B130" s="188"/>
      <c r="C130" s="134"/>
      <c r="D130" s="134"/>
      <c r="E130" s="134"/>
      <c r="F130" s="134"/>
      <c r="G130" s="134"/>
      <c r="H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</row>
    <row r="131" ht="15.0" customHeight="1">
      <c r="A131" s="268" t="s">
        <v>224</v>
      </c>
      <c r="B131" s="268"/>
      <c r="C131" s="138"/>
      <c r="D131" s="138"/>
      <c r="E131" s="138"/>
      <c r="F131" s="138"/>
      <c r="G131" s="138"/>
      <c r="H131" s="138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</row>
    <row r="132" ht="15.0" customHeight="1">
      <c r="A132" s="315" t="s">
        <v>225</v>
      </c>
      <c r="B132" s="316"/>
      <c r="C132" s="244" t="s">
        <v>204</v>
      </c>
      <c r="D132" s="227"/>
      <c r="E132" s="227"/>
      <c r="F132" s="244" t="s">
        <v>226</v>
      </c>
      <c r="G132" s="229"/>
      <c r="H132" s="229" t="s">
        <v>188</v>
      </c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</row>
    <row r="133" ht="15.0" customHeight="1">
      <c r="A133" s="321" t="s">
        <v>49</v>
      </c>
      <c r="B133" s="264"/>
      <c r="C133" s="281"/>
      <c r="D133" s="188"/>
      <c r="E133" s="188"/>
      <c r="F133" s="280" t="s">
        <v>49</v>
      </c>
      <c r="G133" s="188"/>
      <c r="H133" s="322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</row>
    <row r="134" ht="15.0" customHeight="1">
      <c r="A134" s="321" t="s">
        <v>49</v>
      </c>
      <c r="B134" s="264"/>
      <c r="C134" s="323"/>
      <c r="D134" s="134"/>
      <c r="E134" s="134"/>
      <c r="F134" s="255" t="s">
        <v>49</v>
      </c>
      <c r="G134" s="134"/>
      <c r="H134" s="298"/>
      <c r="J134" s="134" t="s">
        <v>227</v>
      </c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</row>
    <row r="135" ht="15.0" customHeight="1">
      <c r="A135" s="321" t="s">
        <v>195</v>
      </c>
      <c r="B135" s="264"/>
      <c r="C135" s="323" t="s">
        <v>60</v>
      </c>
      <c r="D135" s="134"/>
      <c r="E135" s="134"/>
      <c r="F135" s="230" t="str">
        <f>'Tax Credits'!A71</f>
        <v>Completion</v>
      </c>
      <c r="G135" s="134"/>
      <c r="H135" s="298">
        <f>'Tax Credits'!E71</f>
        <v>2210767.104</v>
      </c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</row>
    <row r="136" ht="15.0" customHeight="1">
      <c r="A136" s="321" t="s">
        <v>49</v>
      </c>
      <c r="B136" s="264"/>
      <c r="C136" s="134" t="s">
        <v>60</v>
      </c>
      <c r="D136" s="134"/>
      <c r="E136" s="134"/>
      <c r="F136" s="255" t="str">
        <f>'Tax Credits'!A72</f>
        <v>Conversion</v>
      </c>
      <c r="G136" s="134"/>
      <c r="H136" s="298">
        <f>'Tax Credits'!E72</f>
        <v>18962008.29</v>
      </c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</row>
    <row r="137" ht="15.0" customHeight="1">
      <c r="A137" s="324">
        <v>8609.0</v>
      </c>
      <c r="B137" s="53"/>
      <c r="C137" s="134" t="s">
        <v>60</v>
      </c>
      <c r="D137" s="134"/>
      <c r="E137" s="134"/>
      <c r="F137" s="325">
        <f>'Tax Credits'!A73</f>
        <v>8609</v>
      </c>
      <c r="G137" s="134"/>
      <c r="H137" s="302">
        <f>'Tax Credits'!E73</f>
        <v>250000</v>
      </c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</row>
    <row r="138" ht="15.0" customHeight="1">
      <c r="A138" s="307" t="s">
        <v>228</v>
      </c>
      <c r="B138" s="308"/>
      <c r="C138" s="308"/>
      <c r="D138" s="308"/>
      <c r="E138" s="308"/>
      <c r="F138" s="308"/>
      <c r="G138" s="326"/>
      <c r="H138" s="311">
        <f>H129+SUM(H133:H137)</f>
        <v>28619233.68</v>
      </c>
      <c r="J138" s="327" t="s">
        <v>229</v>
      </c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</row>
    <row r="139" ht="15.0" customHeight="1">
      <c r="A139" s="287" t="s">
        <v>230</v>
      </c>
      <c r="B139" s="287"/>
      <c r="C139" s="287"/>
      <c r="D139" s="287"/>
      <c r="E139" s="287"/>
      <c r="F139" s="287"/>
      <c r="G139" s="287"/>
      <c r="H139" s="288">
        <f>H138-H121</f>
        <v>-0.2061283849</v>
      </c>
      <c r="J139" s="328" t="s">
        <v>231</v>
      </c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</row>
    <row r="140" ht="15.0" customHeight="1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</row>
    <row r="141" ht="15.0" customHeight="1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</row>
    <row r="142" ht="15.0" customHeight="1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</row>
    <row r="143" ht="15.0" customHeight="1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</row>
    <row r="144" ht="15.0" customHeight="1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</row>
    <row r="145" ht="15.0" customHeight="1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</row>
    <row r="146" ht="15.0" customHeight="1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</row>
    <row r="147" ht="15.0" customHeight="1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</row>
    <row r="148" ht="15.0" customHeight="1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</row>
    <row r="149" ht="15.0" customHeight="1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</row>
    <row r="150" ht="15.0" customHeight="1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</row>
    <row r="151" ht="15.0" customHeight="1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</row>
    <row r="152" ht="15.0" customHeight="1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</row>
    <row r="153" ht="15.0" customHeight="1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</row>
    <row r="154" ht="15.0" customHeight="1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</row>
    <row r="155" ht="15.0" customHeight="1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</row>
    <row r="156" ht="15.0" customHeight="1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</row>
    <row r="157" ht="15.0" customHeight="1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</row>
    <row r="158" ht="15.0" customHeight="1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</row>
    <row r="159" ht="15.0" customHeight="1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</row>
    <row r="160" ht="15.0" customHeight="1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</row>
    <row r="161" ht="15.0" customHeight="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</row>
    <row r="162" ht="15.0" customHeight="1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</row>
    <row r="163" ht="15.0" customHeight="1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</row>
    <row r="164" ht="15.0" customHeight="1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</row>
    <row r="165" ht="15.0" customHeight="1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</row>
    <row r="166" ht="15.0" customHeight="1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</row>
    <row r="167" ht="15.0" customHeight="1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</row>
    <row r="168" ht="15.0" customHeight="1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</row>
    <row r="169" ht="15.0" customHeight="1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</row>
    <row r="170" ht="15.0" customHeight="1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</row>
    <row r="171" ht="15.0" customHeight="1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</row>
    <row r="172" ht="15.0" customHeight="1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</row>
    <row r="173" ht="15.0" customHeight="1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</row>
    <row r="174" ht="15.0" customHeight="1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</row>
    <row r="175" ht="15.0" customHeight="1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</row>
    <row r="176" ht="15.0" customHeight="1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</row>
    <row r="177" ht="15.0" customHeight="1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</row>
    <row r="178" ht="15.0" customHeight="1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</row>
    <row r="179" ht="15.0" customHeight="1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</row>
    <row r="180" ht="15.0" customHeight="1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</row>
    <row r="181" ht="15.0" customHeight="1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</row>
    <row r="182" ht="15.0" customHeight="1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</row>
    <row r="183" ht="15.0" customHeight="1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</row>
    <row r="184" ht="15.0" customHeight="1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</row>
    <row r="185" ht="15.0" customHeight="1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</row>
    <row r="186" ht="15.0" customHeight="1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</row>
    <row r="187" ht="15.0" customHeight="1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</row>
    <row r="188" ht="15.0" customHeight="1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</row>
    <row r="189" ht="15.0" customHeight="1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</row>
    <row r="190" ht="15.0" customHeight="1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</row>
    <row r="191" ht="15.0" customHeight="1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</row>
    <row r="192" ht="15.0" customHeight="1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</row>
    <row r="193" ht="15.0" customHeight="1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</row>
    <row r="194" ht="15.0" customHeight="1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</row>
    <row r="195" ht="15.0" customHeight="1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</row>
    <row r="196" ht="15.0" customHeight="1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</row>
    <row r="197" ht="15.0" customHeight="1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</row>
    <row r="198" ht="15.0" customHeight="1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</row>
    <row r="199" ht="12.75" customHeight="1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</row>
    <row r="200" ht="12.75" customHeight="1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</row>
    <row r="201" ht="12.75" customHeight="1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</row>
    <row r="202" ht="12.75" customHeight="1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</row>
    <row r="203" ht="12.75" customHeight="1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</row>
    <row r="204" ht="12.75" customHeight="1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</row>
    <row r="205" ht="12.75" customHeight="1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</row>
    <row r="206" ht="12.75" customHeight="1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</row>
    <row r="207" ht="12.75" customHeight="1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</row>
    <row r="208" ht="12.75" customHeight="1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</row>
    <row r="209" ht="12.75" customHeight="1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</row>
    <row r="210" ht="12.75" customHeight="1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</row>
    <row r="211" ht="12.75" customHeight="1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</row>
    <row r="212" ht="12.75" customHeight="1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</row>
    <row r="213" ht="12.75" customHeight="1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</row>
    <row r="214" ht="12.75" customHeight="1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</row>
    <row r="215" ht="12.75" customHeight="1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</row>
    <row r="216" ht="12.75" customHeight="1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</row>
    <row r="217" ht="12.75" customHeight="1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</row>
    <row r="218" ht="12.75" customHeight="1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</row>
    <row r="219" ht="12.75" customHeight="1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</row>
    <row r="220" ht="12.75" customHeight="1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</row>
    <row r="221" ht="12.75" customHeight="1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</row>
    <row r="222" ht="12.75" customHeight="1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</row>
    <row r="223" ht="12.75" customHeight="1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</row>
    <row r="224" ht="12.75" customHeight="1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</row>
    <row r="225" ht="12.75" customHeight="1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</row>
    <row r="226" ht="12.75" customHeight="1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</row>
    <row r="227" ht="12.75" customHeight="1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</row>
    <row r="228" ht="12.75" customHeight="1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</row>
    <row r="229" ht="12.75" customHeight="1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</row>
    <row r="230" ht="12.75" customHeight="1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</row>
    <row r="231" ht="12.75" customHeight="1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</row>
    <row r="232" ht="12.75" customHeight="1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</row>
    <row r="233" ht="12.75" customHeight="1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</row>
    <row r="234" ht="12.75" customHeight="1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</row>
    <row r="235" ht="12.75" customHeight="1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</row>
    <row r="236" ht="12.75" customHeight="1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</row>
    <row r="237" ht="12.75" customHeight="1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</row>
    <row r="238" ht="12.75" customHeight="1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</row>
    <row r="239" ht="12.75" customHeight="1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</row>
    <row r="240" ht="12.75" customHeight="1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</row>
    <row r="241" ht="12.75" customHeight="1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</row>
    <row r="242" ht="12.75" customHeight="1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</row>
    <row r="243" ht="12.75" customHeight="1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</row>
    <row r="244" ht="12.75" customHeight="1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</row>
    <row r="245" ht="12.75" customHeight="1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</row>
    <row r="246" ht="12.75" customHeight="1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</row>
    <row r="247" ht="12.75" customHeight="1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</row>
    <row r="248" ht="12.75" customHeight="1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</row>
    <row r="249" ht="12.75" customHeight="1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</row>
    <row r="250" ht="12.75" customHeight="1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</row>
    <row r="251" ht="12.75" customHeight="1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</row>
    <row r="252" ht="12.75" customHeight="1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</row>
    <row r="253" ht="12.75" customHeight="1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</row>
    <row r="254" ht="12.75" customHeight="1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</row>
    <row r="255" ht="12.75" customHeight="1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</row>
    <row r="256" ht="12.75" customHeight="1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</row>
    <row r="257" ht="12.75" customHeight="1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</row>
    <row r="258" ht="12.75" customHeight="1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</row>
    <row r="259" ht="12.75" customHeight="1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</row>
    <row r="260" ht="12.75" customHeight="1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</row>
    <row r="261" ht="12.75" customHeight="1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</row>
    <row r="262" ht="12.75" customHeight="1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</row>
    <row r="263" ht="12.75" customHeight="1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</row>
    <row r="264" ht="12.75" customHeight="1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</row>
    <row r="265" ht="12.75" customHeight="1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</row>
    <row r="266" ht="12.75" customHeight="1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</row>
    <row r="267" ht="12.75" customHeight="1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</row>
    <row r="268" ht="12.75" customHeight="1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</row>
    <row r="269" ht="12.75" customHeight="1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</row>
    <row r="270" ht="12.75" customHeight="1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</row>
    <row r="271" ht="12.75" customHeight="1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</row>
    <row r="272" ht="12.75" customHeight="1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</row>
    <row r="273" ht="12.75" customHeight="1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</row>
    <row r="274" ht="12.75" customHeight="1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</row>
    <row r="275" ht="12.75" customHeight="1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</row>
    <row r="276" ht="12.75" customHeight="1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</row>
    <row r="277" ht="12.75" customHeight="1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</row>
    <row r="278" ht="12.75" customHeight="1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</row>
    <row r="279" ht="12.75" customHeight="1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</row>
    <row r="280" ht="12.75" customHeight="1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</row>
    <row r="281" ht="12.75" customHeight="1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</row>
    <row r="282" ht="12.75" customHeight="1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</row>
    <row r="283" ht="12.75" customHeight="1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</row>
    <row r="284" ht="12.75" customHeight="1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</row>
    <row r="285" ht="12.75" customHeight="1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</row>
    <row r="286" ht="12.75" customHeight="1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</row>
    <row r="287" ht="12.75" customHeight="1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</row>
    <row r="288" ht="12.75" customHeight="1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</row>
    <row r="289" ht="12.75" customHeight="1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</row>
    <row r="290" ht="12.75" customHeight="1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</row>
    <row r="291" ht="12.75" customHeight="1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</row>
    <row r="292" ht="12.75" customHeight="1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</row>
    <row r="293" ht="12.75" customHeight="1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</row>
    <row r="294" ht="12.75" customHeight="1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</row>
    <row r="295" ht="12.75" customHeight="1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</row>
    <row r="296" ht="12.75" customHeight="1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</row>
    <row r="297" ht="12.75" customHeight="1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</row>
    <row r="298" ht="12.75" customHeight="1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</row>
    <row r="299" ht="12.75" customHeight="1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</row>
    <row r="300" ht="12.75" customHeight="1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</row>
    <row r="301" ht="12.75" customHeight="1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</row>
    <row r="302" ht="12.75" customHeight="1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</row>
    <row r="303" ht="12.75" customHeight="1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</row>
    <row r="304" ht="12.75" customHeight="1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</row>
    <row r="305" ht="12.75" customHeight="1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</row>
    <row r="306" ht="12.75" customHeight="1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</row>
    <row r="307" ht="12.75" customHeight="1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</row>
    <row r="308" ht="12.75" customHeight="1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</row>
    <row r="309" ht="12.75" customHeight="1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</row>
    <row r="310" ht="12.75" customHeight="1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</row>
    <row r="311" ht="12.75" customHeight="1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</row>
    <row r="312" ht="12.75" customHeight="1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</row>
    <row r="313" ht="12.75" customHeight="1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</row>
    <row r="314" ht="12.75" customHeight="1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</row>
    <row r="315" ht="12.75" customHeight="1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</row>
    <row r="316" ht="12.75" customHeight="1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</row>
    <row r="317" ht="12.75" customHeight="1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</row>
    <row r="318" ht="12.75" customHeight="1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</row>
    <row r="319" ht="12.75" customHeight="1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</row>
    <row r="320" ht="12.75" customHeight="1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</row>
    <row r="321" ht="12.75" customHeight="1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</row>
    <row r="322" ht="12.75" customHeight="1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</row>
    <row r="323" ht="12.75" customHeight="1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</row>
    <row r="324" ht="12.75" customHeight="1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</row>
    <row r="325" ht="12.75" customHeight="1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</row>
    <row r="326" ht="12.75" customHeight="1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</row>
    <row r="327" ht="12.75" customHeight="1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</row>
    <row r="328" ht="12.75" customHeight="1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</row>
    <row r="329" ht="12.75" customHeight="1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</row>
    <row r="330" ht="12.75" customHeight="1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</row>
    <row r="331" ht="12.75" customHeight="1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</row>
    <row r="332" ht="12.75" customHeight="1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</row>
    <row r="333" ht="12.75" customHeight="1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</row>
    <row r="334" ht="12.75" customHeight="1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</row>
    <row r="335" ht="12.75" customHeight="1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</row>
    <row r="336" ht="12.75" customHeight="1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</row>
    <row r="337" ht="12.75" customHeight="1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</row>
    <row r="338" ht="12.75" customHeight="1">
      <c r="A338" s="134"/>
      <c r="B338" s="134"/>
      <c r="C338" s="134"/>
      <c r="D338" s="134"/>
      <c r="E338" s="134"/>
      <c r="F338" s="134"/>
      <c r="G338" s="134"/>
      <c r="H338" s="134"/>
      <c r="R338" s="134"/>
      <c r="S338" s="134"/>
      <c r="T338" s="134"/>
      <c r="U338" s="134"/>
      <c r="V338" s="134"/>
      <c r="W338" s="134"/>
      <c r="X338" s="134"/>
      <c r="Y338" s="134"/>
      <c r="Z338" s="134"/>
    </row>
    <row r="339" ht="12.75" customHeight="1">
      <c r="A339" s="134"/>
      <c r="B339" s="134"/>
      <c r="C339" s="134"/>
      <c r="D339" s="134"/>
      <c r="E339" s="134"/>
      <c r="F339" s="134"/>
      <c r="G339" s="134"/>
      <c r="H339" s="134"/>
      <c r="R339" s="134"/>
      <c r="S339" s="134"/>
      <c r="T339" s="134"/>
      <c r="U339" s="134"/>
      <c r="V339" s="134"/>
      <c r="W339" s="134"/>
      <c r="X339" s="134"/>
      <c r="Y339" s="134"/>
      <c r="Z339" s="134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81"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90:D90"/>
    <mergeCell ref="C91:D91"/>
    <mergeCell ref="C92:D92"/>
    <mergeCell ref="E111:E112"/>
    <mergeCell ref="G111:G112"/>
    <mergeCell ref="H111:H112"/>
    <mergeCell ref="A133:B133"/>
    <mergeCell ref="A134:B134"/>
    <mergeCell ref="A135:B135"/>
    <mergeCell ref="A136:B136"/>
    <mergeCell ref="A137:B137"/>
    <mergeCell ref="C83:D83"/>
    <mergeCell ref="C84:D84"/>
    <mergeCell ref="C85:D85"/>
    <mergeCell ref="C86:D86"/>
    <mergeCell ref="C87:D87"/>
    <mergeCell ref="C88:D88"/>
    <mergeCell ref="C89:D89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28:D28"/>
    <mergeCell ref="C30:D30"/>
    <mergeCell ref="C31:D31"/>
    <mergeCell ref="C32:D32"/>
    <mergeCell ref="C33:D33"/>
    <mergeCell ref="C34:D34"/>
    <mergeCell ref="C35:D35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3:D53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</mergeCells>
  <dataValidations>
    <dataValidation type="list" allowBlank="1" showErrorMessage="1" sqref="A98:A104">
      <formula1>'Drop Down Menus'!$B$4:$B$5</formula1>
    </dataValidation>
    <dataValidation type="list" allowBlank="1" showErrorMessage="1" sqref="A133:A137">
      <formula1>'Drop Down Menus'!$B$8:$B$11</formula1>
    </dataValidation>
    <dataValidation type="list" allowBlank="1" showErrorMessage="1" sqref="L86:L91">
      <formula1>'Drop Down Menus'!$B$14:$B$20</formula1>
    </dataValidation>
  </dataValidations>
  <printOptions/>
  <pageMargins bottom="0.75" footer="0.0" header="0.0" left="0.7" right="0.7" top="0.75"/>
  <pageSetup orientation="portrait"/>
  <rowBreaks count="1" manualBreakCount="1">
    <brk id="94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2" max="2" width="34.0"/>
    <col customWidth="1" min="3" max="4" width="11.38"/>
    <col customWidth="1" min="5" max="5" width="9.88"/>
    <col customWidth="1" min="6" max="7" width="9.38"/>
    <col customWidth="1" min="8" max="8" width="5.13"/>
    <col customWidth="1" min="9" max="9" width="10.25"/>
    <col customWidth="1" min="10" max="12" width="9.38"/>
    <col customWidth="1" min="13" max="13" width="34.38"/>
    <col customWidth="1" min="15" max="15" width="16.75"/>
    <col customWidth="1" min="16" max="16" width="1.25"/>
    <col customWidth="1" min="17" max="17" width="18.0"/>
    <col customWidth="1" min="18" max="18" width="18.88"/>
    <col customWidth="1" min="19" max="19" width="19.5"/>
    <col customWidth="1" min="20" max="20" width="13.38"/>
  </cols>
  <sheetData>
    <row r="1">
      <c r="O1" s="329"/>
    </row>
    <row r="2">
      <c r="O2" s="330" t="s">
        <v>232</v>
      </c>
      <c r="P2" s="331"/>
      <c r="Q2" s="331"/>
      <c r="R2" s="331"/>
      <c r="S2" s="331"/>
      <c r="T2" s="332"/>
    </row>
    <row r="3">
      <c r="B3" s="333" t="s">
        <v>56</v>
      </c>
      <c r="C3" s="334" t="s">
        <v>57</v>
      </c>
      <c r="D3" s="334" t="s">
        <v>58</v>
      </c>
      <c r="E3" s="334"/>
      <c r="O3" s="335" t="s">
        <v>233</v>
      </c>
      <c r="P3" s="336"/>
      <c r="Q3" s="336"/>
      <c r="R3" s="336"/>
      <c r="S3" s="336"/>
      <c r="T3" s="337"/>
    </row>
    <row r="4">
      <c r="B4" s="338" t="str">
        <f>Summary!B40</f>
        <v>Construction Loan (HDC Tax Exempt Bonds)</v>
      </c>
      <c r="C4" s="339">
        <f>Summary!D40</f>
        <v>25905724.48</v>
      </c>
      <c r="D4" s="339">
        <f>Summary!E40</f>
        <v>0</v>
      </c>
      <c r="E4" s="339"/>
      <c r="O4" s="340"/>
      <c r="P4" s="341"/>
      <c r="Q4" s="341" t="s">
        <v>234</v>
      </c>
      <c r="R4" s="341" t="s">
        <v>235</v>
      </c>
      <c r="S4" s="341" t="s">
        <v>236</v>
      </c>
      <c r="T4" s="342" t="s">
        <v>237</v>
      </c>
    </row>
    <row r="5">
      <c r="B5" s="338" t="str">
        <f>Summary!B41</f>
        <v>Bank of America Senior Permanent Debt</v>
      </c>
      <c r="C5" s="339">
        <f>Summary!D41</f>
        <v>0</v>
      </c>
      <c r="D5" s="339">
        <f>Summary!E41</f>
        <v>7196458.287</v>
      </c>
      <c r="E5" s="339"/>
      <c r="O5" s="343" t="s">
        <v>238</v>
      </c>
      <c r="P5" s="344"/>
      <c r="Q5" s="345">
        <f>Summary!C9</f>
        <v>99570.8</v>
      </c>
      <c r="R5" s="345">
        <f>Summary!F12</f>
        <v>85630.888</v>
      </c>
      <c r="S5" s="345">
        <f>Summary!C12</f>
        <v>11813.6572</v>
      </c>
      <c r="T5" s="346">
        <f>Summary!F13</f>
        <v>0.15</v>
      </c>
    </row>
    <row r="6">
      <c r="B6" s="338" t="str">
        <f>Summary!B42</f>
        <v>LIHTC Equity</v>
      </c>
      <c r="C6" s="339">
        <f>Summary!D42</f>
        <v>684895.6488</v>
      </c>
      <c r="D6" s="339">
        <f>Summary!E42</f>
        <v>22107671.04</v>
      </c>
      <c r="E6" s="339"/>
      <c r="O6" s="347" t="s">
        <v>239</v>
      </c>
      <c r="P6" s="348"/>
      <c r="Q6" s="348">
        <v>1.0</v>
      </c>
      <c r="R6" s="349">
        <f t="shared" ref="R6:S6" si="1">R5/$Q$5</f>
        <v>0.86</v>
      </c>
      <c r="S6" s="349">
        <f t="shared" si="1"/>
        <v>0.1186457998</v>
      </c>
      <c r="T6" s="350"/>
    </row>
    <row r="7">
      <c r="B7" s="338" t="str">
        <f>Summary!B43</f>
        <v>HPD ELLA Subsidy Program Loan</v>
      </c>
      <c r="C7" s="339">
        <f>Summary!D43</f>
        <v>14067900</v>
      </c>
      <c r="D7" s="339">
        <f>Summary!E43</f>
        <v>14067900</v>
      </c>
      <c r="E7" s="339"/>
      <c r="O7" s="351"/>
      <c r="P7" s="352"/>
      <c r="Q7" s="352" t="s">
        <v>240</v>
      </c>
      <c r="R7" s="352" t="s">
        <v>241</v>
      </c>
      <c r="S7" s="352" t="s">
        <v>242</v>
      </c>
      <c r="T7" s="353"/>
    </row>
    <row r="8">
      <c r="B8" s="338" t="str">
        <f>Summary!B44</f>
        <v>HPD Resolution A Grant</v>
      </c>
      <c r="C8" s="339">
        <f>Summary!D44</f>
        <v>912700</v>
      </c>
      <c r="D8" s="339">
        <f>Summary!E44</f>
        <v>912700</v>
      </c>
      <c r="E8" s="339"/>
      <c r="O8" s="347" t="s">
        <v>243</v>
      </c>
      <c r="P8" s="354"/>
      <c r="Q8" s="354">
        <f>SUM(Rents!F17,Rents!F20,Rents!F25)/Rents!F14</f>
        <v>0.1551724138</v>
      </c>
      <c r="R8" s="354">
        <f>sum(Rents!F16,Rents!F18,Rents!F19,Rents!F21,Rents!F22,Rents!F23,Rents!F24,Rents!F26,Rents!F27,Rents!F28,)/Rents!F14</f>
        <v>0.8362068966</v>
      </c>
      <c r="S8" s="354">
        <f>100%-R8-Q8</f>
        <v>0.008620689655</v>
      </c>
      <c r="T8" s="350"/>
    </row>
    <row r="9">
      <c r="B9" s="338" t="str">
        <f>Summary!B45</f>
        <v>HDC ELLA Subsidy Program Loan</v>
      </c>
      <c r="C9" s="339">
        <f>Summary!D45</f>
        <v>7464600</v>
      </c>
      <c r="D9" s="339">
        <f>Summary!E45</f>
        <v>7464600</v>
      </c>
      <c r="E9" s="339"/>
      <c r="O9" s="351"/>
      <c r="P9" s="352"/>
      <c r="Q9" s="352" t="s">
        <v>244</v>
      </c>
      <c r="R9" s="352" t="s">
        <v>245</v>
      </c>
      <c r="S9" s="352" t="s">
        <v>246</v>
      </c>
      <c r="T9" s="355" t="s">
        <v>247</v>
      </c>
    </row>
    <row r="10">
      <c r="B10" s="338" t="str">
        <f>Summary!B47</f>
        <v>Deferred Discretionary Developer Fees</v>
      </c>
      <c r="C10" s="339">
        <f>Summary!D47</f>
        <v>5599709.871</v>
      </c>
      <c r="D10" s="339">
        <f>Summary!E47</f>
        <v>3110949.928</v>
      </c>
      <c r="E10" s="339"/>
      <c r="O10" s="343" t="s">
        <v>248</v>
      </c>
      <c r="P10" s="344"/>
      <c r="Q10" s="344">
        <f t="shared" ref="Q10:T10" si="2">SUM(C55:C56)</f>
        <v>29</v>
      </c>
      <c r="R10" s="344">
        <f t="shared" si="2"/>
        <v>51</v>
      </c>
      <c r="S10" s="344">
        <f t="shared" si="2"/>
        <v>29</v>
      </c>
      <c r="T10" s="356">
        <f t="shared" si="2"/>
        <v>6</v>
      </c>
    </row>
    <row r="11">
      <c r="B11" s="338" t="str">
        <f>Summary!#REF!</f>
        <v>#ERROR!</v>
      </c>
      <c r="C11" s="339">
        <v>0.0</v>
      </c>
      <c r="D11" s="339">
        <v>0.0</v>
      </c>
      <c r="E11" s="339"/>
      <c r="O11" s="343" t="s">
        <v>249</v>
      </c>
      <c r="P11" s="357"/>
      <c r="Q11" s="358" t="s">
        <v>250</v>
      </c>
      <c r="R11" s="357" t="s">
        <v>251</v>
      </c>
      <c r="S11" s="357" t="s">
        <v>252</v>
      </c>
      <c r="T11" s="359" t="s">
        <v>253</v>
      </c>
    </row>
    <row r="12">
      <c r="B12" s="338" t="str">
        <f>Summary!B48</f>
        <v>GP Equity</v>
      </c>
      <c r="C12" s="339">
        <f>Summary!D48</f>
        <v>0</v>
      </c>
      <c r="D12" s="339">
        <f>Summary!E48</f>
        <v>0</v>
      </c>
      <c r="E12" s="339"/>
      <c r="O12" s="343" t="s">
        <v>254</v>
      </c>
      <c r="P12" s="360"/>
      <c r="Q12" s="360">
        <f>SUMPRODUCT(Rents!F16:F18,Rents!E16:E18)/SUM(Rents!F16:F18)</f>
        <v>0.5103448276</v>
      </c>
      <c r="R12" s="360">
        <f>sumproduct(Rents!F19:F22,Rents!E19:E22)/sum(Rents!F19:F22)</f>
        <v>0.6450980392</v>
      </c>
      <c r="S12" s="360">
        <f>sumproduct(Rents!F23:F26,Rents!E23:E26)/SUM(Rents!F23:F26)</f>
        <v>0.4</v>
      </c>
      <c r="T12" s="361">
        <f>sumproduct(Rents!F27:F28,Rents!E27:E28)/sum(Rents!F27:F28)</f>
        <v>0.6</v>
      </c>
    </row>
    <row r="13">
      <c r="B13" s="338" t="str">
        <f>Summary!B49</f>
        <v>Other Deferrals</v>
      </c>
      <c r="C13" s="339">
        <f>Summary!D49</f>
        <v>224749.461</v>
      </c>
      <c r="D13" s="339">
        <f>Summary!E49</f>
        <v>0</v>
      </c>
      <c r="E13" s="339"/>
      <c r="O13" s="362"/>
      <c r="P13" s="363"/>
      <c r="Q13" s="363"/>
      <c r="R13" s="363"/>
      <c r="S13" s="363"/>
      <c r="T13" s="364"/>
    </row>
    <row r="14">
      <c r="B14" s="365" t="s">
        <v>255</v>
      </c>
      <c r="C14" s="366">
        <f t="shared" ref="C14:D14" si="3">SUM(C4:C13)</f>
        <v>54860279.46</v>
      </c>
      <c r="D14" s="366">
        <f t="shared" si="3"/>
        <v>54860279.26</v>
      </c>
      <c r="E14" s="367" t="s">
        <v>256</v>
      </c>
      <c r="O14" s="335" t="s">
        <v>257</v>
      </c>
      <c r="P14" s="336"/>
      <c r="Q14" s="336"/>
      <c r="R14" s="336"/>
      <c r="S14" s="336"/>
      <c r="T14" s="337"/>
    </row>
    <row r="15">
      <c r="B15" s="368" t="str">
        <f>Summary!B51</f>
        <v>Total Land Costs</v>
      </c>
      <c r="C15" s="339">
        <f>Summary!D51</f>
        <v>50000</v>
      </c>
      <c r="D15" s="339">
        <f>Summary!E51</f>
        <v>50000</v>
      </c>
      <c r="E15" s="369">
        <f>D15/Summary!$C$9</f>
        <v>0.5021552503</v>
      </c>
      <c r="O15" s="370"/>
      <c r="P15" s="352"/>
      <c r="Q15" s="352" t="s">
        <v>258</v>
      </c>
      <c r="R15" s="352" t="s">
        <v>259</v>
      </c>
      <c r="S15" s="371"/>
      <c r="T15" s="353"/>
    </row>
    <row r="16">
      <c r="B16" s="368" t="str">
        <f>Summary!B52</f>
        <v>Total Site Work</v>
      </c>
      <c r="C16" s="339">
        <f>Summary!D52</f>
        <v>3000000</v>
      </c>
      <c r="D16" s="339">
        <f>Summary!E52</f>
        <v>3000000</v>
      </c>
      <c r="E16" s="369">
        <f>D16/Summary!$C$9</f>
        <v>30.12931502</v>
      </c>
      <c r="O16" s="343" t="s">
        <v>260</v>
      </c>
      <c r="P16" s="372"/>
      <c r="Q16" s="372">
        <f>Summary!D50/Summary!C9</f>
        <v>563.6784726</v>
      </c>
      <c r="R16" s="373">
        <f>Summary!D50/Summary!C17</f>
        <v>483844.1074</v>
      </c>
      <c r="S16" s="371"/>
      <c r="T16" s="353"/>
    </row>
    <row r="17">
      <c r="B17" s="368" t="str">
        <f>Summary!B53</f>
        <v>Total Hard Costs</v>
      </c>
      <c r="C17" s="339">
        <f>Summary!D53</f>
        <v>37980200.4</v>
      </c>
      <c r="D17" s="339">
        <f>Summary!E53</f>
        <v>37980200.4</v>
      </c>
      <c r="E17" s="369">
        <f>D17/Summary!$C$9</f>
        <v>381.4391407</v>
      </c>
      <c r="O17" s="374"/>
      <c r="P17" s="341"/>
      <c r="Q17" s="341" t="s">
        <v>261</v>
      </c>
      <c r="R17" s="341" t="s">
        <v>262</v>
      </c>
      <c r="S17" s="341" t="s">
        <v>263</v>
      </c>
      <c r="T17" s="375" t="s">
        <v>264</v>
      </c>
    </row>
    <row r="18">
      <c r="B18" s="368" t="str">
        <f>Summary!B54</f>
        <v>Total Soft Costs</v>
      </c>
      <c r="C18" s="339">
        <f>Summary!D54</f>
        <v>3955470.196</v>
      </c>
      <c r="D18" s="339">
        <f>Summary!E54</f>
        <v>3955470.196</v>
      </c>
      <c r="E18" s="369">
        <f>D18/Summary!$C$9</f>
        <v>39.72520253</v>
      </c>
      <c r="O18" s="347" t="s">
        <v>265</v>
      </c>
      <c r="P18" s="354"/>
      <c r="Q18" s="354">
        <f>'Sources and Uses'!E30/'Sources and Uses'!E92</f>
        <v>0.676696307</v>
      </c>
      <c r="R18" s="354">
        <f>'Sources and Uses'!E53/'Sources and Uses'!E92</f>
        <v>0.07047493289</v>
      </c>
      <c r="S18" s="354">
        <f>'Sources and Uses'!E75/'Sources and Uses'!E92</f>
        <v>0.07952598076</v>
      </c>
      <c r="T18" s="376">
        <f>('Sources and Uses'!E14+'Sources and Uses'!E18+'Sources and Uses'!E81+'Sources and Uses'!E88+'Sources and Uses'!E90)/'Sources and Uses'!E92</f>
        <v>0.1725900961</v>
      </c>
    </row>
    <row r="19">
      <c r="B19" s="368" t="str">
        <f>Summary!B55</f>
        <v>Total Financing Costs</v>
      </c>
      <c r="C19" s="339">
        <f>Summary!D55</f>
        <v>4463468.552</v>
      </c>
      <c r="D19" s="339">
        <f>Summary!E55</f>
        <v>4463468.552</v>
      </c>
      <c r="E19" s="369">
        <f>D19/Summary!$C$9</f>
        <v>44.82708337</v>
      </c>
      <c r="O19" s="374"/>
      <c r="P19" s="341"/>
      <c r="Q19" s="341" t="s">
        <v>266</v>
      </c>
      <c r="R19" s="341" t="s">
        <v>267</v>
      </c>
      <c r="S19" s="341" t="s">
        <v>268</v>
      </c>
      <c r="T19" s="375" t="s">
        <v>166</v>
      </c>
    </row>
    <row r="20">
      <c r="B20" s="368" t="str">
        <f>Summary!B56</f>
        <v>Total Org Costs Start-Up</v>
      </c>
      <c r="C20" s="339">
        <f>Summary!D56</f>
        <v>211738</v>
      </c>
      <c r="D20" s="339">
        <f>Summary!E56</f>
        <v>211738</v>
      </c>
      <c r="E20" s="369">
        <f>D20/Summary!$C$9</f>
        <v>2.126506968</v>
      </c>
      <c r="O20" s="347" t="s">
        <v>269</v>
      </c>
      <c r="P20" s="354"/>
      <c r="Q20" s="354">
        <f>'Sources and Uses'!H98/'Sources and Uses'!H105</f>
        <v>0.5150094244</v>
      </c>
      <c r="R20" s="354">
        <f>('Sources and Uses'!H100+'Sources and Uses'!H102)/'Sources and Uses'!H105</f>
        <v>0.4280691103</v>
      </c>
      <c r="S20" s="354">
        <f>SUM('Sources and Uses'!H101,'Sources and Uses'!H103)/'Sources and Uses'!H105</f>
        <v>0.0433056441</v>
      </c>
      <c r="T20" s="376">
        <f>'Sources and Uses'!H99/'Sources and Uses'!H105</f>
        <v>0.01361582125</v>
      </c>
    </row>
    <row r="21" ht="15.75" customHeight="1">
      <c r="B21" s="368" t="str">
        <f>Summary!B57</f>
        <v>Total Reserves</v>
      </c>
      <c r="C21" s="339">
        <f>Summary!D57</f>
        <v>203139.461</v>
      </c>
      <c r="D21" s="339">
        <f>Summary!E57</f>
        <v>203139.461</v>
      </c>
      <c r="E21" s="369">
        <f>D21/Summary!$C$9</f>
        <v>2.040150938</v>
      </c>
      <c r="O21" s="374"/>
      <c r="P21" s="341"/>
      <c r="Q21" s="341" t="s">
        <v>270</v>
      </c>
      <c r="R21" s="341" t="s">
        <v>60</v>
      </c>
      <c r="S21" s="377"/>
      <c r="T21" s="378"/>
    </row>
    <row r="22" ht="15.75" customHeight="1">
      <c r="B22" s="368" t="str">
        <f>Summary!B58</f>
        <v>Developer Fees</v>
      </c>
      <c r="C22" s="339">
        <f>Summary!D58</f>
        <v>6261899.857</v>
      </c>
      <c r="D22" s="339">
        <f>Summary!E58</f>
        <v>6261899.857</v>
      </c>
      <c r="E22" s="369">
        <f>D22/Summary!$C$9</f>
        <v>62.8889178</v>
      </c>
      <c r="O22" s="347" t="s">
        <v>271</v>
      </c>
      <c r="P22" s="354"/>
      <c r="Q22" s="354">
        <f>'Sources and Uses'!H129/'Sources and Uses'!H138</f>
        <v>0.2514553104</v>
      </c>
      <c r="R22" s="354">
        <f>SUM('Sources and Uses'!H135:H137)/'Sources and Uses'!H138</f>
        <v>0.7485446896</v>
      </c>
      <c r="S22" s="379"/>
      <c r="T22" s="350"/>
    </row>
    <row r="23" ht="15.75" customHeight="1">
      <c r="B23" s="365" t="s">
        <v>272</v>
      </c>
      <c r="C23" s="380">
        <f t="shared" ref="C23:D23" si="4">SUM(C15:C22)</f>
        <v>56125916.46</v>
      </c>
      <c r="D23" s="380">
        <f t="shared" si="4"/>
        <v>56125916.46</v>
      </c>
      <c r="E23" s="381">
        <f>D23/Summary!$C$9</f>
        <v>563.6784726</v>
      </c>
      <c r="O23" s="351"/>
      <c r="P23" s="352"/>
      <c r="Q23" s="352" t="s">
        <v>273</v>
      </c>
      <c r="R23" s="352" t="s">
        <v>274</v>
      </c>
      <c r="S23" s="352" t="s">
        <v>275</v>
      </c>
      <c r="T23" s="353"/>
    </row>
    <row r="24" ht="15.75" customHeight="1">
      <c r="B24" s="382" t="s">
        <v>276</v>
      </c>
      <c r="C24" s="383">
        <f t="shared" ref="C24:D24" si="5">C14-C23</f>
        <v>-1265637</v>
      </c>
      <c r="D24" s="383">
        <f t="shared" si="5"/>
        <v>-1265637.206</v>
      </c>
      <c r="E24" s="383"/>
      <c r="O24" s="343" t="s">
        <v>277</v>
      </c>
      <c r="P24" s="344"/>
      <c r="Q24" s="360">
        <f>AVERAGE('LT Proforma No Comm'!C39:G39)</f>
        <v>0.4901559226</v>
      </c>
      <c r="R24" s="360">
        <f>average('LT Proforma No Comm'!H39:L39)</f>
        <v>0.5061649471</v>
      </c>
      <c r="S24" s="360">
        <f>AVERAGE('LT Proforma No Comm'!M39:Q39)</f>
        <v>0.5227697762</v>
      </c>
      <c r="T24" s="353"/>
    </row>
    <row r="25" ht="15.75" customHeight="1">
      <c r="O25" s="347" t="s">
        <v>278</v>
      </c>
      <c r="P25" s="384"/>
      <c r="Q25" s="384">
        <f>AVERAGE('LT Proforma No Comm'!C38:G38)</f>
        <v>1.16248535</v>
      </c>
      <c r="R25" s="384">
        <f>average('LT Proforma No Comm'!H38:L38)</f>
        <v>1.187923945</v>
      </c>
      <c r="S25" s="384">
        <f>average('LT Proforma No Comm'!M38:Q38)</f>
        <v>1.202852251</v>
      </c>
      <c r="T25" s="350"/>
    </row>
    <row r="26" ht="15.75" customHeight="1"/>
    <row r="27" ht="15.75" customHeight="1">
      <c r="B27" s="385" t="s">
        <v>56</v>
      </c>
      <c r="C27" s="386"/>
      <c r="D27" s="387" t="s">
        <v>57</v>
      </c>
      <c r="E27" s="388" t="s">
        <v>58</v>
      </c>
      <c r="F27" s="389" t="s">
        <v>259</v>
      </c>
    </row>
    <row r="28" ht="15.75" customHeight="1">
      <c r="B28" s="82" t="s">
        <v>59</v>
      </c>
      <c r="C28" s="83"/>
      <c r="D28" s="390" t="str">
        <f>'Debt &amp; Valuation'!D11</f>
        <v/>
      </c>
      <c r="E28" s="391">
        <v>0.0</v>
      </c>
      <c r="F28" s="86"/>
    </row>
    <row r="29" ht="15.75" customHeight="1">
      <c r="B29" s="82" t="s">
        <v>279</v>
      </c>
      <c r="C29" s="83"/>
      <c r="D29" s="392">
        <v>0.0</v>
      </c>
      <c r="E29" s="393" t="str">
        <f>'Debt &amp; Valuation'!F11</f>
        <v/>
      </c>
      <c r="F29" s="86"/>
    </row>
    <row r="30" ht="15.75" customHeight="1">
      <c r="B30" s="394" t="s">
        <v>60</v>
      </c>
      <c r="D30" s="390" t="str">
        <f>'Tax Credits'!F56</f>
        <v/>
      </c>
      <c r="E30" s="393" t="str">
        <f>'Tax Credits'!F61</f>
        <v/>
      </c>
      <c r="F30" s="86" t="str">
        <f t="shared" ref="F30:F33" si="6">E30/$E$10</f>
        <v>#DIV/0!</v>
      </c>
    </row>
    <row r="31" ht="15.75" customHeight="1">
      <c r="B31" s="394" t="s">
        <v>61</v>
      </c>
      <c r="C31" s="91"/>
      <c r="D31" s="94" t="str">
        <f>E31</f>
        <v/>
      </c>
      <c r="E31" s="395" t="str">
        <f>'Debt &amp; Valuation'!E34</f>
        <v/>
      </c>
      <c r="F31" s="86" t="str">
        <f t="shared" si="6"/>
        <v>#DIV/0!</v>
      </c>
    </row>
    <row r="32" ht="15.75" customHeight="1">
      <c r="B32" s="88" t="s">
        <v>62</v>
      </c>
      <c r="C32" s="93"/>
      <c r="D32" s="94" t="str">
        <f>'Sources and Uses'!I88</f>
        <v>----------&gt;</v>
      </c>
      <c r="E32" s="395" t="str">
        <f>D32</f>
        <v>----------&gt;</v>
      </c>
      <c r="F32" s="86" t="str">
        <f t="shared" si="6"/>
        <v>#VALUE!</v>
      </c>
    </row>
    <row r="33" ht="15.75" customHeight="1">
      <c r="B33" s="394" t="s">
        <v>63</v>
      </c>
      <c r="C33" s="83"/>
      <c r="D33" s="94" t="str">
        <f>'Debt &amp; Valuation'!J11</f>
        <v/>
      </c>
      <c r="E33" s="395">
        <f>'Debt &amp; Valuation'!E35</f>
        <v>475752.8748</v>
      </c>
      <c r="F33" s="86" t="str">
        <f t="shared" si="6"/>
        <v>#DIV/0!</v>
      </c>
      <c r="M33" s="396" t="s">
        <v>280</v>
      </c>
      <c r="N33" s="397"/>
    </row>
    <row r="34" ht="15.75" customHeight="1">
      <c r="B34" s="88" t="s">
        <v>281</v>
      </c>
      <c r="C34" s="83"/>
      <c r="D34" s="94">
        <f>SUM('Sources and Uses'!P76:P78)</f>
        <v>0</v>
      </c>
      <c r="E34" s="395" t="str">
        <f>'Sources and Uses'!P78</f>
        <v/>
      </c>
      <c r="F34" s="86"/>
      <c r="M34" s="398" t="s">
        <v>282</v>
      </c>
      <c r="N34" s="399">
        <f>'Sources and Uses'!H92</f>
        <v>50301457.13</v>
      </c>
    </row>
    <row r="35" ht="15.75" customHeight="1">
      <c r="B35" s="88" t="s">
        <v>66</v>
      </c>
      <c r="C35" s="83"/>
      <c r="D35" s="400">
        <v>0.0</v>
      </c>
      <c r="E35" s="401">
        <v>0.0</v>
      </c>
      <c r="F35" s="86"/>
      <c r="M35" s="402" t="s">
        <v>269</v>
      </c>
      <c r="N35" s="403">
        <f>'Sources and Uses'!H105</f>
        <v>50301457.13</v>
      </c>
    </row>
    <row r="36" ht="15.75" customHeight="1">
      <c r="B36" s="95" t="s">
        <v>67</v>
      </c>
      <c r="C36" s="96"/>
      <c r="D36" s="404">
        <f>'Sources and Uses'!H79-'Sources and Uses'!H78</f>
        <v>-60034</v>
      </c>
      <c r="E36" s="405">
        <v>0.0</v>
      </c>
      <c r="F36" s="86"/>
      <c r="M36" s="406" t="s">
        <v>59</v>
      </c>
      <c r="N36" s="407">
        <f>'Sources and Uses'!H98</f>
        <v>25905724.48</v>
      </c>
    </row>
    <row r="37" ht="15.75" customHeight="1">
      <c r="B37" s="408" t="s">
        <v>68</v>
      </c>
      <c r="C37" s="409"/>
      <c r="D37" s="410">
        <f t="shared" ref="D37:E37" si="7">SUM(D28:D36)</f>
        <v>-60034</v>
      </c>
      <c r="E37" s="411">
        <f t="shared" si="7"/>
        <v>475752.8748</v>
      </c>
      <c r="F37" s="389" t="s">
        <v>69</v>
      </c>
      <c r="M37" s="406" t="s">
        <v>60</v>
      </c>
      <c r="N37" s="407">
        <f>'Sources and Uses'!H99</f>
        <v>684895.6488</v>
      </c>
    </row>
    <row r="38" ht="15.75" customHeight="1">
      <c r="B38" s="412"/>
      <c r="C38" s="413"/>
      <c r="D38" s="3"/>
      <c r="E38" s="69"/>
      <c r="F38" s="86"/>
      <c r="M38" s="406" t="s">
        <v>61</v>
      </c>
      <c r="N38" s="407">
        <f>'Sources and Uses'!H100</f>
        <v>14067900</v>
      </c>
    </row>
    <row r="39" ht="15.75" customHeight="1">
      <c r="B39" s="82" t="s">
        <v>70</v>
      </c>
      <c r="C39" s="83"/>
      <c r="D39" s="390" t="str">
        <f>'Sources and Uses'!I1</f>
        <v/>
      </c>
      <c r="E39" s="393" t="str">
        <f t="shared" ref="E39:E45" si="8">D39</f>
        <v/>
      </c>
      <c r="F39" s="86" t="str">
        <f t="shared" ref="F39:F46" si="9">E39/$B$9</f>
        <v>#VALUE!</v>
      </c>
      <c r="M39" s="406" t="s">
        <v>62</v>
      </c>
      <c r="N39" s="407">
        <f>'Sources and Uses'!H101</f>
        <v>912700</v>
      </c>
    </row>
    <row r="40" ht="15.75" customHeight="1">
      <c r="B40" s="82" t="s">
        <v>71</v>
      </c>
      <c r="C40" s="83"/>
      <c r="D40" s="390" t="str">
        <f>'Sources and Uses'!I5</f>
        <v/>
      </c>
      <c r="E40" s="393" t="str">
        <f t="shared" si="8"/>
        <v/>
      </c>
      <c r="F40" s="86" t="str">
        <f t="shared" si="9"/>
        <v>#VALUE!</v>
      </c>
      <c r="M40" s="406" t="s">
        <v>63</v>
      </c>
      <c r="N40" s="407">
        <f>'Sources and Uses'!H102</f>
        <v>7464600</v>
      </c>
    </row>
    <row r="41" ht="15.75" customHeight="1">
      <c r="B41" s="82" t="s">
        <v>72</v>
      </c>
      <c r="C41" s="83"/>
      <c r="D41" s="390" t="str">
        <f>'Sources and Uses'!I16</f>
        <v/>
      </c>
      <c r="E41" s="393" t="str">
        <f t="shared" si="8"/>
        <v/>
      </c>
      <c r="F41" s="86" t="str">
        <f t="shared" si="9"/>
        <v>#VALUE!</v>
      </c>
      <c r="M41" s="414" t="s">
        <v>64</v>
      </c>
      <c r="N41" s="415">
        <f>'Sources and Uses'!H103</f>
        <v>1265637</v>
      </c>
    </row>
    <row r="42" ht="15.75" customHeight="1">
      <c r="B42" s="82" t="s">
        <v>73</v>
      </c>
      <c r="C42" s="108"/>
      <c r="D42" s="390">
        <f>'Sources and Uses'!F40</f>
        <v>1185036</v>
      </c>
      <c r="E42" s="393">
        <f t="shared" si="8"/>
        <v>1185036</v>
      </c>
      <c r="F42" s="86" t="str">
        <f t="shared" si="9"/>
        <v>#VALUE!</v>
      </c>
      <c r="M42" s="416"/>
      <c r="N42" s="416"/>
    </row>
    <row r="43" ht="15.75" customHeight="1">
      <c r="B43" s="82" t="s">
        <v>74</v>
      </c>
      <c r="C43" s="108"/>
      <c r="D43" s="390">
        <f>'Sources and Uses'!F62</f>
        <v>106321.7914</v>
      </c>
      <c r="E43" s="393">
        <f t="shared" si="8"/>
        <v>106321.7914</v>
      </c>
      <c r="F43" s="86" t="str">
        <f t="shared" si="9"/>
        <v>#VALUE!</v>
      </c>
      <c r="M43" s="396" t="s">
        <v>283</v>
      </c>
      <c r="N43" s="397"/>
    </row>
    <row r="44" ht="15.75" customHeight="1">
      <c r="B44" s="82" t="s">
        <v>75</v>
      </c>
      <c r="C44" s="108"/>
      <c r="D44" s="390" t="str">
        <f>'Sources and Uses'!F68</f>
        <v/>
      </c>
      <c r="E44" s="393" t="str">
        <f t="shared" si="8"/>
        <v/>
      </c>
      <c r="F44" s="86" t="str">
        <f t="shared" si="9"/>
        <v>#VALUE!</v>
      </c>
      <c r="M44" s="406" t="s">
        <v>284</v>
      </c>
      <c r="N44" s="417">
        <f>'Sources and Uses'!H121</f>
        <v>28619233.88</v>
      </c>
    </row>
    <row r="45" ht="15.75" customHeight="1">
      <c r="B45" s="82" t="s">
        <v>76</v>
      </c>
      <c r="C45" s="108"/>
      <c r="D45" s="390">
        <f>'Sources and Uses'!F75</f>
        <v>618173.6191</v>
      </c>
      <c r="E45" s="393">
        <f t="shared" si="8"/>
        <v>618173.6191</v>
      </c>
      <c r="F45" s="86" t="str">
        <f t="shared" si="9"/>
        <v>#VALUE!</v>
      </c>
      <c r="M45" s="406" t="s">
        <v>285</v>
      </c>
      <c r="N45" s="418">
        <f>'Sources and Uses'!H120</f>
        <v>25905724.48</v>
      </c>
    </row>
    <row r="46" ht="15.75" customHeight="1">
      <c r="B46" s="82" t="s">
        <v>77</v>
      </c>
      <c r="C46" s="108"/>
      <c r="D46" s="390">
        <f>'Sources and Uses'!$O$92+'Sources and Uses'!$E$89</f>
        <v>6261899.857</v>
      </c>
      <c r="E46" s="393">
        <f>SUM('Sources and Uses'!P76:P78)</f>
        <v>0</v>
      </c>
      <c r="F46" s="419" t="str">
        <f t="shared" si="9"/>
        <v>#VALUE!</v>
      </c>
      <c r="M46" s="420" t="s">
        <v>165</v>
      </c>
      <c r="N46" s="418">
        <f>'Sources and Uses'!H113</f>
        <v>21610</v>
      </c>
    </row>
    <row r="47" ht="15.75" customHeight="1">
      <c r="B47" s="421" t="s">
        <v>78</v>
      </c>
      <c r="C47" s="422" t="str">
        <f>IF(E47&lt;D47,"ERROR","")</f>
        <v>ERROR</v>
      </c>
      <c r="D47" s="423">
        <f t="shared" ref="D47:E47" si="10">SUM(D39:D46)</f>
        <v>8171431.267</v>
      </c>
      <c r="E47" s="424">
        <f t="shared" si="10"/>
        <v>1909531.411</v>
      </c>
      <c r="F47" s="389"/>
      <c r="M47" s="420" t="s">
        <v>184</v>
      </c>
      <c r="N47" s="418">
        <f>'Sources and Uses'!H114</f>
        <v>203139.461</v>
      </c>
    </row>
    <row r="48" ht="15.75" customHeight="1">
      <c r="B48" s="425" t="s">
        <v>79</v>
      </c>
      <c r="C48" s="426"/>
      <c r="D48" s="427">
        <f t="shared" ref="D48:E48" si="11">D37-D47</f>
        <v>-8231465.267</v>
      </c>
      <c r="E48" s="428">
        <f t="shared" si="11"/>
        <v>-1433778.536</v>
      </c>
      <c r="F48" s="429"/>
      <c r="M48" s="430" t="s">
        <v>77</v>
      </c>
      <c r="N48" s="431">
        <f>'Sources and Uses'!H115</f>
        <v>2488759.943</v>
      </c>
    </row>
    <row r="49" ht="15.75" customHeight="1">
      <c r="M49" s="432" t="s">
        <v>271</v>
      </c>
      <c r="N49" s="417">
        <f>'Sources and Uses'!H138</f>
        <v>28619233.68</v>
      </c>
    </row>
    <row r="50" ht="15.75" customHeight="1">
      <c r="M50" s="420" t="s">
        <v>286</v>
      </c>
      <c r="N50" s="418">
        <f>'Sources and Uses'!H129</f>
        <v>7196458.287</v>
      </c>
    </row>
    <row r="51" ht="15.75" customHeight="1">
      <c r="A51" s="132"/>
      <c r="B51" s="433"/>
      <c r="C51" s="8"/>
      <c r="D51" s="8"/>
      <c r="E51" s="8"/>
      <c r="F51" s="8"/>
      <c r="G51" s="8"/>
      <c r="M51" s="430" t="s">
        <v>60</v>
      </c>
      <c r="N51" s="431">
        <f>SUM('Sources and Uses'!H135:H137)</f>
        <v>21422775.39</v>
      </c>
    </row>
    <row r="52" ht="15.75" customHeight="1">
      <c r="A52" s="132"/>
      <c r="B52" s="433"/>
      <c r="C52" s="8"/>
      <c r="D52" s="8"/>
      <c r="E52" s="8"/>
      <c r="F52" s="8"/>
      <c r="G52" s="8"/>
    </row>
    <row r="53" ht="15.75" customHeight="1">
      <c r="B53" s="396" t="s">
        <v>248</v>
      </c>
      <c r="C53" s="434"/>
      <c r="D53" s="435"/>
      <c r="E53" s="434"/>
      <c r="F53" s="435"/>
      <c r="G53" s="434"/>
      <c r="H53" s="397"/>
    </row>
    <row r="54" ht="15.75" customHeight="1">
      <c r="B54" s="436" t="s">
        <v>248</v>
      </c>
      <c r="C54" s="437" t="s">
        <v>244</v>
      </c>
      <c r="D54" s="437" t="s">
        <v>245</v>
      </c>
      <c r="E54" s="437" t="s">
        <v>287</v>
      </c>
      <c r="F54" s="437" t="s">
        <v>247</v>
      </c>
      <c r="G54" s="438" t="s">
        <v>202</v>
      </c>
      <c r="H54" s="439" t="s">
        <v>189</v>
      </c>
    </row>
    <row r="55" ht="15.75" customHeight="1">
      <c r="B55" s="440" t="s">
        <v>288</v>
      </c>
      <c r="C55" s="17">
        <v>8.0</v>
      </c>
      <c r="D55" s="17">
        <v>5.0</v>
      </c>
      <c r="E55" s="17">
        <v>5.0</v>
      </c>
      <c r="F55" s="17">
        <v>0.0</v>
      </c>
      <c r="G55" s="441">
        <f t="shared" ref="G55:G57" si="12">SUM(C55:F55)</f>
        <v>18</v>
      </c>
      <c r="H55" s="442">
        <f t="shared" ref="H55:H57" si="13">G55/$G$58</f>
        <v>0.1551724138</v>
      </c>
    </row>
    <row r="56" ht="15.75" customHeight="1">
      <c r="B56" s="43" t="s">
        <v>32</v>
      </c>
      <c r="C56" s="17">
        <v>21.0</v>
      </c>
      <c r="D56" s="17">
        <v>46.0</v>
      </c>
      <c r="E56" s="17">
        <v>24.0</v>
      </c>
      <c r="F56" s="17">
        <v>6.0</v>
      </c>
      <c r="G56" s="441">
        <f t="shared" si="12"/>
        <v>97</v>
      </c>
      <c r="H56" s="442">
        <f t="shared" si="13"/>
        <v>0.8362068966</v>
      </c>
    </row>
    <row r="57" ht="15.75" customHeight="1">
      <c r="B57" s="37" t="s">
        <v>289</v>
      </c>
      <c r="C57" s="47">
        <v>0.0</v>
      </c>
      <c r="D57" s="47">
        <v>1.0</v>
      </c>
      <c r="E57" s="47">
        <v>0.0</v>
      </c>
      <c r="F57" s="47">
        <v>0.0</v>
      </c>
      <c r="G57" s="441">
        <f t="shared" si="12"/>
        <v>1</v>
      </c>
      <c r="H57" s="442">
        <f t="shared" si="13"/>
        <v>0.008620689655</v>
      </c>
    </row>
    <row r="58" ht="15.75" customHeight="1">
      <c r="B58" s="37"/>
      <c r="C58" s="443">
        <f t="shared" ref="C58:F58" si="14">SUM(C55:C57)/$G$58</f>
        <v>0.25</v>
      </c>
      <c r="D58" s="443">
        <f t="shared" si="14"/>
        <v>0.4482758621</v>
      </c>
      <c r="E58" s="443">
        <f t="shared" si="14"/>
        <v>0.25</v>
      </c>
      <c r="F58" s="443">
        <f t="shared" si="14"/>
        <v>0.05172413793</v>
      </c>
      <c r="G58" s="444">
        <f>SUM(G55:G57)</f>
        <v>116</v>
      </c>
      <c r="H58" s="364"/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C76" s="17">
        <v>1.0</v>
      </c>
      <c r="D76" s="17">
        <f t="shared" ref="D76:L76" si="15">C76+1</f>
        <v>2</v>
      </c>
      <c r="E76" s="17">
        <f t="shared" si="15"/>
        <v>3</v>
      </c>
      <c r="F76" s="17">
        <f t="shared" si="15"/>
        <v>4</v>
      </c>
      <c r="G76" s="17">
        <f t="shared" si="15"/>
        <v>5</v>
      </c>
      <c r="H76" s="17">
        <f t="shared" si="15"/>
        <v>6</v>
      </c>
      <c r="I76" s="17">
        <f t="shared" si="15"/>
        <v>7</v>
      </c>
      <c r="J76" s="17">
        <f t="shared" si="15"/>
        <v>8</v>
      </c>
      <c r="K76" s="17">
        <f t="shared" si="15"/>
        <v>9</v>
      </c>
      <c r="L76" s="17">
        <f t="shared" si="15"/>
        <v>10</v>
      </c>
    </row>
    <row r="77" ht="15.75" customHeight="1">
      <c r="C77" s="17" t="s">
        <v>290</v>
      </c>
      <c r="D77" s="17" t="s">
        <v>290</v>
      </c>
      <c r="E77" s="17" t="s">
        <v>290</v>
      </c>
      <c r="F77" s="17" t="s">
        <v>290</v>
      </c>
      <c r="G77" s="17" t="s">
        <v>290</v>
      </c>
      <c r="H77" s="17" t="s">
        <v>290</v>
      </c>
      <c r="I77" s="17" t="s">
        <v>290</v>
      </c>
      <c r="J77" s="17" t="s">
        <v>290</v>
      </c>
      <c r="K77" s="17" t="s">
        <v>290</v>
      </c>
      <c r="L77" s="17" t="s">
        <v>290</v>
      </c>
    </row>
    <row r="78" ht="15.75" customHeight="1">
      <c r="B78" s="445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</row>
    <row r="79" ht="15.75" customHeight="1">
      <c r="B79" s="333" t="s">
        <v>291</v>
      </c>
      <c r="C79" s="446" t="str">
        <f t="shared" ref="C79:L79" si="16">C77&amp;" "&amp;C76</f>
        <v>Year 1</v>
      </c>
      <c r="D79" s="446" t="str">
        <f t="shared" si="16"/>
        <v>Year 2</v>
      </c>
      <c r="E79" s="446" t="str">
        <f t="shared" si="16"/>
        <v>Year 3</v>
      </c>
      <c r="F79" s="446" t="str">
        <f t="shared" si="16"/>
        <v>Year 4</v>
      </c>
      <c r="G79" s="446" t="str">
        <f t="shared" si="16"/>
        <v>Year 5</v>
      </c>
      <c r="H79" s="446" t="str">
        <f t="shared" si="16"/>
        <v>Year 6</v>
      </c>
      <c r="I79" s="446" t="str">
        <f t="shared" si="16"/>
        <v>Year 7</v>
      </c>
      <c r="J79" s="446" t="str">
        <f t="shared" si="16"/>
        <v>Year 8</v>
      </c>
      <c r="K79" s="446" t="str">
        <f t="shared" si="16"/>
        <v>Year 9</v>
      </c>
      <c r="L79" s="447" t="str">
        <f t="shared" si="16"/>
        <v>Year 10</v>
      </c>
    </row>
    <row r="80" ht="15.75" customHeight="1">
      <c r="B80" s="43" t="s">
        <v>292</v>
      </c>
      <c r="C80" s="448">
        <f>'LT Proforma No Comm'!C11</f>
        <v>1607297.4</v>
      </c>
      <c r="D80" s="448">
        <f>'LT Proforma No Comm'!D11</f>
        <v>1643461.592</v>
      </c>
      <c r="E80" s="448">
        <f>'LT Proforma No Comm'!E11</f>
        <v>1680439.477</v>
      </c>
      <c r="F80" s="448">
        <f>'LT Proforma No Comm'!F11</f>
        <v>1718249.366</v>
      </c>
      <c r="G80" s="448">
        <f>'LT Proforma No Comm'!G11</f>
        <v>1756909.976</v>
      </c>
      <c r="H80" s="448">
        <f>'LT Proforma No Comm'!H11</f>
        <v>1796440.451</v>
      </c>
      <c r="I80" s="448">
        <f>'LT Proforma No Comm'!I11</f>
        <v>1836860.361</v>
      </c>
      <c r="J80" s="448">
        <f>'LT Proforma No Comm'!J11</f>
        <v>1878189.719</v>
      </c>
      <c r="K80" s="448">
        <f>'LT Proforma No Comm'!K11</f>
        <v>1920448.988</v>
      </c>
      <c r="L80" s="449">
        <f>'LT Proforma No Comm'!L11</f>
        <v>1963659.09</v>
      </c>
    </row>
    <row r="81" ht="15.75" customHeight="1">
      <c r="B81" s="43" t="s">
        <v>293</v>
      </c>
      <c r="C81" s="448">
        <f>'LT Proforma No Comm'!C28</f>
        <v>812557.844</v>
      </c>
      <c r="D81" s="448">
        <f>'LT Proforma No Comm'!D28</f>
        <v>835515.2955</v>
      </c>
      <c r="E81" s="448">
        <f>'LT Proforma No Comm'!E28</f>
        <v>859138.2366</v>
      </c>
      <c r="F81" s="448">
        <f>'LT Proforma No Comm'!F28</f>
        <v>883446.1964</v>
      </c>
      <c r="G81" s="448">
        <f>'LT Proforma No Comm'!G28</f>
        <v>908459.2806</v>
      </c>
      <c r="H81" s="448">
        <f>'LT Proforma No Comm'!H28</f>
        <v>934198.1891</v>
      </c>
      <c r="I81" s="448">
        <f>'LT Proforma No Comm'!I28</f>
        <v>960684.2336</v>
      </c>
      <c r="J81" s="448">
        <f>'LT Proforma No Comm'!J28</f>
        <v>987939.3554</v>
      </c>
      <c r="K81" s="448">
        <f>'LT Proforma No Comm'!K28</f>
        <v>1015986.144</v>
      </c>
      <c r="L81" s="449">
        <f>'LT Proforma No Comm'!L28</f>
        <v>1044847.858</v>
      </c>
      <c r="O81" s="3"/>
      <c r="P81" s="3"/>
      <c r="Q81" s="3"/>
      <c r="R81" s="3"/>
      <c r="S81" s="3"/>
      <c r="T81" s="3"/>
    </row>
    <row r="82" ht="15.75" customHeight="1">
      <c r="B82" s="43" t="s">
        <v>294</v>
      </c>
      <c r="C82" s="448">
        <f>'LT Proforma No Comm'!C30</f>
        <v>794739.556</v>
      </c>
      <c r="D82" s="448">
        <f>'LT Proforma No Comm'!D30</f>
        <v>807946.296</v>
      </c>
      <c r="E82" s="448">
        <f>'LT Proforma No Comm'!E30</f>
        <v>821301.2407</v>
      </c>
      <c r="F82" s="448">
        <f>'LT Proforma No Comm'!F30</f>
        <v>834803.1692</v>
      </c>
      <c r="G82" s="448">
        <f>'LT Proforma No Comm'!G30</f>
        <v>848450.6957</v>
      </c>
      <c r="H82" s="448">
        <f>'LT Proforma No Comm'!H30</f>
        <v>862242.2616</v>
      </c>
      <c r="I82" s="448">
        <f>'LT Proforma No Comm'!I30</f>
        <v>876176.1273</v>
      </c>
      <c r="J82" s="448">
        <f>'LT Proforma No Comm'!J30</f>
        <v>890250.3636</v>
      </c>
      <c r="K82" s="448">
        <f>'LT Proforma No Comm'!K30</f>
        <v>904462.8432</v>
      </c>
      <c r="L82" s="449">
        <f>'LT Proforma No Comm'!L30</f>
        <v>918811.2314</v>
      </c>
    </row>
    <row r="83" ht="15.75" customHeight="1">
      <c r="B83" s="43" t="s">
        <v>295</v>
      </c>
      <c r="C83" s="448">
        <f>'LT Proforma No Comm'!C35</f>
        <v>691077.8748</v>
      </c>
      <c r="D83" s="448">
        <f>'LT Proforma No Comm'!D35</f>
        <v>698549.6523</v>
      </c>
      <c r="E83" s="448">
        <f>'LT Proforma No Comm'!E35</f>
        <v>706280.7005</v>
      </c>
      <c r="F83" s="448">
        <f>'LT Proforma No Comm'!F35</f>
        <v>714280.016</v>
      </c>
      <c r="G83" s="448">
        <f>'LT Proforma No Comm'!G35</f>
        <v>722556.9078</v>
      </c>
      <c r="H83" s="448">
        <f>'LT Proforma No Comm'!H35</f>
        <v>731121.0078</v>
      </c>
      <c r="I83" s="448">
        <f>'LT Proforma No Comm'!I35</f>
        <v>739982.282</v>
      </c>
      <c r="J83" s="448">
        <f>'LT Proforma No Comm'!J35</f>
        <v>749151.0424</v>
      </c>
      <c r="K83" s="448">
        <f>'LT Proforma No Comm'!K35</f>
        <v>758637.9588</v>
      </c>
      <c r="L83" s="449">
        <f>'LT Proforma No Comm'!L35</f>
        <v>768454.0712</v>
      </c>
    </row>
    <row r="84" ht="15.75" customHeight="1">
      <c r="B84" s="43" t="s">
        <v>296</v>
      </c>
      <c r="C84" s="448">
        <f>'LT Proforma No Comm'!C37</f>
        <v>103661.6812</v>
      </c>
      <c r="D84" s="448">
        <f>'LT Proforma No Comm'!D37</f>
        <v>109396.6437</v>
      </c>
      <c r="E84" s="448">
        <f>'LT Proforma No Comm'!E37</f>
        <v>115020.5402</v>
      </c>
      <c r="F84" s="448">
        <f>'LT Proforma No Comm'!F37</f>
        <v>120523.1532</v>
      </c>
      <c r="G84" s="448">
        <f>'LT Proforma No Comm'!G37</f>
        <v>125893.7879</v>
      </c>
      <c r="H84" s="448">
        <f>'LT Proforma No Comm'!H37</f>
        <v>131121.2539</v>
      </c>
      <c r="I84" s="448">
        <f>'LT Proforma No Comm'!I37</f>
        <v>136193.8453</v>
      </c>
      <c r="J84" s="448">
        <f>'LT Proforma No Comm'!J37</f>
        <v>141099.3212</v>
      </c>
      <c r="K84" s="448">
        <f>'LT Proforma No Comm'!K37</f>
        <v>145824.8844</v>
      </c>
      <c r="L84" s="449">
        <f>'LT Proforma No Comm'!L37</f>
        <v>150357.1602</v>
      </c>
    </row>
    <row r="85" ht="15.75" customHeight="1">
      <c r="B85" s="450" t="s">
        <v>278</v>
      </c>
      <c r="C85" s="451">
        <f>'LT Proforma No Comm'!C38</f>
        <v>1.15</v>
      </c>
      <c r="D85" s="451">
        <f>'LT Proforma No Comm'!D38</f>
        <v>1.156605394</v>
      </c>
      <c r="E85" s="451">
        <f>'LT Proforma No Comm'!E38</f>
        <v>1.162853863</v>
      </c>
      <c r="F85" s="451">
        <f>'LT Proforma No Comm'!F38</f>
        <v>1.168733761</v>
      </c>
      <c r="G85" s="451">
        <f>'LT Proforma No Comm'!G38</f>
        <v>1.174233734</v>
      </c>
      <c r="H85" s="451">
        <f>'LT Proforma No Comm'!H38</f>
        <v>1.179342752</v>
      </c>
      <c r="I85" s="451">
        <f>'LT Proforma No Comm'!I38</f>
        <v>1.184050144</v>
      </c>
      <c r="J85" s="451">
        <f>'LT Proforma No Comm'!J38</f>
        <v>1.188345625</v>
      </c>
      <c r="K85" s="451">
        <f>'LT Proforma No Comm'!K38</f>
        <v>1.192219336</v>
      </c>
      <c r="L85" s="452">
        <f>'LT Proforma No Comm'!L38</f>
        <v>1.195661869</v>
      </c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>
      <c r="A1" s="453" t="s">
        <v>297</v>
      </c>
      <c r="D1" s="453" t="s">
        <v>298</v>
      </c>
      <c r="J1" s="17">
        <v>1.0</v>
      </c>
    </row>
    <row r="6">
      <c r="A6" s="453" t="s">
        <v>299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.25"/>
    <col customWidth="1" min="2" max="2" width="20.38"/>
    <col customWidth="1" min="3" max="3" width="10.25"/>
    <col customWidth="1" min="4" max="4" width="21.75"/>
    <col customWidth="1" min="5" max="5" width="12.0"/>
    <col customWidth="1" min="6" max="6" width="15.13"/>
    <col customWidth="1" min="7" max="7" width="10.88"/>
    <col customWidth="1" min="8" max="8" width="12.25"/>
    <col customWidth="1" min="9" max="9" width="4.38"/>
    <col customWidth="1" min="10" max="10" width="13.25"/>
    <col customWidth="1" min="11" max="11" width="7.75"/>
    <col customWidth="1" min="12" max="12" width="11.0"/>
    <col customWidth="1" min="13" max="13" width="9.13"/>
    <col customWidth="1" min="14" max="14" width="13.13"/>
    <col customWidth="1" min="15" max="15" width="8.63"/>
    <col customWidth="1" hidden="1" min="16" max="16" width="13.13"/>
    <col customWidth="1" hidden="1" min="17" max="17" width="9.0"/>
    <col customWidth="1" hidden="1" min="18" max="18" width="10.25"/>
    <col customWidth="1" hidden="1" min="19" max="19" width="11.25"/>
    <col customWidth="1" min="20" max="20" width="15.75"/>
    <col customWidth="1" min="21" max="29" width="8.63"/>
  </cols>
  <sheetData>
    <row r="1">
      <c r="A1" s="454"/>
      <c r="B1" s="455" t="s">
        <v>0</v>
      </c>
      <c r="C1" s="39"/>
      <c r="D1" s="39"/>
      <c r="E1" s="39"/>
      <c r="F1" s="3"/>
      <c r="G1" s="3"/>
      <c r="H1" s="456"/>
      <c r="I1" s="457"/>
      <c r="J1" s="17"/>
      <c r="K1" s="17"/>
      <c r="L1" s="456"/>
      <c r="M1" s="45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2.75" customHeight="1">
      <c r="A2" s="458"/>
      <c r="B2" s="459" t="s">
        <v>1</v>
      </c>
      <c r="C2" s="17"/>
      <c r="E2" s="460" t="str">
        <f>Summary!D2</f>
        <v>NYU VIDA</v>
      </c>
      <c r="H2" s="456"/>
      <c r="I2" s="457"/>
      <c r="J2" s="17"/>
      <c r="K2" s="17"/>
      <c r="L2" s="456"/>
      <c r="M2" s="45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2.75" customHeight="1">
      <c r="A3" s="458"/>
      <c r="B3" s="459" t="s">
        <v>5</v>
      </c>
      <c r="C3" s="17"/>
      <c r="E3" s="460" t="str">
        <f>Summary!C6</f>
        <v>The Beacon Apartments</v>
      </c>
      <c r="J3" s="456"/>
      <c r="K3" s="456"/>
      <c r="L3" s="456"/>
      <c r="M3" s="456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75" customHeight="1">
      <c r="A4" s="458"/>
      <c r="B4" s="459" t="s">
        <v>3</v>
      </c>
      <c r="C4" s="3"/>
      <c r="E4" s="461">
        <f>Summary!D3</f>
        <v>45033</v>
      </c>
      <c r="H4" s="456"/>
      <c r="I4" s="457"/>
      <c r="J4" s="456"/>
      <c r="K4" s="456"/>
      <c r="L4" s="456"/>
      <c r="M4" s="45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2.75" customHeight="1">
      <c r="A5" s="462"/>
      <c r="B5" s="3"/>
      <c r="C5" s="3"/>
      <c r="D5" s="3"/>
      <c r="E5" s="3"/>
      <c r="F5" s="456"/>
      <c r="G5" s="463"/>
      <c r="H5" s="456"/>
      <c r="I5" s="457"/>
      <c r="J5" s="456"/>
      <c r="K5" s="456"/>
      <c r="L5" s="456"/>
      <c r="M5" s="390"/>
      <c r="N5" s="17"/>
      <c r="O5" s="17"/>
      <c r="P5" s="5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2.75" customHeight="1">
      <c r="A6" s="464"/>
      <c r="B6" s="5" t="s">
        <v>300</v>
      </c>
      <c r="C6" s="3"/>
      <c r="D6" s="3"/>
      <c r="E6" s="3"/>
      <c r="F6" s="456"/>
      <c r="G6" s="463"/>
      <c r="H6" s="456"/>
      <c r="I6" s="457"/>
      <c r="J6" s="456"/>
      <c r="K6" s="456"/>
      <c r="L6" s="456"/>
      <c r="M6" s="390"/>
      <c r="N6" s="17"/>
      <c r="O6" s="17"/>
      <c r="P6" s="5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2.75" customHeight="1">
      <c r="A7" s="462"/>
      <c r="B7" s="20" t="s">
        <v>301</v>
      </c>
      <c r="C7" s="23"/>
      <c r="D7" s="465">
        <f>SUMIF(E16:E28,"&lt;="&amp;40%,F16:F28)/F14</f>
        <v>0.4051724138</v>
      </c>
      <c r="E7" s="466" t="str">
        <f>IF(D7&gt;=40%,"TRUE")</f>
        <v>TRUE</v>
      </c>
      <c r="F7" s="456"/>
      <c r="G7" s="463"/>
      <c r="H7" s="456"/>
      <c r="I7" s="457"/>
      <c r="J7" s="456"/>
      <c r="K7" s="456"/>
      <c r="L7" s="456"/>
      <c r="M7" s="390"/>
      <c r="N7" s="17"/>
      <c r="O7" s="17"/>
      <c r="P7" s="5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2.75" customHeight="1">
      <c r="A8" s="462"/>
      <c r="B8" s="440" t="s">
        <v>302</v>
      </c>
      <c r="D8" s="467">
        <f>SUMIF(D16:D28,"TheBridge",F16:F28)/F14</f>
        <v>0.1551724138</v>
      </c>
      <c r="E8" s="468" t="str">
        <f>IF(D8&gt;=15%,"TRUE")</f>
        <v>TRUE</v>
      </c>
      <c r="F8" s="456"/>
      <c r="G8" s="463"/>
      <c r="H8" s="456"/>
      <c r="I8" s="457"/>
      <c r="J8" s="456"/>
      <c r="K8" s="456"/>
      <c r="L8" s="456"/>
      <c r="M8" s="390"/>
      <c r="N8" s="17"/>
      <c r="O8" s="17"/>
      <c r="P8" s="5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2.75" customHeight="1">
      <c r="A9" s="462"/>
      <c r="B9" s="15" t="s">
        <v>303</v>
      </c>
      <c r="D9" s="463">
        <f>SUMPRODUCT(F16:F28,E16:E28)/SUM(F16:F28)</f>
        <v>0.5469565217</v>
      </c>
      <c r="E9" s="468" t="str">
        <f>IF(D9&lt;=58%,"TRUE")</f>
        <v>TRUE</v>
      </c>
      <c r="F9" s="456"/>
      <c r="G9" s="463"/>
      <c r="H9" s="456"/>
      <c r="I9" s="457"/>
      <c r="J9" s="456"/>
      <c r="K9" s="456"/>
      <c r="L9" s="456"/>
      <c r="M9" s="390"/>
      <c r="N9" s="17"/>
      <c r="O9" s="17"/>
      <c r="P9" s="5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2.75" customHeight="1">
      <c r="A10" s="469"/>
      <c r="B10" s="470" t="s">
        <v>304</v>
      </c>
      <c r="D10" s="463">
        <f>(SUMIF(D16:D29,'Drop Down Menus'!$D$15,F16:F29)/F14)</f>
        <v>0</v>
      </c>
      <c r="E10" s="468" t="str">
        <f>IF(D10=0%,"TRUE")</f>
        <v>TRUE</v>
      </c>
      <c r="F10" s="456"/>
      <c r="G10" s="463"/>
      <c r="H10" s="456"/>
      <c r="I10" s="457"/>
      <c r="J10" s="456"/>
      <c r="K10" s="456"/>
      <c r="L10" s="456"/>
      <c r="M10" s="390"/>
      <c r="N10" s="17"/>
      <c r="O10" s="17"/>
      <c r="P10" s="5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2.75" customHeight="1">
      <c r="A11" s="462"/>
      <c r="B11" s="15" t="s">
        <v>305</v>
      </c>
      <c r="C11" s="471">
        <f>Summary!C10</f>
        <v>146.4276471</v>
      </c>
      <c r="D11" s="471">
        <f>Summary!F14</f>
        <v>72786.2548</v>
      </c>
      <c r="E11" s="468" t="b">
        <f>AND(C11&gt;=F14,D11&gt;=G14)</f>
        <v>1</v>
      </c>
      <c r="F11" s="456"/>
      <c r="G11" s="463"/>
      <c r="H11" s="456"/>
      <c r="I11" s="457"/>
      <c r="J11" s="456"/>
      <c r="K11" s="456"/>
      <c r="L11" s="456"/>
      <c r="M11" s="390"/>
      <c r="N11" s="17"/>
      <c r="O11" s="17"/>
      <c r="P11" s="5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2.75" customHeight="1">
      <c r="A12" s="462"/>
      <c r="B12" s="45" t="s">
        <v>306</v>
      </c>
      <c r="C12" s="39"/>
      <c r="D12" s="472">
        <f>MIN(N16:N28)</f>
        <v>0.1930875576</v>
      </c>
      <c r="E12" s="473" t="str">
        <f>IF(D12&gt;=10%,"TRUE")</f>
        <v>TRUE</v>
      </c>
      <c r="H12" s="456"/>
      <c r="I12" s="457"/>
      <c r="J12" s="456"/>
      <c r="K12" s="456"/>
      <c r="L12" s="456"/>
      <c r="M12" s="390"/>
      <c r="N12" s="17"/>
      <c r="O12" s="17"/>
      <c r="P12" s="5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2.75" customHeight="1">
      <c r="A13" s="474"/>
      <c r="C13" s="475"/>
      <c r="D13" s="475"/>
      <c r="E13" s="475"/>
      <c r="I13" s="476"/>
      <c r="K13" s="477"/>
      <c r="L13" s="478"/>
      <c r="M13" s="478"/>
      <c r="N13" s="5"/>
      <c r="O13" s="479"/>
      <c r="P13" s="480"/>
      <c r="Q13" s="481"/>
      <c r="R13" s="481"/>
      <c r="S13" s="481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2.75" customHeight="1">
      <c r="A14" s="464"/>
      <c r="B14" s="5" t="s">
        <v>202</v>
      </c>
      <c r="C14" s="475"/>
      <c r="D14" s="475"/>
      <c r="E14" s="475"/>
      <c r="F14" s="480">
        <f>SUM(F16:F29)</f>
        <v>116</v>
      </c>
      <c r="G14" s="480">
        <f t="shared" ref="G14:H14" si="1">SUMPRODUCT($F16:$F29,G16:G29)</f>
        <v>71910</v>
      </c>
      <c r="H14" s="482">
        <f t="shared" si="1"/>
        <v>150952</v>
      </c>
      <c r="I14" s="483">
        <f>H14*12/$G$14</f>
        <v>25.19015436</v>
      </c>
      <c r="J14" s="484">
        <f>SUMPRODUCT($F16:$F29,J16:J29)</f>
        <v>261784</v>
      </c>
      <c r="K14" s="483">
        <f>J14*12/$G$14</f>
        <v>43.68527326</v>
      </c>
      <c r="L14" s="484">
        <f t="shared" ref="L14:M14" si="2">SUMPRODUCT($F16:$F29,L16:L29)</f>
        <v>29760</v>
      </c>
      <c r="M14" s="484">
        <f t="shared" si="2"/>
        <v>121192</v>
      </c>
      <c r="N14" s="485">
        <f>IFERROR((K14-I14)/K14,"")</f>
        <v>0.4233719402</v>
      </c>
      <c r="O14" s="479"/>
      <c r="P14" s="486">
        <f>SUM(P16:P28)</f>
        <v>0</v>
      </c>
      <c r="Q14" s="487"/>
      <c r="R14" s="487">
        <f t="shared" ref="R14:S14" si="3">SUM(R16:R28)</f>
        <v>0</v>
      </c>
      <c r="S14" s="487">
        <f t="shared" si="3"/>
        <v>0</v>
      </c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54.0" customHeight="1">
      <c r="A15" s="488"/>
      <c r="B15" s="489" t="s">
        <v>307</v>
      </c>
      <c r="C15" s="490" t="s">
        <v>308</v>
      </c>
      <c r="D15" s="490" t="s">
        <v>309</v>
      </c>
      <c r="E15" s="490" t="s">
        <v>310</v>
      </c>
      <c r="F15" s="490" t="s">
        <v>311</v>
      </c>
      <c r="G15" s="490" t="s">
        <v>312</v>
      </c>
      <c r="H15" s="491" t="s">
        <v>313</v>
      </c>
      <c r="I15" s="492" t="s">
        <v>314</v>
      </c>
      <c r="J15" s="493" t="s">
        <v>315</v>
      </c>
      <c r="K15" s="492" t="s">
        <v>314</v>
      </c>
      <c r="L15" s="493" t="s">
        <v>316</v>
      </c>
      <c r="M15" s="493" t="s">
        <v>317</v>
      </c>
      <c r="N15" s="494" t="s">
        <v>318</v>
      </c>
      <c r="O15" s="495"/>
      <c r="P15" s="496" t="s">
        <v>319</v>
      </c>
      <c r="Q15" s="496" t="s">
        <v>320</v>
      </c>
      <c r="R15" s="496" t="s">
        <v>321</v>
      </c>
      <c r="S15" s="496" t="s">
        <v>322</v>
      </c>
      <c r="T15" s="497"/>
      <c r="U15" s="71"/>
      <c r="V15" s="71"/>
      <c r="W15" s="71"/>
      <c r="X15" s="71"/>
      <c r="Y15" s="71"/>
      <c r="Z15" s="71"/>
      <c r="AA15" s="71"/>
      <c r="AB15" s="71"/>
      <c r="AC15" s="71"/>
    </row>
    <row r="16" ht="12.75" customHeight="1">
      <c r="A16" s="498"/>
      <c r="B16" s="499" t="s">
        <v>244</v>
      </c>
      <c r="C16" s="6">
        <v>1.0</v>
      </c>
      <c r="D16" s="500" t="s">
        <v>323</v>
      </c>
      <c r="E16" s="501">
        <v>0.4</v>
      </c>
      <c r="F16" s="502">
        <v>5.0</v>
      </c>
      <c r="G16" s="503">
        <f>G18+100</f>
        <v>525</v>
      </c>
      <c r="H16" s="504">
        <f>IF(D16="Manager",0,IF(D16="OurSpace",VLOOKUP(D16,Rents!$B$61:$F$70,MATCH(B16,'Drop Down Menus'!$D$4:$D$8,0)+1), VLOOKUP(E16,Rents!$B$61:$F$70,MATCH(B16,'Drop Down Menus'!$D$4:$D$8,0)+1)))</f>
        <v>934</v>
      </c>
      <c r="I16" s="505">
        <f>(H16/$G$16)*12</f>
        <v>21.34857143</v>
      </c>
      <c r="J16" s="94">
        <f t="shared" ref="J16:J28" si="4">VLOOKUP(B16,$B$50:$E$53,4,)</f>
        <v>2123</v>
      </c>
      <c r="K16" s="505">
        <f t="shared" ref="K16:K28" si="5">(J16/G16)*12</f>
        <v>48.52571429</v>
      </c>
      <c r="L16" s="506">
        <f t="shared" ref="L16:L18" si="6">$N$131</f>
        <v>211</v>
      </c>
      <c r="M16" s="94">
        <f>IF(OR(D16='Drop Down Menus'!$D$13,D16='Drop Down Menus'!$D$10),H16,J16)-L16</f>
        <v>723</v>
      </c>
      <c r="N16" s="507">
        <f t="shared" ref="N16:N28" si="7">IFERROR((K16-I16)/K16,"")</f>
        <v>0.5600565238</v>
      </c>
      <c r="P16" s="6">
        <v>0.0</v>
      </c>
      <c r="Q16" s="508" t="str">
        <f>IF(P16&gt;0,J16-M16,"")</f>
        <v/>
      </c>
      <c r="R16" s="508" t="str">
        <f t="shared" ref="R16:R17" si="8">IF(P16&gt;0,Q16*P16,"")</f>
        <v/>
      </c>
      <c r="S16" s="508" t="str">
        <f t="shared" ref="S16:S17" si="9">IF(P16&gt;0,R16*12,"")</f>
        <v/>
      </c>
      <c r="T16" s="509"/>
      <c r="U16" s="71"/>
      <c r="V16" s="71"/>
      <c r="W16" s="71"/>
      <c r="X16" s="71"/>
      <c r="Y16" s="71"/>
      <c r="Z16" s="71"/>
      <c r="AA16" s="71"/>
      <c r="AB16" s="71"/>
      <c r="AC16" s="71"/>
    </row>
    <row r="17" ht="12.75" customHeight="1">
      <c r="A17" s="498"/>
      <c r="B17" s="499" t="s">
        <v>244</v>
      </c>
      <c r="C17" s="6">
        <v>1.0</v>
      </c>
      <c r="D17" s="510" t="s">
        <v>324</v>
      </c>
      <c r="E17" s="501">
        <v>0.4</v>
      </c>
      <c r="F17" s="503">
        <f>Rents!F50</f>
        <v>8</v>
      </c>
      <c r="G17" s="503">
        <f>G18</f>
        <v>425</v>
      </c>
      <c r="H17" s="504">
        <f>IF(D17="Manager",0,IF(D17="TheBridge",VLOOKUP(D17,Rents!$B$61:$F$70,MATCH(B17,'Drop Down Menus'!$D$4:$D$8,0)+1), VLOOKUP(E17,Rents!$B$61:$F$70,MATCH(B17,'Drop Down Menus'!$D$4:$D$8,0)+1)))</f>
        <v>215</v>
      </c>
      <c r="I17" s="505">
        <f t="shared" ref="I17:I28" si="10">(H17/G17)*12</f>
        <v>6.070588235</v>
      </c>
      <c r="J17" s="94">
        <f t="shared" si="4"/>
        <v>2123</v>
      </c>
      <c r="K17" s="505">
        <f t="shared" si="5"/>
        <v>59.94352941</v>
      </c>
      <c r="L17" s="506">
        <f t="shared" si="6"/>
        <v>211</v>
      </c>
      <c r="M17" s="94">
        <f>IF(OR(D17='Drop Down Menus'!$D$13,D17='Drop Down Menus'!$D$10),H17,J17)-L17</f>
        <v>4</v>
      </c>
      <c r="N17" s="507">
        <f t="shared" si="7"/>
        <v>0.8987282148</v>
      </c>
      <c r="O17" s="511"/>
      <c r="P17" s="6">
        <v>0.0</v>
      </c>
      <c r="Q17" s="508" t="str">
        <f>IF(P17&gt;0,J18-M18,"")</f>
        <v/>
      </c>
      <c r="R17" s="508" t="str">
        <f t="shared" si="8"/>
        <v/>
      </c>
      <c r="S17" s="508" t="str">
        <f t="shared" si="9"/>
        <v/>
      </c>
      <c r="T17" s="509"/>
      <c r="U17" s="71"/>
      <c r="V17" s="437"/>
      <c r="W17" s="437"/>
      <c r="X17" s="467"/>
      <c r="Y17" s="71"/>
      <c r="Z17" s="71"/>
      <c r="AA17" s="71"/>
      <c r="AB17" s="71"/>
      <c r="AC17" s="71"/>
    </row>
    <row r="18" ht="12.75" customHeight="1">
      <c r="A18" s="498"/>
      <c r="B18" s="499" t="s">
        <v>244</v>
      </c>
      <c r="C18" s="6">
        <v>1.0</v>
      </c>
      <c r="D18" s="500" t="s">
        <v>323</v>
      </c>
      <c r="E18" s="501">
        <v>0.6</v>
      </c>
      <c r="F18" s="503">
        <f>Rents!$D$50-SUM(F16:F17)</f>
        <v>16</v>
      </c>
      <c r="G18" s="512">
        <f>C91</f>
        <v>425</v>
      </c>
      <c r="H18" s="504">
        <f>IF(D18="Manager",0,IF(D18="OurSpace",VLOOKUP(D18,Rents!$B$61:$F$70,MATCH(B18,'Drop Down Menus'!$D$4:$D$8,0)+1), VLOOKUP(E18,Rents!$B$61:$F$70,MATCH(B18,'Drop Down Menus'!$D$4:$D$8,0)+1)))</f>
        <v>1401</v>
      </c>
      <c r="I18" s="505">
        <f t="shared" si="10"/>
        <v>39.55764706</v>
      </c>
      <c r="J18" s="94">
        <f t="shared" si="4"/>
        <v>2123</v>
      </c>
      <c r="K18" s="505">
        <f t="shared" si="5"/>
        <v>59.94352941</v>
      </c>
      <c r="L18" s="506">
        <f t="shared" si="6"/>
        <v>211</v>
      </c>
      <c r="M18" s="94">
        <f>IF(OR(D18='Drop Down Menus'!$D$13,D18='Drop Down Menus'!$D$10),H18,J18)-L18</f>
        <v>1190</v>
      </c>
      <c r="N18" s="507">
        <f t="shared" si="7"/>
        <v>0.3400847857</v>
      </c>
      <c r="O18" s="511"/>
      <c r="P18" s="6"/>
      <c r="Q18" s="508"/>
      <c r="R18" s="508"/>
      <c r="S18" s="508"/>
      <c r="T18" s="509"/>
      <c r="U18" s="71"/>
      <c r="V18" s="71"/>
      <c r="W18" s="71"/>
      <c r="X18" s="463"/>
      <c r="Y18" s="71"/>
      <c r="Z18" s="71"/>
      <c r="AA18" s="71"/>
      <c r="AB18" s="71"/>
      <c r="AC18" s="71"/>
    </row>
    <row r="19" ht="12.75" customHeight="1">
      <c r="A19" s="498"/>
      <c r="B19" s="513" t="s">
        <v>245</v>
      </c>
      <c r="C19" s="514">
        <v>1.0</v>
      </c>
      <c r="D19" s="515" t="s">
        <v>323</v>
      </c>
      <c r="E19" s="516">
        <v>0.5</v>
      </c>
      <c r="F19" s="517">
        <v>4.0</v>
      </c>
      <c r="G19" s="518">
        <f>G20+40</f>
        <v>665</v>
      </c>
      <c r="H19" s="519">
        <f>IF(D19="Manager",0,VLOOKUP(E19,Rents!$B$61:$F$70,MATCH(B19,'Drop Down Menus'!$D$4:$D$8,0)+1))</f>
        <v>1251</v>
      </c>
      <c r="I19" s="520">
        <f t="shared" si="10"/>
        <v>22.57443609</v>
      </c>
      <c r="J19" s="521">
        <f t="shared" si="4"/>
        <v>2170</v>
      </c>
      <c r="K19" s="520">
        <f t="shared" si="5"/>
        <v>39.15789474</v>
      </c>
      <c r="L19" s="522">
        <f t="shared" ref="L19:L22" si="11">$N$132</f>
        <v>237</v>
      </c>
      <c r="M19" s="521">
        <f>IF(OR(D19='Drop Down Menus'!$D$13,D19='Drop Down Menus'!$D$10),H19,J19)-L19</f>
        <v>1014</v>
      </c>
      <c r="N19" s="523">
        <f t="shared" si="7"/>
        <v>0.4235023041</v>
      </c>
      <c r="O19" s="511"/>
      <c r="P19" s="514">
        <v>0.0</v>
      </c>
      <c r="Q19" s="508" t="str">
        <f t="shared" ref="Q19:Q20" si="12">IF(P19&gt;0,J19-M19,"")</f>
        <v/>
      </c>
      <c r="R19" s="508" t="str">
        <f t="shared" ref="R19:R20" si="13">IF(P19&gt;0,Q19*P19,"")</f>
        <v/>
      </c>
      <c r="S19" s="508" t="str">
        <f t="shared" ref="S19:S20" si="14">IF(P19&gt;0,R19*12,"")</f>
        <v/>
      </c>
      <c r="T19" s="509"/>
      <c r="U19" s="71"/>
      <c r="V19" s="463"/>
      <c r="W19" s="71"/>
      <c r="X19" s="463"/>
      <c r="Y19" s="71"/>
      <c r="Z19" s="71"/>
      <c r="AA19" s="71"/>
      <c r="AB19" s="71"/>
      <c r="AC19" s="71"/>
    </row>
    <row r="20" ht="12.75" customHeight="1">
      <c r="A20" s="498"/>
      <c r="B20" s="499" t="s">
        <v>245</v>
      </c>
      <c r="C20" s="6">
        <v>1.0</v>
      </c>
      <c r="D20" s="510" t="s">
        <v>324</v>
      </c>
      <c r="E20" s="501">
        <v>0.4</v>
      </c>
      <c r="F20" s="512">
        <f>F51</f>
        <v>5</v>
      </c>
      <c r="G20" s="503">
        <f>G22+50</f>
        <v>625</v>
      </c>
      <c r="H20" s="504">
        <f>IF(D20="Manager",0,IF(D20="TheBridge",VLOOKUP(D20,Rents!$B$61:$F$70,MATCH(B20,'Drop Down Menus'!$D$4:$D$8,0)+1), VLOOKUP(E20,Rents!$B$61:$F$70,MATCH(B20,'Drop Down Menus'!$D$4:$D$8,0)+1)))</f>
        <v>283</v>
      </c>
      <c r="I20" s="505">
        <f t="shared" si="10"/>
        <v>5.4336</v>
      </c>
      <c r="J20" s="94">
        <f t="shared" si="4"/>
        <v>2170</v>
      </c>
      <c r="K20" s="505">
        <f t="shared" si="5"/>
        <v>41.664</v>
      </c>
      <c r="L20" s="506">
        <f t="shared" si="11"/>
        <v>237</v>
      </c>
      <c r="M20" s="94">
        <f>IF(OR(D20='Drop Down Menus'!$D$13,D20='Drop Down Menus'!$D$10),H20,J20)-L20</f>
        <v>46</v>
      </c>
      <c r="N20" s="507">
        <f t="shared" si="7"/>
        <v>0.8695852535</v>
      </c>
      <c r="O20" s="511"/>
      <c r="P20" s="6">
        <v>0.0</v>
      </c>
      <c r="Q20" s="508" t="str">
        <f t="shared" si="12"/>
        <v/>
      </c>
      <c r="R20" s="508" t="str">
        <f t="shared" si="13"/>
        <v/>
      </c>
      <c r="S20" s="508" t="str">
        <f t="shared" si="14"/>
        <v/>
      </c>
      <c r="T20" s="509"/>
      <c r="U20" s="71"/>
      <c r="V20" s="463"/>
      <c r="W20" s="437"/>
      <c r="X20" s="467"/>
      <c r="Y20" s="71"/>
      <c r="Z20" s="71"/>
      <c r="AA20" s="71"/>
      <c r="AB20" s="71"/>
      <c r="AC20" s="71"/>
    </row>
    <row r="21" ht="12.75" customHeight="1">
      <c r="A21" s="498"/>
      <c r="B21" s="499" t="s">
        <v>245</v>
      </c>
      <c r="C21" s="6">
        <v>1.0</v>
      </c>
      <c r="D21" s="500" t="s">
        <v>323</v>
      </c>
      <c r="E21" s="501">
        <v>0.6</v>
      </c>
      <c r="F21" s="502">
        <v>5.0</v>
      </c>
      <c r="G21" s="512">
        <f>G22</f>
        <v>575</v>
      </c>
      <c r="H21" s="504">
        <f>IF(D21="Manager",0,IF(D21="OurSpace",VLOOKUP(D21,Rents!$B$61:$F$70,MATCH(B21,'Drop Down Menus'!$D$4:$D$8,0)+1), VLOOKUP(E21,Rents!$B$61:$F$70,MATCH(B21,'Drop Down Menus'!$D$4:$D$8,0)+1)))</f>
        <v>1501</v>
      </c>
      <c r="I21" s="505">
        <f t="shared" si="10"/>
        <v>31.32521739</v>
      </c>
      <c r="J21" s="94">
        <f t="shared" si="4"/>
        <v>2170</v>
      </c>
      <c r="K21" s="505">
        <f t="shared" si="5"/>
        <v>45.28695652</v>
      </c>
      <c r="L21" s="506">
        <f t="shared" si="11"/>
        <v>237</v>
      </c>
      <c r="M21" s="94">
        <f>IF(OR(D21='Drop Down Menus'!$D$13,D21='Drop Down Menus'!$D$10),H21,J21)-L21</f>
        <v>1264</v>
      </c>
      <c r="N21" s="507">
        <f t="shared" si="7"/>
        <v>0.3082949309</v>
      </c>
      <c r="O21" s="511"/>
      <c r="P21" s="6"/>
      <c r="Q21" s="508"/>
      <c r="R21" s="508"/>
      <c r="S21" s="508"/>
      <c r="T21" s="509"/>
      <c r="U21" s="71"/>
      <c r="V21" s="463"/>
      <c r="W21" s="71"/>
      <c r="X21" s="463"/>
      <c r="Y21" s="71"/>
      <c r="Z21" s="71"/>
      <c r="AA21" s="71"/>
      <c r="AB21" s="71"/>
      <c r="AC21" s="71"/>
    </row>
    <row r="22" ht="12.75" customHeight="1">
      <c r="A22" s="498"/>
      <c r="B22" s="499" t="s">
        <v>245</v>
      </c>
      <c r="C22" s="6">
        <v>1.0</v>
      </c>
      <c r="D22" s="500" t="s">
        <v>323</v>
      </c>
      <c r="E22" s="501">
        <v>0.7</v>
      </c>
      <c r="F22" s="503">
        <f>Rents!$D$51-SUM(F19:F21)-F29</f>
        <v>37</v>
      </c>
      <c r="G22" s="503">
        <f>D91</f>
        <v>575</v>
      </c>
      <c r="H22" s="504">
        <f>IF(D22="Manager",0,VLOOKUP(E22,Rents!$B$61:$F$70,MATCH(B22,'Drop Down Menus'!$D$4:$D$8,0)+1))</f>
        <v>1751</v>
      </c>
      <c r="I22" s="505">
        <f t="shared" si="10"/>
        <v>36.5426087</v>
      </c>
      <c r="J22" s="94">
        <f t="shared" si="4"/>
        <v>2170</v>
      </c>
      <c r="K22" s="505">
        <f t="shared" si="5"/>
        <v>45.28695652</v>
      </c>
      <c r="L22" s="506">
        <f t="shared" si="11"/>
        <v>237</v>
      </c>
      <c r="M22" s="94">
        <f>IF(OR(D22='Drop Down Menus'!$D$13,D22='Drop Down Menus'!$D$10),H22,J22)-L22</f>
        <v>1514</v>
      </c>
      <c r="N22" s="507">
        <f t="shared" si="7"/>
        <v>0.1930875576</v>
      </c>
      <c r="O22" s="511"/>
      <c r="P22" s="6">
        <v>0.0</v>
      </c>
      <c r="Q22" s="508" t="str">
        <f t="shared" ref="Q22:Q23" si="15">IF(P22&gt;0,J22-M22,"")</f>
        <v/>
      </c>
      <c r="R22" s="508" t="str">
        <f t="shared" ref="R22:R23" si="16">IF(P22&gt;0,Q22*P22,"")</f>
        <v/>
      </c>
      <c r="S22" s="508" t="str">
        <f t="shared" ref="S22:S23" si="17">IF(P22&gt;0,R22*12,"")</f>
        <v/>
      </c>
      <c r="T22" s="509"/>
      <c r="U22" s="71"/>
      <c r="V22" s="71"/>
      <c r="W22" s="71"/>
      <c r="X22" s="463"/>
      <c r="Y22" s="71"/>
      <c r="Z22" s="71"/>
      <c r="AA22" s="71"/>
      <c r="AB22" s="71"/>
      <c r="AC22" s="71"/>
    </row>
    <row r="23" ht="12.75" customHeight="1">
      <c r="A23" s="498"/>
      <c r="B23" s="513" t="s">
        <v>325</v>
      </c>
      <c r="C23" s="514">
        <v>1.0</v>
      </c>
      <c r="D23" s="515" t="s">
        <v>323</v>
      </c>
      <c r="E23" s="516">
        <v>0.4</v>
      </c>
      <c r="F23" s="517">
        <v>5.0</v>
      </c>
      <c r="G23" s="518">
        <f>G26+50</f>
        <v>825</v>
      </c>
      <c r="H23" s="519">
        <f>IF(D23="Manager",0,VLOOKUP(E23,Rents!$B$61:$F$70,MATCH(B23,'Drop Down Menus'!$D$4:$D$8,0)+1))</f>
        <v>1201</v>
      </c>
      <c r="I23" s="520">
        <f t="shared" si="10"/>
        <v>17.46909091</v>
      </c>
      <c r="J23" s="521">
        <f t="shared" si="4"/>
        <v>2451</v>
      </c>
      <c r="K23" s="520">
        <f t="shared" si="5"/>
        <v>35.65090909</v>
      </c>
      <c r="L23" s="522">
        <f t="shared" ref="L23:L26" si="18">$N$133</f>
        <v>314</v>
      </c>
      <c r="M23" s="521">
        <f>IF(OR(D23='Drop Down Menus'!$D$13,D23='Drop Down Menus'!$D$10),H23,J23)-L23</f>
        <v>887</v>
      </c>
      <c r="N23" s="523">
        <f t="shared" si="7"/>
        <v>0.50999592</v>
      </c>
      <c r="O23" s="511"/>
      <c r="P23" s="514">
        <v>0.0</v>
      </c>
      <c r="Q23" s="508" t="str">
        <f t="shared" si="15"/>
        <v/>
      </c>
      <c r="R23" s="508" t="str">
        <f t="shared" si="16"/>
        <v/>
      </c>
      <c r="S23" s="508" t="str">
        <f t="shared" si="17"/>
        <v/>
      </c>
      <c r="T23" s="509"/>
      <c r="U23" s="71"/>
      <c r="V23" s="71"/>
      <c r="W23" s="71"/>
      <c r="X23" s="463"/>
      <c r="Y23" s="71"/>
      <c r="Z23" s="71"/>
      <c r="AA23" s="71"/>
      <c r="AB23" s="71"/>
      <c r="AC23" s="71"/>
    </row>
    <row r="24" ht="12.75" customHeight="1">
      <c r="A24" s="498"/>
      <c r="B24" s="499" t="s">
        <v>325</v>
      </c>
      <c r="C24" s="6">
        <v>1.0</v>
      </c>
      <c r="D24" s="500" t="s">
        <v>323</v>
      </c>
      <c r="E24" s="501">
        <v>0.4</v>
      </c>
      <c r="F24" s="502">
        <v>8.0</v>
      </c>
      <c r="G24" s="503">
        <f>Rents!$E$75</f>
        <v>775</v>
      </c>
      <c r="H24" s="504">
        <f>IF(D24="Manager",0,VLOOKUP(E24,Rents!$B$61:$F$70,MATCH(B24,'Drop Down Menus'!$D$4:$D$8,0)+1))</f>
        <v>1201</v>
      </c>
      <c r="I24" s="505">
        <f t="shared" si="10"/>
        <v>18.59612903</v>
      </c>
      <c r="J24" s="94">
        <f t="shared" si="4"/>
        <v>2451</v>
      </c>
      <c r="K24" s="505">
        <f t="shared" si="5"/>
        <v>37.95096774</v>
      </c>
      <c r="L24" s="506">
        <f t="shared" si="18"/>
        <v>314</v>
      </c>
      <c r="M24" s="94">
        <f>IF(OR(D24='Drop Down Menus'!$D$13,D24='Drop Down Menus'!$D$10),H24,J24)-L24</f>
        <v>887</v>
      </c>
      <c r="N24" s="507">
        <f t="shared" si="7"/>
        <v>0.50999592</v>
      </c>
      <c r="O24" s="511"/>
      <c r="P24" s="6">
        <v>0.0</v>
      </c>
      <c r="Q24" s="508"/>
      <c r="R24" s="508"/>
      <c r="S24" s="508"/>
      <c r="T24" s="509"/>
      <c r="U24" s="71"/>
      <c r="V24" s="71"/>
      <c r="W24" s="71"/>
      <c r="X24" s="463"/>
      <c r="Y24" s="71"/>
      <c r="Z24" s="71"/>
      <c r="AA24" s="71"/>
      <c r="AB24" s="71"/>
      <c r="AC24" s="71"/>
    </row>
    <row r="25" ht="12.75" customHeight="1">
      <c r="A25" s="498"/>
      <c r="B25" s="499" t="s">
        <v>325</v>
      </c>
      <c r="C25" s="6">
        <v>1.0</v>
      </c>
      <c r="D25" s="510" t="s">
        <v>324</v>
      </c>
      <c r="E25" s="501">
        <v>0.4</v>
      </c>
      <c r="F25" s="503">
        <f>Rents!F52</f>
        <v>5</v>
      </c>
      <c r="G25" s="503">
        <f>Rents!$E$75</f>
        <v>775</v>
      </c>
      <c r="H25" s="504">
        <f>IF(D25="Manager",0,IF(D25="TheBridge",VLOOKUP(D25,Rents!$B$61:$F$70,MATCH(B25,'Drop Down Menus'!$D$4:$D$8,0)+1), VLOOKUP(E25,Rents!$B$61:$F$70,MATCH(B25,'Drop Down Menus'!$D$4:$D$8,0)+1)))</f>
        <v>425</v>
      </c>
      <c r="I25" s="505">
        <f t="shared" si="10"/>
        <v>6.580645161</v>
      </c>
      <c r="J25" s="94">
        <f t="shared" si="4"/>
        <v>2451</v>
      </c>
      <c r="K25" s="505">
        <f t="shared" si="5"/>
        <v>37.95096774</v>
      </c>
      <c r="L25" s="506">
        <f t="shared" si="18"/>
        <v>314</v>
      </c>
      <c r="M25" s="94">
        <f>IF(OR(D25='Drop Down Menus'!$D$13,D25='Drop Down Menus'!$D$10),H25,J25)-L25</f>
        <v>111</v>
      </c>
      <c r="N25" s="507">
        <f t="shared" si="7"/>
        <v>0.8266013872</v>
      </c>
      <c r="O25" s="511"/>
      <c r="P25" s="6">
        <v>0.0</v>
      </c>
      <c r="Q25" s="508" t="str">
        <f t="shared" ref="Q25:Q28" si="19">IF(P25&gt;0,J26-M26,"")</f>
        <v/>
      </c>
      <c r="R25" s="508" t="str">
        <f t="shared" ref="R25:R28" si="20">IF(P25&gt;0,Q25*P25,"")</f>
        <v/>
      </c>
      <c r="S25" s="508" t="str">
        <f t="shared" ref="S25:S28" si="21">IF(P25&gt;0,R25*12,"")</f>
        <v/>
      </c>
      <c r="T25" s="509"/>
      <c r="U25" s="71"/>
      <c r="V25" s="71"/>
      <c r="W25" s="437"/>
      <c r="X25" s="467"/>
      <c r="Y25" s="71"/>
      <c r="Z25" s="71"/>
      <c r="AA25" s="71"/>
      <c r="AB25" s="71"/>
      <c r="AC25" s="71"/>
    </row>
    <row r="26" ht="12.75" customHeight="1">
      <c r="A26" s="498"/>
      <c r="B26" s="499" t="s">
        <v>325</v>
      </c>
      <c r="C26" s="6">
        <v>1.0</v>
      </c>
      <c r="D26" s="500" t="s">
        <v>323</v>
      </c>
      <c r="E26" s="501">
        <v>0.4</v>
      </c>
      <c r="F26" s="503">
        <f>Rents!$D$52-SUM(F23:F25)</f>
        <v>11</v>
      </c>
      <c r="G26" s="503">
        <f>Rents!$E$75</f>
        <v>775</v>
      </c>
      <c r="H26" s="504">
        <f>IF(D26="Manager",0,VLOOKUP(E26,Rents!$B$61:$F$70,MATCH(B26,'Drop Down Menus'!$D$4:$D$8,0)+1))</f>
        <v>1201</v>
      </c>
      <c r="I26" s="505">
        <f t="shared" si="10"/>
        <v>18.59612903</v>
      </c>
      <c r="J26" s="94">
        <f t="shared" si="4"/>
        <v>2451</v>
      </c>
      <c r="K26" s="505">
        <f t="shared" si="5"/>
        <v>37.95096774</v>
      </c>
      <c r="L26" s="506">
        <f t="shared" si="18"/>
        <v>314</v>
      </c>
      <c r="M26" s="94">
        <f>IF(OR(D26='Drop Down Menus'!$D$13,D26='Drop Down Menus'!$D$10),H26,J26)-L26</f>
        <v>887</v>
      </c>
      <c r="N26" s="507">
        <f t="shared" si="7"/>
        <v>0.50999592</v>
      </c>
      <c r="O26" s="511"/>
      <c r="P26" s="514">
        <v>0.0</v>
      </c>
      <c r="Q26" s="508" t="str">
        <f t="shared" si="19"/>
        <v/>
      </c>
      <c r="R26" s="508" t="str">
        <f t="shared" si="20"/>
        <v/>
      </c>
      <c r="S26" s="508" t="str">
        <f t="shared" si="21"/>
        <v/>
      </c>
      <c r="T26" s="509"/>
      <c r="U26" s="71"/>
      <c r="V26" s="71"/>
      <c r="W26" s="71"/>
      <c r="X26" s="71"/>
      <c r="Y26" s="71"/>
      <c r="Z26" s="71"/>
      <c r="AA26" s="71"/>
      <c r="AB26" s="71"/>
      <c r="AC26" s="71"/>
    </row>
    <row r="27" ht="12.75" customHeight="1">
      <c r="A27" s="498"/>
      <c r="B27" s="513" t="s">
        <v>247</v>
      </c>
      <c r="C27" s="514">
        <v>2.0</v>
      </c>
      <c r="D27" s="515" t="s">
        <v>323</v>
      </c>
      <c r="E27" s="516">
        <v>0.6</v>
      </c>
      <c r="F27" s="517">
        <v>3.0</v>
      </c>
      <c r="G27" s="518">
        <f>G28+50</f>
        <v>1000</v>
      </c>
      <c r="H27" s="519">
        <f>IF(D27="Manager",0,VLOOKUP(E27,Rents!$B$61:$F$70,MATCH(B27,'Drop Down Menus'!$D$4:$D$8,0)+1))</f>
        <v>2081</v>
      </c>
      <c r="I27" s="520">
        <f t="shared" si="10"/>
        <v>24.972</v>
      </c>
      <c r="J27" s="521">
        <f t="shared" si="4"/>
        <v>3078</v>
      </c>
      <c r="K27" s="520">
        <f t="shared" si="5"/>
        <v>36.936</v>
      </c>
      <c r="L27" s="522">
        <f t="shared" ref="L27:L28" si="22">$N$134</f>
        <v>408</v>
      </c>
      <c r="M27" s="521">
        <f>IF(OR(D27='Drop Down Menus'!$D$13,D27='Drop Down Menus'!$D$10),H27,J27)-L27</f>
        <v>1673</v>
      </c>
      <c r="N27" s="523">
        <f t="shared" si="7"/>
        <v>0.3239116309</v>
      </c>
      <c r="O27" s="511"/>
      <c r="P27" s="6">
        <v>0.0</v>
      </c>
      <c r="Q27" s="508" t="str">
        <f t="shared" si="19"/>
        <v/>
      </c>
      <c r="R27" s="508" t="str">
        <f t="shared" si="20"/>
        <v/>
      </c>
      <c r="S27" s="508" t="str">
        <f t="shared" si="21"/>
        <v/>
      </c>
      <c r="T27" s="509"/>
      <c r="U27" s="71"/>
      <c r="V27" s="71"/>
      <c r="W27" s="71"/>
      <c r="X27" s="71"/>
      <c r="Y27" s="71"/>
      <c r="Z27" s="71"/>
      <c r="AA27" s="71"/>
      <c r="AB27" s="71"/>
      <c r="AC27" s="71"/>
    </row>
    <row r="28" ht="12.75" customHeight="1">
      <c r="A28" s="498"/>
      <c r="B28" s="499" t="s">
        <v>247</v>
      </c>
      <c r="C28" s="6">
        <v>2.0</v>
      </c>
      <c r="D28" s="500" t="s">
        <v>323</v>
      </c>
      <c r="E28" s="501">
        <v>0.6</v>
      </c>
      <c r="F28" s="503">
        <f>Rents!$D$53-F27</f>
        <v>3</v>
      </c>
      <c r="G28" s="503">
        <f>Rents!F75</f>
        <v>950</v>
      </c>
      <c r="H28" s="504">
        <f>IF(D28="Manager",0,VLOOKUP(E28,Rents!$B$61:$F$70,MATCH(B28,'Drop Down Menus'!$D$4:$D$8,0)+1))</f>
        <v>2081</v>
      </c>
      <c r="I28" s="505">
        <f t="shared" si="10"/>
        <v>26.28631579</v>
      </c>
      <c r="J28" s="94">
        <f t="shared" si="4"/>
        <v>3078</v>
      </c>
      <c r="K28" s="505">
        <f t="shared" si="5"/>
        <v>38.88</v>
      </c>
      <c r="L28" s="506">
        <f t="shared" si="22"/>
        <v>408</v>
      </c>
      <c r="M28" s="94">
        <f>IF(OR(D28='Drop Down Menus'!$D$13,D28='Drop Down Menus'!$D$10),H28,J28)-L28</f>
        <v>1673</v>
      </c>
      <c r="N28" s="507">
        <f t="shared" si="7"/>
        <v>0.3239116309</v>
      </c>
      <c r="O28" s="511"/>
      <c r="P28" s="524"/>
      <c r="Q28" s="525" t="str">
        <f t="shared" si="19"/>
        <v/>
      </c>
      <c r="R28" s="525" t="str">
        <f t="shared" si="20"/>
        <v/>
      </c>
      <c r="S28" s="525" t="str">
        <f t="shared" si="21"/>
        <v/>
      </c>
      <c r="T28" s="509"/>
      <c r="U28" s="71"/>
      <c r="V28" s="71"/>
      <c r="W28" s="71"/>
      <c r="X28" s="71"/>
      <c r="Y28" s="71"/>
      <c r="Z28" s="71"/>
      <c r="AA28" s="71"/>
      <c r="AB28" s="71"/>
      <c r="AC28" s="71"/>
    </row>
    <row r="29" ht="12.75" customHeight="1">
      <c r="A29" s="498"/>
      <c r="B29" s="526" t="s">
        <v>245</v>
      </c>
      <c r="C29" s="524">
        <v>1.0</v>
      </c>
      <c r="D29" s="524" t="s">
        <v>289</v>
      </c>
      <c r="E29" s="527" t="s">
        <v>326</v>
      </c>
      <c r="F29" s="528">
        <v>1.0</v>
      </c>
      <c r="G29" s="529">
        <f>Rents!D75</f>
        <v>575</v>
      </c>
      <c r="H29" s="530">
        <f>IF(D29="Manager",0,VLOOKUP(E29,Rents!$B$61:$F$70,MATCH(B29,'Drop Down Menus'!$D$4:$D$8,0)+1))</f>
        <v>0</v>
      </c>
      <c r="I29" s="531"/>
      <c r="J29" s="532">
        <v>0.0</v>
      </c>
      <c r="K29" s="531"/>
      <c r="L29" s="533">
        <v>0.0</v>
      </c>
      <c r="M29" s="532">
        <f>IFERROR(H29-L29,"")</f>
        <v>0</v>
      </c>
      <c r="N29" s="534" t="str">
        <f>IFERROR(IF(D29="Market Rate","",(J29-M29)/J29),"")</f>
        <v/>
      </c>
      <c r="O29" s="535"/>
      <c r="P29" s="3"/>
      <c r="Q29" s="3"/>
      <c r="R29" s="3"/>
      <c r="S29" s="3"/>
      <c r="T29" s="536"/>
      <c r="U29" s="3"/>
      <c r="V29" s="3"/>
      <c r="W29" s="3"/>
      <c r="X29" s="3"/>
      <c r="Y29" s="3"/>
      <c r="Z29" s="3"/>
      <c r="AA29" s="3"/>
      <c r="AB29" s="3"/>
      <c r="AC29" s="3"/>
    </row>
    <row r="30" ht="12.75" hidden="1" customHeight="1">
      <c r="A30" s="537"/>
      <c r="B30" s="538" t="s">
        <v>327</v>
      </c>
      <c r="C30" s="73" t="s">
        <v>244</v>
      </c>
      <c r="D30" s="73" t="s">
        <v>328</v>
      </c>
      <c r="E30" s="73" t="s">
        <v>329</v>
      </c>
      <c r="F30" s="73" t="s">
        <v>330</v>
      </c>
      <c r="G30" s="73" t="s">
        <v>331</v>
      </c>
      <c r="H30" s="390" t="b">
        <f t="array" ref="H30">IF(D17="OurSpace",INDEX(Rents!$C$61:$F$61,,MATCH(Rents!B17,Rents!C59:F59,0)))</f>
        <v>0</v>
      </c>
      <c r="I30" s="457"/>
      <c r="J30" s="456"/>
      <c r="K30" s="456"/>
      <c r="L30" s="456"/>
      <c r="M30" s="456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2.75" hidden="1" customHeight="1">
      <c r="A31" s="462"/>
      <c r="B31" s="539" t="s">
        <v>332</v>
      </c>
      <c r="C31" s="70"/>
      <c r="D31" s="6"/>
      <c r="E31" s="6"/>
      <c r="F31" s="6"/>
      <c r="G31" s="6"/>
      <c r="I31" s="457"/>
      <c r="M31" s="456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2.75" hidden="1" customHeight="1">
      <c r="A32" s="462"/>
      <c r="B32" s="539" t="s">
        <v>333</v>
      </c>
      <c r="C32" s="70"/>
      <c r="D32" s="6"/>
      <c r="E32" s="6"/>
      <c r="F32" s="6"/>
      <c r="G32" s="6"/>
      <c r="I32" s="457"/>
      <c r="M32" s="456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2.75" hidden="1" customHeight="1">
      <c r="A33" s="462"/>
      <c r="B33" s="539" t="s">
        <v>334</v>
      </c>
      <c r="C33" s="70"/>
      <c r="D33" s="6"/>
      <c r="E33" s="6"/>
      <c r="F33" s="6"/>
      <c r="G33" s="6"/>
      <c r="H33" s="456"/>
      <c r="I33" s="457"/>
      <c r="J33" s="456"/>
      <c r="K33" s="456"/>
      <c r="L33" s="456"/>
      <c r="M33" s="456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2.75" hidden="1" customHeight="1">
      <c r="A34" s="462"/>
      <c r="B34" s="539" t="s">
        <v>335</v>
      </c>
      <c r="C34" s="70"/>
      <c r="D34" s="6"/>
      <c r="E34" s="6"/>
      <c r="F34" s="6"/>
      <c r="G34" s="6"/>
      <c r="H34" s="456"/>
      <c r="I34" s="457"/>
      <c r="L34" s="456"/>
      <c r="M34" s="456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2.75" hidden="1" customHeight="1">
      <c r="A35" s="462"/>
      <c r="B35" s="539" t="s">
        <v>336</v>
      </c>
      <c r="C35" s="70"/>
      <c r="D35" s="6"/>
      <c r="E35" s="6"/>
      <c r="F35" s="6"/>
      <c r="G35" s="6"/>
      <c r="H35" s="456"/>
      <c r="I35" s="457"/>
      <c r="J35" s="456"/>
      <c r="K35" s="456"/>
      <c r="L35" s="456"/>
      <c r="M35" s="456"/>
      <c r="N35" s="3"/>
      <c r="O35" s="3"/>
      <c r="P35" s="3"/>
      <c r="Q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2.75" hidden="1" customHeight="1">
      <c r="A36" s="462"/>
      <c r="B36" s="539" t="s">
        <v>337</v>
      </c>
      <c r="C36" s="70"/>
      <c r="D36" s="6"/>
      <c r="E36" s="6"/>
      <c r="F36" s="6"/>
      <c r="G36" s="6"/>
      <c r="H36" s="456"/>
      <c r="I36" s="457"/>
      <c r="J36" s="456"/>
      <c r="K36" s="456"/>
      <c r="L36" s="456"/>
      <c r="M36" s="456"/>
      <c r="N36" s="3"/>
      <c r="O36" s="3"/>
      <c r="P36" s="3"/>
      <c r="Q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2.75" hidden="1" customHeight="1">
      <c r="A37" s="462"/>
      <c r="B37" s="539" t="s">
        <v>338</v>
      </c>
      <c r="C37" s="70"/>
      <c r="D37" s="6"/>
      <c r="E37" s="6"/>
      <c r="F37" s="6"/>
      <c r="G37" s="6"/>
      <c r="H37" s="456"/>
      <c r="I37" s="457"/>
      <c r="J37" s="456"/>
      <c r="K37" s="456"/>
      <c r="L37" s="456"/>
      <c r="M37" s="456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2.75" hidden="1" customHeight="1">
      <c r="A38" s="462"/>
      <c r="B38" s="540" t="s">
        <v>339</v>
      </c>
      <c r="C38" s="541"/>
      <c r="D38" s="76"/>
      <c r="E38" s="76"/>
      <c r="F38" s="76"/>
      <c r="G38" s="76"/>
      <c r="H38" s="456"/>
      <c r="I38" s="457"/>
      <c r="J38" s="456"/>
      <c r="K38" s="456"/>
      <c r="L38" s="456"/>
      <c r="M38" s="456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2.75" hidden="1" customHeight="1">
      <c r="A39" s="462"/>
      <c r="B39" s="539" t="s">
        <v>202</v>
      </c>
      <c r="C39" s="71">
        <f t="shared" ref="C39:G39" si="23">SUM(C31:C38)</f>
        <v>0</v>
      </c>
      <c r="D39" s="71">
        <f t="shared" si="23"/>
        <v>0</v>
      </c>
      <c r="E39" s="71">
        <f t="shared" si="23"/>
        <v>0</v>
      </c>
      <c r="F39" s="71">
        <f t="shared" si="23"/>
        <v>0</v>
      </c>
      <c r="G39" s="71">
        <f t="shared" si="23"/>
        <v>0</v>
      </c>
      <c r="H39" s="456"/>
      <c r="I39" s="457"/>
      <c r="J39" s="456"/>
      <c r="K39" s="456"/>
      <c r="L39" s="456"/>
      <c r="M39" s="456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2.75" hidden="1" customHeight="1">
      <c r="A40" s="462"/>
      <c r="B40" s="3" t="s">
        <v>340</v>
      </c>
      <c r="C40" s="3"/>
      <c r="D40" s="3"/>
      <c r="E40" s="3"/>
      <c r="F40" s="3"/>
      <c r="G40" s="3"/>
      <c r="H40" s="456"/>
      <c r="I40" s="457"/>
      <c r="J40" s="456"/>
      <c r="K40" s="456"/>
      <c r="L40" s="456"/>
      <c r="M40" s="456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2.75" customHeight="1">
      <c r="A41" s="462"/>
      <c r="B41" s="3"/>
      <c r="C41" s="3"/>
      <c r="D41" s="3"/>
      <c r="E41" s="3"/>
      <c r="F41" s="3"/>
      <c r="G41" s="3"/>
      <c r="H41" s="456"/>
      <c r="I41" s="457"/>
      <c r="J41" s="456"/>
      <c r="K41" s="456"/>
      <c r="L41" s="456"/>
      <c r="M41" s="456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2.75" customHeight="1">
      <c r="A42" s="464"/>
      <c r="B42" s="5" t="s">
        <v>341</v>
      </c>
      <c r="C42" s="3"/>
      <c r="D42" s="3"/>
      <c r="E42" s="3"/>
      <c r="F42" s="3"/>
      <c r="G42" s="3"/>
      <c r="H42" s="456"/>
      <c r="I42" s="457"/>
      <c r="J42" s="456"/>
      <c r="K42" s="456"/>
      <c r="L42" s="456"/>
      <c r="M42" s="456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2.75" customHeight="1">
      <c r="A43" s="462"/>
      <c r="B43" s="33" t="s">
        <v>312</v>
      </c>
      <c r="C43" s="542"/>
      <c r="D43" s="543">
        <f>Summary!C14</f>
        <v>11222.97434</v>
      </c>
      <c r="E43" s="3"/>
      <c r="F43" s="3"/>
      <c r="G43" s="3"/>
      <c r="H43" s="456"/>
      <c r="I43" s="457"/>
      <c r="J43" s="456"/>
      <c r="K43" s="456"/>
      <c r="L43" s="456"/>
      <c r="M43" s="456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2.75" customHeight="1">
      <c r="A44" s="462"/>
      <c r="B44" s="15" t="s">
        <v>314</v>
      </c>
      <c r="C44" s="544"/>
      <c r="D44" s="545">
        <v>35.0</v>
      </c>
      <c r="E44" s="3"/>
      <c r="F44" s="3"/>
      <c r="G44" s="3"/>
      <c r="H44" s="456"/>
      <c r="I44" s="457"/>
      <c r="J44" s="456"/>
      <c r="K44" s="456"/>
      <c r="L44" s="456"/>
      <c r="M44" s="456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2.75" customHeight="1">
      <c r="A45" s="462"/>
      <c r="B45" s="45" t="s">
        <v>342</v>
      </c>
      <c r="C45" s="74"/>
      <c r="D45" s="546">
        <f>D44*D43</f>
        <v>392804.1019</v>
      </c>
      <c r="E45" s="3"/>
      <c r="F45" s="3"/>
      <c r="G45" s="3"/>
      <c r="H45" s="456"/>
      <c r="I45" s="457"/>
      <c r="J45" s="456"/>
      <c r="K45" s="456"/>
      <c r="L45" s="456"/>
      <c r="M45" s="456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2.75" customHeight="1">
      <c r="A46" s="462"/>
      <c r="B46" s="3"/>
      <c r="C46" s="3"/>
      <c r="D46" s="3"/>
      <c r="E46" s="3"/>
      <c r="F46" s="3"/>
      <c r="G46" s="3"/>
      <c r="H46" s="456"/>
      <c r="I46" s="457"/>
      <c r="J46" s="456"/>
      <c r="K46" s="456"/>
      <c r="L46" s="456"/>
      <c r="M46" s="456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2.75" customHeight="1">
      <c r="A47" s="547"/>
      <c r="B47" s="548" t="s">
        <v>248</v>
      </c>
      <c r="C47" s="549"/>
      <c r="D47" s="549"/>
      <c r="E47" s="549"/>
      <c r="F47" s="549"/>
      <c r="G47" s="550"/>
      <c r="I47" s="457"/>
      <c r="J47" s="456"/>
      <c r="K47" s="456"/>
      <c r="L47" s="456"/>
      <c r="M47" s="456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2.75" customHeight="1">
      <c r="A48" s="547"/>
      <c r="B48" s="551"/>
      <c r="C48" s="551"/>
      <c r="D48" s="551"/>
      <c r="E48" s="551"/>
      <c r="F48" s="551"/>
      <c r="G48" s="551"/>
      <c r="I48" s="552"/>
      <c r="J48" s="448"/>
      <c r="K48" s="448"/>
      <c r="L48" s="448"/>
      <c r="M48" s="448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ht="15.75" customHeight="1">
      <c r="A49" s="553"/>
      <c r="B49" s="554" t="s">
        <v>307</v>
      </c>
      <c r="C49" s="555" t="s">
        <v>343</v>
      </c>
      <c r="D49" s="556" t="s">
        <v>344</v>
      </c>
      <c r="E49" s="556" t="s">
        <v>345</v>
      </c>
      <c r="F49" s="557" t="s">
        <v>346</v>
      </c>
      <c r="H49" s="457"/>
      <c r="I49" s="456"/>
      <c r="J49" s="456"/>
      <c r="K49" s="456"/>
      <c r="L49" s="456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2.75" customHeight="1">
      <c r="A50" s="558"/>
      <c r="B50" s="559" t="s">
        <v>244</v>
      </c>
      <c r="C50" s="560">
        <v>0.25</v>
      </c>
      <c r="D50" s="561">
        <f>ROUNDDOWN(C50*Summary!$F$10,0)</f>
        <v>29</v>
      </c>
      <c r="E50" s="562">
        <v>2123.0</v>
      </c>
      <c r="F50" s="563">
        <v>8.0</v>
      </c>
      <c r="H50" s="17"/>
      <c r="I50" s="17"/>
      <c r="J50" s="17"/>
      <c r="K50" s="17"/>
      <c r="L50" s="17"/>
      <c r="M50" s="17"/>
      <c r="N50" s="17"/>
      <c r="O50" s="17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2.75" customHeight="1">
      <c r="A51" s="558"/>
      <c r="B51" s="559" t="s">
        <v>245</v>
      </c>
      <c r="C51" s="560">
        <v>0.45</v>
      </c>
      <c r="D51" s="561">
        <f>ROUNDDOWN(C51*Summary!$F$10,0)</f>
        <v>52</v>
      </c>
      <c r="E51" s="562">
        <v>2170.0</v>
      </c>
      <c r="F51" s="563">
        <v>5.0</v>
      </c>
      <c r="I51" s="17"/>
      <c r="J51" s="17"/>
      <c r="K51" s="17"/>
      <c r="L51" s="17"/>
      <c r="M51" s="17"/>
      <c r="N51" s="17"/>
      <c r="O51" s="17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2.75" customHeight="1">
      <c r="A52" s="558"/>
      <c r="B52" s="559" t="s">
        <v>325</v>
      </c>
      <c r="C52" s="560">
        <v>0.25</v>
      </c>
      <c r="D52" s="561">
        <f>ROUNDUP(C52*Summary!$F$10,0)</f>
        <v>29</v>
      </c>
      <c r="E52" s="562">
        <v>2451.0</v>
      </c>
      <c r="F52" s="563">
        <v>5.0</v>
      </c>
      <c r="H52" s="564"/>
      <c r="I52" s="17"/>
      <c r="J52" s="17"/>
      <c r="K52" s="17"/>
      <c r="L52" s="17"/>
      <c r="M52" s="17"/>
      <c r="N52" s="17"/>
      <c r="O52" s="17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2.75" customHeight="1">
      <c r="A53" s="558"/>
      <c r="B53" s="559" t="s">
        <v>247</v>
      </c>
      <c r="C53" s="565">
        <f>100%-SUM(C50:C52)</f>
        <v>0.05</v>
      </c>
      <c r="D53" s="561">
        <f>ROUNDUP(C53*Summary!$F$10,0)</f>
        <v>6</v>
      </c>
      <c r="E53" s="562">
        <v>3078.0</v>
      </c>
      <c r="F53" s="563">
        <v>0.0</v>
      </c>
      <c r="H53" s="564"/>
      <c r="I53" s="17"/>
      <c r="J53" s="17"/>
      <c r="K53" s="17"/>
      <c r="L53" s="17"/>
      <c r="M53" s="17"/>
      <c r="N53" s="17"/>
      <c r="O53" s="17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2.75" customHeight="1">
      <c r="A54" s="558"/>
      <c r="B54" s="566" t="s">
        <v>202</v>
      </c>
      <c r="C54" s="567">
        <f t="shared" ref="C54:D54" si="24">SUM(C50:C53)</f>
        <v>1</v>
      </c>
      <c r="D54" s="568">
        <f t="shared" si="24"/>
        <v>116</v>
      </c>
      <c r="E54" s="569">
        <f>SUMPRODUCT(E50:E53,$C$50:$C$53)</f>
        <v>2273.9</v>
      </c>
      <c r="F54" s="570">
        <f>SUM(F50:F53)</f>
        <v>18</v>
      </c>
      <c r="H54" s="564"/>
      <c r="I54" s="17"/>
      <c r="J54" s="17"/>
      <c r="K54" s="17"/>
      <c r="L54" s="17"/>
      <c r="M54" s="17"/>
      <c r="N54" s="17"/>
      <c r="O54" s="17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2.75" customHeight="1">
      <c r="A55" s="462"/>
      <c r="B55" s="17"/>
      <c r="D55" s="571"/>
      <c r="E55" s="571"/>
      <c r="F55" s="571"/>
      <c r="G55" s="571"/>
      <c r="H55" s="571"/>
      <c r="I55" s="564"/>
      <c r="J55" s="17"/>
      <c r="K55" s="17"/>
      <c r="L55" s="17"/>
      <c r="M55" s="17"/>
      <c r="N55" s="17"/>
      <c r="O55" s="17"/>
      <c r="P55" s="17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2.75" customHeight="1">
      <c r="A56" s="572"/>
      <c r="B56" s="573" t="s">
        <v>347</v>
      </c>
      <c r="C56" s="549"/>
      <c r="D56" s="549"/>
      <c r="E56" s="549"/>
      <c r="F56" s="549"/>
      <c r="G56" s="549"/>
      <c r="H56" s="550"/>
      <c r="I56" s="564"/>
      <c r="J56" s="574" t="s">
        <v>348</v>
      </c>
      <c r="K56" s="575"/>
      <c r="L56" s="575"/>
      <c r="M56" s="575"/>
      <c r="N56" s="575"/>
      <c r="O56" s="575"/>
      <c r="P56" s="575"/>
      <c r="Q56" s="575"/>
      <c r="R56" s="575"/>
      <c r="S56" s="575"/>
      <c r="T56" s="264"/>
      <c r="U56" s="3"/>
      <c r="V56" s="3"/>
      <c r="W56" s="3"/>
      <c r="X56" s="3"/>
      <c r="Y56" s="3"/>
      <c r="Z56" s="3"/>
      <c r="AA56" s="3"/>
      <c r="AB56" s="3"/>
      <c r="AC56" s="3"/>
    </row>
    <row r="57" ht="12.75" customHeight="1">
      <c r="A57" s="572"/>
      <c r="B57" s="576"/>
      <c r="C57" s="576"/>
      <c r="D57" s="576"/>
      <c r="E57" s="576"/>
      <c r="F57" s="576"/>
      <c r="G57" s="576"/>
      <c r="H57" s="576"/>
      <c r="I57" s="564"/>
      <c r="J57" s="17"/>
      <c r="K57" s="17"/>
      <c r="L57" s="17"/>
      <c r="M57" s="17"/>
      <c r="N57" s="17"/>
      <c r="O57" s="17"/>
      <c r="P57" s="17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2.75" customHeight="1">
      <c r="A58" s="572"/>
      <c r="B58" s="577" t="s">
        <v>349</v>
      </c>
      <c r="C58" s="575"/>
      <c r="D58" s="575"/>
      <c r="E58" s="575"/>
      <c r="F58" s="264"/>
      <c r="G58" s="437"/>
      <c r="H58" s="437"/>
      <c r="I58" s="564"/>
      <c r="J58" s="578" t="s">
        <v>350</v>
      </c>
      <c r="K58" s="17"/>
      <c r="L58" s="17"/>
      <c r="M58" s="17"/>
      <c r="N58" s="17"/>
      <c r="O58" s="17"/>
      <c r="P58" s="17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2.75" customHeight="1">
      <c r="A59" s="558"/>
      <c r="B59" s="436"/>
      <c r="C59" s="579" t="s">
        <v>244</v>
      </c>
      <c r="D59" s="580" t="s">
        <v>351</v>
      </c>
      <c r="E59" s="580" t="s">
        <v>352</v>
      </c>
      <c r="F59" s="581" t="s">
        <v>353</v>
      </c>
      <c r="G59" s="437"/>
      <c r="H59" s="437"/>
      <c r="I59" s="571"/>
      <c r="J59" s="17"/>
      <c r="K59" s="17"/>
      <c r="L59" s="17"/>
      <c r="M59" s="17"/>
      <c r="N59" s="17"/>
      <c r="O59" s="17"/>
      <c r="P59" s="17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2.75" customHeight="1">
      <c r="A60" s="582"/>
      <c r="B60" s="583" t="s">
        <v>354</v>
      </c>
      <c r="C60" s="584" t="s">
        <v>355</v>
      </c>
      <c r="D60" s="585" t="s">
        <v>356</v>
      </c>
      <c r="E60" s="585" t="s">
        <v>357</v>
      </c>
      <c r="F60" s="586" t="s">
        <v>358</v>
      </c>
      <c r="G60" s="437"/>
      <c r="H60" s="437"/>
      <c r="I60" s="571"/>
      <c r="J60" s="17"/>
      <c r="K60" s="17"/>
      <c r="L60" s="17"/>
      <c r="M60" s="17"/>
      <c r="N60" s="17"/>
      <c r="O60" s="17"/>
      <c r="P60" s="17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2.75" customHeight="1">
      <c r="A61" s="587"/>
      <c r="B61" s="588" t="s">
        <v>324</v>
      </c>
      <c r="C61" s="589">
        <v>215.0</v>
      </c>
      <c r="D61" s="400">
        <v>283.0</v>
      </c>
      <c r="E61" s="400">
        <v>425.0</v>
      </c>
      <c r="F61" s="401">
        <v>512.0</v>
      </c>
      <c r="G61" s="92"/>
      <c r="H61" s="437"/>
      <c r="J61" s="17"/>
      <c r="K61" s="17"/>
      <c r="L61" s="17"/>
      <c r="M61" s="17"/>
      <c r="N61" s="17"/>
      <c r="O61" s="17"/>
      <c r="P61" s="17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2.75" customHeight="1">
      <c r="A62" s="590"/>
      <c r="B62" s="591">
        <v>0.3</v>
      </c>
      <c r="C62" s="589">
        <v>700.5</v>
      </c>
      <c r="D62" s="400">
        <v>750.0</v>
      </c>
      <c r="E62" s="400">
        <v>900.0</v>
      </c>
      <c r="F62" s="401">
        <v>1040.0</v>
      </c>
      <c r="G62" s="92"/>
      <c r="H62" s="437"/>
      <c r="I62" s="437"/>
      <c r="J62" s="17"/>
      <c r="K62" s="17"/>
      <c r="L62" s="17"/>
      <c r="M62" s="17"/>
      <c r="N62" s="17"/>
      <c r="O62" s="17"/>
      <c r="P62" s="17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2.75" customHeight="1">
      <c r="A63" s="590"/>
      <c r="B63" s="591">
        <v>0.4</v>
      </c>
      <c r="C63" s="589">
        <v>934.0</v>
      </c>
      <c r="D63" s="400">
        <v>1001.0</v>
      </c>
      <c r="E63" s="400">
        <v>1201.0</v>
      </c>
      <c r="F63" s="401">
        <v>1387.0</v>
      </c>
      <c r="G63" s="92"/>
      <c r="H63" s="437"/>
      <c r="I63" s="437"/>
      <c r="J63" s="17"/>
      <c r="K63" s="17"/>
      <c r="L63" s="17"/>
      <c r="M63" s="17"/>
      <c r="N63" s="17"/>
      <c r="O63" s="17"/>
      <c r="P63" s="17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2.75" customHeight="1">
      <c r="A64" s="590"/>
      <c r="B64" s="591">
        <v>0.45</v>
      </c>
      <c r="C64" s="592">
        <f t="shared" ref="C64:F64" si="25">(C63/$B$63)*$B$64</f>
        <v>1050.75</v>
      </c>
      <c r="D64" s="92">
        <f t="shared" si="25"/>
        <v>1126.125</v>
      </c>
      <c r="E64" s="92">
        <f t="shared" si="25"/>
        <v>1351.125</v>
      </c>
      <c r="F64" s="90">
        <f t="shared" si="25"/>
        <v>1560.375</v>
      </c>
      <c r="G64" s="92"/>
      <c r="H64" s="437"/>
      <c r="I64" s="437"/>
      <c r="J64" s="17"/>
      <c r="K64" s="17"/>
      <c r="L64" s="17"/>
      <c r="M64" s="17"/>
      <c r="N64" s="17"/>
      <c r="O64" s="17"/>
      <c r="P64" s="17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2.75" customHeight="1">
      <c r="A65" s="590"/>
      <c r="B65" s="591">
        <v>0.5</v>
      </c>
      <c r="C65" s="589">
        <v>1167.0</v>
      </c>
      <c r="D65" s="400">
        <v>1251.0</v>
      </c>
      <c r="E65" s="400">
        <v>1501.0</v>
      </c>
      <c r="F65" s="401">
        <v>1734.0</v>
      </c>
      <c r="G65" s="92"/>
      <c r="H65" s="437"/>
      <c r="I65" s="437"/>
      <c r="J65" s="593" t="s">
        <v>359</v>
      </c>
      <c r="K65" s="17"/>
      <c r="L65" s="17"/>
      <c r="M65" s="17"/>
      <c r="N65" s="17"/>
      <c r="O65" s="17"/>
      <c r="P65" s="17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2.75" customHeight="1">
      <c r="A66" s="590"/>
      <c r="B66" s="591">
        <v>0.6</v>
      </c>
      <c r="C66" s="589">
        <v>1401.0</v>
      </c>
      <c r="D66" s="400">
        <v>1501.0</v>
      </c>
      <c r="E66" s="400">
        <v>1801.0</v>
      </c>
      <c r="F66" s="401">
        <v>2081.0</v>
      </c>
      <c r="G66" s="92"/>
      <c r="H66" s="437"/>
      <c r="I66" s="437"/>
      <c r="J66" s="17"/>
      <c r="K66" s="17"/>
      <c r="L66" s="17"/>
      <c r="M66" s="17"/>
      <c r="N66" s="17"/>
      <c r="O66" s="17"/>
      <c r="P66" s="17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2.75" customHeight="1">
      <c r="A67" s="590"/>
      <c r="B67" s="591">
        <v>0.7</v>
      </c>
      <c r="C67" s="589">
        <v>1634.0</v>
      </c>
      <c r="D67" s="400">
        <v>1751.0</v>
      </c>
      <c r="E67" s="400">
        <v>2101.0</v>
      </c>
      <c r="F67" s="401">
        <v>2428.0</v>
      </c>
      <c r="G67" s="92"/>
      <c r="H67" s="437"/>
      <c r="I67" s="437"/>
      <c r="J67" s="574" t="s">
        <v>360</v>
      </c>
      <c r="K67" s="575"/>
      <c r="L67" s="575"/>
      <c r="M67" s="575"/>
      <c r="N67" s="575"/>
      <c r="O67" s="575"/>
      <c r="P67" s="575"/>
      <c r="Q67" s="575"/>
      <c r="R67" s="575"/>
      <c r="S67" s="575"/>
      <c r="T67" s="264"/>
      <c r="U67" s="3"/>
      <c r="V67" s="3"/>
      <c r="W67" s="3"/>
      <c r="X67" s="3"/>
      <c r="Y67" s="3"/>
      <c r="Z67" s="3"/>
      <c r="AA67" s="3"/>
      <c r="AB67" s="3"/>
      <c r="AC67" s="3"/>
    </row>
    <row r="68" ht="12.75" customHeight="1">
      <c r="A68" s="590"/>
      <c r="B68" s="591">
        <v>0.8</v>
      </c>
      <c r="C68" s="589">
        <v>1868.0</v>
      </c>
      <c r="D68" s="400">
        <v>2002.0</v>
      </c>
      <c r="E68" s="400">
        <v>2402.0</v>
      </c>
      <c r="F68" s="401">
        <v>2775.0</v>
      </c>
      <c r="G68" s="92"/>
      <c r="H68" s="437"/>
      <c r="I68" s="437"/>
      <c r="J68" s="17"/>
      <c r="K68" s="17"/>
      <c r="L68" s="17"/>
      <c r="M68" s="17"/>
      <c r="N68" s="17"/>
      <c r="O68" s="17"/>
      <c r="P68" s="17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2.75" customHeight="1">
      <c r="A69" s="590"/>
      <c r="B69" s="591">
        <v>1.0</v>
      </c>
      <c r="C69" s="589">
        <v>2335.0</v>
      </c>
      <c r="D69" s="400">
        <v>2502.0</v>
      </c>
      <c r="E69" s="400">
        <v>3002.0</v>
      </c>
      <c r="F69" s="401">
        <v>3468.0</v>
      </c>
      <c r="G69" s="594"/>
      <c r="H69" s="437"/>
      <c r="I69" s="437"/>
      <c r="J69" s="17"/>
      <c r="K69" s="17"/>
      <c r="L69" s="17"/>
      <c r="M69" s="17"/>
      <c r="N69" s="17"/>
      <c r="O69" s="17"/>
      <c r="P69" s="17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2.75" customHeight="1">
      <c r="A70" s="590"/>
      <c r="B70" s="595">
        <v>1.3</v>
      </c>
      <c r="C70" s="596">
        <v>3035.0</v>
      </c>
      <c r="D70" s="597">
        <v>3253.0</v>
      </c>
      <c r="E70" s="597">
        <v>3903.0</v>
      </c>
      <c r="F70" s="598">
        <v>4509.0</v>
      </c>
      <c r="G70" s="92"/>
      <c r="H70" s="437"/>
      <c r="J70" s="17"/>
      <c r="K70" s="17"/>
      <c r="L70" s="17"/>
      <c r="M70" s="17"/>
      <c r="N70" s="17"/>
      <c r="O70" s="17"/>
      <c r="P70" s="17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2.75" customHeight="1">
      <c r="A71" s="462"/>
      <c r="B71" s="17"/>
      <c r="C71" s="17"/>
      <c r="D71" s="17"/>
      <c r="E71" s="17"/>
      <c r="F71" s="17"/>
      <c r="G71" s="17"/>
      <c r="H71" s="448"/>
      <c r="J71" s="17"/>
      <c r="K71" s="17"/>
      <c r="L71" s="17"/>
      <c r="M71" s="17"/>
      <c r="N71" s="17"/>
      <c r="O71" s="17"/>
      <c r="P71" s="17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2.75" customHeight="1">
      <c r="A72" s="572"/>
      <c r="B72" s="577" t="s">
        <v>361</v>
      </c>
      <c r="C72" s="575"/>
      <c r="D72" s="575"/>
      <c r="E72" s="575"/>
      <c r="F72" s="575"/>
      <c r="G72" s="264"/>
      <c r="H72" s="17"/>
      <c r="J72" s="17"/>
      <c r="K72" s="17"/>
      <c r="L72" s="17"/>
      <c r="M72" s="17"/>
      <c r="N72" s="17"/>
      <c r="O72" s="17"/>
      <c r="P72" s="17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2.75" customHeight="1">
      <c r="A73" s="558"/>
      <c r="B73" s="599"/>
      <c r="C73" s="437" t="s">
        <v>244</v>
      </c>
      <c r="D73" s="437" t="s">
        <v>351</v>
      </c>
      <c r="E73" s="437" t="s">
        <v>352</v>
      </c>
      <c r="F73" s="581" t="s">
        <v>353</v>
      </c>
      <c r="G73" s="600"/>
      <c r="H73" s="17"/>
      <c r="J73" s="17"/>
      <c r="K73" s="17"/>
      <c r="L73" s="17"/>
      <c r="M73" s="17"/>
      <c r="N73" s="17"/>
      <c r="O73" s="17"/>
      <c r="P73" s="17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2.75" customHeight="1">
      <c r="A74" s="558"/>
      <c r="B74" s="559"/>
      <c r="C74" s="437" t="s">
        <v>355</v>
      </c>
      <c r="D74" s="437" t="s">
        <v>356</v>
      </c>
      <c r="E74" s="437" t="s">
        <v>357</v>
      </c>
      <c r="F74" s="438" t="s">
        <v>358</v>
      </c>
      <c r="G74" s="600"/>
      <c r="H74" s="17"/>
      <c r="J74" s="17"/>
      <c r="K74" s="17"/>
      <c r="L74" s="17"/>
      <c r="M74" s="17"/>
      <c r="N74" s="17"/>
      <c r="O74" s="17"/>
      <c r="P74" s="17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2.75" customHeight="1">
      <c r="A75" s="582"/>
      <c r="B75" s="601" t="s">
        <v>354</v>
      </c>
      <c r="C75" s="571">
        <v>400.0</v>
      </c>
      <c r="D75" s="571">
        <v>575.0</v>
      </c>
      <c r="E75" s="571">
        <v>775.0</v>
      </c>
      <c r="F75" s="602">
        <v>950.0</v>
      </c>
      <c r="G75" s="603" t="s">
        <v>362</v>
      </c>
      <c r="H75" s="17"/>
      <c r="J75" s="17"/>
      <c r="K75" s="17"/>
      <c r="L75" s="17"/>
      <c r="M75" s="17"/>
      <c r="N75" s="17"/>
      <c r="O75" s="17"/>
      <c r="P75" s="17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2.75" customHeight="1">
      <c r="A76" s="587"/>
      <c r="B76" s="604" t="str">
        <f t="shared" ref="B76:B85" si="27">+B61</f>
        <v>TheBridge</v>
      </c>
      <c r="C76" s="605">
        <f t="shared" ref="C76:F76" si="26">+C61*12/C$75</f>
        <v>6.45</v>
      </c>
      <c r="D76" s="606">
        <f t="shared" si="26"/>
        <v>5.906086957</v>
      </c>
      <c r="E76" s="606">
        <f t="shared" si="26"/>
        <v>6.580645161</v>
      </c>
      <c r="F76" s="607">
        <f t="shared" si="26"/>
        <v>6.467368421</v>
      </c>
      <c r="G76" s="608">
        <f t="shared" ref="G76:G85" si="29">AVERAGE(C76:F76)</f>
        <v>6.351025135</v>
      </c>
      <c r="H76" s="17"/>
      <c r="J76" s="17"/>
      <c r="K76" s="17"/>
      <c r="L76" s="17"/>
      <c r="M76" s="17"/>
      <c r="N76" s="17"/>
      <c r="O76" s="17"/>
      <c r="P76" s="17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2.75" customHeight="1">
      <c r="A77" s="587"/>
      <c r="B77" s="609">
        <f t="shared" si="27"/>
        <v>0.3</v>
      </c>
      <c r="C77" s="610">
        <f t="shared" ref="C77:F77" si="28">+C62*12/C$75</f>
        <v>21.015</v>
      </c>
      <c r="D77" s="611">
        <f t="shared" si="28"/>
        <v>15.65217391</v>
      </c>
      <c r="E77" s="611">
        <f t="shared" si="28"/>
        <v>13.93548387</v>
      </c>
      <c r="F77" s="612">
        <f t="shared" si="28"/>
        <v>13.13684211</v>
      </c>
      <c r="G77" s="613">
        <f t="shared" si="29"/>
        <v>15.93487497</v>
      </c>
      <c r="H77" s="17"/>
      <c r="J77" s="17"/>
      <c r="K77" s="17"/>
      <c r="L77" s="17"/>
      <c r="M77" s="17"/>
      <c r="N77" s="17"/>
      <c r="O77" s="17"/>
      <c r="P77" s="17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2.75" customHeight="1">
      <c r="A78" s="587"/>
      <c r="B78" s="609">
        <f t="shared" si="27"/>
        <v>0.4</v>
      </c>
      <c r="C78" s="610">
        <f t="shared" ref="C78:F78" si="30">+C63*12/C$75</f>
        <v>28.02</v>
      </c>
      <c r="D78" s="611">
        <f t="shared" si="30"/>
        <v>20.89043478</v>
      </c>
      <c r="E78" s="611">
        <f t="shared" si="30"/>
        <v>18.59612903</v>
      </c>
      <c r="F78" s="612">
        <f t="shared" si="30"/>
        <v>17.52</v>
      </c>
      <c r="G78" s="613">
        <f t="shared" si="29"/>
        <v>21.25664095</v>
      </c>
      <c r="H78" s="17"/>
      <c r="J78" s="17"/>
      <c r="K78" s="17"/>
      <c r="L78" s="17"/>
      <c r="M78" s="17"/>
      <c r="N78" s="17"/>
      <c r="O78" s="17"/>
      <c r="P78" s="17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2.75" customHeight="1">
      <c r="A79" s="587"/>
      <c r="B79" s="609">
        <f t="shared" si="27"/>
        <v>0.45</v>
      </c>
      <c r="C79" s="610">
        <f t="shared" ref="C79:F79" si="31">+C64*12/C$75</f>
        <v>31.5225</v>
      </c>
      <c r="D79" s="611">
        <f t="shared" si="31"/>
        <v>23.50173913</v>
      </c>
      <c r="E79" s="611">
        <f t="shared" si="31"/>
        <v>20.92064516</v>
      </c>
      <c r="F79" s="612">
        <f t="shared" si="31"/>
        <v>19.71</v>
      </c>
      <c r="G79" s="613">
        <f t="shared" si="29"/>
        <v>23.91372107</v>
      </c>
      <c r="H79" s="17"/>
      <c r="J79" s="17"/>
      <c r="K79" s="17"/>
      <c r="L79" s="17"/>
      <c r="M79" s="17"/>
      <c r="N79" s="17"/>
      <c r="O79" s="17"/>
      <c r="P79" s="17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2.75" customHeight="1">
      <c r="A80" s="587"/>
      <c r="B80" s="609">
        <f t="shared" si="27"/>
        <v>0.5</v>
      </c>
      <c r="C80" s="610">
        <f t="shared" ref="C80:F80" si="32">+C65*12/C$75</f>
        <v>35.01</v>
      </c>
      <c r="D80" s="611">
        <f t="shared" si="32"/>
        <v>26.10782609</v>
      </c>
      <c r="E80" s="611">
        <f t="shared" si="32"/>
        <v>23.24129032</v>
      </c>
      <c r="F80" s="612">
        <f t="shared" si="32"/>
        <v>21.90315789</v>
      </c>
      <c r="G80" s="613">
        <f t="shared" si="29"/>
        <v>26.56556858</v>
      </c>
      <c r="H80" s="17"/>
      <c r="J80" s="17"/>
      <c r="K80" s="17"/>
      <c r="L80" s="17"/>
      <c r="M80" s="17"/>
      <c r="N80" s="17"/>
      <c r="O80" s="17"/>
      <c r="P80" s="17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2.75" customHeight="1">
      <c r="A81" s="587"/>
      <c r="B81" s="609">
        <f t="shared" si="27"/>
        <v>0.6</v>
      </c>
      <c r="C81" s="610">
        <f t="shared" ref="C81:F81" si="33">+C66*12/C$75</f>
        <v>42.03</v>
      </c>
      <c r="D81" s="611">
        <f t="shared" si="33"/>
        <v>31.32521739</v>
      </c>
      <c r="E81" s="611">
        <f t="shared" si="33"/>
        <v>27.88645161</v>
      </c>
      <c r="F81" s="612">
        <f t="shared" si="33"/>
        <v>26.28631579</v>
      </c>
      <c r="G81" s="613">
        <f t="shared" si="29"/>
        <v>31.8819962</v>
      </c>
      <c r="H81" s="17"/>
      <c r="J81" s="17"/>
      <c r="K81" s="17"/>
      <c r="L81" s="17"/>
      <c r="M81" s="17"/>
      <c r="N81" s="17"/>
      <c r="O81" s="17"/>
      <c r="P81" s="17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2.75" customHeight="1">
      <c r="A82" s="587"/>
      <c r="B82" s="609">
        <f t="shared" si="27"/>
        <v>0.7</v>
      </c>
      <c r="C82" s="610">
        <f t="shared" ref="C82:F82" si="34">+C67*12/C$75</f>
        <v>49.02</v>
      </c>
      <c r="D82" s="611">
        <f t="shared" si="34"/>
        <v>36.5426087</v>
      </c>
      <c r="E82" s="611">
        <f t="shared" si="34"/>
        <v>32.5316129</v>
      </c>
      <c r="F82" s="612">
        <f t="shared" si="34"/>
        <v>30.66947368</v>
      </c>
      <c r="G82" s="613">
        <f t="shared" si="29"/>
        <v>37.19092382</v>
      </c>
      <c r="H82" s="17"/>
      <c r="J82" s="17"/>
      <c r="K82" s="17"/>
      <c r="L82" s="17"/>
      <c r="M82" s="17"/>
      <c r="N82" s="17"/>
      <c r="O82" s="17"/>
      <c r="P82" s="17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2.75" customHeight="1">
      <c r="A83" s="587"/>
      <c r="B83" s="609">
        <f t="shared" si="27"/>
        <v>0.8</v>
      </c>
      <c r="C83" s="610">
        <f t="shared" ref="C83:F83" si="35">+C68*12/C$75</f>
        <v>56.04</v>
      </c>
      <c r="D83" s="611">
        <f t="shared" si="35"/>
        <v>41.78086957</v>
      </c>
      <c r="E83" s="611">
        <f t="shared" si="35"/>
        <v>37.19225806</v>
      </c>
      <c r="F83" s="612">
        <f t="shared" si="35"/>
        <v>35.05263158</v>
      </c>
      <c r="G83" s="613">
        <f t="shared" si="29"/>
        <v>42.5164398</v>
      </c>
      <c r="H83" s="17"/>
      <c r="J83" s="17"/>
      <c r="K83" s="17"/>
      <c r="L83" s="17"/>
      <c r="M83" s="17"/>
      <c r="N83" s="17"/>
      <c r="O83" s="17"/>
      <c r="P83" s="17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2.75" customHeight="1">
      <c r="A84" s="587"/>
      <c r="B84" s="609">
        <f t="shared" si="27"/>
        <v>1</v>
      </c>
      <c r="C84" s="610">
        <f t="shared" ref="C84:F84" si="36">+C69*12/C$75</f>
        <v>70.05</v>
      </c>
      <c r="D84" s="611">
        <f t="shared" si="36"/>
        <v>52.21565217</v>
      </c>
      <c r="E84" s="611">
        <f t="shared" si="36"/>
        <v>46.48258065</v>
      </c>
      <c r="F84" s="612">
        <f t="shared" si="36"/>
        <v>43.80631579</v>
      </c>
      <c r="G84" s="613">
        <f t="shared" si="29"/>
        <v>53.13863715</v>
      </c>
      <c r="H84" s="17"/>
      <c r="J84" s="17"/>
      <c r="K84" s="17"/>
      <c r="L84" s="17"/>
      <c r="M84" s="17"/>
      <c r="N84" s="17"/>
      <c r="O84" s="17"/>
      <c r="P84" s="17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2.75" customHeight="1">
      <c r="A85" s="587"/>
      <c r="B85" s="614">
        <f t="shared" si="27"/>
        <v>1.3</v>
      </c>
      <c r="C85" s="615">
        <f t="shared" ref="C85:F85" si="37">+C70*12/C$75</f>
        <v>91.05</v>
      </c>
      <c r="D85" s="616">
        <f t="shared" si="37"/>
        <v>67.88869565</v>
      </c>
      <c r="E85" s="616">
        <f t="shared" si="37"/>
        <v>60.43354839</v>
      </c>
      <c r="F85" s="617">
        <f t="shared" si="37"/>
        <v>56.95578947</v>
      </c>
      <c r="G85" s="618">
        <f t="shared" si="29"/>
        <v>69.08200838</v>
      </c>
      <c r="H85" s="17"/>
      <c r="J85" s="17"/>
      <c r="K85" s="17"/>
      <c r="L85" s="17"/>
      <c r="M85" s="17"/>
      <c r="N85" s="17"/>
      <c r="O85" s="17"/>
      <c r="P85" s="17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2.75" customHeight="1">
      <c r="A86" s="462"/>
      <c r="B86" s="17"/>
      <c r="C86" s="17"/>
      <c r="D86" s="17"/>
      <c r="E86" s="17"/>
      <c r="F86" s="17"/>
      <c r="G86" s="17"/>
      <c r="H86" s="17"/>
      <c r="J86" s="17"/>
      <c r="K86" s="17"/>
      <c r="L86" s="17"/>
      <c r="M86" s="17"/>
      <c r="N86" s="17"/>
      <c r="O86" s="17"/>
      <c r="P86" s="17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2.75" customHeight="1">
      <c r="A87" s="572"/>
      <c r="B87" s="577" t="s">
        <v>363</v>
      </c>
      <c r="C87" s="575"/>
      <c r="D87" s="575"/>
      <c r="E87" s="575"/>
      <c r="F87" s="575"/>
      <c r="G87" s="264"/>
      <c r="H87" s="17"/>
      <c r="J87" s="17"/>
      <c r="K87" s="17"/>
      <c r="L87" s="17"/>
      <c r="M87" s="17"/>
      <c r="N87" s="17"/>
      <c r="O87" s="17"/>
      <c r="P87" s="17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2.75" customHeight="1">
      <c r="A88" s="558"/>
      <c r="B88" s="599"/>
      <c r="C88" s="437" t="s">
        <v>244</v>
      </c>
      <c r="D88" s="437" t="s">
        <v>351</v>
      </c>
      <c r="E88" s="437" t="s">
        <v>352</v>
      </c>
      <c r="F88" s="437" t="s">
        <v>353</v>
      </c>
      <c r="G88" s="619"/>
      <c r="H88" s="17"/>
      <c r="J88" s="17"/>
      <c r="K88" s="17"/>
      <c r="L88" s="17"/>
      <c r="M88" s="17"/>
      <c r="N88" s="17"/>
      <c r="O88" s="17"/>
      <c r="P88" s="17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2.75" customHeight="1">
      <c r="A89" s="558"/>
      <c r="B89" s="559"/>
      <c r="C89" s="565">
        <f>C50</f>
        <v>0.25</v>
      </c>
      <c r="D89" s="565">
        <f>C51</f>
        <v>0.45</v>
      </c>
      <c r="E89" s="565">
        <f>C52</f>
        <v>0.25</v>
      </c>
      <c r="F89" s="565">
        <f>C53</f>
        <v>0.05</v>
      </c>
      <c r="G89" s="620"/>
      <c r="H89" s="17"/>
      <c r="J89" s="17"/>
      <c r="K89" s="17"/>
      <c r="L89" s="17"/>
      <c r="M89" s="17"/>
      <c r="N89" s="17"/>
      <c r="O89" s="17"/>
      <c r="P89" s="17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2.75" customHeight="1">
      <c r="A90" s="558"/>
      <c r="B90" s="559"/>
      <c r="C90" s="437" t="s">
        <v>355</v>
      </c>
      <c r="D90" s="437" t="s">
        <v>356</v>
      </c>
      <c r="E90" s="437" t="s">
        <v>357</v>
      </c>
      <c r="F90" s="437" t="s">
        <v>358</v>
      </c>
      <c r="G90" s="620" t="s">
        <v>364</v>
      </c>
      <c r="H90" s="17"/>
      <c r="J90" s="17"/>
      <c r="K90" s="17"/>
      <c r="L90" s="17"/>
      <c r="M90" s="17"/>
      <c r="N90" s="17"/>
      <c r="O90" s="17"/>
      <c r="P90" s="17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2.75" customHeight="1">
      <c r="A91" s="582"/>
      <c r="B91" s="601" t="s">
        <v>354</v>
      </c>
      <c r="C91" s="621">
        <v>425.0</v>
      </c>
      <c r="D91" s="621">
        <v>575.0</v>
      </c>
      <c r="E91" s="621">
        <v>775.0</v>
      </c>
      <c r="F91" s="621">
        <v>950.0</v>
      </c>
      <c r="G91" s="622">
        <f t="shared" ref="G91:G101" si="39">SUMPRODUCT(C91:F91,$C$89:$F$89)</f>
        <v>606.25</v>
      </c>
      <c r="H91" s="17"/>
      <c r="J91" s="17"/>
      <c r="K91" s="17"/>
      <c r="L91" s="17"/>
      <c r="M91" s="17"/>
      <c r="N91" s="17"/>
      <c r="O91" s="17"/>
      <c r="P91" s="17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2.75" customHeight="1">
      <c r="A92" s="587"/>
      <c r="B92" s="604" t="str">
        <f t="shared" ref="B92:B101" si="40">+B76</f>
        <v>TheBridge</v>
      </c>
      <c r="C92" s="605">
        <f t="shared" ref="C92:F92" si="38">+C61*12/C$91</f>
        <v>6.070588235</v>
      </c>
      <c r="D92" s="606">
        <f t="shared" si="38"/>
        <v>5.906086957</v>
      </c>
      <c r="E92" s="606">
        <f t="shared" si="38"/>
        <v>6.580645161</v>
      </c>
      <c r="F92" s="607">
        <f t="shared" si="38"/>
        <v>6.467368421</v>
      </c>
      <c r="G92" s="608">
        <f t="shared" si="39"/>
        <v>6.143915901</v>
      </c>
      <c r="H92" s="17"/>
      <c r="J92" s="17"/>
      <c r="K92" s="17"/>
      <c r="L92" s="17"/>
      <c r="M92" s="17"/>
      <c r="N92" s="17"/>
      <c r="O92" s="17"/>
      <c r="P92" s="17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2.75" customHeight="1">
      <c r="A93" s="587"/>
      <c r="B93" s="609">
        <f t="shared" si="40"/>
        <v>0.3</v>
      </c>
      <c r="C93" s="610">
        <f t="shared" ref="C93:F93" si="41">+C62*12/C$91</f>
        <v>19.77882353</v>
      </c>
      <c r="D93" s="611">
        <f t="shared" si="41"/>
        <v>15.65217391</v>
      </c>
      <c r="E93" s="611">
        <f t="shared" si="41"/>
        <v>13.93548387</v>
      </c>
      <c r="F93" s="612">
        <f t="shared" si="41"/>
        <v>13.13684211</v>
      </c>
      <c r="G93" s="613">
        <f t="shared" si="39"/>
        <v>16.12889722</v>
      </c>
      <c r="H93" s="17"/>
      <c r="J93" s="17"/>
      <c r="K93" s="17"/>
      <c r="L93" s="17"/>
      <c r="M93" s="17"/>
      <c r="N93" s="17"/>
      <c r="O93" s="17"/>
      <c r="P93" s="17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2.75" customHeight="1">
      <c r="A94" s="587"/>
      <c r="B94" s="609">
        <f t="shared" si="40"/>
        <v>0.4</v>
      </c>
      <c r="C94" s="610">
        <f t="shared" ref="C94:F94" si="42">+C63*12/C$91</f>
        <v>26.37176471</v>
      </c>
      <c r="D94" s="611">
        <f t="shared" si="42"/>
        <v>20.89043478</v>
      </c>
      <c r="E94" s="611">
        <f t="shared" si="42"/>
        <v>18.59612903</v>
      </c>
      <c r="F94" s="612">
        <f t="shared" si="42"/>
        <v>17.52</v>
      </c>
      <c r="G94" s="613">
        <f t="shared" si="39"/>
        <v>21.51866909</v>
      </c>
      <c r="H94" s="17"/>
      <c r="J94" s="17"/>
      <c r="K94" s="17"/>
      <c r="L94" s="17"/>
      <c r="M94" s="17"/>
      <c r="N94" s="17"/>
      <c r="O94" s="17"/>
      <c r="P94" s="17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2.75" customHeight="1">
      <c r="A95" s="587"/>
      <c r="B95" s="609">
        <f t="shared" si="40"/>
        <v>0.45</v>
      </c>
      <c r="C95" s="610">
        <f t="shared" ref="C95:F95" si="43">+C64*12/C$91</f>
        <v>29.66823529</v>
      </c>
      <c r="D95" s="611">
        <f t="shared" si="43"/>
        <v>23.50173913</v>
      </c>
      <c r="E95" s="611">
        <f t="shared" si="43"/>
        <v>20.92064516</v>
      </c>
      <c r="F95" s="612">
        <f t="shared" si="43"/>
        <v>19.71</v>
      </c>
      <c r="G95" s="613">
        <f t="shared" si="39"/>
        <v>24.20850272</v>
      </c>
      <c r="H95" s="17"/>
      <c r="J95" s="17"/>
      <c r="K95" s="17"/>
      <c r="L95" s="17"/>
      <c r="M95" s="17"/>
      <c r="N95" s="17"/>
      <c r="O95" s="17"/>
      <c r="P95" s="17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2.75" customHeight="1">
      <c r="A96" s="587"/>
      <c r="B96" s="609">
        <f t="shared" si="40"/>
        <v>0.5</v>
      </c>
      <c r="C96" s="610">
        <f t="shared" ref="C96:F96" si="44">+C65*12/C$91</f>
        <v>32.95058824</v>
      </c>
      <c r="D96" s="611">
        <f t="shared" si="44"/>
        <v>26.10782609</v>
      </c>
      <c r="E96" s="611">
        <f t="shared" si="44"/>
        <v>23.24129032</v>
      </c>
      <c r="F96" s="612">
        <f t="shared" si="44"/>
        <v>21.90315789</v>
      </c>
      <c r="G96" s="613">
        <f t="shared" si="39"/>
        <v>26.89164927</v>
      </c>
      <c r="H96" s="17"/>
      <c r="J96" s="17"/>
      <c r="K96" s="17"/>
      <c r="L96" s="17"/>
      <c r="M96" s="17"/>
      <c r="N96" s="17"/>
      <c r="O96" s="17"/>
      <c r="P96" s="17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2.75" customHeight="1">
      <c r="A97" s="587"/>
      <c r="B97" s="609">
        <f t="shared" si="40"/>
        <v>0.6</v>
      </c>
      <c r="C97" s="610">
        <f t="shared" ref="C97:F97" si="45">+C66*12/C$91</f>
        <v>39.55764706</v>
      </c>
      <c r="D97" s="611">
        <f t="shared" si="45"/>
        <v>31.32521739</v>
      </c>
      <c r="E97" s="611">
        <f t="shared" si="45"/>
        <v>27.88645161</v>
      </c>
      <c r="F97" s="612">
        <f t="shared" si="45"/>
        <v>26.28631579</v>
      </c>
      <c r="G97" s="613">
        <f t="shared" si="39"/>
        <v>32.27168828</v>
      </c>
      <c r="H97" s="17"/>
      <c r="J97" s="17"/>
      <c r="K97" s="17"/>
      <c r="L97" s="17"/>
      <c r="M97" s="17"/>
      <c r="N97" s="17"/>
      <c r="O97" s="17"/>
      <c r="P97" s="17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2.75" customHeight="1">
      <c r="A98" s="587"/>
      <c r="B98" s="609">
        <f t="shared" si="40"/>
        <v>0.7</v>
      </c>
      <c r="C98" s="610">
        <f t="shared" ref="C98:F98" si="46">+C67*12/C$91</f>
        <v>46.13647059</v>
      </c>
      <c r="D98" s="611">
        <f t="shared" si="46"/>
        <v>36.5426087</v>
      </c>
      <c r="E98" s="611">
        <f t="shared" si="46"/>
        <v>32.5316129</v>
      </c>
      <c r="F98" s="612">
        <f t="shared" si="46"/>
        <v>30.66947368</v>
      </c>
      <c r="G98" s="613">
        <f t="shared" si="39"/>
        <v>37.64466847</v>
      </c>
      <c r="H98" s="17"/>
      <c r="J98" s="17"/>
      <c r="K98" s="17"/>
      <c r="L98" s="17"/>
      <c r="M98" s="17"/>
      <c r="N98" s="17"/>
      <c r="O98" s="17"/>
      <c r="P98" s="17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2.75" customHeight="1">
      <c r="A99" s="587"/>
      <c r="B99" s="609">
        <f t="shared" si="40"/>
        <v>0.8</v>
      </c>
      <c r="C99" s="610">
        <f t="shared" ref="C99:F99" si="47">+C68*12/C$91</f>
        <v>52.74352941</v>
      </c>
      <c r="D99" s="611">
        <f t="shared" si="47"/>
        <v>41.78086957</v>
      </c>
      <c r="E99" s="611">
        <f t="shared" si="47"/>
        <v>37.19225806</v>
      </c>
      <c r="F99" s="612">
        <f t="shared" si="47"/>
        <v>35.05263158</v>
      </c>
      <c r="G99" s="613">
        <f t="shared" si="39"/>
        <v>43.03796975</v>
      </c>
      <c r="H99" s="17"/>
      <c r="J99" s="17"/>
      <c r="K99" s="17"/>
      <c r="L99" s="17"/>
      <c r="M99" s="17"/>
      <c r="N99" s="17"/>
      <c r="O99" s="17"/>
      <c r="P99" s="17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2.75" customHeight="1">
      <c r="A100" s="587"/>
      <c r="B100" s="609">
        <f t="shared" si="40"/>
        <v>1</v>
      </c>
      <c r="C100" s="610">
        <f t="shared" ref="C100:F100" si="48">+C69*12/C$91</f>
        <v>65.92941176</v>
      </c>
      <c r="D100" s="611">
        <f t="shared" si="48"/>
        <v>52.21565217</v>
      </c>
      <c r="E100" s="611">
        <f t="shared" si="48"/>
        <v>46.48258065</v>
      </c>
      <c r="F100" s="612">
        <f t="shared" si="48"/>
        <v>43.80631579</v>
      </c>
      <c r="G100" s="613">
        <f t="shared" si="39"/>
        <v>53.79035737</v>
      </c>
      <c r="H100" s="17"/>
      <c r="J100" s="17"/>
      <c r="K100" s="17"/>
      <c r="L100" s="17"/>
      <c r="M100" s="17"/>
      <c r="N100" s="17"/>
      <c r="O100" s="17"/>
      <c r="P100" s="17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2.75" customHeight="1">
      <c r="A101" s="587"/>
      <c r="B101" s="614">
        <f t="shared" si="40"/>
        <v>1.3</v>
      </c>
      <c r="C101" s="615">
        <f t="shared" ref="C101:F101" si="49">+C70*12/C$91</f>
        <v>85.69411765</v>
      </c>
      <c r="D101" s="616">
        <f t="shared" si="49"/>
        <v>67.88869565</v>
      </c>
      <c r="E101" s="616">
        <f t="shared" si="49"/>
        <v>60.43354839</v>
      </c>
      <c r="F101" s="617">
        <f t="shared" si="49"/>
        <v>56.95578947</v>
      </c>
      <c r="G101" s="618">
        <f t="shared" si="39"/>
        <v>69.92961903</v>
      </c>
      <c r="H101" s="17"/>
      <c r="J101" s="17"/>
      <c r="K101" s="17"/>
      <c r="L101" s="17"/>
      <c r="M101" s="17"/>
      <c r="N101" s="17"/>
      <c r="O101" s="17"/>
      <c r="P101" s="17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2.75" customHeight="1">
      <c r="A102" s="462"/>
      <c r="B102" s="17"/>
      <c r="C102" s="437"/>
      <c r="D102" s="437"/>
      <c r="E102" s="437"/>
      <c r="F102" s="437"/>
      <c r="G102" s="17"/>
      <c r="H102" s="17"/>
      <c r="J102" s="17"/>
      <c r="K102" s="17"/>
      <c r="L102" s="17"/>
      <c r="M102" s="17"/>
      <c r="N102" s="17"/>
      <c r="O102" s="17"/>
      <c r="P102" s="17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2.75" customHeight="1">
      <c r="A103" s="462"/>
      <c r="B103" s="17"/>
      <c r="C103" s="623"/>
      <c r="D103" s="437"/>
      <c r="E103" s="437"/>
      <c r="F103" s="437"/>
      <c r="G103" s="17"/>
      <c r="H103" s="17"/>
      <c r="J103" s="17"/>
      <c r="K103" s="17"/>
      <c r="L103" s="17"/>
      <c r="M103" s="17"/>
      <c r="N103" s="17"/>
      <c r="O103" s="17"/>
      <c r="P103" s="17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2.75" customHeight="1">
      <c r="A104" s="624"/>
      <c r="B104" s="625"/>
      <c r="C104" s="626"/>
      <c r="D104" s="626"/>
      <c r="E104" s="627"/>
      <c r="F104" s="627"/>
      <c r="G104" s="17"/>
      <c r="H104" s="17"/>
      <c r="J104" s="456"/>
      <c r="K104" s="456"/>
      <c r="L104" s="456"/>
      <c r="M104" s="456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2.75" customHeight="1">
      <c r="A105" s="624"/>
      <c r="B105" s="625"/>
      <c r="C105" s="626"/>
      <c r="D105" s="626"/>
      <c r="E105" s="627"/>
      <c r="F105" s="627"/>
      <c r="G105" s="17"/>
      <c r="H105" s="17"/>
      <c r="J105" s="456"/>
      <c r="K105" s="456"/>
      <c r="L105" s="456"/>
      <c r="M105" s="456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2.75" customHeight="1">
      <c r="A106" s="624"/>
      <c r="B106" s="625"/>
      <c r="C106" s="626"/>
      <c r="D106" s="626"/>
      <c r="E106" s="627"/>
      <c r="F106" s="627"/>
      <c r="G106" s="17"/>
      <c r="H106" s="17"/>
      <c r="J106" s="456"/>
      <c r="K106" s="456"/>
      <c r="L106" s="456"/>
      <c r="M106" s="456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2.75" customHeight="1">
      <c r="A107" s="462"/>
      <c r="B107" s="17"/>
      <c r="C107" s="611"/>
      <c r="D107" s="611"/>
      <c r="E107" s="611"/>
      <c r="F107" s="611"/>
      <c r="G107" s="17"/>
      <c r="H107" s="17"/>
      <c r="J107" s="456"/>
      <c r="K107" s="456"/>
      <c r="L107" s="456"/>
      <c r="M107" s="456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2.75" customHeight="1">
      <c r="A108" s="624"/>
      <c r="B108" s="625"/>
      <c r="C108" s="565"/>
      <c r="D108" s="565"/>
      <c r="E108" s="627"/>
      <c r="F108" s="627"/>
      <c r="G108" s="17"/>
      <c r="H108" s="17"/>
      <c r="J108" s="456"/>
      <c r="K108" s="456"/>
      <c r="L108" s="456"/>
      <c r="M108" s="456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2.75" customHeight="1">
      <c r="A109" s="624"/>
      <c r="B109" s="625"/>
      <c r="C109" s="626"/>
      <c r="D109" s="626"/>
      <c r="E109" s="627"/>
      <c r="F109" s="627"/>
      <c r="G109" s="17"/>
      <c r="H109" s="17"/>
      <c r="J109" s="456"/>
      <c r="K109" s="456"/>
      <c r="L109" s="456"/>
      <c r="M109" s="456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2.75" customHeight="1">
      <c r="A110" s="624"/>
      <c r="B110" s="625"/>
      <c r="C110" s="611"/>
      <c r="D110" s="611"/>
      <c r="E110" s="611"/>
      <c r="F110" s="611"/>
      <c r="G110" s="17"/>
      <c r="H110" s="17"/>
      <c r="J110" s="456"/>
      <c r="K110" s="456"/>
      <c r="L110" s="456"/>
      <c r="M110" s="456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2.75" customHeight="1">
      <c r="A111" s="628"/>
      <c r="B111" s="629"/>
      <c r="C111" s="630"/>
      <c r="D111" s="630"/>
      <c r="E111" s="630"/>
      <c r="F111" s="630"/>
      <c r="G111" s="17"/>
      <c r="H111" s="17"/>
      <c r="J111" s="456"/>
      <c r="K111" s="456"/>
      <c r="L111" s="456"/>
      <c r="M111" s="456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2.75" customHeight="1">
      <c r="A112" s="462"/>
      <c r="B112" s="17"/>
      <c r="C112" s="625"/>
      <c r="D112" s="631"/>
      <c r="E112" s="631"/>
      <c r="F112" s="631"/>
      <c r="G112" s="631"/>
      <c r="H112" s="17"/>
      <c r="J112" s="456"/>
      <c r="K112" s="456"/>
      <c r="L112" s="456"/>
      <c r="M112" s="456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2.75" customHeight="1">
      <c r="A113" s="462"/>
      <c r="B113" s="17"/>
      <c r="C113" s="625"/>
      <c r="D113" s="631"/>
      <c r="E113" s="631"/>
      <c r="F113" s="631"/>
      <c r="G113" s="631"/>
      <c r="H113" s="17"/>
      <c r="J113" s="456"/>
      <c r="K113" s="456"/>
      <c r="L113" s="456"/>
      <c r="M113" s="456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2.75" customHeight="1">
      <c r="A114" s="462"/>
      <c r="B114" s="17"/>
      <c r="C114" s="625"/>
      <c r="D114" s="631"/>
      <c r="E114" s="631"/>
      <c r="F114" s="631"/>
      <c r="G114" s="631"/>
      <c r="H114" s="17"/>
      <c r="J114" s="456"/>
      <c r="K114" s="456"/>
      <c r="L114" s="456"/>
      <c r="M114" s="456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2.75" customHeight="1">
      <c r="A115" s="462"/>
      <c r="B115" s="17"/>
      <c r="C115" s="17"/>
      <c r="D115" s="17"/>
      <c r="E115" s="17"/>
      <c r="F115" s="17"/>
      <c r="G115" s="17"/>
      <c r="H115" s="17"/>
      <c r="J115" s="456"/>
      <c r="K115" s="456"/>
      <c r="L115" s="456"/>
      <c r="M115" s="456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2.75" customHeight="1">
      <c r="A116" s="462"/>
      <c r="B116" s="17"/>
      <c r="C116" s="17"/>
      <c r="D116" s="17"/>
      <c r="E116" s="17"/>
      <c r="F116" s="17"/>
      <c r="G116" s="17"/>
      <c r="H116" s="17"/>
      <c r="J116" s="456"/>
      <c r="K116" s="456"/>
      <c r="L116" s="456"/>
      <c r="M116" s="456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2.75" customHeight="1">
      <c r="A117" s="462"/>
      <c r="B117" s="17"/>
      <c r="C117" s="17"/>
      <c r="D117" s="17"/>
      <c r="E117" s="17"/>
      <c r="F117" s="17"/>
      <c r="G117" s="17"/>
      <c r="H117" s="17"/>
      <c r="J117" s="456"/>
      <c r="K117" s="456"/>
      <c r="L117" s="456"/>
      <c r="M117" s="456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2.75" customHeight="1">
      <c r="A118" s="462"/>
      <c r="B118" s="17"/>
      <c r="C118" s="17"/>
      <c r="D118" s="17"/>
      <c r="E118" s="17"/>
      <c r="F118" s="17"/>
      <c r="G118" s="17"/>
      <c r="H118" s="17"/>
      <c r="J118" s="574" t="s">
        <v>365</v>
      </c>
      <c r="K118" s="575"/>
      <c r="L118" s="575"/>
      <c r="M118" s="575"/>
      <c r="N118" s="575"/>
      <c r="O118" s="575"/>
      <c r="P118" s="575"/>
      <c r="Q118" s="575"/>
      <c r="R118" s="575"/>
      <c r="S118" s="575"/>
      <c r="T118" s="264"/>
      <c r="U118" s="3"/>
      <c r="V118" s="3"/>
      <c r="W118" s="3"/>
      <c r="X118" s="3"/>
      <c r="Y118" s="3"/>
      <c r="Z118" s="3"/>
      <c r="AA118" s="3"/>
      <c r="AB118" s="3"/>
      <c r="AC118" s="3"/>
    </row>
    <row r="119" ht="12.75" customHeight="1">
      <c r="A119" s="462"/>
      <c r="B119" s="3"/>
      <c r="C119" s="3"/>
      <c r="D119" s="3"/>
      <c r="E119" s="3"/>
      <c r="F119" s="3"/>
      <c r="G119" s="3"/>
      <c r="H119" s="456"/>
      <c r="J119" s="456"/>
      <c r="K119" s="456"/>
      <c r="L119" s="456"/>
      <c r="M119" s="456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2.75" customHeight="1">
      <c r="A120" s="462"/>
      <c r="B120" s="3"/>
      <c r="C120" s="3"/>
      <c r="D120" s="3"/>
      <c r="E120" s="3"/>
      <c r="F120" s="3"/>
      <c r="G120" s="3"/>
      <c r="H120" s="456"/>
      <c r="J120" s="632" t="s">
        <v>366</v>
      </c>
      <c r="K120" s="456"/>
      <c r="L120" s="456"/>
      <c r="M120" s="456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2.75" customHeight="1">
      <c r="A121" s="462"/>
      <c r="B121" s="3"/>
      <c r="C121" s="3"/>
      <c r="D121" s="3"/>
      <c r="E121" s="3"/>
      <c r="F121" s="3"/>
      <c r="G121" s="3"/>
      <c r="H121" s="456"/>
      <c r="J121" s="456"/>
      <c r="K121" s="456"/>
      <c r="L121" s="3"/>
      <c r="M121" s="3"/>
      <c r="N121" s="17"/>
      <c r="P121" s="3"/>
      <c r="Q121" s="3"/>
      <c r="R121" s="3"/>
      <c r="S121" s="3"/>
      <c r="T121" s="17"/>
      <c r="U121" s="3"/>
      <c r="V121" s="3"/>
      <c r="W121" s="3"/>
      <c r="X121" s="3"/>
      <c r="Y121" s="3"/>
      <c r="Z121" s="3"/>
      <c r="AA121" s="3"/>
      <c r="AB121" s="3"/>
      <c r="AC121" s="3"/>
    </row>
    <row r="122" ht="12.75" customHeight="1">
      <c r="A122" s="462"/>
      <c r="B122" s="3"/>
      <c r="C122" s="3"/>
      <c r="D122" s="3"/>
      <c r="E122" s="3"/>
      <c r="F122" s="3"/>
      <c r="G122" s="3"/>
      <c r="H122" s="456"/>
      <c r="J122" s="633"/>
      <c r="K122" s="634" t="s">
        <v>307</v>
      </c>
      <c r="L122" s="635" t="s">
        <v>367</v>
      </c>
      <c r="M122" s="635" t="s">
        <v>368</v>
      </c>
      <c r="N122" s="635" t="s">
        <v>369</v>
      </c>
      <c r="O122" s="635"/>
      <c r="P122" s="636"/>
      <c r="Q122" s="636"/>
      <c r="R122" s="636"/>
      <c r="S122" s="636"/>
      <c r="T122" s="637" t="s">
        <v>365</v>
      </c>
      <c r="U122" s="3"/>
      <c r="V122" s="3"/>
      <c r="W122" s="3"/>
      <c r="X122" s="3"/>
      <c r="Y122" s="3"/>
      <c r="Z122" s="3"/>
      <c r="AA122" s="3"/>
      <c r="AB122" s="3"/>
      <c r="AC122" s="3"/>
    </row>
    <row r="123" ht="12.75" customHeight="1">
      <c r="A123" s="462"/>
      <c r="B123" s="3"/>
      <c r="C123" s="3"/>
      <c r="D123" s="3"/>
      <c r="E123" s="3"/>
      <c r="F123" s="3"/>
      <c r="G123" s="3"/>
      <c r="H123" s="456"/>
      <c r="J123" s="638" t="s">
        <v>324</v>
      </c>
      <c r="K123" s="423" t="s">
        <v>244</v>
      </c>
      <c r="L123" s="65">
        <v>3.0</v>
      </c>
      <c r="M123" s="423">
        <f>H17</f>
        <v>215</v>
      </c>
      <c r="N123" s="639">
        <f>J17</f>
        <v>2123</v>
      </c>
      <c r="O123" s="65"/>
      <c r="P123" s="22"/>
      <c r="Q123" s="22"/>
      <c r="R123" s="22"/>
      <c r="S123" s="22"/>
      <c r="T123" s="640">
        <f t="shared" ref="T123:T124" si="50">N123-M123</f>
        <v>1908</v>
      </c>
      <c r="U123" s="3"/>
      <c r="V123" s="3"/>
      <c r="W123" s="3"/>
      <c r="X123" s="3"/>
      <c r="Y123" s="3"/>
      <c r="Z123" s="3"/>
      <c r="AA123" s="3"/>
      <c r="AB123" s="3"/>
      <c r="AC123" s="3"/>
    </row>
    <row r="124" ht="12.75" customHeight="1">
      <c r="A124" s="462"/>
      <c r="B124" s="3"/>
      <c r="C124" s="3"/>
      <c r="D124" s="3"/>
      <c r="E124" s="3"/>
      <c r="F124" s="3"/>
      <c r="G124" s="3"/>
      <c r="H124" s="456"/>
      <c r="J124" s="641" t="s">
        <v>324</v>
      </c>
      <c r="K124" s="410" t="s">
        <v>370</v>
      </c>
      <c r="L124" s="73">
        <v>5.0</v>
      </c>
      <c r="M124" s="410">
        <f>H20</f>
        <v>283</v>
      </c>
      <c r="N124" s="410">
        <f>J20</f>
        <v>2170</v>
      </c>
      <c r="O124" s="73"/>
      <c r="P124" s="39"/>
      <c r="Q124" s="39"/>
      <c r="R124" s="39"/>
      <c r="S124" s="39"/>
      <c r="T124" s="546">
        <f t="shared" si="50"/>
        <v>1887</v>
      </c>
      <c r="U124" s="3"/>
      <c r="V124" s="3"/>
      <c r="W124" s="3"/>
      <c r="X124" s="3"/>
      <c r="Y124" s="3"/>
      <c r="Z124" s="3"/>
      <c r="AA124" s="3"/>
      <c r="AB124" s="3"/>
      <c r="AC124" s="3"/>
    </row>
    <row r="125" ht="12.75" customHeight="1">
      <c r="A125" s="462"/>
      <c r="B125" s="3"/>
      <c r="C125" s="3"/>
      <c r="D125" s="3"/>
      <c r="E125" s="3"/>
      <c r="F125" s="3"/>
      <c r="G125" s="3"/>
      <c r="H125" s="456"/>
      <c r="J125" s="642" t="s">
        <v>202</v>
      </c>
      <c r="K125" s="643"/>
      <c r="L125" s="643"/>
      <c r="M125" s="643"/>
      <c r="N125" s="386"/>
      <c r="O125" s="386"/>
      <c r="P125" s="386"/>
      <c r="Q125" s="386"/>
      <c r="R125" s="386"/>
      <c r="S125" s="386"/>
      <c r="T125" s="644">
        <f>SUMPRODUCT(T123:T124,L123:L124)</f>
        <v>15159</v>
      </c>
      <c r="U125" s="3"/>
      <c r="V125" s="3"/>
      <c r="W125" s="3"/>
      <c r="X125" s="3"/>
      <c r="Y125" s="3"/>
      <c r="Z125" s="3"/>
      <c r="AA125" s="3"/>
      <c r="AB125" s="3"/>
      <c r="AC125" s="3"/>
    </row>
    <row r="126" ht="12.75" customHeight="1">
      <c r="A126" s="462"/>
      <c r="B126" s="3"/>
      <c r="C126" s="3"/>
      <c r="D126" s="3"/>
      <c r="E126" s="3"/>
      <c r="F126" s="3"/>
      <c r="G126" s="3"/>
      <c r="H126" s="456"/>
      <c r="J126" s="642" t="s">
        <v>371</v>
      </c>
      <c r="K126" s="643"/>
      <c r="L126" s="643"/>
      <c r="M126" s="643"/>
      <c r="N126" s="386"/>
      <c r="O126" s="386"/>
      <c r="P126" s="386"/>
      <c r="Q126" s="386"/>
      <c r="R126" s="386"/>
      <c r="S126" s="386"/>
      <c r="T126" s="644">
        <f>T125*12</f>
        <v>181908</v>
      </c>
      <c r="U126" s="3"/>
      <c r="V126" s="3"/>
      <c r="W126" s="3"/>
      <c r="X126" s="3"/>
      <c r="Y126" s="3"/>
      <c r="Z126" s="3"/>
      <c r="AA126" s="3"/>
      <c r="AB126" s="3"/>
      <c r="AC126" s="3"/>
    </row>
    <row r="127" ht="12.75" customHeight="1">
      <c r="A127" s="462"/>
      <c r="B127" s="3"/>
      <c r="C127" s="3"/>
      <c r="D127" s="3"/>
      <c r="E127" s="3"/>
      <c r="F127" s="3"/>
      <c r="G127" s="3"/>
      <c r="H127" s="456"/>
      <c r="J127" s="456"/>
      <c r="K127" s="456"/>
      <c r="L127" s="456"/>
      <c r="M127" s="456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2.75" customHeight="1">
      <c r="A128" s="462"/>
      <c r="B128" s="3"/>
      <c r="C128" s="3"/>
      <c r="D128" s="3"/>
      <c r="E128" s="3"/>
      <c r="F128" s="3"/>
      <c r="G128" s="3"/>
      <c r="H128" s="456"/>
      <c r="J128" s="456"/>
      <c r="K128" s="456"/>
      <c r="L128" s="456"/>
      <c r="M128" s="456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2.75" customHeight="1">
      <c r="A129" s="462"/>
      <c r="B129" s="3"/>
      <c r="C129" s="3"/>
      <c r="D129" s="3"/>
      <c r="E129" s="3"/>
      <c r="F129" s="3"/>
      <c r="G129" s="3"/>
      <c r="H129" s="456"/>
      <c r="J129" s="574" t="s">
        <v>372</v>
      </c>
      <c r="K129" s="575"/>
      <c r="L129" s="575"/>
      <c r="M129" s="575"/>
      <c r="N129" s="645"/>
      <c r="O129" s="646"/>
      <c r="P129" s="646"/>
      <c r="Q129" s="646"/>
      <c r="R129" s="646"/>
      <c r="S129" s="646"/>
      <c r="T129" s="646"/>
      <c r="U129" s="3"/>
      <c r="V129" s="3"/>
      <c r="W129" s="3"/>
      <c r="X129" s="3"/>
      <c r="Y129" s="3"/>
      <c r="Z129" s="3"/>
      <c r="AA129" s="3"/>
      <c r="AB129" s="3"/>
      <c r="AC129" s="3"/>
    </row>
    <row r="130" ht="15.75" customHeight="1">
      <c r="A130" s="462"/>
      <c r="B130" s="3"/>
      <c r="C130" s="3"/>
      <c r="D130" s="3"/>
      <c r="E130" s="3"/>
      <c r="F130" s="3"/>
      <c r="G130" s="3"/>
      <c r="H130" s="456"/>
      <c r="I130" s="17"/>
      <c r="J130" s="647" t="s">
        <v>373</v>
      </c>
      <c r="K130" s="648" t="s">
        <v>374</v>
      </c>
      <c r="L130" s="649" t="s">
        <v>375</v>
      </c>
      <c r="M130" s="649" t="s">
        <v>376</v>
      </c>
      <c r="N130" s="650" t="s">
        <v>202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2.75" customHeight="1">
      <c r="A131" s="462"/>
      <c r="B131" s="3"/>
      <c r="C131" s="3"/>
      <c r="D131" s="3"/>
      <c r="E131" s="3"/>
      <c r="F131" s="3"/>
      <c r="G131" s="3"/>
      <c r="H131" s="456"/>
      <c r="I131" s="17"/>
      <c r="J131" s="651" t="s">
        <v>244</v>
      </c>
      <c r="K131" s="652">
        <v>75.0</v>
      </c>
      <c r="L131" s="652">
        <v>68.0</v>
      </c>
      <c r="M131" s="653">
        <v>68.0</v>
      </c>
      <c r="N131" s="640">
        <f t="shared" ref="N131:N135" si="51">SUM(K131:M131)</f>
        <v>211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2.75" customHeight="1">
      <c r="A132" s="462"/>
      <c r="B132" s="3"/>
      <c r="C132" s="3"/>
      <c r="D132" s="3"/>
      <c r="E132" s="3"/>
      <c r="F132" s="3"/>
      <c r="G132" s="3"/>
      <c r="H132" s="456"/>
      <c r="I132" s="17"/>
      <c r="J132" s="67">
        <v>1.0</v>
      </c>
      <c r="K132" s="456">
        <v>85.0</v>
      </c>
      <c r="L132" s="456">
        <v>80.0</v>
      </c>
      <c r="M132" s="456">
        <v>72.0</v>
      </c>
      <c r="N132" s="544">
        <f t="shared" si="51"/>
        <v>237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2.75" customHeight="1">
      <c r="A133" s="462"/>
      <c r="B133" s="3"/>
      <c r="C133" s="3"/>
      <c r="D133" s="3"/>
      <c r="E133" s="3"/>
      <c r="F133" s="3"/>
      <c r="G133" s="3"/>
      <c r="H133" s="456"/>
      <c r="I133" s="17"/>
      <c r="J133" s="67">
        <v>2.0</v>
      </c>
      <c r="K133" s="456">
        <v>110.0</v>
      </c>
      <c r="L133" s="456">
        <v>104.0</v>
      </c>
      <c r="M133" s="456">
        <v>100.0</v>
      </c>
      <c r="N133" s="544">
        <f t="shared" si="51"/>
        <v>314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2.75" customHeight="1">
      <c r="A134" s="462"/>
      <c r="B134" s="3"/>
      <c r="C134" s="3"/>
      <c r="D134" s="3"/>
      <c r="E134" s="3"/>
      <c r="F134" s="3"/>
      <c r="G134" s="3"/>
      <c r="H134" s="456"/>
      <c r="I134" s="17"/>
      <c r="J134" s="67">
        <v>3.0</v>
      </c>
      <c r="K134" s="456">
        <v>136.0</v>
      </c>
      <c r="L134" s="456">
        <v>130.0</v>
      </c>
      <c r="M134" s="456">
        <v>142.0</v>
      </c>
      <c r="N134" s="544">
        <f t="shared" si="51"/>
        <v>408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2.75" customHeight="1">
      <c r="A135" s="462"/>
      <c r="B135" s="3"/>
      <c r="C135" s="3"/>
      <c r="D135" s="3"/>
      <c r="E135" s="3"/>
      <c r="F135" s="3"/>
      <c r="G135" s="3"/>
      <c r="H135" s="456"/>
      <c r="I135" s="17"/>
      <c r="J135" s="72">
        <v>4.0</v>
      </c>
      <c r="K135" s="654">
        <v>162.0</v>
      </c>
      <c r="L135" s="654">
        <v>154.0</v>
      </c>
      <c r="M135" s="654">
        <v>184.0</v>
      </c>
      <c r="N135" s="546">
        <f t="shared" si="51"/>
        <v>500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2.75" customHeight="1">
      <c r="A136" s="462"/>
      <c r="B136" s="3"/>
      <c r="C136" s="3"/>
      <c r="D136" s="3"/>
      <c r="E136" s="3"/>
      <c r="F136" s="3"/>
      <c r="G136" s="3"/>
      <c r="H136" s="456"/>
      <c r="I136" s="17"/>
      <c r="J136" s="78"/>
      <c r="K136" s="456"/>
      <c r="L136" s="456"/>
      <c r="M136" s="456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2.75" customHeight="1">
      <c r="A137" s="462"/>
      <c r="B137" s="3"/>
      <c r="C137" s="3"/>
      <c r="D137" s="3"/>
      <c r="E137" s="3"/>
      <c r="F137" s="3"/>
      <c r="G137" s="3"/>
      <c r="H137" s="456"/>
      <c r="I137" s="457"/>
      <c r="J137" s="456"/>
      <c r="K137" s="456"/>
      <c r="L137" s="456"/>
      <c r="M137" s="456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2.75" customHeight="1">
      <c r="A138" s="462"/>
      <c r="B138" s="3"/>
      <c r="C138" s="3"/>
      <c r="D138" s="3"/>
      <c r="E138" s="3"/>
      <c r="F138" s="3"/>
      <c r="G138" s="3"/>
      <c r="H138" s="456"/>
      <c r="I138" s="457"/>
      <c r="J138" s="456"/>
      <c r="K138" s="456"/>
      <c r="L138" s="456"/>
      <c r="M138" s="456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2.75" customHeight="1">
      <c r="A139" s="462"/>
      <c r="B139" s="3"/>
      <c r="C139" s="3"/>
      <c r="D139" s="3"/>
      <c r="E139" s="3"/>
      <c r="F139" s="3"/>
      <c r="G139" s="3"/>
      <c r="H139" s="456"/>
      <c r="I139" s="457"/>
      <c r="J139" s="456"/>
      <c r="K139" s="456"/>
      <c r="L139" s="456"/>
      <c r="M139" s="456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2.75" customHeight="1">
      <c r="A140" s="462"/>
      <c r="B140" s="3"/>
      <c r="C140" s="3"/>
      <c r="D140" s="3"/>
      <c r="E140" s="3"/>
      <c r="F140" s="3"/>
      <c r="G140" s="3"/>
      <c r="H140" s="456"/>
      <c r="I140" s="457"/>
      <c r="J140" s="456"/>
      <c r="K140" s="456"/>
      <c r="L140" s="456"/>
      <c r="M140" s="456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2.75" customHeight="1">
      <c r="A141" s="462"/>
      <c r="B141" s="3"/>
      <c r="C141" s="3"/>
      <c r="D141" s="3"/>
      <c r="E141" s="3"/>
      <c r="F141" s="3"/>
      <c r="G141" s="3"/>
      <c r="H141" s="456"/>
      <c r="I141" s="457"/>
      <c r="J141" s="456"/>
      <c r="K141" s="456"/>
      <c r="L141" s="456"/>
      <c r="M141" s="456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2.75" customHeight="1">
      <c r="A142" s="462"/>
      <c r="B142" s="3"/>
      <c r="C142" s="3"/>
      <c r="D142" s="3"/>
      <c r="E142" s="3"/>
      <c r="F142" s="3"/>
      <c r="G142" s="3"/>
      <c r="H142" s="456"/>
      <c r="I142" s="457"/>
      <c r="J142" s="456"/>
      <c r="K142" s="456"/>
      <c r="L142" s="456"/>
      <c r="M142" s="456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2.75" customHeight="1">
      <c r="A143" s="462"/>
      <c r="B143" s="3"/>
      <c r="C143" s="3"/>
      <c r="D143" s="3"/>
      <c r="E143" s="3"/>
      <c r="F143" s="3"/>
      <c r="G143" s="3"/>
      <c r="H143" s="456"/>
      <c r="I143" s="457"/>
      <c r="J143" s="456"/>
      <c r="K143" s="456"/>
      <c r="L143" s="456"/>
      <c r="M143" s="456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2.75" customHeight="1">
      <c r="A144" s="462"/>
      <c r="B144" s="3"/>
      <c r="C144" s="3"/>
      <c r="D144" s="3"/>
      <c r="E144" s="3"/>
      <c r="F144" s="3"/>
      <c r="G144" s="3"/>
      <c r="H144" s="456"/>
      <c r="I144" s="457"/>
      <c r="J144" s="456"/>
      <c r="K144" s="456"/>
      <c r="L144" s="456"/>
      <c r="M144" s="456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2.75" customHeight="1">
      <c r="A145" s="462"/>
      <c r="B145" s="3"/>
      <c r="C145" s="3"/>
      <c r="D145" s="3"/>
      <c r="E145" s="3"/>
      <c r="F145" s="3"/>
      <c r="G145" s="3"/>
      <c r="H145" s="456"/>
      <c r="I145" s="457"/>
      <c r="J145" s="456"/>
      <c r="K145" s="456"/>
      <c r="L145" s="456"/>
      <c r="M145" s="456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2.75" customHeight="1">
      <c r="A146" s="462"/>
      <c r="B146" s="3"/>
      <c r="C146" s="3"/>
      <c r="D146" s="3"/>
      <c r="E146" s="3"/>
      <c r="F146" s="3"/>
      <c r="G146" s="3"/>
      <c r="H146" s="456"/>
      <c r="I146" s="457"/>
      <c r="J146" s="456"/>
      <c r="K146" s="456"/>
      <c r="L146" s="456"/>
      <c r="M146" s="456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2.75" customHeight="1">
      <c r="A147" s="462"/>
      <c r="B147" s="3"/>
      <c r="C147" s="3"/>
      <c r="D147" s="3"/>
      <c r="E147" s="3"/>
      <c r="F147" s="3"/>
      <c r="G147" s="3"/>
      <c r="H147" s="456"/>
      <c r="I147" s="457"/>
      <c r="J147" s="456"/>
      <c r="K147" s="456"/>
      <c r="L147" s="456"/>
      <c r="M147" s="456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2.75" customHeight="1">
      <c r="A148" s="462"/>
      <c r="B148" s="3"/>
      <c r="C148" s="3"/>
      <c r="D148" s="3"/>
      <c r="E148" s="3"/>
      <c r="F148" s="3"/>
      <c r="G148" s="3"/>
      <c r="H148" s="456"/>
      <c r="I148" s="457"/>
      <c r="J148" s="456"/>
      <c r="K148" s="456"/>
      <c r="L148" s="456"/>
      <c r="M148" s="456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2.75" customHeight="1">
      <c r="A149" s="462"/>
      <c r="B149" s="3"/>
      <c r="C149" s="3"/>
      <c r="D149" s="3"/>
      <c r="E149" s="3"/>
      <c r="F149" s="3"/>
      <c r="G149" s="3"/>
      <c r="H149" s="456"/>
      <c r="I149" s="457"/>
      <c r="J149" s="456"/>
      <c r="K149" s="456"/>
      <c r="L149" s="456"/>
      <c r="M149" s="456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2.75" customHeight="1">
      <c r="A150" s="462"/>
      <c r="B150" s="3"/>
      <c r="C150" s="3"/>
      <c r="D150" s="3"/>
      <c r="E150" s="3"/>
      <c r="F150" s="3"/>
      <c r="G150" s="3"/>
      <c r="H150" s="456"/>
      <c r="I150" s="457"/>
      <c r="J150" s="456"/>
      <c r="K150" s="456"/>
      <c r="L150" s="456"/>
      <c r="M150" s="456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2.75" customHeight="1">
      <c r="A151" s="462"/>
      <c r="B151" s="3"/>
      <c r="C151" s="3"/>
      <c r="D151" s="3"/>
      <c r="E151" s="3"/>
      <c r="F151" s="3"/>
      <c r="G151" s="3"/>
      <c r="H151" s="456"/>
      <c r="I151" s="457"/>
      <c r="J151" s="456"/>
      <c r="K151" s="456"/>
      <c r="L151" s="456"/>
      <c r="M151" s="456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2.75" customHeight="1">
      <c r="A152" s="462"/>
      <c r="B152" s="3"/>
      <c r="C152" s="3"/>
      <c r="D152" s="3"/>
      <c r="E152" s="3"/>
      <c r="F152" s="3"/>
      <c r="G152" s="3"/>
      <c r="H152" s="456"/>
      <c r="I152" s="457"/>
      <c r="J152" s="456"/>
      <c r="K152" s="456"/>
      <c r="L152" s="456"/>
      <c r="M152" s="456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2.75" customHeight="1">
      <c r="A153" s="462"/>
      <c r="B153" s="3"/>
      <c r="C153" s="3"/>
      <c r="D153" s="3"/>
      <c r="E153" s="3"/>
      <c r="F153" s="3"/>
      <c r="G153" s="3"/>
      <c r="H153" s="456"/>
      <c r="I153" s="457"/>
      <c r="J153" s="456"/>
      <c r="K153" s="456"/>
      <c r="L153" s="456"/>
      <c r="M153" s="456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2.75" customHeight="1">
      <c r="A154" s="462"/>
      <c r="B154" s="3"/>
      <c r="C154" s="3"/>
      <c r="D154" s="3"/>
      <c r="E154" s="3"/>
      <c r="F154" s="3"/>
      <c r="G154" s="3"/>
      <c r="H154" s="456"/>
      <c r="I154" s="457"/>
      <c r="J154" s="456"/>
      <c r="K154" s="456"/>
      <c r="L154" s="456"/>
      <c r="M154" s="456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2.75" customHeight="1">
      <c r="A155" s="462"/>
      <c r="B155" s="3"/>
      <c r="C155" s="3"/>
      <c r="D155" s="3"/>
      <c r="E155" s="3"/>
      <c r="F155" s="3"/>
      <c r="G155" s="3"/>
      <c r="H155" s="456"/>
      <c r="I155" s="457"/>
      <c r="J155" s="456"/>
      <c r="K155" s="456"/>
      <c r="L155" s="456"/>
      <c r="M155" s="456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2.75" customHeight="1">
      <c r="A156" s="462"/>
      <c r="B156" s="3"/>
      <c r="C156" s="3"/>
      <c r="D156" s="3"/>
      <c r="E156" s="3"/>
      <c r="F156" s="3"/>
      <c r="G156" s="3"/>
      <c r="H156" s="456"/>
      <c r="I156" s="457"/>
      <c r="J156" s="456"/>
      <c r="K156" s="456"/>
      <c r="L156" s="456"/>
      <c r="M156" s="456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2.75" customHeight="1">
      <c r="A157" s="462"/>
      <c r="B157" s="3"/>
      <c r="C157" s="3"/>
      <c r="D157" s="3"/>
      <c r="E157" s="3"/>
      <c r="F157" s="3"/>
      <c r="G157" s="3"/>
      <c r="H157" s="456"/>
      <c r="I157" s="457"/>
      <c r="J157" s="456"/>
      <c r="K157" s="456"/>
      <c r="L157" s="456"/>
      <c r="M157" s="456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2.75" customHeight="1">
      <c r="A158" s="462"/>
      <c r="B158" s="3"/>
      <c r="C158" s="3"/>
      <c r="D158" s="3"/>
      <c r="E158" s="3"/>
      <c r="F158" s="3"/>
      <c r="G158" s="3"/>
      <c r="H158" s="456"/>
      <c r="I158" s="457"/>
      <c r="J158" s="456"/>
      <c r="K158" s="456"/>
      <c r="L158" s="456"/>
      <c r="M158" s="456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2.75" customHeight="1">
      <c r="A159" s="462"/>
      <c r="B159" s="3"/>
      <c r="C159" s="3"/>
      <c r="D159" s="3"/>
      <c r="E159" s="3"/>
      <c r="F159" s="3"/>
      <c r="G159" s="3"/>
      <c r="H159" s="456"/>
      <c r="I159" s="457"/>
      <c r="J159" s="456"/>
      <c r="K159" s="456"/>
      <c r="L159" s="456"/>
      <c r="M159" s="456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2.75" customHeight="1">
      <c r="A160" s="462"/>
      <c r="B160" s="3"/>
      <c r="C160" s="3"/>
      <c r="D160" s="3"/>
      <c r="E160" s="3"/>
      <c r="F160" s="3"/>
      <c r="G160" s="3"/>
      <c r="H160" s="456"/>
      <c r="I160" s="457"/>
      <c r="J160" s="456"/>
      <c r="K160" s="456"/>
      <c r="L160" s="456"/>
      <c r="M160" s="456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2.75" customHeight="1">
      <c r="A161" s="462"/>
      <c r="B161" s="3"/>
      <c r="C161" s="3"/>
      <c r="D161" s="3"/>
      <c r="E161" s="3"/>
      <c r="F161" s="3"/>
      <c r="G161" s="3"/>
      <c r="H161" s="456"/>
      <c r="I161" s="457"/>
      <c r="J161" s="456"/>
      <c r="K161" s="456"/>
      <c r="L161" s="456"/>
      <c r="M161" s="456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2.75" customHeight="1">
      <c r="A162" s="462"/>
      <c r="B162" s="3"/>
      <c r="C162" s="3"/>
      <c r="D162" s="3"/>
      <c r="E162" s="3"/>
      <c r="F162" s="3"/>
      <c r="G162" s="3"/>
      <c r="H162" s="456"/>
      <c r="I162" s="457"/>
      <c r="J162" s="456"/>
      <c r="K162" s="456"/>
      <c r="L162" s="456"/>
      <c r="M162" s="456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2.75" customHeight="1">
      <c r="A163" s="462"/>
      <c r="B163" s="3"/>
      <c r="C163" s="3"/>
      <c r="D163" s="3"/>
      <c r="E163" s="3"/>
      <c r="F163" s="3"/>
      <c r="G163" s="3"/>
      <c r="H163" s="456"/>
      <c r="I163" s="457"/>
      <c r="J163" s="456"/>
      <c r="K163" s="456"/>
      <c r="L163" s="456"/>
      <c r="M163" s="456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2.75" customHeight="1">
      <c r="A164" s="462"/>
      <c r="B164" s="3"/>
      <c r="C164" s="3"/>
      <c r="D164" s="3"/>
      <c r="E164" s="3"/>
      <c r="F164" s="3"/>
      <c r="G164" s="3"/>
      <c r="H164" s="456"/>
      <c r="I164" s="457"/>
      <c r="J164" s="456"/>
      <c r="K164" s="456"/>
      <c r="L164" s="456"/>
      <c r="M164" s="456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2.75" customHeight="1">
      <c r="A165" s="462"/>
      <c r="B165" s="3"/>
      <c r="C165" s="3"/>
      <c r="D165" s="3"/>
      <c r="E165" s="3"/>
      <c r="F165" s="3"/>
      <c r="G165" s="3"/>
      <c r="H165" s="456"/>
      <c r="I165" s="457"/>
      <c r="J165" s="456"/>
      <c r="K165" s="456"/>
      <c r="L165" s="456"/>
      <c r="M165" s="456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2.75" customHeight="1">
      <c r="A166" s="462"/>
      <c r="B166" s="3"/>
      <c r="C166" s="3"/>
      <c r="D166" s="3"/>
      <c r="E166" s="3"/>
      <c r="F166" s="3"/>
      <c r="G166" s="3"/>
      <c r="H166" s="456"/>
      <c r="I166" s="457"/>
      <c r="J166" s="456"/>
      <c r="K166" s="456"/>
      <c r="L166" s="456"/>
      <c r="M166" s="456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2.75" customHeight="1">
      <c r="A167" s="462"/>
      <c r="B167" s="3"/>
      <c r="C167" s="3"/>
      <c r="D167" s="3"/>
      <c r="E167" s="3"/>
      <c r="F167" s="3"/>
      <c r="G167" s="3"/>
      <c r="H167" s="456"/>
      <c r="I167" s="457"/>
      <c r="J167" s="456"/>
      <c r="K167" s="456"/>
      <c r="L167" s="456"/>
      <c r="M167" s="456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2.75" customHeight="1">
      <c r="A168" s="462"/>
      <c r="B168" s="3"/>
      <c r="C168" s="3"/>
      <c r="D168" s="3"/>
      <c r="E168" s="3"/>
      <c r="F168" s="3"/>
      <c r="G168" s="3"/>
      <c r="H168" s="456"/>
      <c r="I168" s="457"/>
      <c r="J168" s="456"/>
      <c r="K168" s="456"/>
      <c r="L168" s="456"/>
      <c r="M168" s="456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2.75" customHeight="1">
      <c r="A169" s="462"/>
      <c r="B169" s="3"/>
      <c r="C169" s="3"/>
      <c r="D169" s="3"/>
      <c r="E169" s="3"/>
      <c r="F169" s="3"/>
      <c r="G169" s="3"/>
      <c r="H169" s="456"/>
      <c r="I169" s="457"/>
      <c r="J169" s="456"/>
      <c r="K169" s="456"/>
      <c r="L169" s="456"/>
      <c r="M169" s="456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2.75" customHeight="1">
      <c r="A170" s="462"/>
      <c r="B170" s="3"/>
      <c r="C170" s="3"/>
      <c r="D170" s="3"/>
      <c r="E170" s="3"/>
      <c r="F170" s="3"/>
      <c r="G170" s="3"/>
      <c r="H170" s="456"/>
      <c r="I170" s="457"/>
      <c r="J170" s="456"/>
      <c r="K170" s="456"/>
      <c r="L170" s="456"/>
      <c r="M170" s="456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2.75" customHeight="1">
      <c r="A171" s="462"/>
      <c r="B171" s="3"/>
      <c r="C171" s="3"/>
      <c r="D171" s="3"/>
      <c r="E171" s="3"/>
      <c r="F171" s="3"/>
      <c r="G171" s="3"/>
      <c r="H171" s="456"/>
      <c r="I171" s="457"/>
      <c r="J171" s="456"/>
      <c r="K171" s="456"/>
      <c r="L171" s="456"/>
      <c r="M171" s="456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2.75" customHeight="1">
      <c r="A172" s="462"/>
      <c r="B172" s="3"/>
      <c r="C172" s="3"/>
      <c r="D172" s="3"/>
      <c r="E172" s="3"/>
      <c r="F172" s="3"/>
      <c r="G172" s="3"/>
      <c r="H172" s="456"/>
      <c r="I172" s="457"/>
      <c r="J172" s="456"/>
      <c r="K172" s="456"/>
      <c r="L172" s="456"/>
      <c r="M172" s="456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2.75" customHeight="1">
      <c r="A173" s="462"/>
      <c r="B173" s="3"/>
      <c r="C173" s="3"/>
      <c r="D173" s="3"/>
      <c r="E173" s="3"/>
      <c r="F173" s="3"/>
      <c r="G173" s="3"/>
      <c r="H173" s="456"/>
      <c r="I173" s="457"/>
      <c r="J173" s="456"/>
      <c r="K173" s="456"/>
      <c r="L173" s="456"/>
      <c r="M173" s="456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2.75" customHeight="1">
      <c r="A174" s="462"/>
      <c r="B174" s="3"/>
      <c r="C174" s="3"/>
      <c r="D174" s="3"/>
      <c r="E174" s="3"/>
      <c r="F174" s="3"/>
      <c r="G174" s="3"/>
      <c r="H174" s="456"/>
      <c r="I174" s="457"/>
      <c r="J174" s="456"/>
      <c r="K174" s="456"/>
      <c r="L174" s="456"/>
      <c r="M174" s="456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2.75" customHeight="1">
      <c r="A175" s="462"/>
      <c r="B175" s="3"/>
      <c r="C175" s="3"/>
      <c r="D175" s="3"/>
      <c r="E175" s="3"/>
      <c r="F175" s="3"/>
      <c r="G175" s="3"/>
      <c r="H175" s="456"/>
      <c r="I175" s="457"/>
      <c r="J175" s="456"/>
      <c r="K175" s="456"/>
      <c r="L175" s="456"/>
      <c r="M175" s="456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2.75" customHeight="1">
      <c r="A176" s="462"/>
      <c r="B176" s="3"/>
      <c r="C176" s="3"/>
      <c r="D176" s="3"/>
      <c r="E176" s="3"/>
      <c r="F176" s="3"/>
      <c r="G176" s="3"/>
      <c r="H176" s="456"/>
      <c r="I176" s="457"/>
      <c r="J176" s="456"/>
      <c r="K176" s="456"/>
      <c r="L176" s="456"/>
      <c r="M176" s="456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2.75" customHeight="1">
      <c r="A177" s="462"/>
      <c r="B177" s="3"/>
      <c r="C177" s="3"/>
      <c r="D177" s="3"/>
      <c r="E177" s="3"/>
      <c r="F177" s="3"/>
      <c r="G177" s="3"/>
      <c r="H177" s="456"/>
      <c r="I177" s="457"/>
      <c r="J177" s="456"/>
      <c r="K177" s="456"/>
      <c r="L177" s="456"/>
      <c r="M177" s="456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2.75" customHeight="1">
      <c r="A178" s="462"/>
      <c r="B178" s="3"/>
      <c r="C178" s="3"/>
      <c r="D178" s="3"/>
      <c r="E178" s="3"/>
      <c r="F178" s="3"/>
      <c r="G178" s="3"/>
      <c r="H178" s="456"/>
      <c r="I178" s="457"/>
      <c r="J178" s="456"/>
      <c r="K178" s="456"/>
      <c r="L178" s="456"/>
      <c r="M178" s="456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2.75" customHeight="1">
      <c r="A179" s="462"/>
      <c r="B179" s="3"/>
      <c r="C179" s="3"/>
      <c r="D179" s="3"/>
      <c r="E179" s="3"/>
      <c r="F179" s="3"/>
      <c r="G179" s="3"/>
      <c r="H179" s="456"/>
      <c r="I179" s="457"/>
      <c r="J179" s="456"/>
      <c r="K179" s="456"/>
      <c r="L179" s="456"/>
      <c r="M179" s="456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2.75" customHeight="1">
      <c r="A180" s="462"/>
      <c r="B180" s="3"/>
      <c r="C180" s="3"/>
      <c r="D180" s="3"/>
      <c r="E180" s="3"/>
      <c r="F180" s="3"/>
      <c r="G180" s="3"/>
      <c r="H180" s="456"/>
      <c r="I180" s="457"/>
      <c r="J180" s="456"/>
      <c r="K180" s="456"/>
      <c r="L180" s="456"/>
      <c r="M180" s="456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2.75" customHeight="1">
      <c r="A181" s="462"/>
      <c r="B181" s="3"/>
      <c r="C181" s="3"/>
      <c r="D181" s="3"/>
      <c r="E181" s="3"/>
      <c r="F181" s="3"/>
      <c r="G181" s="3"/>
      <c r="H181" s="456"/>
      <c r="I181" s="457"/>
      <c r="J181" s="456"/>
      <c r="K181" s="456"/>
      <c r="L181" s="456"/>
      <c r="M181" s="456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2.75" customHeight="1">
      <c r="A182" s="462"/>
      <c r="B182" s="3"/>
      <c r="C182" s="3"/>
      <c r="D182" s="3"/>
      <c r="E182" s="3"/>
      <c r="F182" s="3"/>
      <c r="G182" s="3"/>
      <c r="H182" s="456"/>
      <c r="I182" s="457"/>
      <c r="J182" s="456"/>
      <c r="K182" s="456"/>
      <c r="L182" s="456"/>
      <c r="M182" s="456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2.75" customHeight="1">
      <c r="A183" s="462"/>
      <c r="B183" s="3"/>
      <c r="C183" s="3"/>
      <c r="D183" s="3"/>
      <c r="E183" s="3"/>
      <c r="F183" s="3"/>
      <c r="G183" s="3"/>
      <c r="H183" s="456"/>
      <c r="I183" s="457"/>
      <c r="J183" s="456"/>
      <c r="K183" s="456"/>
      <c r="L183" s="456"/>
      <c r="M183" s="456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2.75" customHeight="1">
      <c r="A184" s="462"/>
      <c r="B184" s="3"/>
      <c r="C184" s="3"/>
      <c r="D184" s="3"/>
      <c r="E184" s="3"/>
      <c r="F184" s="3"/>
      <c r="G184" s="3"/>
      <c r="H184" s="456"/>
      <c r="I184" s="457"/>
      <c r="J184" s="456"/>
      <c r="K184" s="456"/>
      <c r="L184" s="456"/>
      <c r="M184" s="456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2.75" customHeight="1">
      <c r="A185" s="462"/>
      <c r="B185" s="3"/>
      <c r="C185" s="3"/>
      <c r="D185" s="3"/>
      <c r="E185" s="3"/>
      <c r="F185" s="3"/>
      <c r="G185" s="3"/>
      <c r="H185" s="456"/>
      <c r="I185" s="457"/>
      <c r="J185" s="456"/>
      <c r="K185" s="456"/>
      <c r="L185" s="456"/>
      <c r="M185" s="456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2.75" customHeight="1">
      <c r="A186" s="462"/>
      <c r="B186" s="3"/>
      <c r="C186" s="3"/>
      <c r="D186" s="3"/>
      <c r="E186" s="3"/>
      <c r="F186" s="3"/>
      <c r="G186" s="3"/>
      <c r="H186" s="456"/>
      <c r="I186" s="457"/>
      <c r="J186" s="456"/>
      <c r="K186" s="456"/>
      <c r="L186" s="456"/>
      <c r="M186" s="456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2.75" customHeight="1">
      <c r="A187" s="462"/>
      <c r="B187" s="3"/>
      <c r="C187" s="3"/>
      <c r="D187" s="3"/>
      <c r="E187" s="3"/>
      <c r="F187" s="3"/>
      <c r="G187" s="3"/>
      <c r="H187" s="456"/>
      <c r="I187" s="457"/>
      <c r="J187" s="456"/>
      <c r="K187" s="456"/>
      <c r="L187" s="456"/>
      <c r="M187" s="456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2.75" customHeight="1">
      <c r="A188" s="462"/>
      <c r="B188" s="3"/>
      <c r="C188" s="3"/>
      <c r="D188" s="3"/>
      <c r="E188" s="3"/>
      <c r="F188" s="3"/>
      <c r="G188" s="3"/>
      <c r="H188" s="456"/>
      <c r="I188" s="457"/>
      <c r="J188" s="456"/>
      <c r="K188" s="456"/>
      <c r="L188" s="456"/>
      <c r="M188" s="456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2.75" customHeight="1">
      <c r="A189" s="462"/>
      <c r="B189" s="3"/>
      <c r="C189" s="3"/>
      <c r="D189" s="3"/>
      <c r="E189" s="3"/>
      <c r="F189" s="3"/>
      <c r="G189" s="3"/>
      <c r="H189" s="456"/>
      <c r="I189" s="457"/>
      <c r="J189" s="456"/>
      <c r="K189" s="456"/>
      <c r="L189" s="456"/>
      <c r="M189" s="456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2.75" customHeight="1">
      <c r="A190" s="462"/>
      <c r="B190" s="3"/>
      <c r="C190" s="3"/>
      <c r="D190" s="3"/>
      <c r="E190" s="3"/>
      <c r="F190" s="3"/>
      <c r="G190" s="3"/>
      <c r="H190" s="456"/>
      <c r="I190" s="457"/>
      <c r="J190" s="456"/>
      <c r="K190" s="456"/>
      <c r="L190" s="456"/>
      <c r="M190" s="456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2.75" customHeight="1">
      <c r="A191" s="462"/>
      <c r="B191" s="3"/>
      <c r="C191" s="3"/>
      <c r="D191" s="3"/>
      <c r="E191" s="3"/>
      <c r="F191" s="3"/>
      <c r="G191" s="3"/>
      <c r="H191" s="456"/>
      <c r="I191" s="457"/>
      <c r="J191" s="456"/>
      <c r="K191" s="456"/>
      <c r="L191" s="456"/>
      <c r="M191" s="456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2.75" customHeight="1">
      <c r="A192" s="462"/>
      <c r="B192" s="3"/>
      <c r="C192" s="3"/>
      <c r="D192" s="3"/>
      <c r="E192" s="3"/>
      <c r="F192" s="3"/>
      <c r="G192" s="3"/>
      <c r="H192" s="456"/>
      <c r="I192" s="457"/>
      <c r="J192" s="456"/>
      <c r="K192" s="456"/>
      <c r="L192" s="456"/>
      <c r="M192" s="456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2.75" customHeight="1">
      <c r="A193" s="462"/>
      <c r="B193" s="3"/>
      <c r="C193" s="3"/>
      <c r="D193" s="3"/>
      <c r="E193" s="3"/>
      <c r="F193" s="3"/>
      <c r="G193" s="3"/>
      <c r="H193" s="456"/>
      <c r="I193" s="457"/>
      <c r="J193" s="456"/>
      <c r="K193" s="456"/>
      <c r="L193" s="456"/>
      <c r="M193" s="456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2.75" customHeight="1">
      <c r="A194" s="462"/>
      <c r="B194" s="3"/>
      <c r="C194" s="3"/>
      <c r="D194" s="3"/>
      <c r="E194" s="3"/>
      <c r="F194" s="3"/>
      <c r="G194" s="3"/>
      <c r="H194" s="456"/>
      <c r="I194" s="457"/>
      <c r="J194" s="456"/>
      <c r="K194" s="456"/>
      <c r="L194" s="456"/>
      <c r="M194" s="456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2.75" customHeight="1">
      <c r="A195" s="462"/>
      <c r="B195" s="3"/>
      <c r="C195" s="3"/>
      <c r="D195" s="3"/>
      <c r="E195" s="3"/>
      <c r="F195" s="3"/>
      <c r="G195" s="3"/>
      <c r="H195" s="456"/>
      <c r="I195" s="457"/>
      <c r="J195" s="456"/>
      <c r="K195" s="456"/>
      <c r="L195" s="456"/>
      <c r="M195" s="456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2.75" customHeight="1">
      <c r="A196" s="462"/>
      <c r="B196" s="3"/>
      <c r="C196" s="3"/>
      <c r="D196" s="3"/>
      <c r="E196" s="3"/>
      <c r="F196" s="3"/>
      <c r="G196" s="3"/>
      <c r="H196" s="456"/>
      <c r="I196" s="457"/>
      <c r="J196" s="456"/>
      <c r="K196" s="456"/>
      <c r="L196" s="456"/>
      <c r="M196" s="456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2.75" customHeight="1">
      <c r="A197" s="462"/>
      <c r="B197" s="3"/>
      <c r="C197" s="3"/>
      <c r="D197" s="3"/>
      <c r="E197" s="3"/>
      <c r="F197" s="3"/>
      <c r="G197" s="3"/>
      <c r="H197" s="456"/>
      <c r="I197" s="457"/>
      <c r="J197" s="456"/>
      <c r="K197" s="456"/>
      <c r="L197" s="456"/>
      <c r="M197" s="456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2.75" customHeight="1">
      <c r="A198" s="462"/>
      <c r="B198" s="3"/>
      <c r="C198" s="3"/>
      <c r="D198" s="3"/>
      <c r="E198" s="3"/>
      <c r="F198" s="3"/>
      <c r="G198" s="3"/>
      <c r="H198" s="456"/>
      <c r="I198" s="457"/>
      <c r="J198" s="456"/>
      <c r="K198" s="456"/>
      <c r="L198" s="456"/>
      <c r="M198" s="456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2.75" customHeight="1">
      <c r="A199" s="462"/>
      <c r="B199" s="3"/>
      <c r="C199" s="3"/>
      <c r="D199" s="3"/>
      <c r="E199" s="3"/>
      <c r="F199" s="3"/>
      <c r="G199" s="3"/>
      <c r="H199" s="456"/>
      <c r="I199" s="457"/>
      <c r="J199" s="456"/>
      <c r="K199" s="456"/>
      <c r="L199" s="456"/>
      <c r="M199" s="456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2.75" customHeight="1">
      <c r="A200" s="462"/>
      <c r="B200" s="3"/>
      <c r="C200" s="3"/>
      <c r="D200" s="3"/>
      <c r="E200" s="3"/>
      <c r="F200" s="3"/>
      <c r="G200" s="3"/>
      <c r="H200" s="456"/>
      <c r="I200" s="457"/>
      <c r="J200" s="456"/>
      <c r="K200" s="456"/>
      <c r="L200" s="456"/>
      <c r="M200" s="456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2.75" customHeight="1">
      <c r="A201" s="462"/>
      <c r="B201" s="3"/>
      <c r="C201" s="3"/>
      <c r="D201" s="3"/>
      <c r="E201" s="3"/>
      <c r="F201" s="3"/>
      <c r="G201" s="3"/>
      <c r="H201" s="456"/>
      <c r="I201" s="457"/>
      <c r="J201" s="456"/>
      <c r="K201" s="456"/>
      <c r="L201" s="456"/>
      <c r="M201" s="456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2.75" customHeight="1">
      <c r="A202" s="462"/>
      <c r="B202" s="3"/>
      <c r="C202" s="3"/>
      <c r="D202" s="3"/>
      <c r="E202" s="3"/>
      <c r="F202" s="3"/>
      <c r="G202" s="3"/>
      <c r="H202" s="456"/>
      <c r="I202" s="457"/>
      <c r="J202" s="456"/>
      <c r="K202" s="456"/>
      <c r="L202" s="456"/>
      <c r="M202" s="456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2.75" customHeight="1">
      <c r="A203" s="462"/>
      <c r="B203" s="3"/>
      <c r="C203" s="3"/>
      <c r="D203" s="3"/>
      <c r="E203" s="3"/>
      <c r="F203" s="3"/>
      <c r="G203" s="3"/>
      <c r="H203" s="456"/>
      <c r="I203" s="457"/>
      <c r="J203" s="456"/>
      <c r="K203" s="456"/>
      <c r="L203" s="456"/>
      <c r="M203" s="456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2.75" customHeight="1">
      <c r="A204" s="462"/>
      <c r="B204" s="3"/>
      <c r="C204" s="3"/>
      <c r="D204" s="3"/>
      <c r="E204" s="3"/>
      <c r="F204" s="3"/>
      <c r="G204" s="3"/>
      <c r="H204" s="456"/>
      <c r="I204" s="457"/>
      <c r="J204" s="456"/>
      <c r="K204" s="456"/>
      <c r="L204" s="456"/>
      <c r="M204" s="456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2.75" customHeight="1">
      <c r="A205" s="462"/>
      <c r="B205" s="3"/>
      <c r="C205" s="3"/>
      <c r="D205" s="3"/>
      <c r="E205" s="3"/>
      <c r="F205" s="3"/>
      <c r="G205" s="3"/>
      <c r="H205" s="456"/>
      <c r="I205" s="457"/>
      <c r="J205" s="456"/>
      <c r="K205" s="456"/>
      <c r="L205" s="456"/>
      <c r="M205" s="456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2.75" customHeight="1">
      <c r="A206" s="462"/>
      <c r="B206" s="3"/>
      <c r="C206" s="3"/>
      <c r="D206" s="3"/>
      <c r="E206" s="3"/>
      <c r="F206" s="3"/>
      <c r="G206" s="3"/>
      <c r="H206" s="456"/>
      <c r="I206" s="457"/>
      <c r="J206" s="456"/>
      <c r="K206" s="456"/>
      <c r="L206" s="456"/>
      <c r="M206" s="456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2.75" customHeight="1">
      <c r="A207" s="462"/>
      <c r="B207" s="3"/>
      <c r="C207" s="3"/>
      <c r="D207" s="3"/>
      <c r="E207" s="3"/>
      <c r="F207" s="3"/>
      <c r="G207" s="3"/>
      <c r="H207" s="456"/>
      <c r="I207" s="457"/>
      <c r="J207" s="456"/>
      <c r="K207" s="456"/>
      <c r="L207" s="456"/>
      <c r="M207" s="456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2.75" customHeight="1">
      <c r="A208" s="462"/>
      <c r="B208" s="3"/>
      <c r="C208" s="3"/>
      <c r="D208" s="3"/>
      <c r="E208" s="3"/>
      <c r="F208" s="3"/>
      <c r="G208" s="3"/>
      <c r="H208" s="456"/>
      <c r="I208" s="457"/>
      <c r="J208" s="456"/>
      <c r="K208" s="456"/>
      <c r="L208" s="456"/>
      <c r="M208" s="456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2.75" customHeight="1">
      <c r="A209" s="462"/>
      <c r="B209" s="3"/>
      <c r="C209" s="3"/>
      <c r="D209" s="3"/>
      <c r="E209" s="3"/>
      <c r="F209" s="3"/>
      <c r="G209" s="3"/>
      <c r="H209" s="456"/>
      <c r="I209" s="457"/>
      <c r="J209" s="456"/>
      <c r="K209" s="456"/>
      <c r="L209" s="456"/>
      <c r="M209" s="456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2.75" customHeight="1">
      <c r="A210" s="462"/>
      <c r="B210" s="3"/>
      <c r="C210" s="3"/>
      <c r="D210" s="3"/>
      <c r="E210" s="3"/>
      <c r="F210" s="3"/>
      <c r="G210" s="3"/>
      <c r="H210" s="456"/>
      <c r="I210" s="457"/>
      <c r="J210" s="456"/>
      <c r="K210" s="456"/>
      <c r="L210" s="456"/>
      <c r="M210" s="456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2.75" customHeight="1">
      <c r="A211" s="462"/>
      <c r="B211" s="3"/>
      <c r="C211" s="3"/>
      <c r="D211" s="3"/>
      <c r="E211" s="3"/>
      <c r="F211" s="3"/>
      <c r="G211" s="3"/>
      <c r="H211" s="456"/>
      <c r="I211" s="457"/>
      <c r="J211" s="456"/>
      <c r="K211" s="456"/>
      <c r="L211" s="456"/>
      <c r="M211" s="456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2.75" customHeight="1">
      <c r="A212" s="462"/>
      <c r="B212" s="3"/>
      <c r="C212" s="3"/>
      <c r="D212" s="3"/>
      <c r="E212" s="3"/>
      <c r="F212" s="3"/>
      <c r="G212" s="3"/>
      <c r="H212" s="456"/>
      <c r="I212" s="457"/>
      <c r="J212" s="456"/>
      <c r="K212" s="456"/>
      <c r="L212" s="456"/>
      <c r="M212" s="456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2.75" customHeight="1">
      <c r="A213" s="462"/>
      <c r="B213" s="3"/>
      <c r="C213" s="3"/>
      <c r="D213" s="3"/>
      <c r="E213" s="3"/>
      <c r="F213" s="3"/>
      <c r="G213" s="3"/>
      <c r="H213" s="456"/>
      <c r="I213" s="457"/>
      <c r="J213" s="456"/>
      <c r="K213" s="456"/>
      <c r="L213" s="456"/>
      <c r="M213" s="456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2.75" customHeight="1">
      <c r="A214" s="462"/>
      <c r="B214" s="3"/>
      <c r="C214" s="3"/>
      <c r="D214" s="3"/>
      <c r="E214" s="3"/>
      <c r="F214" s="3"/>
      <c r="G214" s="3"/>
      <c r="H214" s="456"/>
      <c r="I214" s="457"/>
      <c r="J214" s="456"/>
      <c r="K214" s="456"/>
      <c r="L214" s="456"/>
      <c r="M214" s="456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2.75" customHeight="1">
      <c r="A215" s="462"/>
      <c r="B215" s="3"/>
      <c r="C215" s="3"/>
      <c r="D215" s="3"/>
      <c r="E215" s="3"/>
      <c r="F215" s="3"/>
      <c r="G215" s="3"/>
      <c r="H215" s="456"/>
      <c r="I215" s="457"/>
      <c r="J215" s="456"/>
      <c r="K215" s="456"/>
      <c r="L215" s="456"/>
      <c r="M215" s="456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2.75" customHeight="1">
      <c r="A216" s="462"/>
      <c r="B216" s="3"/>
      <c r="C216" s="3"/>
      <c r="D216" s="3"/>
      <c r="E216" s="3"/>
      <c r="F216" s="3"/>
      <c r="G216" s="3"/>
      <c r="H216" s="456"/>
      <c r="I216" s="457"/>
      <c r="J216" s="456"/>
      <c r="K216" s="456"/>
      <c r="L216" s="456"/>
      <c r="M216" s="456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2.75" customHeight="1">
      <c r="A217" s="462"/>
      <c r="B217" s="3"/>
      <c r="C217" s="3"/>
      <c r="D217" s="3"/>
      <c r="E217" s="3"/>
      <c r="F217" s="3"/>
      <c r="G217" s="3"/>
      <c r="H217" s="456"/>
      <c r="I217" s="457"/>
      <c r="J217" s="456"/>
      <c r="K217" s="456"/>
      <c r="L217" s="456"/>
      <c r="M217" s="456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2.75" customHeight="1">
      <c r="A218" s="462"/>
      <c r="B218" s="3"/>
      <c r="C218" s="3"/>
      <c r="D218" s="3"/>
      <c r="E218" s="3"/>
      <c r="F218" s="3"/>
      <c r="G218" s="3"/>
      <c r="H218" s="456"/>
      <c r="I218" s="457"/>
      <c r="J218" s="456"/>
      <c r="K218" s="456"/>
      <c r="L218" s="456"/>
      <c r="M218" s="456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2.75" customHeight="1">
      <c r="A219" s="462"/>
      <c r="B219" s="3"/>
      <c r="C219" s="3"/>
      <c r="D219" s="3"/>
      <c r="E219" s="3"/>
      <c r="F219" s="3"/>
      <c r="G219" s="3"/>
      <c r="H219" s="456"/>
      <c r="I219" s="457"/>
      <c r="J219" s="456"/>
      <c r="K219" s="456"/>
      <c r="L219" s="456"/>
      <c r="M219" s="456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2.75" customHeight="1">
      <c r="A220" s="462"/>
      <c r="B220" s="3"/>
      <c r="C220" s="3"/>
      <c r="D220" s="3"/>
      <c r="E220" s="3"/>
      <c r="F220" s="3"/>
      <c r="G220" s="3"/>
      <c r="H220" s="456"/>
      <c r="I220" s="457"/>
      <c r="J220" s="456"/>
      <c r="K220" s="456"/>
      <c r="L220" s="456"/>
      <c r="M220" s="456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2.75" customHeight="1">
      <c r="A221" s="462"/>
      <c r="B221" s="3"/>
      <c r="C221" s="3"/>
      <c r="D221" s="3"/>
      <c r="E221" s="3"/>
      <c r="F221" s="3"/>
      <c r="G221" s="3"/>
      <c r="H221" s="456"/>
      <c r="I221" s="457"/>
      <c r="J221" s="456"/>
      <c r="K221" s="456"/>
      <c r="L221" s="456"/>
      <c r="M221" s="456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2.75" customHeight="1">
      <c r="A222" s="462"/>
      <c r="B222" s="3"/>
      <c r="C222" s="3"/>
      <c r="D222" s="3"/>
      <c r="E222" s="3"/>
      <c r="F222" s="3"/>
      <c r="G222" s="3"/>
      <c r="H222" s="456"/>
      <c r="I222" s="457"/>
      <c r="K222" s="456"/>
      <c r="L222" s="456"/>
      <c r="M222" s="456"/>
      <c r="N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2.75" customHeight="1">
      <c r="A223" s="462"/>
      <c r="B223" s="3"/>
      <c r="C223" s="3"/>
      <c r="D223" s="3"/>
      <c r="E223" s="3"/>
      <c r="F223" s="3"/>
      <c r="G223" s="3"/>
      <c r="H223" s="456"/>
      <c r="I223" s="457"/>
      <c r="U223" s="3"/>
      <c r="V223" s="3"/>
      <c r="W223" s="3"/>
      <c r="X223" s="3"/>
      <c r="Y223" s="3"/>
      <c r="Z223" s="3"/>
      <c r="AA223" s="3"/>
      <c r="AB223" s="3"/>
      <c r="AC223" s="3"/>
    </row>
    <row r="224" ht="12.75" customHeight="1">
      <c r="A224" s="462"/>
      <c r="B224" s="3"/>
      <c r="C224" s="3"/>
      <c r="D224" s="3"/>
      <c r="E224" s="3"/>
      <c r="F224" s="3"/>
      <c r="G224" s="3"/>
      <c r="H224" s="456"/>
      <c r="I224" s="457"/>
      <c r="U224" s="3"/>
      <c r="V224" s="3"/>
      <c r="W224" s="3"/>
      <c r="X224" s="3"/>
      <c r="Y224" s="3"/>
      <c r="Z224" s="3"/>
      <c r="AA224" s="3"/>
      <c r="AB224" s="3"/>
      <c r="AC224" s="3"/>
    </row>
    <row r="225" ht="12.75" customHeight="1">
      <c r="A225" s="462"/>
      <c r="B225" s="3"/>
      <c r="C225" s="3"/>
      <c r="D225" s="3"/>
      <c r="E225" s="3"/>
      <c r="F225" s="3"/>
      <c r="G225" s="3"/>
      <c r="H225" s="456"/>
      <c r="I225" s="457"/>
      <c r="U225" s="3"/>
      <c r="V225" s="3"/>
      <c r="W225" s="3"/>
      <c r="X225" s="3"/>
      <c r="Y225" s="3"/>
      <c r="Z225" s="3"/>
      <c r="AA225" s="3"/>
      <c r="AB225" s="3"/>
      <c r="AC225" s="3"/>
    </row>
    <row r="226" ht="12.75" customHeight="1">
      <c r="A226" s="462"/>
      <c r="B226" s="3"/>
      <c r="C226" s="3"/>
      <c r="D226" s="3"/>
      <c r="E226" s="3"/>
      <c r="F226" s="3"/>
      <c r="G226" s="3"/>
      <c r="H226" s="456"/>
      <c r="I226" s="457"/>
      <c r="U226" s="3"/>
      <c r="V226" s="3"/>
      <c r="W226" s="3"/>
      <c r="X226" s="3"/>
      <c r="Y226" s="3"/>
      <c r="Z226" s="3"/>
      <c r="AA226" s="3"/>
      <c r="AB226" s="3"/>
      <c r="AC226" s="3"/>
    </row>
    <row r="227" ht="12.75" customHeight="1">
      <c r="A227" s="462"/>
      <c r="B227" s="3"/>
      <c r="C227" s="3"/>
      <c r="D227" s="3"/>
      <c r="E227" s="3"/>
      <c r="F227" s="3"/>
      <c r="G227" s="3"/>
      <c r="H227" s="456"/>
      <c r="I227" s="457"/>
      <c r="U227" s="3"/>
      <c r="V227" s="3"/>
      <c r="W227" s="3"/>
      <c r="X227" s="3"/>
      <c r="Y227" s="3"/>
      <c r="Z227" s="3"/>
      <c r="AA227" s="3"/>
      <c r="AB227" s="3"/>
      <c r="AC227" s="3"/>
    </row>
    <row r="228" ht="12.75" customHeight="1">
      <c r="A228" s="462"/>
      <c r="B228" s="3"/>
      <c r="C228" s="3"/>
      <c r="D228" s="3"/>
      <c r="E228" s="3"/>
      <c r="F228" s="3"/>
      <c r="G228" s="3"/>
      <c r="H228" s="456"/>
      <c r="I228" s="457"/>
      <c r="U228" s="3"/>
      <c r="V228" s="3"/>
      <c r="W228" s="3"/>
      <c r="X228" s="3"/>
      <c r="Y228" s="3"/>
      <c r="Z228" s="3"/>
      <c r="AA228" s="3"/>
      <c r="AB228" s="3"/>
      <c r="AC228" s="3"/>
    </row>
    <row r="229" ht="12.75" customHeight="1">
      <c r="A229" s="462"/>
      <c r="B229" s="3"/>
      <c r="C229" s="3"/>
      <c r="D229" s="3"/>
      <c r="E229" s="3"/>
      <c r="F229" s="3"/>
      <c r="G229" s="3"/>
      <c r="H229" s="456"/>
      <c r="I229" s="457"/>
      <c r="U229" s="3"/>
      <c r="V229" s="3"/>
      <c r="W229" s="3"/>
      <c r="X229" s="3"/>
      <c r="Y229" s="3"/>
      <c r="Z229" s="3"/>
      <c r="AA229" s="3"/>
      <c r="AB229" s="3"/>
      <c r="AC229" s="3"/>
    </row>
    <row r="230" ht="12.75" customHeight="1">
      <c r="A230" s="462"/>
      <c r="B230" s="3"/>
      <c r="C230" s="3"/>
      <c r="D230" s="3"/>
      <c r="E230" s="3"/>
      <c r="F230" s="3"/>
      <c r="G230" s="3"/>
      <c r="H230" s="456"/>
      <c r="I230" s="457"/>
      <c r="U230" s="3"/>
      <c r="V230" s="3"/>
      <c r="W230" s="3"/>
      <c r="X230" s="3"/>
      <c r="Y230" s="3"/>
      <c r="Z230" s="3"/>
      <c r="AA230" s="3"/>
      <c r="AB230" s="3"/>
      <c r="AC230" s="3"/>
    </row>
    <row r="231" ht="12.75" customHeight="1">
      <c r="A231" s="462"/>
      <c r="B231" s="3"/>
      <c r="C231" s="3"/>
      <c r="D231" s="3"/>
      <c r="E231" s="3"/>
      <c r="F231" s="3"/>
      <c r="G231" s="3"/>
      <c r="H231" s="456"/>
      <c r="I231" s="457"/>
      <c r="U231" s="3"/>
      <c r="V231" s="3"/>
      <c r="W231" s="3"/>
      <c r="X231" s="3"/>
      <c r="Y231" s="3"/>
      <c r="Z231" s="3"/>
      <c r="AA231" s="3"/>
      <c r="AB231" s="3"/>
      <c r="AC231" s="3"/>
    </row>
    <row r="232" ht="12.75" customHeight="1">
      <c r="A232" s="462"/>
      <c r="B232" s="3"/>
      <c r="C232" s="3"/>
      <c r="D232" s="3"/>
      <c r="E232" s="3"/>
      <c r="F232" s="3"/>
      <c r="G232" s="3"/>
      <c r="H232" s="456"/>
      <c r="I232" s="457"/>
      <c r="U232" s="3"/>
      <c r="V232" s="3"/>
      <c r="W232" s="3"/>
      <c r="X232" s="3"/>
      <c r="Y232" s="3"/>
      <c r="Z232" s="3"/>
      <c r="AA232" s="3"/>
      <c r="AB232" s="3"/>
      <c r="AC232" s="3"/>
    </row>
    <row r="233" ht="12.75" customHeight="1">
      <c r="A233" s="462"/>
      <c r="B233" s="3"/>
      <c r="C233" s="3"/>
      <c r="D233" s="3"/>
      <c r="E233" s="3"/>
      <c r="F233" s="3"/>
      <c r="G233" s="3"/>
      <c r="H233" s="456"/>
      <c r="I233" s="457"/>
      <c r="U233" s="3"/>
      <c r="V233" s="3"/>
      <c r="W233" s="3"/>
      <c r="X233" s="3"/>
      <c r="Y233" s="3"/>
      <c r="Z233" s="3"/>
      <c r="AA233" s="3"/>
      <c r="AB233" s="3"/>
      <c r="AC233" s="3"/>
    </row>
    <row r="234" ht="12.75" customHeight="1">
      <c r="A234" s="462"/>
      <c r="B234" s="3"/>
      <c r="C234" s="3"/>
      <c r="D234" s="3"/>
      <c r="E234" s="3"/>
      <c r="F234" s="3"/>
      <c r="G234" s="3"/>
      <c r="H234" s="456"/>
      <c r="I234" s="457"/>
      <c r="U234" s="3"/>
      <c r="V234" s="3"/>
      <c r="W234" s="3"/>
      <c r="X234" s="3"/>
      <c r="Y234" s="3"/>
      <c r="Z234" s="3"/>
      <c r="AA234" s="3"/>
      <c r="AB234" s="3"/>
      <c r="AC234" s="3"/>
    </row>
    <row r="235" ht="12.75" customHeight="1">
      <c r="A235" s="462"/>
      <c r="B235" s="3"/>
      <c r="C235" s="3"/>
      <c r="D235" s="3"/>
      <c r="E235" s="3"/>
      <c r="F235" s="3"/>
      <c r="G235" s="3"/>
      <c r="H235" s="456"/>
      <c r="I235" s="457"/>
      <c r="U235" s="3"/>
      <c r="V235" s="3"/>
      <c r="W235" s="3"/>
      <c r="X235" s="3"/>
      <c r="Y235" s="3"/>
      <c r="Z235" s="3"/>
      <c r="AA235" s="3"/>
      <c r="AB235" s="3"/>
      <c r="AC235" s="3"/>
    </row>
    <row r="236" ht="12.75" customHeight="1">
      <c r="A236" s="462"/>
      <c r="B236" s="3"/>
      <c r="C236" s="3"/>
      <c r="D236" s="3"/>
      <c r="E236" s="3"/>
      <c r="F236" s="3"/>
      <c r="G236" s="3"/>
      <c r="H236" s="456"/>
      <c r="I236" s="457"/>
      <c r="U236" s="3"/>
      <c r="V236" s="3"/>
      <c r="W236" s="3"/>
      <c r="X236" s="3"/>
      <c r="Y236" s="3"/>
      <c r="Z236" s="3"/>
      <c r="AA236" s="3"/>
      <c r="AB236" s="3"/>
      <c r="AC236" s="3"/>
    </row>
    <row r="237" ht="12.75" customHeight="1">
      <c r="A237" s="462"/>
      <c r="B237" s="3"/>
      <c r="C237" s="3"/>
      <c r="D237" s="3"/>
      <c r="E237" s="3"/>
      <c r="F237" s="3"/>
      <c r="G237" s="3"/>
      <c r="H237" s="456"/>
      <c r="I237" s="457"/>
      <c r="U237" s="3"/>
      <c r="V237" s="3"/>
      <c r="W237" s="3"/>
      <c r="X237" s="3"/>
      <c r="Y237" s="3"/>
      <c r="Z237" s="3"/>
      <c r="AA237" s="3"/>
      <c r="AB237" s="3"/>
      <c r="AC237" s="3"/>
    </row>
    <row r="238" ht="12.75" customHeight="1">
      <c r="A238" s="474"/>
      <c r="I238" s="457"/>
      <c r="U238" s="3"/>
      <c r="V238" s="3"/>
      <c r="W238" s="3"/>
      <c r="X238" s="3"/>
      <c r="Y238" s="3"/>
      <c r="Z238" s="3"/>
      <c r="AA238" s="3"/>
      <c r="AB238" s="3"/>
      <c r="AC238" s="3"/>
    </row>
    <row r="239" ht="12.75" customHeight="1">
      <c r="A239" s="474"/>
      <c r="I239" s="457"/>
      <c r="U239" s="3"/>
      <c r="V239" s="3"/>
      <c r="W239" s="3"/>
      <c r="X239" s="3"/>
      <c r="Y239" s="3"/>
      <c r="Z239" s="3"/>
      <c r="AA239" s="3"/>
      <c r="AB239" s="3"/>
      <c r="AC239" s="3"/>
    </row>
    <row r="240" ht="12.75" customHeight="1">
      <c r="A240" s="474"/>
      <c r="I240" s="457"/>
      <c r="U240" s="3"/>
      <c r="V240" s="3"/>
      <c r="W240" s="3"/>
      <c r="X240" s="3"/>
      <c r="Y240" s="3"/>
      <c r="Z240" s="3"/>
      <c r="AA240" s="3"/>
      <c r="AB240" s="3"/>
      <c r="AC240" s="3"/>
    </row>
    <row r="241" ht="12.75" customHeight="1">
      <c r="A241" s="474"/>
      <c r="I241" s="457"/>
      <c r="U241" s="3"/>
      <c r="V241" s="3"/>
      <c r="W241" s="3"/>
      <c r="X241" s="3"/>
      <c r="Y241" s="3"/>
      <c r="Z241" s="3"/>
      <c r="AA241" s="3"/>
      <c r="AB241" s="3"/>
      <c r="AC241" s="3"/>
    </row>
    <row r="242" ht="12.75" customHeight="1">
      <c r="A242" s="474"/>
      <c r="I242" s="457"/>
      <c r="U242" s="3"/>
      <c r="V242" s="3"/>
      <c r="W242" s="3"/>
      <c r="X242" s="3"/>
      <c r="Y242" s="3"/>
      <c r="Z242" s="3"/>
      <c r="AA242" s="3"/>
      <c r="AB242" s="3"/>
      <c r="AC242" s="3"/>
    </row>
    <row r="243" ht="12.75" customHeight="1">
      <c r="A243" s="474"/>
      <c r="I243" s="457"/>
      <c r="U243" s="3"/>
      <c r="V243" s="3"/>
      <c r="W243" s="3"/>
      <c r="X243" s="3"/>
      <c r="Y243" s="3"/>
      <c r="Z243" s="3"/>
      <c r="AA243" s="3"/>
      <c r="AB243" s="3"/>
      <c r="AC243" s="3"/>
    </row>
    <row r="244" ht="12.75" customHeight="1">
      <c r="A244" s="474"/>
      <c r="I244" s="457"/>
      <c r="U244" s="3"/>
      <c r="V244" s="3"/>
      <c r="W244" s="3"/>
      <c r="X244" s="3"/>
      <c r="Y244" s="3"/>
      <c r="Z244" s="3"/>
      <c r="AA244" s="3"/>
      <c r="AB244" s="3"/>
      <c r="AC244" s="3"/>
    </row>
    <row r="245" ht="12.75" customHeight="1">
      <c r="A245" s="474"/>
      <c r="I245" s="457"/>
      <c r="V245" s="3"/>
      <c r="W245" s="3"/>
      <c r="X245" s="3"/>
      <c r="Y245" s="3"/>
      <c r="Z245" s="3"/>
      <c r="AA245" s="3"/>
      <c r="AB245" s="3"/>
      <c r="AC245" s="3"/>
    </row>
    <row r="246" ht="12.75" customHeight="1">
      <c r="A246" s="474"/>
      <c r="I246" s="457"/>
      <c r="V246" s="3"/>
      <c r="W246" s="3"/>
      <c r="X246" s="3"/>
      <c r="Y246" s="3"/>
      <c r="Z246" s="3"/>
      <c r="AA246" s="3"/>
      <c r="AB246" s="3"/>
      <c r="AC246" s="3"/>
    </row>
    <row r="247" ht="12.75" customHeight="1">
      <c r="A247" s="474"/>
      <c r="I247" s="457"/>
      <c r="V247" s="3"/>
      <c r="W247" s="3"/>
      <c r="X247" s="3"/>
      <c r="Y247" s="3"/>
      <c r="Z247" s="3"/>
      <c r="AA247" s="3"/>
      <c r="AB247" s="3"/>
      <c r="AC247" s="3"/>
    </row>
    <row r="248" ht="12.75" customHeight="1">
      <c r="A248" s="474"/>
      <c r="I248" s="457"/>
      <c r="V248" s="3"/>
      <c r="W248" s="3"/>
      <c r="X248" s="3"/>
      <c r="Y248" s="3"/>
      <c r="Z248" s="3"/>
      <c r="AA248" s="3"/>
      <c r="AB248" s="3"/>
      <c r="AC248" s="3"/>
    </row>
    <row r="249" ht="12.75" customHeight="1">
      <c r="A249" s="474"/>
      <c r="I249" s="457"/>
      <c r="V249" s="3"/>
      <c r="W249" s="3"/>
      <c r="X249" s="3"/>
      <c r="Y249" s="3"/>
      <c r="Z249" s="3"/>
      <c r="AA249" s="3"/>
      <c r="AB249" s="3"/>
      <c r="AC249" s="3"/>
    </row>
    <row r="250" ht="12.75" customHeight="1">
      <c r="A250" s="474"/>
      <c r="I250" s="457"/>
      <c r="V250" s="3"/>
      <c r="W250" s="3"/>
      <c r="X250" s="3"/>
      <c r="Y250" s="3"/>
      <c r="Z250" s="3"/>
      <c r="AA250" s="3"/>
      <c r="AB250" s="3"/>
      <c r="AC250" s="3"/>
    </row>
    <row r="251" ht="12.75" customHeight="1">
      <c r="A251" s="474"/>
      <c r="I251" s="457"/>
      <c r="V251" s="3"/>
      <c r="W251" s="3"/>
      <c r="X251" s="3"/>
      <c r="Y251" s="3"/>
      <c r="Z251" s="3"/>
      <c r="AA251" s="3"/>
      <c r="AB251" s="3"/>
      <c r="AC251" s="3"/>
    </row>
    <row r="252" ht="12.75" customHeight="1">
      <c r="A252" s="474"/>
      <c r="I252" s="457"/>
      <c r="V252" s="3"/>
      <c r="W252" s="3"/>
      <c r="X252" s="3"/>
      <c r="Y252" s="3"/>
      <c r="Z252" s="3"/>
      <c r="AA252" s="3"/>
      <c r="AB252" s="3"/>
      <c r="AC252" s="3"/>
    </row>
    <row r="253" ht="15.75" customHeight="1">
      <c r="A253" s="474"/>
      <c r="I253" s="457"/>
    </row>
    <row r="254" ht="15.75" customHeight="1">
      <c r="A254" s="474"/>
    </row>
    <row r="255" ht="15.75" customHeight="1">
      <c r="A255" s="474"/>
    </row>
    <row r="256" ht="15.75" customHeight="1">
      <c r="A256" s="474"/>
    </row>
    <row r="257" ht="15.75" customHeight="1">
      <c r="A257" s="474"/>
    </row>
    <row r="258" ht="15.75" customHeight="1">
      <c r="A258" s="474"/>
    </row>
    <row r="259" ht="15.75" customHeight="1">
      <c r="A259" s="474"/>
    </row>
    <row r="260" ht="15.75" customHeight="1">
      <c r="A260" s="474"/>
    </row>
    <row r="261" ht="15.75" customHeight="1">
      <c r="A261" s="474"/>
    </row>
    <row r="262" ht="15.75" customHeight="1">
      <c r="A262" s="474"/>
    </row>
    <row r="263" ht="15.75" customHeight="1">
      <c r="A263" s="474"/>
    </row>
    <row r="264" ht="15.75" customHeight="1">
      <c r="A264" s="474"/>
    </row>
    <row r="265" ht="15.75" customHeight="1">
      <c r="A265" s="474"/>
    </row>
    <row r="266" ht="15.75" customHeight="1">
      <c r="A266" s="474"/>
    </row>
    <row r="267" ht="15.75" customHeight="1">
      <c r="A267" s="474"/>
    </row>
    <row r="268" ht="15.75" customHeight="1">
      <c r="A268" s="474"/>
    </row>
    <row r="269" ht="15.75" customHeight="1">
      <c r="A269" s="474"/>
    </row>
    <row r="270" ht="15.75" customHeight="1">
      <c r="A270" s="474"/>
    </row>
    <row r="271" ht="15.75" customHeight="1">
      <c r="A271" s="474"/>
    </row>
    <row r="272" ht="15.75" customHeight="1">
      <c r="A272" s="474"/>
    </row>
    <row r="273" ht="15.75" customHeight="1">
      <c r="A273" s="474"/>
    </row>
    <row r="274" ht="15.75" customHeight="1">
      <c r="A274" s="474"/>
    </row>
    <row r="275" ht="15.75" customHeight="1">
      <c r="A275" s="474"/>
    </row>
    <row r="276" ht="15.75" customHeight="1">
      <c r="A276" s="474"/>
    </row>
    <row r="277" ht="15.75" customHeight="1">
      <c r="A277" s="474"/>
    </row>
    <row r="278" ht="15.75" customHeight="1">
      <c r="A278" s="474"/>
    </row>
    <row r="279" ht="15.75" customHeight="1">
      <c r="A279" s="474"/>
    </row>
    <row r="280" ht="15.75" customHeight="1">
      <c r="A280" s="474"/>
    </row>
    <row r="281" ht="15.75" customHeight="1">
      <c r="A281" s="474"/>
    </row>
    <row r="282" ht="15.75" customHeight="1">
      <c r="A282" s="474"/>
    </row>
    <row r="283" ht="15.75" customHeight="1">
      <c r="A283" s="474"/>
    </row>
    <row r="284" ht="15.75" customHeight="1">
      <c r="A284" s="474"/>
    </row>
    <row r="285" ht="15.75" customHeight="1">
      <c r="A285" s="474"/>
    </row>
    <row r="286" ht="15.75" customHeight="1">
      <c r="A286" s="474"/>
    </row>
    <row r="287" ht="15.75" customHeight="1">
      <c r="A287" s="474"/>
    </row>
    <row r="288" ht="15.75" customHeight="1">
      <c r="A288" s="474"/>
    </row>
    <row r="289" ht="15.75" customHeight="1">
      <c r="A289" s="474"/>
    </row>
    <row r="290" ht="15.75" customHeight="1">
      <c r="A290" s="474"/>
    </row>
    <row r="291" ht="15.75" customHeight="1">
      <c r="A291" s="474"/>
    </row>
    <row r="292" ht="15.75" customHeight="1">
      <c r="A292" s="474"/>
    </row>
    <row r="293" ht="15.75" customHeight="1">
      <c r="A293" s="474"/>
    </row>
    <row r="294" ht="15.75" customHeight="1">
      <c r="A294" s="474"/>
    </row>
    <row r="295" ht="15.75" customHeight="1">
      <c r="A295" s="474"/>
    </row>
    <row r="296" ht="15.75" customHeight="1">
      <c r="A296" s="474"/>
    </row>
    <row r="297" ht="15.75" customHeight="1">
      <c r="A297" s="474"/>
    </row>
    <row r="298" ht="15.75" customHeight="1">
      <c r="A298" s="474"/>
    </row>
    <row r="299" ht="15.75" customHeight="1">
      <c r="A299" s="474"/>
    </row>
    <row r="300" ht="15.75" customHeight="1">
      <c r="A300" s="474"/>
    </row>
    <row r="301" ht="15.75" customHeight="1">
      <c r="A301" s="474"/>
    </row>
    <row r="302" ht="15.75" customHeight="1">
      <c r="A302" s="474"/>
    </row>
    <row r="303" ht="15.75" customHeight="1">
      <c r="A303" s="474"/>
    </row>
    <row r="304" ht="15.75" customHeight="1">
      <c r="A304" s="474"/>
    </row>
    <row r="305" ht="15.75" customHeight="1">
      <c r="A305" s="474"/>
    </row>
    <row r="306" ht="15.75" customHeight="1">
      <c r="A306" s="474"/>
    </row>
    <row r="307" ht="15.75" customHeight="1">
      <c r="A307" s="474"/>
    </row>
    <row r="308" ht="15.75" customHeight="1">
      <c r="A308" s="474"/>
    </row>
    <row r="309" ht="15.75" customHeight="1">
      <c r="A309" s="474"/>
    </row>
    <row r="310" ht="15.75" customHeight="1">
      <c r="A310" s="474"/>
    </row>
    <row r="311" ht="15.75" customHeight="1">
      <c r="A311" s="474"/>
    </row>
    <row r="312" ht="15.75" customHeight="1">
      <c r="A312" s="474"/>
    </row>
    <row r="313" ht="15.75" customHeight="1">
      <c r="A313" s="474"/>
    </row>
    <row r="314" ht="15.75" customHeight="1">
      <c r="A314" s="474"/>
    </row>
    <row r="315" ht="15.75" customHeight="1">
      <c r="A315" s="474"/>
    </row>
    <row r="316" ht="15.75" customHeight="1">
      <c r="A316" s="474"/>
    </row>
    <row r="317" ht="15.75" customHeight="1">
      <c r="A317" s="474"/>
    </row>
    <row r="318" ht="15.75" customHeight="1">
      <c r="A318" s="474"/>
    </row>
    <row r="319" ht="15.75" customHeight="1">
      <c r="A319" s="474"/>
    </row>
    <row r="320" ht="15.75" customHeight="1">
      <c r="A320" s="474"/>
    </row>
    <row r="321" ht="15.75" customHeight="1">
      <c r="A321" s="474"/>
    </row>
    <row r="322" ht="15.75" customHeight="1">
      <c r="A322" s="474"/>
    </row>
    <row r="323" ht="15.75" customHeight="1">
      <c r="A323" s="474"/>
    </row>
    <row r="324" ht="15.75" customHeight="1">
      <c r="A324" s="474"/>
    </row>
    <row r="325" ht="15.75" customHeight="1">
      <c r="A325" s="474"/>
    </row>
    <row r="326" ht="15.75" customHeight="1">
      <c r="A326" s="474"/>
    </row>
    <row r="327" ht="15.75" customHeight="1">
      <c r="A327" s="474"/>
    </row>
    <row r="328" ht="15.75" customHeight="1">
      <c r="A328" s="474"/>
    </row>
    <row r="329" ht="15.75" customHeight="1">
      <c r="A329" s="474"/>
    </row>
    <row r="330" ht="15.75" customHeight="1">
      <c r="A330" s="474"/>
    </row>
    <row r="331" ht="15.75" customHeight="1">
      <c r="A331" s="474"/>
    </row>
    <row r="332" ht="15.75" customHeight="1">
      <c r="A332" s="474"/>
    </row>
    <row r="333" ht="15.75" customHeight="1">
      <c r="A333" s="474"/>
    </row>
    <row r="334" ht="15.75" customHeight="1">
      <c r="A334" s="474"/>
    </row>
    <row r="335" ht="15.75" customHeight="1">
      <c r="A335" s="474"/>
    </row>
    <row r="336" ht="15.75" customHeight="1">
      <c r="A336" s="474"/>
    </row>
    <row r="337" ht="15.75" customHeight="1">
      <c r="A337" s="474"/>
    </row>
    <row r="338" ht="15.75" customHeight="1">
      <c r="A338" s="474"/>
    </row>
    <row r="339" ht="15.75" customHeight="1">
      <c r="A339" s="474"/>
    </row>
    <row r="340" ht="15.75" customHeight="1">
      <c r="A340" s="474"/>
    </row>
    <row r="341" ht="15.75" customHeight="1">
      <c r="A341" s="474"/>
    </row>
    <row r="342" ht="15.75" customHeight="1">
      <c r="A342" s="474"/>
    </row>
    <row r="343" ht="15.75" customHeight="1">
      <c r="A343" s="474"/>
    </row>
    <row r="344" ht="15.75" customHeight="1">
      <c r="A344" s="474"/>
    </row>
    <row r="345" ht="15.75" customHeight="1">
      <c r="A345" s="474"/>
    </row>
    <row r="346" ht="15.75" customHeight="1">
      <c r="A346" s="474"/>
    </row>
    <row r="347" ht="15.75" customHeight="1">
      <c r="A347" s="474"/>
    </row>
    <row r="348" ht="15.75" customHeight="1">
      <c r="A348" s="474"/>
    </row>
    <row r="349" ht="15.75" customHeight="1">
      <c r="A349" s="474"/>
    </row>
    <row r="350" ht="15.75" customHeight="1">
      <c r="A350" s="474"/>
    </row>
    <row r="351" ht="15.75" customHeight="1">
      <c r="A351" s="474"/>
    </row>
    <row r="352" ht="15.75" customHeight="1">
      <c r="A352" s="474"/>
    </row>
    <row r="353" ht="15.75" customHeight="1">
      <c r="A353" s="474"/>
    </row>
    <row r="354" ht="15.75" customHeight="1">
      <c r="A354" s="474"/>
    </row>
    <row r="355" ht="15.75" customHeight="1">
      <c r="A355" s="474"/>
    </row>
    <row r="356" ht="15.75" customHeight="1">
      <c r="A356" s="474"/>
    </row>
    <row r="357" ht="15.75" customHeight="1">
      <c r="A357" s="474"/>
    </row>
    <row r="358" ht="15.75" customHeight="1">
      <c r="A358" s="474"/>
    </row>
    <row r="359" ht="15.75" customHeight="1">
      <c r="A359" s="474"/>
    </row>
    <row r="360" ht="15.75" customHeight="1">
      <c r="A360" s="474"/>
    </row>
    <row r="361" ht="15.75" customHeight="1">
      <c r="A361" s="474"/>
    </row>
    <row r="362" ht="15.75" customHeight="1">
      <c r="A362" s="474"/>
    </row>
    <row r="363" ht="15.75" customHeight="1">
      <c r="A363" s="474"/>
    </row>
    <row r="364" ht="15.75" customHeight="1">
      <c r="A364" s="474"/>
    </row>
    <row r="365" ht="15.75" customHeight="1">
      <c r="A365" s="474"/>
    </row>
    <row r="366" ht="15.75" customHeight="1">
      <c r="A366" s="474"/>
    </row>
    <row r="367" ht="15.75" customHeight="1">
      <c r="A367" s="474"/>
    </row>
    <row r="368" ht="15.75" customHeight="1">
      <c r="A368" s="474"/>
    </row>
    <row r="369" ht="15.75" customHeight="1">
      <c r="A369" s="474"/>
    </row>
    <row r="370" ht="15.75" customHeight="1">
      <c r="A370" s="474"/>
    </row>
    <row r="371" ht="15.75" customHeight="1">
      <c r="A371" s="474"/>
    </row>
    <row r="372" ht="15.75" customHeight="1">
      <c r="A372" s="474"/>
    </row>
    <row r="373" ht="15.75" customHeight="1">
      <c r="A373" s="474"/>
    </row>
    <row r="374" ht="15.75" customHeight="1">
      <c r="A374" s="474"/>
    </row>
    <row r="375" ht="15.75" customHeight="1">
      <c r="A375" s="474"/>
    </row>
    <row r="376" ht="15.75" customHeight="1">
      <c r="A376" s="474"/>
    </row>
    <row r="377" ht="15.75" customHeight="1">
      <c r="A377" s="474"/>
    </row>
    <row r="378" ht="15.75" customHeight="1">
      <c r="A378" s="474"/>
    </row>
    <row r="379" ht="15.75" customHeight="1">
      <c r="A379" s="474"/>
    </row>
    <row r="380" ht="15.75" customHeight="1">
      <c r="A380" s="474"/>
    </row>
    <row r="381" ht="15.75" customHeight="1">
      <c r="A381" s="474"/>
    </row>
    <row r="382" ht="15.75" customHeight="1">
      <c r="A382" s="474"/>
    </row>
    <row r="383" ht="15.75" customHeight="1">
      <c r="A383" s="474"/>
    </row>
    <row r="384" ht="15.75" customHeight="1">
      <c r="A384" s="474"/>
    </row>
    <row r="385" ht="15.75" customHeight="1">
      <c r="A385" s="474"/>
    </row>
    <row r="386" ht="15.75" customHeight="1">
      <c r="A386" s="474"/>
    </row>
    <row r="387" ht="15.75" customHeight="1">
      <c r="A387" s="474"/>
    </row>
    <row r="388" ht="15.75" customHeight="1">
      <c r="A388" s="474"/>
    </row>
    <row r="389" ht="15.75" customHeight="1">
      <c r="A389" s="474"/>
    </row>
    <row r="390" ht="15.75" customHeight="1">
      <c r="A390" s="474"/>
    </row>
    <row r="391" ht="15.75" customHeight="1">
      <c r="A391" s="474"/>
    </row>
    <row r="392" ht="15.75" customHeight="1">
      <c r="A392" s="474"/>
    </row>
    <row r="393" ht="15.75" customHeight="1">
      <c r="A393" s="474"/>
    </row>
    <row r="394" ht="15.75" customHeight="1">
      <c r="A394" s="474"/>
    </row>
    <row r="395" ht="15.75" customHeight="1">
      <c r="A395" s="474"/>
    </row>
    <row r="396" ht="15.75" customHeight="1">
      <c r="A396" s="474"/>
    </row>
    <row r="397" ht="15.75" customHeight="1">
      <c r="A397" s="474"/>
    </row>
    <row r="398" ht="15.75" customHeight="1">
      <c r="A398" s="474"/>
    </row>
    <row r="399" ht="15.75" customHeight="1">
      <c r="A399" s="474"/>
    </row>
    <row r="400" ht="15.75" customHeight="1">
      <c r="A400" s="474"/>
    </row>
    <row r="401" ht="15.75" customHeight="1">
      <c r="A401" s="474"/>
    </row>
    <row r="402" ht="15.75" customHeight="1">
      <c r="A402" s="474"/>
    </row>
    <row r="403" ht="15.75" customHeight="1">
      <c r="A403" s="474"/>
    </row>
    <row r="404" ht="15.75" customHeight="1">
      <c r="A404" s="474"/>
    </row>
    <row r="405" ht="15.75" customHeight="1">
      <c r="A405" s="474"/>
    </row>
    <row r="406" ht="15.75" customHeight="1">
      <c r="A406" s="474"/>
    </row>
    <row r="407" ht="15.75" customHeight="1">
      <c r="A407" s="474"/>
    </row>
    <row r="408" ht="15.75" customHeight="1">
      <c r="A408" s="474"/>
    </row>
    <row r="409" ht="15.75" customHeight="1">
      <c r="A409" s="474"/>
    </row>
    <row r="410" ht="15.75" customHeight="1">
      <c r="A410" s="474"/>
    </row>
    <row r="411" ht="15.75" customHeight="1">
      <c r="A411" s="474"/>
    </row>
    <row r="412" ht="15.75" customHeight="1">
      <c r="A412" s="474"/>
    </row>
    <row r="413" ht="15.75" customHeight="1">
      <c r="A413" s="474"/>
    </row>
    <row r="414" ht="15.75" customHeight="1">
      <c r="A414" s="474"/>
    </row>
    <row r="415" ht="15.75" customHeight="1">
      <c r="A415" s="474"/>
    </row>
    <row r="416" ht="15.75" customHeight="1">
      <c r="A416" s="474"/>
    </row>
    <row r="417" ht="15.75" customHeight="1">
      <c r="A417" s="474"/>
    </row>
    <row r="418" ht="15.75" customHeight="1">
      <c r="A418" s="474"/>
    </row>
    <row r="419" ht="15.75" customHeight="1">
      <c r="A419" s="474"/>
    </row>
    <row r="420" ht="15.75" customHeight="1">
      <c r="A420" s="474"/>
    </row>
    <row r="421" ht="15.75" customHeight="1">
      <c r="A421" s="474"/>
    </row>
    <row r="422" ht="15.75" customHeight="1">
      <c r="A422" s="474"/>
    </row>
    <row r="423" ht="15.75" customHeight="1">
      <c r="A423" s="474"/>
    </row>
    <row r="424" ht="15.75" customHeight="1">
      <c r="A424" s="474"/>
    </row>
    <row r="425" ht="15.75" customHeight="1">
      <c r="A425" s="474"/>
    </row>
    <row r="426" ht="15.75" customHeight="1">
      <c r="A426" s="474"/>
    </row>
    <row r="427" ht="15.75" customHeight="1">
      <c r="A427" s="474"/>
    </row>
    <row r="428" ht="15.75" customHeight="1">
      <c r="A428" s="474"/>
    </row>
    <row r="429" ht="15.75" customHeight="1">
      <c r="A429" s="474"/>
    </row>
    <row r="430" ht="15.75" customHeight="1">
      <c r="A430" s="474"/>
    </row>
    <row r="431" ht="15.75" customHeight="1">
      <c r="A431" s="474"/>
    </row>
    <row r="432" ht="15.75" customHeight="1">
      <c r="A432" s="474"/>
    </row>
    <row r="433" ht="15.75" customHeight="1">
      <c r="A433" s="474"/>
    </row>
    <row r="434" ht="15.75" customHeight="1">
      <c r="A434" s="474"/>
    </row>
    <row r="435" ht="15.75" customHeight="1">
      <c r="A435" s="474"/>
    </row>
    <row r="436" ht="15.75" customHeight="1">
      <c r="A436" s="474"/>
    </row>
    <row r="437" ht="15.75" customHeight="1">
      <c r="A437" s="474"/>
    </row>
    <row r="438" ht="15.75" customHeight="1">
      <c r="A438" s="474"/>
    </row>
    <row r="439" ht="15.75" customHeight="1">
      <c r="A439" s="474"/>
    </row>
    <row r="440" ht="15.75" customHeight="1">
      <c r="A440" s="474"/>
    </row>
    <row r="441" ht="15.75" customHeight="1">
      <c r="A441" s="474"/>
    </row>
    <row r="442" ht="15.75" customHeight="1">
      <c r="A442" s="474"/>
    </row>
    <row r="443" ht="15.75" customHeight="1">
      <c r="A443" s="474"/>
    </row>
    <row r="444" ht="15.75" customHeight="1">
      <c r="A444" s="474"/>
    </row>
    <row r="445" ht="15.75" customHeight="1">
      <c r="A445" s="474"/>
    </row>
    <row r="446" ht="15.75" customHeight="1">
      <c r="A446" s="474"/>
    </row>
    <row r="447" ht="15.75" customHeight="1">
      <c r="A447" s="474"/>
    </row>
    <row r="448" ht="15.75" customHeight="1">
      <c r="A448" s="474"/>
    </row>
    <row r="449" ht="15.75" customHeight="1">
      <c r="A449" s="474"/>
    </row>
    <row r="450" ht="15.75" customHeight="1">
      <c r="A450" s="474"/>
    </row>
    <row r="451" ht="15.75" customHeight="1">
      <c r="A451" s="474"/>
    </row>
    <row r="452" ht="15.75" customHeight="1">
      <c r="A452" s="474"/>
    </row>
    <row r="453" ht="15.75" customHeight="1">
      <c r="A453" s="474"/>
    </row>
    <row r="454" ht="15.75" customHeight="1">
      <c r="A454" s="474"/>
    </row>
    <row r="455" ht="15.75" customHeight="1">
      <c r="A455" s="474"/>
    </row>
    <row r="456" ht="15.75" customHeight="1">
      <c r="A456" s="474"/>
    </row>
    <row r="457" ht="15.75" customHeight="1">
      <c r="A457" s="474"/>
    </row>
    <row r="458" ht="15.75" customHeight="1">
      <c r="A458" s="474"/>
    </row>
    <row r="459" ht="15.75" customHeight="1">
      <c r="A459" s="474"/>
    </row>
    <row r="460" ht="15.75" customHeight="1">
      <c r="A460" s="474"/>
    </row>
    <row r="461" ht="15.75" customHeight="1">
      <c r="A461" s="474"/>
    </row>
    <row r="462" ht="15.75" customHeight="1">
      <c r="A462" s="474"/>
    </row>
    <row r="463" ht="15.75" customHeight="1">
      <c r="A463" s="474"/>
    </row>
    <row r="464" ht="15.75" customHeight="1">
      <c r="A464" s="474"/>
    </row>
    <row r="465" ht="15.75" customHeight="1">
      <c r="A465" s="474"/>
    </row>
    <row r="466" ht="15.75" customHeight="1">
      <c r="A466" s="474"/>
    </row>
    <row r="467" ht="15.75" customHeight="1">
      <c r="A467" s="474"/>
    </row>
    <row r="468" ht="15.75" customHeight="1">
      <c r="A468" s="474"/>
    </row>
    <row r="469" ht="15.75" customHeight="1">
      <c r="A469" s="474"/>
    </row>
    <row r="470" ht="15.75" customHeight="1">
      <c r="A470" s="474"/>
    </row>
    <row r="471" ht="15.75" customHeight="1">
      <c r="A471" s="474"/>
    </row>
    <row r="472" ht="15.75" customHeight="1">
      <c r="A472" s="474"/>
    </row>
    <row r="473" ht="15.75" customHeight="1">
      <c r="A473" s="474"/>
    </row>
    <row r="474" ht="15.75" customHeight="1">
      <c r="A474" s="474"/>
    </row>
    <row r="475" ht="15.75" customHeight="1">
      <c r="A475" s="474"/>
    </row>
    <row r="476" ht="15.75" customHeight="1">
      <c r="A476" s="474"/>
    </row>
    <row r="477" ht="15.75" customHeight="1">
      <c r="A477" s="474"/>
    </row>
    <row r="478" ht="15.75" customHeight="1">
      <c r="A478" s="474"/>
    </row>
    <row r="479" ht="15.75" customHeight="1">
      <c r="A479" s="474"/>
    </row>
    <row r="480" ht="15.75" customHeight="1">
      <c r="A480" s="474"/>
    </row>
    <row r="481" ht="15.75" customHeight="1">
      <c r="A481" s="474"/>
    </row>
    <row r="482" ht="15.75" customHeight="1">
      <c r="A482" s="474"/>
    </row>
    <row r="483" ht="15.75" customHeight="1">
      <c r="A483" s="474"/>
    </row>
    <row r="484" ht="15.75" customHeight="1">
      <c r="A484" s="474"/>
    </row>
    <row r="485" ht="15.75" customHeight="1">
      <c r="A485" s="474"/>
    </row>
    <row r="486" ht="15.75" customHeight="1">
      <c r="A486" s="474"/>
    </row>
    <row r="487" ht="15.75" customHeight="1">
      <c r="A487" s="474"/>
    </row>
    <row r="488" ht="15.75" customHeight="1">
      <c r="A488" s="474"/>
    </row>
    <row r="489" ht="15.75" customHeight="1">
      <c r="A489" s="474"/>
    </row>
    <row r="490" ht="15.75" customHeight="1">
      <c r="A490" s="474"/>
    </row>
    <row r="491" ht="15.75" customHeight="1">
      <c r="A491" s="474"/>
    </row>
    <row r="492" ht="15.75" customHeight="1">
      <c r="A492" s="474"/>
    </row>
    <row r="493" ht="15.75" customHeight="1">
      <c r="A493" s="474"/>
    </row>
    <row r="494" ht="15.75" customHeight="1">
      <c r="A494" s="474"/>
    </row>
    <row r="495" ht="15.75" customHeight="1">
      <c r="A495" s="474"/>
    </row>
    <row r="496" ht="15.75" customHeight="1">
      <c r="A496" s="474"/>
    </row>
    <row r="497" ht="15.75" customHeight="1">
      <c r="A497" s="474"/>
    </row>
    <row r="498" ht="15.75" customHeight="1">
      <c r="A498" s="474"/>
    </row>
    <row r="499" ht="15.75" customHeight="1">
      <c r="A499" s="474"/>
    </row>
    <row r="500" ht="15.75" customHeight="1">
      <c r="A500" s="474"/>
    </row>
    <row r="501" ht="15.75" customHeight="1">
      <c r="A501" s="474"/>
    </row>
    <row r="502" ht="15.75" customHeight="1">
      <c r="A502" s="474"/>
    </row>
    <row r="503" ht="15.75" customHeight="1">
      <c r="A503" s="474"/>
    </row>
    <row r="504" ht="15.75" customHeight="1">
      <c r="A504" s="474"/>
    </row>
    <row r="505" ht="15.75" customHeight="1">
      <c r="A505" s="474"/>
    </row>
    <row r="506" ht="15.75" customHeight="1">
      <c r="A506" s="474"/>
    </row>
    <row r="507" ht="15.75" customHeight="1">
      <c r="A507" s="474"/>
    </row>
    <row r="508" ht="15.75" customHeight="1">
      <c r="A508" s="474"/>
    </row>
    <row r="509" ht="15.75" customHeight="1">
      <c r="A509" s="474"/>
    </row>
    <row r="510" ht="15.75" customHeight="1">
      <c r="A510" s="474"/>
    </row>
    <row r="511" ht="15.75" customHeight="1">
      <c r="A511" s="474"/>
    </row>
    <row r="512" ht="15.75" customHeight="1">
      <c r="A512" s="474"/>
    </row>
    <row r="513" ht="15.75" customHeight="1">
      <c r="A513" s="474"/>
    </row>
    <row r="514" ht="15.75" customHeight="1">
      <c r="A514" s="474"/>
    </row>
    <row r="515" ht="15.75" customHeight="1">
      <c r="A515" s="474"/>
    </row>
    <row r="516" ht="15.75" customHeight="1">
      <c r="A516" s="474"/>
    </row>
    <row r="517" ht="15.75" customHeight="1">
      <c r="A517" s="474"/>
    </row>
    <row r="518" ht="15.75" customHeight="1">
      <c r="A518" s="474"/>
    </row>
    <row r="519" ht="15.75" customHeight="1">
      <c r="A519" s="474"/>
    </row>
    <row r="520" ht="15.75" customHeight="1">
      <c r="A520" s="474"/>
    </row>
    <row r="521" ht="15.75" customHeight="1">
      <c r="A521" s="474"/>
    </row>
    <row r="522" ht="15.75" customHeight="1">
      <c r="A522" s="474"/>
    </row>
    <row r="523" ht="15.75" customHeight="1">
      <c r="A523" s="474"/>
    </row>
    <row r="524" ht="15.75" customHeight="1">
      <c r="A524" s="474"/>
    </row>
    <row r="525" ht="15.75" customHeight="1">
      <c r="A525" s="474"/>
    </row>
    <row r="526" ht="15.75" customHeight="1">
      <c r="A526" s="474"/>
    </row>
    <row r="527" ht="15.75" customHeight="1">
      <c r="A527" s="474"/>
    </row>
    <row r="528" ht="15.75" customHeight="1">
      <c r="A528" s="474"/>
    </row>
    <row r="529" ht="15.75" customHeight="1">
      <c r="A529" s="474"/>
    </row>
    <row r="530" ht="15.75" customHeight="1">
      <c r="A530" s="474"/>
    </row>
    <row r="531" ht="15.75" customHeight="1">
      <c r="A531" s="474"/>
    </row>
    <row r="532" ht="15.75" customHeight="1">
      <c r="A532" s="474"/>
    </row>
    <row r="533" ht="15.75" customHeight="1">
      <c r="A533" s="474"/>
    </row>
    <row r="534" ht="15.75" customHeight="1">
      <c r="A534" s="474"/>
    </row>
    <row r="535" ht="15.75" customHeight="1">
      <c r="A535" s="474"/>
    </row>
    <row r="536" ht="15.75" customHeight="1">
      <c r="A536" s="474"/>
    </row>
    <row r="537" ht="15.75" customHeight="1">
      <c r="A537" s="474"/>
    </row>
    <row r="538" ht="15.75" customHeight="1">
      <c r="A538" s="474"/>
    </row>
    <row r="539" ht="15.75" customHeight="1">
      <c r="A539" s="474"/>
    </row>
    <row r="540" ht="15.75" customHeight="1">
      <c r="A540" s="474"/>
    </row>
    <row r="541" ht="15.75" customHeight="1">
      <c r="A541" s="474"/>
    </row>
    <row r="542" ht="15.75" customHeight="1">
      <c r="A542" s="474"/>
    </row>
    <row r="543" ht="15.75" customHeight="1">
      <c r="A543" s="474"/>
    </row>
    <row r="544" ht="15.75" customHeight="1">
      <c r="A544" s="474"/>
    </row>
    <row r="545" ht="15.75" customHeight="1">
      <c r="A545" s="474"/>
    </row>
    <row r="546" ht="15.75" customHeight="1">
      <c r="A546" s="474"/>
    </row>
    <row r="547" ht="15.75" customHeight="1">
      <c r="A547" s="474"/>
    </row>
    <row r="548" ht="15.75" customHeight="1">
      <c r="A548" s="474"/>
    </row>
    <row r="549" ht="15.75" customHeight="1">
      <c r="A549" s="474"/>
    </row>
    <row r="550" ht="15.75" customHeight="1">
      <c r="A550" s="474"/>
    </row>
    <row r="551" ht="15.75" customHeight="1">
      <c r="A551" s="474"/>
    </row>
    <row r="552" ht="15.75" customHeight="1">
      <c r="A552" s="474"/>
    </row>
    <row r="553" ht="15.75" customHeight="1">
      <c r="A553" s="474"/>
    </row>
    <row r="554" ht="15.75" customHeight="1">
      <c r="A554" s="474"/>
    </row>
    <row r="555" ht="15.75" customHeight="1">
      <c r="A555" s="474"/>
    </row>
    <row r="556" ht="15.75" customHeight="1">
      <c r="A556" s="474"/>
    </row>
    <row r="557" ht="15.75" customHeight="1">
      <c r="A557" s="474"/>
    </row>
    <row r="558" ht="15.75" customHeight="1">
      <c r="A558" s="474"/>
    </row>
    <row r="559" ht="15.75" customHeight="1">
      <c r="A559" s="474"/>
    </row>
    <row r="560" ht="15.75" customHeight="1">
      <c r="A560" s="474"/>
    </row>
    <row r="561" ht="15.75" customHeight="1">
      <c r="A561" s="474"/>
    </row>
    <row r="562" ht="15.75" customHeight="1">
      <c r="A562" s="474"/>
    </row>
    <row r="563" ht="15.75" customHeight="1">
      <c r="A563" s="474"/>
    </row>
    <row r="564" ht="15.75" customHeight="1">
      <c r="A564" s="474"/>
    </row>
    <row r="565" ht="15.75" customHeight="1">
      <c r="A565" s="474"/>
    </row>
    <row r="566" ht="15.75" customHeight="1">
      <c r="A566" s="474"/>
    </row>
    <row r="567" ht="15.75" customHeight="1">
      <c r="A567" s="474"/>
    </row>
    <row r="568" ht="15.75" customHeight="1">
      <c r="A568" s="474"/>
    </row>
    <row r="569" ht="15.75" customHeight="1">
      <c r="A569" s="474"/>
    </row>
    <row r="570" ht="15.75" customHeight="1">
      <c r="A570" s="474"/>
    </row>
    <row r="571" ht="15.75" customHeight="1">
      <c r="A571" s="474"/>
    </row>
    <row r="572" ht="15.75" customHeight="1">
      <c r="A572" s="474"/>
    </row>
    <row r="573" ht="15.75" customHeight="1">
      <c r="A573" s="474"/>
    </row>
    <row r="574" ht="15.75" customHeight="1">
      <c r="A574" s="474"/>
    </row>
    <row r="575" ht="15.75" customHeight="1">
      <c r="A575" s="474"/>
    </row>
    <row r="576" ht="15.75" customHeight="1">
      <c r="A576" s="474"/>
    </row>
    <row r="577" ht="15.75" customHeight="1">
      <c r="A577" s="474"/>
    </row>
    <row r="578" ht="15.75" customHeight="1">
      <c r="A578" s="474"/>
    </row>
    <row r="579" ht="15.75" customHeight="1">
      <c r="A579" s="474"/>
    </row>
    <row r="580" ht="15.75" customHeight="1">
      <c r="A580" s="474"/>
    </row>
    <row r="581" ht="15.75" customHeight="1">
      <c r="A581" s="474"/>
    </row>
    <row r="582" ht="15.75" customHeight="1">
      <c r="A582" s="474"/>
    </row>
    <row r="583" ht="15.75" customHeight="1">
      <c r="A583" s="474"/>
    </row>
    <row r="584" ht="15.75" customHeight="1">
      <c r="A584" s="474"/>
    </row>
    <row r="585" ht="15.75" customHeight="1">
      <c r="A585" s="474"/>
    </row>
    <row r="586" ht="15.75" customHeight="1">
      <c r="A586" s="474"/>
    </row>
    <row r="587" ht="15.75" customHeight="1">
      <c r="A587" s="474"/>
    </row>
    <row r="588" ht="15.75" customHeight="1">
      <c r="A588" s="474"/>
    </row>
    <row r="589" ht="15.75" customHeight="1">
      <c r="A589" s="474"/>
    </row>
    <row r="590" ht="15.75" customHeight="1">
      <c r="A590" s="474"/>
    </row>
    <row r="591" ht="15.75" customHeight="1">
      <c r="A591" s="474"/>
    </row>
    <row r="592" ht="15.75" customHeight="1">
      <c r="A592" s="474"/>
    </row>
    <row r="593" ht="15.75" customHeight="1">
      <c r="A593" s="474"/>
    </row>
    <row r="594" ht="15.75" customHeight="1">
      <c r="A594" s="474"/>
    </row>
    <row r="595" ht="15.75" customHeight="1">
      <c r="A595" s="474"/>
    </row>
    <row r="596" ht="15.75" customHeight="1">
      <c r="A596" s="474"/>
    </row>
    <row r="597" ht="15.75" customHeight="1">
      <c r="A597" s="474"/>
    </row>
    <row r="598" ht="15.75" customHeight="1">
      <c r="A598" s="474"/>
    </row>
    <row r="599" ht="15.75" customHeight="1">
      <c r="A599" s="474"/>
    </row>
    <row r="600" ht="15.75" customHeight="1">
      <c r="A600" s="474"/>
    </row>
    <row r="601" ht="15.75" customHeight="1">
      <c r="A601" s="474"/>
    </row>
    <row r="602" ht="15.75" customHeight="1">
      <c r="A602" s="474"/>
    </row>
    <row r="603" ht="15.75" customHeight="1">
      <c r="A603" s="474"/>
    </row>
    <row r="604" ht="15.75" customHeight="1">
      <c r="A604" s="474"/>
    </row>
    <row r="605" ht="15.75" customHeight="1">
      <c r="A605" s="474"/>
    </row>
    <row r="606" ht="15.75" customHeight="1">
      <c r="A606" s="474"/>
    </row>
    <row r="607" ht="15.75" customHeight="1">
      <c r="A607" s="474"/>
    </row>
    <row r="608" ht="15.75" customHeight="1">
      <c r="A608" s="474"/>
    </row>
    <row r="609" ht="15.75" customHeight="1">
      <c r="A609" s="474"/>
    </row>
    <row r="610" ht="15.75" customHeight="1">
      <c r="A610" s="474"/>
    </row>
    <row r="611" ht="15.75" customHeight="1">
      <c r="A611" s="474"/>
    </row>
    <row r="612" ht="15.75" customHeight="1">
      <c r="A612" s="474"/>
    </row>
    <row r="613" ht="15.75" customHeight="1">
      <c r="A613" s="474"/>
    </row>
    <row r="614" ht="15.75" customHeight="1">
      <c r="A614" s="474"/>
    </row>
    <row r="615" ht="15.75" customHeight="1">
      <c r="A615" s="474"/>
    </row>
    <row r="616" ht="15.75" customHeight="1">
      <c r="A616" s="474"/>
    </row>
    <row r="617" ht="15.75" customHeight="1">
      <c r="A617" s="474"/>
    </row>
    <row r="618" ht="15.75" customHeight="1">
      <c r="A618" s="474"/>
    </row>
    <row r="619" ht="15.75" customHeight="1">
      <c r="A619" s="474"/>
    </row>
    <row r="620" ht="15.75" customHeight="1">
      <c r="A620" s="474"/>
    </row>
    <row r="621" ht="15.75" customHeight="1">
      <c r="A621" s="474"/>
    </row>
    <row r="622" ht="15.75" customHeight="1">
      <c r="A622" s="474"/>
    </row>
    <row r="623" ht="15.75" customHeight="1">
      <c r="A623" s="474"/>
    </row>
    <row r="624" ht="15.75" customHeight="1">
      <c r="A624" s="474"/>
    </row>
    <row r="625" ht="15.75" customHeight="1">
      <c r="A625" s="474"/>
    </row>
    <row r="626" ht="15.75" customHeight="1">
      <c r="A626" s="474"/>
    </row>
    <row r="627" ht="15.75" customHeight="1">
      <c r="A627" s="474"/>
    </row>
    <row r="628" ht="15.75" customHeight="1">
      <c r="A628" s="474"/>
    </row>
    <row r="629" ht="15.75" customHeight="1">
      <c r="A629" s="474"/>
    </row>
    <row r="630" ht="15.75" customHeight="1">
      <c r="A630" s="474"/>
    </row>
    <row r="631" ht="15.75" customHeight="1">
      <c r="A631" s="474"/>
    </row>
    <row r="632" ht="15.75" customHeight="1">
      <c r="A632" s="474"/>
    </row>
    <row r="633" ht="15.75" customHeight="1">
      <c r="A633" s="474"/>
    </row>
    <row r="634" ht="15.75" customHeight="1">
      <c r="A634" s="474"/>
    </row>
    <row r="635" ht="15.75" customHeight="1">
      <c r="A635" s="474"/>
    </row>
    <row r="636" ht="15.75" customHeight="1">
      <c r="A636" s="474"/>
    </row>
    <row r="637" ht="15.75" customHeight="1">
      <c r="A637" s="474"/>
    </row>
    <row r="638" ht="15.75" customHeight="1">
      <c r="A638" s="474"/>
    </row>
    <row r="639" ht="15.75" customHeight="1">
      <c r="A639" s="474"/>
    </row>
    <row r="640" ht="15.75" customHeight="1">
      <c r="A640" s="474"/>
    </row>
    <row r="641" ht="15.75" customHeight="1">
      <c r="A641" s="474"/>
    </row>
    <row r="642" ht="15.75" customHeight="1">
      <c r="A642" s="474"/>
    </row>
    <row r="643" ht="15.75" customHeight="1">
      <c r="A643" s="474"/>
    </row>
    <row r="644" ht="15.75" customHeight="1">
      <c r="A644" s="474"/>
    </row>
    <row r="645" ht="15.75" customHeight="1">
      <c r="A645" s="474"/>
    </row>
    <row r="646" ht="15.75" customHeight="1">
      <c r="A646" s="474"/>
    </row>
    <row r="647" ht="15.75" customHeight="1">
      <c r="A647" s="474"/>
    </row>
    <row r="648" ht="15.75" customHeight="1">
      <c r="A648" s="474"/>
    </row>
    <row r="649" ht="15.75" customHeight="1">
      <c r="A649" s="474"/>
    </row>
    <row r="650" ht="15.75" customHeight="1">
      <c r="A650" s="474"/>
    </row>
    <row r="651" ht="15.75" customHeight="1">
      <c r="A651" s="474"/>
    </row>
    <row r="652" ht="15.75" customHeight="1">
      <c r="A652" s="474"/>
    </row>
    <row r="653" ht="15.75" customHeight="1">
      <c r="A653" s="474"/>
    </row>
    <row r="654" ht="15.75" customHeight="1">
      <c r="A654" s="474"/>
    </row>
    <row r="655" ht="15.75" customHeight="1">
      <c r="A655" s="474"/>
    </row>
    <row r="656" ht="15.75" customHeight="1">
      <c r="A656" s="474"/>
    </row>
    <row r="657" ht="15.75" customHeight="1">
      <c r="A657" s="474"/>
    </row>
    <row r="658" ht="15.75" customHeight="1">
      <c r="A658" s="474"/>
    </row>
    <row r="659" ht="15.75" customHeight="1">
      <c r="A659" s="474"/>
    </row>
    <row r="660" ht="15.75" customHeight="1">
      <c r="A660" s="474"/>
    </row>
    <row r="661" ht="15.75" customHeight="1">
      <c r="A661" s="474"/>
    </row>
    <row r="662" ht="15.75" customHeight="1">
      <c r="A662" s="474"/>
    </row>
    <row r="663" ht="15.75" customHeight="1">
      <c r="A663" s="474"/>
    </row>
    <row r="664" ht="15.75" customHeight="1">
      <c r="A664" s="474"/>
    </row>
    <row r="665" ht="15.75" customHeight="1">
      <c r="A665" s="474"/>
    </row>
    <row r="666" ht="15.75" customHeight="1">
      <c r="A666" s="474"/>
    </row>
    <row r="667" ht="15.75" customHeight="1">
      <c r="A667" s="474"/>
    </row>
    <row r="668" ht="15.75" customHeight="1">
      <c r="A668" s="474"/>
    </row>
    <row r="669" ht="15.75" customHeight="1">
      <c r="A669" s="474"/>
    </row>
    <row r="670" ht="15.75" customHeight="1">
      <c r="A670" s="474"/>
    </row>
    <row r="671" ht="15.75" customHeight="1">
      <c r="A671" s="474"/>
    </row>
    <row r="672" ht="15.75" customHeight="1">
      <c r="A672" s="474"/>
    </row>
    <row r="673" ht="15.75" customHeight="1">
      <c r="A673" s="474"/>
    </row>
    <row r="674" ht="15.75" customHeight="1">
      <c r="A674" s="474"/>
    </row>
    <row r="675" ht="15.75" customHeight="1">
      <c r="A675" s="474"/>
    </row>
    <row r="676" ht="15.75" customHeight="1">
      <c r="A676" s="474"/>
    </row>
    <row r="677" ht="15.75" customHeight="1">
      <c r="A677" s="474"/>
    </row>
    <row r="678" ht="15.75" customHeight="1">
      <c r="A678" s="474"/>
    </row>
    <row r="679" ht="15.75" customHeight="1">
      <c r="A679" s="474"/>
    </row>
    <row r="680" ht="15.75" customHeight="1">
      <c r="A680" s="474"/>
    </row>
    <row r="681" ht="15.75" customHeight="1">
      <c r="A681" s="474"/>
    </row>
    <row r="682" ht="15.75" customHeight="1">
      <c r="A682" s="474"/>
    </row>
    <row r="683" ht="15.75" customHeight="1">
      <c r="A683" s="474"/>
    </row>
    <row r="684" ht="15.75" customHeight="1">
      <c r="A684" s="474"/>
    </row>
    <row r="685" ht="15.75" customHeight="1">
      <c r="A685" s="474"/>
    </row>
    <row r="686" ht="15.75" customHeight="1">
      <c r="A686" s="474"/>
    </row>
    <row r="687" ht="15.75" customHeight="1">
      <c r="A687" s="474"/>
    </row>
    <row r="688" ht="15.75" customHeight="1">
      <c r="A688" s="474"/>
    </row>
    <row r="689" ht="15.75" customHeight="1">
      <c r="A689" s="474"/>
    </row>
    <row r="690" ht="15.75" customHeight="1">
      <c r="A690" s="474"/>
    </row>
    <row r="691" ht="15.75" customHeight="1">
      <c r="A691" s="474"/>
    </row>
    <row r="692" ht="15.75" customHeight="1">
      <c r="A692" s="474"/>
    </row>
    <row r="693" ht="15.75" customHeight="1">
      <c r="A693" s="474"/>
    </row>
    <row r="694" ht="15.75" customHeight="1">
      <c r="A694" s="474"/>
    </row>
    <row r="695" ht="15.75" customHeight="1">
      <c r="A695" s="474"/>
    </row>
    <row r="696" ht="15.75" customHeight="1">
      <c r="A696" s="474"/>
    </row>
    <row r="697" ht="15.75" customHeight="1">
      <c r="A697" s="474"/>
    </row>
    <row r="698" ht="15.75" customHeight="1">
      <c r="A698" s="474"/>
    </row>
    <row r="699" ht="15.75" customHeight="1">
      <c r="A699" s="474"/>
    </row>
    <row r="700" ht="15.75" customHeight="1">
      <c r="A700" s="474"/>
    </row>
    <row r="701" ht="15.75" customHeight="1">
      <c r="A701" s="474"/>
    </row>
    <row r="702" ht="15.75" customHeight="1">
      <c r="A702" s="474"/>
    </row>
    <row r="703" ht="15.75" customHeight="1">
      <c r="A703" s="474"/>
    </row>
    <row r="704" ht="15.75" customHeight="1">
      <c r="A704" s="474"/>
    </row>
    <row r="705" ht="15.75" customHeight="1">
      <c r="A705" s="474"/>
    </row>
    <row r="706" ht="15.75" customHeight="1">
      <c r="A706" s="474"/>
    </row>
    <row r="707" ht="15.75" customHeight="1">
      <c r="A707" s="474"/>
    </row>
    <row r="708" ht="15.75" customHeight="1">
      <c r="A708" s="474"/>
    </row>
    <row r="709" ht="15.75" customHeight="1">
      <c r="A709" s="474"/>
    </row>
    <row r="710" ht="15.75" customHeight="1">
      <c r="A710" s="474"/>
    </row>
    <row r="711" ht="15.75" customHeight="1">
      <c r="A711" s="474"/>
    </row>
    <row r="712" ht="15.75" customHeight="1">
      <c r="A712" s="474"/>
    </row>
    <row r="713" ht="15.75" customHeight="1">
      <c r="A713" s="474"/>
    </row>
    <row r="714" ht="15.75" customHeight="1">
      <c r="A714" s="474"/>
    </row>
    <row r="715" ht="15.75" customHeight="1">
      <c r="A715" s="474"/>
    </row>
    <row r="716" ht="15.75" customHeight="1">
      <c r="A716" s="474"/>
    </row>
    <row r="717" ht="15.75" customHeight="1">
      <c r="A717" s="474"/>
    </row>
    <row r="718" ht="15.75" customHeight="1">
      <c r="A718" s="474"/>
    </row>
    <row r="719" ht="15.75" customHeight="1">
      <c r="A719" s="474"/>
    </row>
    <row r="720" ht="15.75" customHeight="1">
      <c r="A720" s="474"/>
    </row>
    <row r="721" ht="15.75" customHeight="1">
      <c r="A721" s="474"/>
    </row>
    <row r="722" ht="15.75" customHeight="1">
      <c r="A722" s="474"/>
    </row>
    <row r="723" ht="15.75" customHeight="1">
      <c r="A723" s="474"/>
    </row>
    <row r="724" ht="15.75" customHeight="1">
      <c r="A724" s="474"/>
    </row>
    <row r="725" ht="15.75" customHeight="1">
      <c r="A725" s="474"/>
    </row>
    <row r="726" ht="15.75" customHeight="1">
      <c r="A726" s="474"/>
    </row>
    <row r="727" ht="15.75" customHeight="1">
      <c r="A727" s="474"/>
    </row>
    <row r="728" ht="15.75" customHeight="1">
      <c r="A728" s="474"/>
    </row>
    <row r="729" ht="15.75" customHeight="1">
      <c r="A729" s="474"/>
    </row>
    <row r="730" ht="15.75" customHeight="1">
      <c r="A730" s="474"/>
    </row>
    <row r="731" ht="15.75" customHeight="1">
      <c r="A731" s="474"/>
    </row>
    <row r="732" ht="15.75" customHeight="1">
      <c r="A732" s="474"/>
    </row>
    <row r="733" ht="15.75" customHeight="1">
      <c r="A733" s="474"/>
    </row>
    <row r="734" ht="15.75" customHeight="1">
      <c r="A734" s="474"/>
    </row>
    <row r="735" ht="15.75" customHeight="1">
      <c r="A735" s="474"/>
    </row>
    <row r="736" ht="15.75" customHeight="1">
      <c r="A736" s="474"/>
    </row>
    <row r="737" ht="15.75" customHeight="1">
      <c r="A737" s="474"/>
    </row>
    <row r="738" ht="15.75" customHeight="1">
      <c r="A738" s="474"/>
    </row>
    <row r="739" ht="15.75" customHeight="1">
      <c r="A739" s="474"/>
    </row>
    <row r="740" ht="15.75" customHeight="1">
      <c r="A740" s="474"/>
    </row>
    <row r="741" ht="15.75" customHeight="1">
      <c r="A741" s="474"/>
    </row>
    <row r="742" ht="15.75" customHeight="1">
      <c r="A742" s="474"/>
    </row>
    <row r="743" ht="15.75" customHeight="1">
      <c r="A743" s="474"/>
    </row>
    <row r="744" ht="15.75" customHeight="1">
      <c r="A744" s="474"/>
    </row>
    <row r="745" ht="15.75" customHeight="1">
      <c r="A745" s="474"/>
    </row>
    <row r="746" ht="15.75" customHeight="1">
      <c r="A746" s="474"/>
    </row>
    <row r="747" ht="15.75" customHeight="1">
      <c r="A747" s="474"/>
    </row>
    <row r="748" ht="15.75" customHeight="1">
      <c r="A748" s="474"/>
    </row>
    <row r="749" ht="15.75" customHeight="1">
      <c r="A749" s="474"/>
    </row>
    <row r="750" ht="15.75" customHeight="1">
      <c r="A750" s="474"/>
    </row>
    <row r="751" ht="15.75" customHeight="1">
      <c r="A751" s="474"/>
    </row>
    <row r="752" ht="15.75" customHeight="1">
      <c r="A752" s="474"/>
    </row>
    <row r="753" ht="15.75" customHeight="1">
      <c r="A753" s="474"/>
    </row>
    <row r="754" ht="15.75" customHeight="1">
      <c r="A754" s="474"/>
    </row>
    <row r="755" ht="15.75" customHeight="1">
      <c r="A755" s="474"/>
    </row>
    <row r="756" ht="15.75" customHeight="1">
      <c r="A756" s="474"/>
    </row>
    <row r="757" ht="15.75" customHeight="1">
      <c r="A757" s="474"/>
    </row>
    <row r="758" ht="15.75" customHeight="1">
      <c r="A758" s="474"/>
    </row>
    <row r="759" ht="15.75" customHeight="1">
      <c r="A759" s="474"/>
    </row>
    <row r="760" ht="15.75" customHeight="1">
      <c r="A760" s="474"/>
    </row>
    <row r="761" ht="15.75" customHeight="1">
      <c r="A761" s="474"/>
    </row>
    <row r="762" ht="15.75" customHeight="1">
      <c r="A762" s="474"/>
    </row>
    <row r="763" ht="15.75" customHeight="1">
      <c r="A763" s="474"/>
    </row>
    <row r="764" ht="15.75" customHeight="1">
      <c r="A764" s="474"/>
    </row>
    <row r="765" ht="15.75" customHeight="1">
      <c r="A765" s="474"/>
    </row>
    <row r="766" ht="15.75" customHeight="1">
      <c r="A766" s="474"/>
    </row>
    <row r="767" ht="15.75" customHeight="1">
      <c r="A767" s="474"/>
    </row>
    <row r="768" ht="15.75" customHeight="1">
      <c r="A768" s="474"/>
    </row>
    <row r="769" ht="15.75" customHeight="1">
      <c r="A769" s="474"/>
    </row>
    <row r="770" ht="15.75" customHeight="1">
      <c r="A770" s="474"/>
    </row>
    <row r="771" ht="15.75" customHeight="1">
      <c r="A771" s="474"/>
    </row>
    <row r="772" ht="15.75" customHeight="1">
      <c r="A772" s="474"/>
    </row>
    <row r="773" ht="15.75" customHeight="1">
      <c r="A773" s="474"/>
    </row>
    <row r="774" ht="15.75" customHeight="1">
      <c r="A774" s="474"/>
    </row>
    <row r="775" ht="15.75" customHeight="1">
      <c r="A775" s="474"/>
    </row>
    <row r="776" ht="15.75" customHeight="1">
      <c r="A776" s="474"/>
    </row>
    <row r="777" ht="15.75" customHeight="1">
      <c r="A777" s="474"/>
    </row>
    <row r="778" ht="15.75" customHeight="1">
      <c r="A778" s="474"/>
    </row>
    <row r="779" ht="15.75" customHeight="1">
      <c r="A779" s="474"/>
    </row>
    <row r="780" ht="15.75" customHeight="1">
      <c r="A780" s="474"/>
    </row>
    <row r="781" ht="15.75" customHeight="1">
      <c r="A781" s="474"/>
    </row>
    <row r="782" ht="15.75" customHeight="1">
      <c r="A782" s="474"/>
    </row>
    <row r="783" ht="15.75" customHeight="1">
      <c r="A783" s="474"/>
    </row>
    <row r="784" ht="15.75" customHeight="1">
      <c r="A784" s="474"/>
    </row>
    <row r="785" ht="15.75" customHeight="1">
      <c r="A785" s="474"/>
    </row>
    <row r="786" ht="15.75" customHeight="1">
      <c r="A786" s="474"/>
    </row>
    <row r="787" ht="15.75" customHeight="1">
      <c r="A787" s="474"/>
    </row>
    <row r="788" ht="15.75" customHeight="1">
      <c r="A788" s="474"/>
    </row>
    <row r="789" ht="15.75" customHeight="1">
      <c r="A789" s="474"/>
    </row>
    <row r="790" ht="15.75" customHeight="1">
      <c r="A790" s="474"/>
    </row>
    <row r="791" ht="15.75" customHeight="1">
      <c r="A791" s="474"/>
    </row>
    <row r="792" ht="15.75" customHeight="1">
      <c r="A792" s="474"/>
    </row>
    <row r="793" ht="15.75" customHeight="1">
      <c r="A793" s="474"/>
    </row>
    <row r="794" ht="15.75" customHeight="1">
      <c r="A794" s="474"/>
    </row>
    <row r="795" ht="15.75" customHeight="1">
      <c r="A795" s="474"/>
    </row>
    <row r="796" ht="15.75" customHeight="1">
      <c r="A796" s="474"/>
    </row>
    <row r="797" ht="15.75" customHeight="1">
      <c r="A797" s="474"/>
    </row>
    <row r="798" ht="15.75" customHeight="1">
      <c r="A798" s="474"/>
    </row>
    <row r="799" ht="15.75" customHeight="1">
      <c r="A799" s="474"/>
    </row>
    <row r="800" ht="15.75" customHeight="1">
      <c r="A800" s="474"/>
    </row>
    <row r="801" ht="15.75" customHeight="1">
      <c r="A801" s="474"/>
    </row>
    <row r="802" ht="15.75" customHeight="1">
      <c r="A802" s="474"/>
    </row>
    <row r="803" ht="15.75" customHeight="1">
      <c r="A803" s="474"/>
    </row>
    <row r="804" ht="15.75" customHeight="1">
      <c r="A804" s="474"/>
    </row>
    <row r="805" ht="15.75" customHeight="1">
      <c r="A805" s="474"/>
    </row>
    <row r="806" ht="15.75" customHeight="1">
      <c r="A806" s="474"/>
    </row>
    <row r="807" ht="15.75" customHeight="1">
      <c r="A807" s="474"/>
    </row>
    <row r="808" ht="15.75" customHeight="1">
      <c r="A808" s="474"/>
    </row>
    <row r="809" ht="15.75" customHeight="1">
      <c r="A809" s="474"/>
    </row>
    <row r="810" ht="15.75" customHeight="1">
      <c r="A810" s="474"/>
    </row>
    <row r="811" ht="15.75" customHeight="1">
      <c r="A811" s="474"/>
    </row>
    <row r="812" ht="15.75" customHeight="1">
      <c r="A812" s="474"/>
    </row>
    <row r="813" ht="15.75" customHeight="1">
      <c r="A813" s="474"/>
    </row>
    <row r="814" ht="15.75" customHeight="1">
      <c r="A814" s="474"/>
    </row>
    <row r="815" ht="15.75" customHeight="1">
      <c r="A815" s="474"/>
    </row>
    <row r="816" ht="15.75" customHeight="1">
      <c r="A816" s="474"/>
    </row>
    <row r="817" ht="15.75" customHeight="1">
      <c r="A817" s="474"/>
    </row>
    <row r="818" ht="15.75" customHeight="1">
      <c r="A818" s="474"/>
    </row>
    <row r="819" ht="15.75" customHeight="1">
      <c r="A819" s="474"/>
    </row>
    <row r="820" ht="15.75" customHeight="1">
      <c r="A820" s="474"/>
    </row>
    <row r="821" ht="15.75" customHeight="1">
      <c r="A821" s="474"/>
    </row>
    <row r="822" ht="15.75" customHeight="1">
      <c r="A822" s="474"/>
    </row>
    <row r="823" ht="15.75" customHeight="1">
      <c r="A823" s="474"/>
    </row>
    <row r="824" ht="15.75" customHeight="1">
      <c r="A824" s="474"/>
    </row>
    <row r="825" ht="15.75" customHeight="1">
      <c r="A825" s="474"/>
    </row>
    <row r="826" ht="15.75" customHeight="1">
      <c r="A826" s="474"/>
    </row>
    <row r="827" ht="15.75" customHeight="1">
      <c r="A827" s="474"/>
    </row>
    <row r="828" ht="15.75" customHeight="1">
      <c r="A828" s="474"/>
    </row>
    <row r="829" ht="15.75" customHeight="1">
      <c r="A829" s="474"/>
    </row>
    <row r="830" ht="15.75" customHeight="1">
      <c r="A830" s="474"/>
    </row>
    <row r="831" ht="15.75" customHeight="1">
      <c r="A831" s="474"/>
    </row>
    <row r="832" ht="15.75" customHeight="1">
      <c r="A832" s="474"/>
    </row>
    <row r="833" ht="15.75" customHeight="1">
      <c r="A833" s="474"/>
    </row>
    <row r="834" ht="15.75" customHeight="1">
      <c r="A834" s="474"/>
    </row>
    <row r="835" ht="15.75" customHeight="1">
      <c r="A835" s="474"/>
    </row>
    <row r="836" ht="15.75" customHeight="1">
      <c r="A836" s="474"/>
    </row>
    <row r="837" ht="15.75" customHeight="1">
      <c r="A837" s="474"/>
    </row>
    <row r="838" ht="15.75" customHeight="1">
      <c r="A838" s="474"/>
    </row>
    <row r="839" ht="15.75" customHeight="1">
      <c r="A839" s="474"/>
    </row>
    <row r="840" ht="15.75" customHeight="1">
      <c r="A840" s="474"/>
    </row>
    <row r="841" ht="15.75" customHeight="1">
      <c r="A841" s="474"/>
    </row>
    <row r="842" ht="15.75" customHeight="1">
      <c r="A842" s="474"/>
    </row>
    <row r="843" ht="15.75" customHeight="1">
      <c r="A843" s="474"/>
    </row>
    <row r="844" ht="15.75" customHeight="1">
      <c r="A844" s="474"/>
    </row>
    <row r="845" ht="15.75" customHeight="1">
      <c r="A845" s="474"/>
    </row>
    <row r="846" ht="15.75" customHeight="1">
      <c r="A846" s="474"/>
    </row>
    <row r="847" ht="15.75" customHeight="1">
      <c r="A847" s="474"/>
    </row>
    <row r="848" ht="15.75" customHeight="1">
      <c r="A848" s="474"/>
    </row>
    <row r="849" ht="15.75" customHeight="1">
      <c r="A849" s="474"/>
    </row>
    <row r="850" ht="15.75" customHeight="1">
      <c r="A850" s="474"/>
    </row>
    <row r="851" ht="15.75" customHeight="1">
      <c r="A851" s="474"/>
    </row>
    <row r="852" ht="15.75" customHeight="1">
      <c r="A852" s="474"/>
    </row>
    <row r="853" ht="15.75" customHeight="1">
      <c r="A853" s="474"/>
    </row>
    <row r="854" ht="15.75" customHeight="1">
      <c r="A854" s="474"/>
    </row>
    <row r="855" ht="15.75" customHeight="1">
      <c r="A855" s="474"/>
    </row>
    <row r="856" ht="15.75" customHeight="1">
      <c r="A856" s="474"/>
    </row>
    <row r="857" ht="15.75" customHeight="1">
      <c r="A857" s="474"/>
    </row>
    <row r="858" ht="15.75" customHeight="1">
      <c r="A858" s="474"/>
    </row>
    <row r="859" ht="15.75" customHeight="1">
      <c r="A859" s="474"/>
    </row>
    <row r="860" ht="15.75" customHeight="1">
      <c r="A860" s="474"/>
    </row>
    <row r="861" ht="15.75" customHeight="1">
      <c r="A861" s="474"/>
    </row>
    <row r="862" ht="15.75" customHeight="1">
      <c r="A862" s="474"/>
    </row>
    <row r="863" ht="15.75" customHeight="1">
      <c r="A863" s="474"/>
    </row>
    <row r="864" ht="15.75" customHeight="1">
      <c r="A864" s="474"/>
    </row>
    <row r="865" ht="15.75" customHeight="1">
      <c r="A865" s="474"/>
    </row>
    <row r="866" ht="15.75" customHeight="1">
      <c r="A866" s="474"/>
    </row>
    <row r="867" ht="15.75" customHeight="1">
      <c r="A867" s="474"/>
    </row>
    <row r="868" ht="15.75" customHeight="1">
      <c r="A868" s="474"/>
    </row>
    <row r="869" ht="15.75" customHeight="1">
      <c r="A869" s="474"/>
    </row>
    <row r="870" ht="15.75" customHeight="1">
      <c r="A870" s="474"/>
    </row>
    <row r="871" ht="15.75" customHeight="1">
      <c r="A871" s="474"/>
    </row>
    <row r="872" ht="15.75" customHeight="1">
      <c r="A872" s="474"/>
    </row>
    <row r="873" ht="15.75" customHeight="1">
      <c r="A873" s="474"/>
    </row>
    <row r="874" ht="15.75" customHeight="1">
      <c r="A874" s="474"/>
    </row>
    <row r="875" ht="15.75" customHeight="1">
      <c r="A875" s="474"/>
    </row>
    <row r="876" ht="15.75" customHeight="1">
      <c r="A876" s="474"/>
    </row>
    <row r="877" ht="15.75" customHeight="1">
      <c r="A877" s="474"/>
    </row>
    <row r="878" ht="15.75" customHeight="1">
      <c r="A878" s="474"/>
    </row>
    <row r="879" ht="15.75" customHeight="1">
      <c r="A879" s="474"/>
    </row>
    <row r="880" ht="15.75" customHeight="1">
      <c r="A880" s="474"/>
    </row>
    <row r="881" ht="15.75" customHeight="1">
      <c r="A881" s="474"/>
    </row>
    <row r="882" ht="15.75" customHeight="1">
      <c r="A882" s="474"/>
    </row>
    <row r="883" ht="15.75" customHeight="1">
      <c r="A883" s="474"/>
    </row>
    <row r="884" ht="15.75" customHeight="1">
      <c r="A884" s="474"/>
    </row>
    <row r="885" ht="15.75" customHeight="1">
      <c r="A885" s="474"/>
    </row>
    <row r="886" ht="15.75" customHeight="1">
      <c r="A886" s="474"/>
    </row>
    <row r="887" ht="15.75" customHeight="1">
      <c r="A887" s="474"/>
    </row>
    <row r="888" ht="15.75" customHeight="1">
      <c r="A888" s="474"/>
    </row>
    <row r="889" ht="15.75" customHeight="1">
      <c r="A889" s="474"/>
    </row>
    <row r="890" ht="15.75" customHeight="1">
      <c r="A890" s="474"/>
    </row>
    <row r="891" ht="15.75" customHeight="1">
      <c r="A891" s="474"/>
    </row>
    <row r="892" ht="15.75" customHeight="1">
      <c r="A892" s="474"/>
    </row>
    <row r="893" ht="15.75" customHeight="1">
      <c r="A893" s="474"/>
    </row>
    <row r="894" ht="15.75" customHeight="1">
      <c r="A894" s="474"/>
    </row>
    <row r="895" ht="15.75" customHeight="1">
      <c r="A895" s="474"/>
    </row>
    <row r="896" ht="15.75" customHeight="1">
      <c r="A896" s="474"/>
    </row>
    <row r="897" ht="15.75" customHeight="1">
      <c r="A897" s="474"/>
    </row>
    <row r="898" ht="15.75" customHeight="1">
      <c r="A898" s="474"/>
    </row>
    <row r="899" ht="15.75" customHeight="1">
      <c r="A899" s="474"/>
    </row>
    <row r="900" ht="15.75" customHeight="1">
      <c r="A900" s="474"/>
    </row>
    <row r="901" ht="15.75" customHeight="1">
      <c r="A901" s="474"/>
    </row>
    <row r="902" ht="15.75" customHeight="1">
      <c r="A902" s="474"/>
    </row>
    <row r="903" ht="15.75" customHeight="1">
      <c r="A903" s="474"/>
    </row>
    <row r="904" ht="15.75" customHeight="1">
      <c r="A904" s="474"/>
    </row>
    <row r="905" ht="15.75" customHeight="1">
      <c r="A905" s="474"/>
    </row>
    <row r="906" ht="15.75" customHeight="1">
      <c r="A906" s="474"/>
    </row>
    <row r="907" ht="15.75" customHeight="1">
      <c r="A907" s="474"/>
    </row>
    <row r="908" ht="15.75" customHeight="1">
      <c r="A908" s="474"/>
    </row>
    <row r="909" ht="15.75" customHeight="1">
      <c r="A909" s="474"/>
    </row>
    <row r="910" ht="15.75" customHeight="1">
      <c r="A910" s="474"/>
    </row>
    <row r="911" ht="15.75" customHeight="1">
      <c r="A911" s="474"/>
    </row>
    <row r="912" ht="15.75" customHeight="1">
      <c r="A912" s="474"/>
    </row>
    <row r="913" ht="15.75" customHeight="1">
      <c r="A913" s="474"/>
    </row>
    <row r="914" ht="15.75" customHeight="1">
      <c r="A914" s="474"/>
    </row>
    <row r="915" ht="15.75" customHeight="1">
      <c r="A915" s="474"/>
    </row>
    <row r="916" ht="15.75" customHeight="1">
      <c r="A916" s="474"/>
    </row>
    <row r="917" ht="15.75" customHeight="1">
      <c r="A917" s="474"/>
    </row>
    <row r="918" ht="15.75" customHeight="1">
      <c r="A918" s="474"/>
    </row>
    <row r="919" ht="15.75" customHeight="1">
      <c r="A919" s="474"/>
    </row>
    <row r="920" ht="15.75" customHeight="1">
      <c r="A920" s="474"/>
    </row>
    <row r="921" ht="15.75" customHeight="1">
      <c r="A921" s="474"/>
    </row>
    <row r="922" ht="15.75" customHeight="1">
      <c r="A922" s="474"/>
    </row>
    <row r="923" ht="15.75" customHeight="1">
      <c r="A923" s="474"/>
    </row>
    <row r="924" ht="15.75" customHeight="1">
      <c r="A924" s="474"/>
    </row>
    <row r="925" ht="15.75" customHeight="1">
      <c r="A925" s="474"/>
    </row>
    <row r="926" ht="15.75" customHeight="1">
      <c r="A926" s="474"/>
    </row>
    <row r="927" ht="15.75" customHeight="1">
      <c r="A927" s="474"/>
    </row>
    <row r="928" ht="15.75" customHeight="1">
      <c r="A928" s="474"/>
    </row>
    <row r="929" ht="15.75" customHeight="1">
      <c r="A929" s="474"/>
    </row>
    <row r="930" ht="15.75" customHeight="1">
      <c r="A930" s="474"/>
    </row>
    <row r="931" ht="15.75" customHeight="1">
      <c r="A931" s="474"/>
    </row>
    <row r="932" ht="15.75" customHeight="1">
      <c r="A932" s="474"/>
    </row>
    <row r="933" ht="15.75" customHeight="1">
      <c r="A933" s="474"/>
    </row>
    <row r="934" ht="15.75" customHeight="1">
      <c r="A934" s="474"/>
    </row>
    <row r="935" ht="15.75" customHeight="1">
      <c r="A935" s="474"/>
    </row>
    <row r="936" ht="15.75" customHeight="1">
      <c r="A936" s="474"/>
    </row>
    <row r="937" ht="15.75" customHeight="1">
      <c r="A937" s="474"/>
    </row>
    <row r="938" ht="15.75" customHeight="1">
      <c r="A938" s="474"/>
    </row>
    <row r="939" ht="15.75" customHeight="1">
      <c r="A939" s="474"/>
    </row>
    <row r="940" ht="15.75" customHeight="1">
      <c r="A940" s="474"/>
    </row>
    <row r="941" ht="15.75" customHeight="1">
      <c r="A941" s="474"/>
    </row>
    <row r="942" ht="15.75" customHeight="1">
      <c r="A942" s="474"/>
    </row>
    <row r="943" ht="15.75" customHeight="1">
      <c r="A943" s="474"/>
    </row>
    <row r="944" ht="15.75" customHeight="1">
      <c r="A944" s="474"/>
    </row>
    <row r="945" ht="15.75" customHeight="1">
      <c r="A945" s="474"/>
    </row>
    <row r="946" ht="15.75" customHeight="1">
      <c r="A946" s="474"/>
    </row>
    <row r="947" ht="15.75" customHeight="1">
      <c r="A947" s="474"/>
    </row>
    <row r="948" ht="15.75" customHeight="1">
      <c r="A948" s="474"/>
    </row>
    <row r="949" ht="15.75" customHeight="1">
      <c r="A949" s="474"/>
    </row>
    <row r="950" ht="15.75" customHeight="1">
      <c r="A950" s="474"/>
    </row>
    <row r="951" ht="15.75" customHeight="1">
      <c r="A951" s="474"/>
    </row>
    <row r="952" ht="15.75" customHeight="1">
      <c r="A952" s="474"/>
    </row>
    <row r="953" ht="15.75" customHeight="1">
      <c r="A953" s="474"/>
    </row>
    <row r="954" ht="15.75" customHeight="1">
      <c r="A954" s="474"/>
    </row>
    <row r="955" ht="15.75" customHeight="1">
      <c r="A955" s="474"/>
    </row>
    <row r="956" ht="15.75" customHeight="1">
      <c r="A956" s="474"/>
    </row>
    <row r="957" ht="15.75" customHeight="1">
      <c r="A957" s="474"/>
    </row>
    <row r="958" ht="15.75" customHeight="1">
      <c r="A958" s="474"/>
    </row>
    <row r="959" ht="15.75" customHeight="1">
      <c r="A959" s="474"/>
    </row>
    <row r="960" ht="15.75" customHeight="1">
      <c r="A960" s="474"/>
    </row>
    <row r="961" ht="15.75" customHeight="1">
      <c r="A961" s="474"/>
    </row>
    <row r="962" ht="15.75" customHeight="1">
      <c r="A962" s="474"/>
    </row>
    <row r="963" ht="15.75" customHeight="1">
      <c r="A963" s="474"/>
    </row>
    <row r="964" ht="15.75" customHeight="1">
      <c r="A964" s="474"/>
    </row>
    <row r="965" ht="15.75" customHeight="1">
      <c r="A965" s="474"/>
    </row>
    <row r="966" ht="15.75" customHeight="1">
      <c r="A966" s="474"/>
    </row>
    <row r="967" ht="15.75" customHeight="1">
      <c r="A967" s="474"/>
    </row>
    <row r="968" ht="15.75" customHeight="1">
      <c r="A968" s="474"/>
    </row>
    <row r="969" ht="15.75" customHeight="1">
      <c r="A969" s="474"/>
    </row>
    <row r="970" ht="15.75" customHeight="1">
      <c r="A970" s="474"/>
    </row>
    <row r="971" ht="15.75" customHeight="1">
      <c r="A971" s="474"/>
    </row>
    <row r="972" ht="15.75" customHeight="1">
      <c r="A972" s="474"/>
    </row>
    <row r="973" ht="15.75" customHeight="1">
      <c r="A973" s="474"/>
    </row>
    <row r="974" ht="15.75" customHeight="1">
      <c r="A974" s="474"/>
    </row>
    <row r="975" ht="15.75" customHeight="1">
      <c r="A975" s="474"/>
    </row>
    <row r="976" ht="15.75" customHeight="1">
      <c r="A976" s="474"/>
    </row>
    <row r="977" ht="15.75" customHeight="1">
      <c r="A977" s="474"/>
    </row>
    <row r="978" ht="15.75" customHeight="1">
      <c r="A978" s="474"/>
    </row>
    <row r="979" ht="15.75" customHeight="1">
      <c r="A979" s="474"/>
    </row>
    <row r="980" ht="15.75" customHeight="1">
      <c r="A980" s="474"/>
    </row>
    <row r="981" ht="15.75" customHeight="1">
      <c r="A981" s="474"/>
    </row>
    <row r="982" ht="15.75" customHeight="1">
      <c r="A982" s="474"/>
    </row>
    <row r="983" ht="15.75" customHeight="1">
      <c r="A983" s="474"/>
    </row>
    <row r="984" ht="15.75" customHeight="1">
      <c r="A984" s="474"/>
    </row>
    <row r="985" ht="15.75" customHeight="1">
      <c r="A985" s="474"/>
    </row>
    <row r="986" ht="15.75" customHeight="1">
      <c r="A986" s="474"/>
    </row>
    <row r="987" ht="15.75" customHeight="1">
      <c r="A987" s="474"/>
    </row>
    <row r="988" ht="15.75" customHeight="1">
      <c r="A988" s="474"/>
    </row>
    <row r="989" ht="15.75" customHeight="1">
      <c r="A989" s="474"/>
    </row>
    <row r="990" ht="15.75" customHeight="1">
      <c r="A990" s="474"/>
    </row>
    <row r="991" ht="15.75" customHeight="1">
      <c r="A991" s="474"/>
    </row>
    <row r="992" ht="15.75" customHeight="1">
      <c r="A992" s="474"/>
    </row>
    <row r="993" ht="15.75" customHeight="1">
      <c r="A993" s="474"/>
    </row>
    <row r="994" ht="15.75" customHeight="1">
      <c r="A994" s="474"/>
    </row>
    <row r="995" ht="15.75" customHeight="1">
      <c r="A995" s="474"/>
    </row>
    <row r="996" ht="15.75" customHeight="1">
      <c r="A996" s="474"/>
    </row>
    <row r="997" ht="15.75" customHeight="1">
      <c r="A997" s="474"/>
    </row>
    <row r="998" ht="15.75" customHeight="1">
      <c r="A998" s="474"/>
    </row>
    <row r="999" ht="15.75" customHeight="1">
      <c r="A999" s="474"/>
    </row>
    <row r="1000" ht="15.75" customHeight="1">
      <c r="A1000" s="474"/>
    </row>
  </sheetData>
  <mergeCells count="9">
    <mergeCell ref="J118:T118"/>
    <mergeCell ref="J129:N129"/>
    <mergeCell ref="B47:G47"/>
    <mergeCell ref="B56:H56"/>
    <mergeCell ref="J56:T56"/>
    <mergeCell ref="B58:F58"/>
    <mergeCell ref="J67:T67"/>
    <mergeCell ref="B72:G72"/>
    <mergeCell ref="B87:G87"/>
  </mergeCells>
  <conditionalFormatting sqref="E7:E12">
    <cfRule type="containsText" dxfId="0" priority="1" operator="containsText" text="TRUE">
      <formula>NOT(ISERROR(SEARCH(("TRUE"),(E7))))</formula>
    </cfRule>
  </conditionalFormatting>
  <conditionalFormatting sqref="E7:E12">
    <cfRule type="containsText" dxfId="1" priority="2" operator="containsText" text="FALSE">
      <formula>NOT(ISERROR(SEARCH(("FALSE"),(E7))))</formula>
    </cfRule>
  </conditionalFormatting>
  <dataValidations>
    <dataValidation type="list" allowBlank="1" showErrorMessage="1" sqref="E16:E29">
      <formula1>$B$61:$B$70</formula1>
    </dataValidation>
    <dataValidation type="list" allowBlank="1" showErrorMessage="1" sqref="D16:D29">
      <formula1>'Drop Down Menus'!$D$13:$D$18</formula1>
    </dataValidation>
    <dataValidation type="list" allowBlank="1" showErrorMessage="1" sqref="A16:B29">
      <formula1>'Drop Down Menus'!$D$4:$D$9</formula1>
    </dataValidation>
  </dataValidations>
  <hyperlinks>
    <hyperlink r:id="rId2" ref="J65"/>
  </hyperlinks>
  <printOptions/>
  <pageMargins bottom="0.75" footer="0.0" header="0.0" left="0.7" right="0.7" top="0.75"/>
  <pageSetup orientation="portrait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6.88"/>
    <col customWidth="1" min="2" max="2" width="34.25"/>
    <col customWidth="1" min="3" max="3" width="22.38"/>
    <col customWidth="1" min="4" max="4" width="2.0"/>
    <col customWidth="1" min="5" max="5" width="18.13"/>
    <col customWidth="1" min="6" max="6" width="2.0"/>
    <col customWidth="1" min="7" max="7" width="27.63"/>
    <col customWidth="1" min="8" max="8" width="2.0"/>
    <col customWidth="1" min="9" max="9" width="27.63"/>
    <col customWidth="1" min="10" max="10" width="3.88"/>
    <col customWidth="1" hidden="1" min="11" max="11" width="18.75"/>
  </cols>
  <sheetData>
    <row r="1">
      <c r="A1" s="2" t="s">
        <v>0</v>
      </c>
      <c r="B1" s="2"/>
      <c r="D1" s="17"/>
      <c r="E1" s="3"/>
      <c r="F1" s="3"/>
      <c r="G1" s="3"/>
      <c r="H1" s="3"/>
      <c r="I1" s="3"/>
      <c r="J1" s="3"/>
      <c r="K1" s="3"/>
    </row>
    <row r="2" ht="12.75" customHeight="1">
      <c r="A2" s="5" t="s">
        <v>1</v>
      </c>
      <c r="B2" s="5"/>
      <c r="C2" s="460" t="str">
        <f>Summary!D2</f>
        <v>NYU VIDA</v>
      </c>
      <c r="F2" s="3"/>
      <c r="G2" s="3"/>
      <c r="H2" s="3"/>
      <c r="I2" s="3"/>
      <c r="J2" s="3"/>
      <c r="K2" s="3"/>
    </row>
    <row r="3" ht="12.75" customHeight="1">
      <c r="A3" s="5" t="s">
        <v>5</v>
      </c>
      <c r="B3" s="5"/>
      <c r="C3" s="460" t="str">
        <f>Summary!C6</f>
        <v>The Beacon Apartments</v>
      </c>
      <c r="F3" s="3"/>
      <c r="G3" s="3"/>
      <c r="H3" s="3"/>
      <c r="I3" s="3"/>
      <c r="J3" s="3"/>
      <c r="K3" s="3"/>
    </row>
    <row r="4" ht="12.75" customHeight="1">
      <c r="A4" s="5" t="s">
        <v>92</v>
      </c>
      <c r="B4" s="5"/>
      <c r="C4" s="655">
        <f>Summary!D3</f>
        <v>45033</v>
      </c>
      <c r="F4" s="3"/>
      <c r="G4" s="3"/>
      <c r="H4" s="3"/>
      <c r="I4" s="3"/>
      <c r="J4" s="3"/>
      <c r="K4" s="3"/>
    </row>
    <row r="5" ht="12.75" customHeight="1">
      <c r="A5" s="3"/>
      <c r="B5" s="3"/>
      <c r="C5" s="3"/>
      <c r="F5" s="3"/>
      <c r="G5" s="3"/>
      <c r="H5" s="3"/>
      <c r="I5" s="3"/>
      <c r="J5" s="3"/>
      <c r="K5" s="3"/>
    </row>
    <row r="6" ht="12.75" customHeight="1">
      <c r="A6" s="3"/>
      <c r="B6" s="3"/>
      <c r="C6" s="3"/>
      <c r="F6" s="3"/>
      <c r="G6" s="3"/>
      <c r="H6" s="3"/>
      <c r="I6" s="3"/>
      <c r="J6" s="3"/>
      <c r="K6" s="3"/>
    </row>
    <row r="7" ht="12.75" customHeight="1">
      <c r="A7" s="656" t="s">
        <v>80</v>
      </c>
      <c r="B7" s="656"/>
      <c r="C7" s="39"/>
      <c r="F7" s="3"/>
      <c r="G7" s="3"/>
      <c r="H7" s="3"/>
      <c r="I7" s="3"/>
      <c r="J7" s="3"/>
      <c r="K7" s="3"/>
    </row>
    <row r="8" ht="12.75" customHeight="1">
      <c r="A8" s="78" t="s">
        <v>377</v>
      </c>
      <c r="B8" s="78"/>
      <c r="C8" s="657">
        <f>'BY Proforma No Comm '!C69</f>
        <v>794739.556</v>
      </c>
      <c r="F8" s="3"/>
      <c r="G8" s="3"/>
      <c r="H8" s="3"/>
      <c r="I8" s="3"/>
      <c r="J8" s="3"/>
      <c r="K8" s="3"/>
    </row>
    <row r="9" ht="12.75" customHeight="1">
      <c r="A9" s="78" t="s">
        <v>378</v>
      </c>
      <c r="B9" s="78"/>
      <c r="C9" s="658">
        <v>0.05</v>
      </c>
      <c r="F9" s="3"/>
      <c r="G9" s="3"/>
      <c r="H9" s="3"/>
      <c r="I9" s="3"/>
      <c r="J9" s="3"/>
      <c r="K9" s="3"/>
    </row>
    <row r="10" ht="12.75" customHeight="1">
      <c r="A10" s="78" t="s">
        <v>379</v>
      </c>
      <c r="B10" s="78"/>
      <c r="C10" s="657">
        <f>C8/C9</f>
        <v>15894791.12</v>
      </c>
      <c r="F10" s="3"/>
      <c r="G10" s="3"/>
      <c r="H10" s="3"/>
      <c r="I10" s="3"/>
      <c r="J10" s="3"/>
      <c r="K10" s="3"/>
    </row>
    <row r="11" ht="12.75" customHeight="1">
      <c r="A11" s="3"/>
      <c r="B11" s="3"/>
      <c r="C11" s="3"/>
      <c r="F11" s="3"/>
      <c r="G11" s="3"/>
      <c r="H11" s="3"/>
      <c r="I11" s="3"/>
      <c r="J11" s="3"/>
      <c r="K11" s="3"/>
    </row>
    <row r="12" ht="12.75" customHeight="1">
      <c r="A12" s="78" t="s">
        <v>380</v>
      </c>
      <c r="B12" s="78"/>
      <c r="C12" s="657">
        <f>'Tax Credits'!E49</f>
        <v>22107671.04</v>
      </c>
      <c r="F12" s="3"/>
      <c r="G12" s="3"/>
      <c r="H12" s="3"/>
      <c r="I12" s="3"/>
      <c r="J12" s="3"/>
      <c r="K12" s="3"/>
    </row>
    <row r="13" ht="12.75" customHeight="1">
      <c r="A13" s="659" t="s">
        <v>381</v>
      </c>
      <c r="B13" s="659"/>
      <c r="C13" s="660">
        <f>'Tax Credits'!E62</f>
        <v>0</v>
      </c>
      <c r="F13" s="3"/>
      <c r="G13" s="3"/>
      <c r="H13" s="3"/>
      <c r="I13" s="3"/>
      <c r="J13" s="3"/>
      <c r="K13" s="3"/>
    </row>
    <row r="14" ht="12.75" customHeight="1">
      <c r="A14" s="661" t="s">
        <v>83</v>
      </c>
      <c r="B14" s="661"/>
      <c r="C14" s="662">
        <f>SUM(C10:C13)</f>
        <v>38002462.16</v>
      </c>
      <c r="F14" s="3"/>
      <c r="G14" s="3"/>
      <c r="H14" s="3"/>
      <c r="I14" s="3"/>
      <c r="J14" s="3"/>
      <c r="K14" s="3"/>
    </row>
    <row r="15" ht="12.75" customHeight="1">
      <c r="A15" s="3"/>
      <c r="B15" s="3"/>
      <c r="C15" s="3"/>
      <c r="F15" s="3"/>
      <c r="G15" s="3"/>
      <c r="H15" s="3"/>
      <c r="I15" s="3"/>
      <c r="J15" s="3"/>
      <c r="K15" s="3"/>
    </row>
    <row r="16" ht="12.75" customHeight="1">
      <c r="A16" s="656" t="s">
        <v>382</v>
      </c>
      <c r="B16" s="663"/>
      <c r="C16" s="39"/>
      <c r="D16" s="17"/>
      <c r="E16" s="3"/>
      <c r="F16" s="3"/>
      <c r="G16" s="3"/>
      <c r="H16" s="3"/>
      <c r="I16" s="254"/>
      <c r="J16" s="254"/>
      <c r="K16" s="254"/>
    </row>
    <row r="17" ht="12.75" customHeight="1">
      <c r="A17" s="3" t="s">
        <v>383</v>
      </c>
      <c r="B17" s="3"/>
      <c r="C17" s="664">
        <v>50.0</v>
      </c>
      <c r="D17" s="17"/>
      <c r="E17" s="3"/>
      <c r="F17" s="3"/>
      <c r="G17" s="3"/>
      <c r="H17" s="3"/>
      <c r="I17" s="254"/>
      <c r="J17" s="254"/>
      <c r="K17" s="254"/>
    </row>
    <row r="18" ht="12.75" customHeight="1">
      <c r="A18" s="17" t="s">
        <v>106</v>
      </c>
      <c r="B18" s="456"/>
      <c r="C18" s="456">
        <f>Rents!D11*C17</f>
        <v>3639312.74</v>
      </c>
      <c r="D18" s="17"/>
      <c r="E18" s="3"/>
      <c r="F18" s="3"/>
      <c r="G18" s="3"/>
      <c r="H18" s="3"/>
      <c r="I18" s="254"/>
      <c r="J18" s="254"/>
      <c r="K18" s="254"/>
    </row>
    <row r="19" ht="12.75" customHeight="1">
      <c r="A19" s="17" t="s">
        <v>384</v>
      </c>
      <c r="B19" s="456"/>
      <c r="C19" s="665">
        <v>0.05</v>
      </c>
      <c r="D19" s="17"/>
      <c r="E19" s="3"/>
      <c r="F19" s="3"/>
      <c r="G19" s="3"/>
      <c r="H19" s="3"/>
      <c r="I19" s="254"/>
      <c r="J19" s="254"/>
      <c r="K19" s="254"/>
    </row>
    <row r="20" ht="12.75" customHeight="1">
      <c r="A20" s="578" t="s">
        <v>385</v>
      </c>
      <c r="B20" s="5"/>
      <c r="C20" s="478">
        <f>C18*C19</f>
        <v>181965.637</v>
      </c>
      <c r="D20" s="17"/>
      <c r="E20" s="3"/>
      <c r="F20" s="3"/>
      <c r="G20" s="3"/>
      <c r="H20" s="3"/>
      <c r="I20" s="254"/>
      <c r="J20" s="254"/>
      <c r="K20" s="254"/>
    </row>
    <row r="21" ht="12.75" customHeight="1">
      <c r="A21" s="3"/>
      <c r="B21" s="3"/>
      <c r="C21" s="3"/>
      <c r="D21" s="17"/>
      <c r="E21" s="3"/>
      <c r="F21" s="3"/>
      <c r="G21" s="3"/>
      <c r="H21" s="3"/>
      <c r="I21" s="254"/>
      <c r="J21" s="254"/>
      <c r="K21" s="254"/>
    </row>
    <row r="22" ht="12.75" customHeight="1">
      <c r="A22" s="666" t="s">
        <v>386</v>
      </c>
      <c r="B22" s="663"/>
      <c r="C22" s="496" t="s">
        <v>387</v>
      </c>
      <c r="D22" s="667"/>
      <c r="E22" s="496" t="s">
        <v>279</v>
      </c>
      <c r="F22" s="475"/>
      <c r="G22" s="668" t="str">
        <f>Summary!B43</f>
        <v>HPD ELLA Subsidy Program Loan</v>
      </c>
      <c r="H22" s="475"/>
      <c r="I22" s="668" t="str">
        <f>Summary!B45</f>
        <v>HDC ELLA Subsidy Program Loan</v>
      </c>
      <c r="J22" s="475"/>
      <c r="K22" s="663"/>
    </row>
    <row r="23" ht="12.75" customHeight="1">
      <c r="A23" s="3" t="s">
        <v>388</v>
      </c>
      <c r="B23" s="3"/>
      <c r="C23" s="71" t="s">
        <v>389</v>
      </c>
      <c r="D23" s="437"/>
      <c r="E23" s="71" t="s">
        <v>389</v>
      </c>
      <c r="F23" s="71"/>
      <c r="G23" s="71" t="s">
        <v>390</v>
      </c>
      <c r="H23" s="71"/>
      <c r="I23" s="71" t="s">
        <v>391</v>
      </c>
      <c r="J23" s="460"/>
      <c r="K23" s="460"/>
    </row>
    <row r="24" ht="12.75" customHeight="1">
      <c r="A24" s="3" t="s">
        <v>392</v>
      </c>
      <c r="B24" s="3"/>
      <c r="C24" s="669">
        <f>MIN((('Sources and Uses'!E14+'Sources and Uses'!E18+'Sources and Uses'!E30+'Sources and Uses'!E53)*C29),Summary!D59-SUM(Summary!D41:D49))</f>
        <v>25905724.48</v>
      </c>
      <c r="D24" s="669"/>
      <c r="E24" s="669">
        <f>MIN(-PV(E26/12,E31*12,(('BY Proforma No Comm '!C69/E30)-G35-I35)/12),C10*E29,C8/E28)</f>
        <v>7196458.287</v>
      </c>
      <c r="F24" s="71"/>
      <c r="G24" s="670">
        <f>I46</f>
        <v>14067900</v>
      </c>
      <c r="H24" s="437"/>
      <c r="I24" s="670">
        <f>I47</f>
        <v>7464600</v>
      </c>
      <c r="J24" s="3"/>
      <c r="K24" s="671"/>
    </row>
    <row r="25" ht="12.75" customHeight="1">
      <c r="A25" s="672" t="s">
        <v>393</v>
      </c>
      <c r="B25" s="3"/>
      <c r="C25" s="673">
        <f>C24/Summary!$D$59</f>
        <v>0.4615643915</v>
      </c>
      <c r="D25" s="467"/>
      <c r="E25" s="673">
        <f>E24/Summary!$D$59</f>
        <v>0.1282198802</v>
      </c>
      <c r="F25" s="674"/>
      <c r="G25" s="673">
        <f>G24/Summary!$D$59</f>
        <v>0.2506489139</v>
      </c>
      <c r="H25" s="674"/>
      <c r="I25" s="673">
        <f>I24/Summary!$D$59</f>
        <v>0.1329973829</v>
      </c>
      <c r="J25" s="3"/>
      <c r="K25" s="658"/>
    </row>
    <row r="26" ht="12.75" customHeight="1">
      <c r="A26" s="3" t="s">
        <v>394</v>
      </c>
      <c r="B26" s="3"/>
      <c r="C26" s="467">
        <f>'Interest Reserve'!C10</f>
        <v>0.082</v>
      </c>
      <c r="D26" s="675"/>
      <c r="E26" s="676">
        <v>0.0601</v>
      </c>
      <c r="F26" s="71"/>
      <c r="G26" s="676">
        <v>0.0447</v>
      </c>
      <c r="H26" s="71"/>
      <c r="I26" s="676">
        <v>0.0447</v>
      </c>
      <c r="J26" s="3"/>
      <c r="K26" s="658"/>
    </row>
    <row r="27" ht="12.75" customHeight="1">
      <c r="A27" s="17" t="s">
        <v>395</v>
      </c>
      <c r="B27" s="17"/>
      <c r="C27" s="6" t="s">
        <v>396</v>
      </c>
      <c r="D27" s="675"/>
      <c r="E27" s="6" t="s">
        <v>396</v>
      </c>
      <c r="F27" s="71"/>
      <c r="G27" s="676">
        <v>0.01</v>
      </c>
      <c r="H27" s="71"/>
      <c r="I27" s="676">
        <v>0.01</v>
      </c>
      <c r="J27" s="3"/>
      <c r="K27" s="677"/>
    </row>
    <row r="28" ht="12.75" customHeight="1">
      <c r="A28" s="17" t="s">
        <v>397</v>
      </c>
      <c r="B28" s="17"/>
      <c r="C28" s="6" t="s">
        <v>396</v>
      </c>
      <c r="D28" s="675"/>
      <c r="E28" s="676">
        <v>0.08</v>
      </c>
      <c r="F28" s="71"/>
      <c r="G28" s="6" t="s">
        <v>396</v>
      </c>
      <c r="H28" s="71"/>
      <c r="I28" s="6" t="s">
        <v>396</v>
      </c>
      <c r="J28" s="3"/>
      <c r="K28" s="677"/>
    </row>
    <row r="29" ht="12.75" customHeight="1">
      <c r="A29" s="17" t="s">
        <v>398</v>
      </c>
      <c r="B29" s="17"/>
      <c r="C29" s="676">
        <v>0.66</v>
      </c>
      <c r="D29" s="675"/>
      <c r="E29" s="676">
        <v>0.75</v>
      </c>
      <c r="F29" s="71"/>
      <c r="G29" s="6" t="s">
        <v>396</v>
      </c>
      <c r="H29" s="71"/>
      <c r="I29" s="6" t="s">
        <v>396</v>
      </c>
      <c r="J29" s="3"/>
      <c r="K29" s="677"/>
    </row>
    <row r="30" ht="12.75" customHeight="1">
      <c r="A30" s="3" t="s">
        <v>399</v>
      </c>
      <c r="B30" s="3"/>
      <c r="C30" s="6" t="s">
        <v>396</v>
      </c>
      <c r="D30" s="621"/>
      <c r="E30" s="6">
        <v>1.15</v>
      </c>
      <c r="F30" s="71"/>
      <c r="G30" s="6" t="s">
        <v>396</v>
      </c>
      <c r="H30" s="71"/>
      <c r="I30" s="6" t="s">
        <v>396</v>
      </c>
      <c r="J30" s="3"/>
      <c r="K30" s="677"/>
    </row>
    <row r="31" ht="12.75" customHeight="1">
      <c r="A31" s="3" t="s">
        <v>400</v>
      </c>
      <c r="B31" s="3"/>
      <c r="C31" s="6" t="s">
        <v>396</v>
      </c>
      <c r="D31" s="621"/>
      <c r="E31" s="6">
        <v>40.0</v>
      </c>
      <c r="F31" s="71"/>
      <c r="G31" s="6">
        <v>40.0</v>
      </c>
      <c r="H31" s="71"/>
      <c r="I31" s="6">
        <v>40.0</v>
      </c>
      <c r="J31" s="3"/>
      <c r="K31" s="677"/>
    </row>
    <row r="32" ht="12.75" customHeight="1">
      <c r="A32" s="3" t="s">
        <v>401</v>
      </c>
      <c r="B32" s="3"/>
      <c r="C32" s="437">
        <f>'Interest Reserve'!C14/12</f>
        <v>3</v>
      </c>
      <c r="D32" s="621"/>
      <c r="E32" s="6">
        <v>17.0</v>
      </c>
      <c r="F32" s="71"/>
      <c r="G32" s="6">
        <v>40.0</v>
      </c>
      <c r="H32" s="71"/>
      <c r="I32" s="6">
        <v>40.0</v>
      </c>
      <c r="J32" s="3"/>
      <c r="K32" s="678"/>
    </row>
    <row r="33" ht="12.75" customHeight="1">
      <c r="A33" s="3" t="s">
        <v>402</v>
      </c>
      <c r="B33" s="3"/>
      <c r="C33" s="6">
        <v>12.0</v>
      </c>
      <c r="D33" s="621"/>
      <c r="E33" s="6">
        <v>12.0</v>
      </c>
      <c r="F33" s="71"/>
      <c r="G33" s="6">
        <v>12.0</v>
      </c>
      <c r="H33" s="71"/>
      <c r="I33" s="6">
        <v>12.0</v>
      </c>
      <c r="J33" s="3"/>
      <c r="K33" s="671"/>
    </row>
    <row r="34" ht="12.75" customHeight="1">
      <c r="A34" s="3" t="s">
        <v>403</v>
      </c>
      <c r="B34" s="3"/>
      <c r="C34" s="390"/>
      <c r="D34" s="92"/>
      <c r="E34" s="390"/>
      <c r="F34" s="71"/>
      <c r="G34" s="390" t="str">
        <f>'BY Proforma No Comm '!E71</f>
        <v/>
      </c>
      <c r="H34" s="390"/>
      <c r="I34" s="390"/>
      <c r="J34" s="456"/>
      <c r="K34" s="456"/>
    </row>
    <row r="35" ht="12.75" customHeight="1">
      <c r="A35" s="679" t="s">
        <v>404</v>
      </c>
      <c r="B35" s="680"/>
      <c r="C35" s="681">
        <f>C24*C26</f>
        <v>2124269.407</v>
      </c>
      <c r="D35" s="92"/>
      <c r="E35" s="681">
        <f>IFERROR(PMT(E26/12,E31*12,-E24)*12,"")</f>
        <v>475752.8748</v>
      </c>
      <c r="F35" s="71"/>
      <c r="G35" s="681">
        <f>G24*G27</f>
        <v>140679</v>
      </c>
      <c r="H35" s="682"/>
      <c r="I35" s="681">
        <f>I24*I27</f>
        <v>74646</v>
      </c>
      <c r="J35" s="678"/>
      <c r="K35" s="683"/>
    </row>
    <row r="36" ht="12.75" customHeight="1">
      <c r="A36" s="3" t="s">
        <v>405</v>
      </c>
      <c r="B36" s="3"/>
      <c r="C36" s="390"/>
      <c r="D36" s="92"/>
      <c r="E36" s="684">
        <f>SUM(E35:K35)</f>
        <v>691077.8748</v>
      </c>
      <c r="F36" s="437"/>
      <c r="G36" s="71"/>
      <c r="H36" s="71"/>
      <c r="I36" s="71"/>
      <c r="J36" s="3"/>
      <c r="K36" s="3"/>
    </row>
    <row r="37" ht="12.75" customHeight="1">
      <c r="A37" s="3" t="s">
        <v>406</v>
      </c>
      <c r="B37" s="3"/>
      <c r="C37" s="685"/>
      <c r="D37" s="686"/>
      <c r="E37" s="687">
        <f>C8/E36</f>
        <v>1.15</v>
      </c>
      <c r="F37" s="71"/>
      <c r="G37" s="71"/>
      <c r="H37" s="71"/>
      <c r="I37" s="71"/>
      <c r="J37" s="3"/>
      <c r="K37" s="3"/>
    </row>
    <row r="38" ht="12.75" customHeight="1">
      <c r="A38" s="17" t="s">
        <v>407</v>
      </c>
      <c r="B38" s="17"/>
      <c r="C38" s="467"/>
      <c r="D38" s="467"/>
      <c r="E38" s="687">
        <f>'BY Proforma No Comm '!C69/E36</f>
        <v>1.15</v>
      </c>
      <c r="F38" s="71"/>
      <c r="G38" s="71"/>
      <c r="H38" s="71"/>
      <c r="I38" s="71"/>
      <c r="J38" s="3"/>
      <c r="K38" s="3"/>
    </row>
    <row r="39" ht="12.75" customHeight="1">
      <c r="A39" s="17" t="s">
        <v>408</v>
      </c>
      <c r="B39" s="17"/>
      <c r="C39" s="467"/>
      <c r="D39" s="467"/>
      <c r="E39" s="467">
        <f>SUM(E24:I24)/C14</f>
        <v>0.7559762356</v>
      </c>
      <c r="F39" s="71"/>
      <c r="G39" s="71"/>
      <c r="H39" s="71"/>
      <c r="I39" s="71"/>
      <c r="J39" s="3"/>
      <c r="K39" s="3"/>
    </row>
    <row r="40" ht="12.75" customHeight="1">
      <c r="A40" s="17" t="s">
        <v>409</v>
      </c>
      <c r="B40" s="17"/>
      <c r="C40" s="467"/>
      <c r="D40" s="467"/>
      <c r="E40" s="467">
        <f>C8/E24</f>
        <v>0.1104348173</v>
      </c>
      <c r="F40" s="71"/>
      <c r="G40" s="71"/>
      <c r="H40" s="71"/>
      <c r="I40" s="71"/>
      <c r="J40" s="3"/>
      <c r="K40" s="3"/>
    </row>
    <row r="41" ht="12.75" customHeight="1">
      <c r="A41" s="77" t="s">
        <v>410</v>
      </c>
      <c r="B41" s="129"/>
      <c r="C41" s="129"/>
      <c r="D41" s="17"/>
      <c r="E41" s="17"/>
      <c r="F41" s="3"/>
      <c r="G41" s="3"/>
      <c r="H41" s="3"/>
      <c r="I41" s="3"/>
      <c r="J41" s="3"/>
      <c r="K41" s="3"/>
    </row>
    <row r="42" ht="12.75" customHeight="1">
      <c r="A42" s="3"/>
      <c r="B42" s="3"/>
      <c r="C42" s="3"/>
      <c r="D42" s="17"/>
      <c r="E42" s="3"/>
      <c r="F42" s="3"/>
      <c r="G42" s="3"/>
      <c r="H42" s="3"/>
      <c r="I42" s="3"/>
      <c r="J42" s="3"/>
      <c r="K42" s="3"/>
    </row>
    <row r="43" ht="12.75" customHeight="1">
      <c r="A43" s="3"/>
      <c r="B43" s="3"/>
      <c r="C43" s="3"/>
      <c r="D43" s="17"/>
      <c r="E43" s="3"/>
      <c r="F43" s="3"/>
      <c r="G43" s="3"/>
      <c r="H43" s="3"/>
      <c r="I43" s="3"/>
      <c r="J43" s="3"/>
      <c r="K43" s="3"/>
    </row>
    <row r="44" ht="15.0" customHeight="1">
      <c r="A44" s="578" t="s">
        <v>411</v>
      </c>
    </row>
    <row r="45" ht="15.0" customHeight="1">
      <c r="A45" s="688" t="s">
        <v>412</v>
      </c>
      <c r="B45" s="444"/>
      <c r="C45" s="689" t="s">
        <v>413</v>
      </c>
      <c r="D45" s="689"/>
      <c r="E45" s="689" t="s">
        <v>414</v>
      </c>
      <c r="F45" s="689"/>
      <c r="G45" s="689" t="s">
        <v>415</v>
      </c>
      <c r="H45" s="689"/>
      <c r="I45" s="690" t="s">
        <v>416</v>
      </c>
    </row>
    <row r="46" ht="15.0" customHeight="1">
      <c r="A46" s="33" t="s">
        <v>417</v>
      </c>
      <c r="B46" s="23"/>
      <c r="C46" s="522">
        <v>122500.0</v>
      </c>
      <c r="D46" s="580"/>
      <c r="E46" s="639">
        <f>C46*Summary!$F$10</f>
        <v>14210000</v>
      </c>
      <c r="F46" s="580"/>
      <c r="G46" s="522">
        <f>C46*M46</f>
        <v>121275</v>
      </c>
      <c r="H46" s="580"/>
      <c r="I46" s="691">
        <f>G46*Summary!$F$10</f>
        <v>14067900</v>
      </c>
      <c r="L46" s="692"/>
      <c r="M46" s="693">
        <v>0.99</v>
      </c>
      <c r="N46" s="17"/>
    </row>
    <row r="47" ht="15.0" customHeight="1">
      <c r="A47" s="37" t="s">
        <v>418</v>
      </c>
      <c r="B47" s="47"/>
      <c r="C47" s="694">
        <v>65000.0</v>
      </c>
      <c r="D47" s="585"/>
      <c r="E47" s="97">
        <f>MIN(C47*Summary!$F$10,15000000)</f>
        <v>7540000</v>
      </c>
      <c r="F47" s="585"/>
      <c r="G47" s="694">
        <f>65000*M46</f>
        <v>64350</v>
      </c>
      <c r="H47" s="585"/>
      <c r="I47" s="98">
        <f>G47*Summary!$F$10</f>
        <v>7464600</v>
      </c>
      <c r="L47" s="692"/>
    </row>
    <row r="48" ht="15.0" customHeight="1">
      <c r="A48" s="688" t="s">
        <v>202</v>
      </c>
      <c r="B48" s="444"/>
      <c r="C48" s="569"/>
      <c r="D48" s="689"/>
      <c r="E48" s="569">
        <f>SUM(E46:E47)</f>
        <v>21750000</v>
      </c>
      <c r="F48" s="689"/>
      <c r="G48" s="689"/>
      <c r="H48" s="689"/>
      <c r="I48" s="695">
        <f>SUM(I46:I47)</f>
        <v>21532500</v>
      </c>
      <c r="J48" s="437"/>
      <c r="K48" s="437"/>
    </row>
    <row r="49" ht="15.0" customHeight="1">
      <c r="H49" s="437"/>
      <c r="I49" s="92"/>
      <c r="J49" s="437"/>
      <c r="K49" s="437"/>
    </row>
    <row r="50" ht="15.0" customHeight="1">
      <c r="A50" s="578" t="s">
        <v>268</v>
      </c>
      <c r="H50" s="437"/>
      <c r="I50" s="92"/>
      <c r="J50" s="437"/>
      <c r="K50" s="437"/>
    </row>
    <row r="51" ht="15.0" customHeight="1">
      <c r="A51" s="688"/>
      <c r="B51" s="444"/>
      <c r="C51" s="689" t="str">
        <f t="shared" ref="C51:I51" si="1">C45</f>
        <v>Funds Available / Unit</v>
      </c>
      <c r="D51" s="689" t="str">
        <f t="shared" si="1"/>
        <v/>
      </c>
      <c r="E51" s="689" t="str">
        <f t="shared" si="1"/>
        <v>Funds Available</v>
      </c>
      <c r="F51" s="689" t="str">
        <f t="shared" si="1"/>
        <v/>
      </c>
      <c r="G51" s="689" t="str">
        <f t="shared" si="1"/>
        <v>Funds Requested / Unit</v>
      </c>
      <c r="H51" s="689" t="str">
        <f t="shared" si="1"/>
        <v/>
      </c>
      <c r="I51" s="690" t="str">
        <f t="shared" si="1"/>
        <v>Funds Requested</v>
      </c>
      <c r="J51" s="437"/>
      <c r="K51" s="437"/>
    </row>
    <row r="52" ht="15.0" customHeight="1">
      <c r="A52" s="33" t="s">
        <v>419</v>
      </c>
      <c r="B52" s="23"/>
      <c r="C52" s="522" t="s">
        <v>326</v>
      </c>
      <c r="D52" s="580"/>
      <c r="E52" s="639" t="s">
        <v>326</v>
      </c>
      <c r="F52" s="580"/>
      <c r="G52" s="522">
        <v>35000.0</v>
      </c>
      <c r="H52" s="580"/>
      <c r="I52" s="691">
        <f>G52*(Rents!F14-1)</f>
        <v>4025000</v>
      </c>
      <c r="J52" s="437"/>
      <c r="K52" s="437"/>
    </row>
    <row r="53" ht="15.0" customHeight="1">
      <c r="A53" s="17" t="s">
        <v>64</v>
      </c>
      <c r="B53" s="17"/>
      <c r="C53" s="506" t="s">
        <v>326</v>
      </c>
      <c r="E53" s="437" t="s">
        <v>326</v>
      </c>
      <c r="F53" s="17"/>
      <c r="G53" s="696">
        <f>I53/Summary!C17</f>
        <v>10910.66379</v>
      </c>
      <c r="H53" s="437"/>
      <c r="I53" s="697">
        <v>1265637.0</v>
      </c>
      <c r="J53" s="437"/>
      <c r="K53" s="437"/>
    </row>
    <row r="54" ht="15.0" customHeight="1">
      <c r="A54" s="47" t="s">
        <v>420</v>
      </c>
      <c r="B54" s="47"/>
      <c r="C54" s="694" t="s">
        <v>326</v>
      </c>
      <c r="D54" s="47"/>
      <c r="E54" s="585" t="s">
        <v>326</v>
      </c>
      <c r="F54" s="47"/>
      <c r="G54" s="694">
        <v>4347.82</v>
      </c>
      <c r="H54" s="585"/>
      <c r="I54" s="98">
        <v>500000.0</v>
      </c>
      <c r="J54" s="437"/>
      <c r="K54" s="437"/>
    </row>
    <row r="55" ht="15.0" customHeight="1">
      <c r="A55" s="688" t="s">
        <v>202</v>
      </c>
      <c r="B55" s="444"/>
      <c r="C55" s="569"/>
      <c r="D55" s="689"/>
      <c r="E55" s="569"/>
      <c r="F55" s="689"/>
      <c r="G55" s="569">
        <f>SUM(G52:G54)</f>
        <v>50258.48379</v>
      </c>
      <c r="H55" s="689"/>
      <c r="I55" s="695">
        <f>SUM(I52:I54)</f>
        <v>5790637</v>
      </c>
      <c r="J55" s="437"/>
      <c r="K55" s="437"/>
    </row>
    <row r="56" ht="15.0" customHeight="1">
      <c r="B56" s="17"/>
      <c r="F56" s="17"/>
      <c r="H56" s="437"/>
      <c r="I56" s="92"/>
      <c r="J56" s="437"/>
      <c r="K56" s="437"/>
      <c r="L56" s="448"/>
    </row>
    <row r="57" ht="15.0" hidden="1" customHeight="1">
      <c r="B57" s="17"/>
      <c r="F57" s="17"/>
      <c r="H57" s="437"/>
      <c r="I57" s="92">
        <v>-2121994.295234613</v>
      </c>
      <c r="J57" s="437"/>
      <c r="K57" s="437"/>
    </row>
    <row r="58" ht="15.0" customHeight="1">
      <c r="B58" s="698" t="s">
        <v>421</v>
      </c>
      <c r="C58" s="699"/>
      <c r="D58" s="699"/>
      <c r="F58" s="17"/>
      <c r="G58" s="700" t="s">
        <v>422</v>
      </c>
      <c r="H58" s="699"/>
      <c r="I58" s="699"/>
      <c r="J58" s="699"/>
      <c r="K58" s="437"/>
    </row>
    <row r="59" ht="15.0" customHeight="1">
      <c r="B59" s="17"/>
      <c r="F59" s="17"/>
      <c r="H59" s="437"/>
      <c r="I59" s="437"/>
      <c r="J59" s="437"/>
      <c r="K59" s="437"/>
    </row>
    <row r="60" ht="15.0" customHeight="1">
      <c r="B60" s="17"/>
      <c r="F60" s="17"/>
      <c r="H60" s="437"/>
      <c r="I60" s="437"/>
      <c r="J60" s="437"/>
      <c r="K60" s="437"/>
    </row>
    <row r="61" ht="15.0" customHeight="1">
      <c r="B61" s="17"/>
      <c r="F61" s="17"/>
      <c r="H61" s="437"/>
      <c r="I61" s="437"/>
      <c r="J61" s="437"/>
      <c r="K61" s="437"/>
    </row>
    <row r="62" ht="15.0" customHeight="1">
      <c r="B62" s="17"/>
      <c r="F62" s="17"/>
      <c r="H62" s="437"/>
      <c r="I62" s="437"/>
      <c r="J62" s="437"/>
      <c r="K62" s="437"/>
    </row>
    <row r="63" ht="15.0" customHeight="1">
      <c r="B63" s="17"/>
      <c r="F63" s="17"/>
      <c r="H63" s="437"/>
      <c r="I63" s="437"/>
      <c r="J63" s="437"/>
      <c r="K63" s="437"/>
    </row>
    <row r="64" ht="15.0" customHeight="1">
      <c r="B64" s="17"/>
      <c r="F64" s="17"/>
      <c r="H64" s="437"/>
      <c r="I64" s="437"/>
      <c r="J64" s="437"/>
      <c r="K64" s="437"/>
    </row>
    <row r="65" ht="15.0" customHeight="1">
      <c r="B65" s="17"/>
      <c r="F65" s="17"/>
      <c r="H65" s="437"/>
      <c r="I65" s="437"/>
      <c r="J65" s="437"/>
      <c r="K65" s="437"/>
    </row>
    <row r="66" ht="15.0" customHeight="1">
      <c r="B66" s="17"/>
      <c r="F66" s="17"/>
      <c r="H66" s="437"/>
      <c r="I66" s="437"/>
      <c r="J66" s="437"/>
      <c r="K66" s="437"/>
    </row>
    <row r="67" ht="15.0" customHeight="1">
      <c r="B67" s="17"/>
      <c r="F67" s="17"/>
      <c r="H67" s="437"/>
      <c r="I67" s="437"/>
      <c r="J67" s="437"/>
      <c r="K67" s="437"/>
    </row>
    <row r="68" ht="15.0" customHeight="1">
      <c r="B68" s="17"/>
      <c r="F68" s="17"/>
      <c r="H68" s="437"/>
      <c r="I68" s="437"/>
      <c r="J68" s="437"/>
      <c r="K68" s="437"/>
    </row>
    <row r="69" ht="15.0" customHeight="1">
      <c r="B69" s="17"/>
      <c r="F69" s="17"/>
      <c r="H69" s="437"/>
      <c r="I69" s="437"/>
      <c r="J69" s="437"/>
      <c r="K69" s="437"/>
    </row>
    <row r="70" ht="15.0" customHeight="1">
      <c r="B70" s="17"/>
      <c r="F70" s="17"/>
      <c r="H70" s="437"/>
      <c r="I70" s="437"/>
      <c r="J70" s="437"/>
      <c r="K70" s="437"/>
    </row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37:E38">
    <cfRule type="cellIs" dxfId="0" priority="1" operator="greaterThanOrEqual">
      <formula>1.15</formula>
    </cfRule>
  </conditionalFormatting>
  <conditionalFormatting sqref="E37:E38">
    <cfRule type="cellIs" dxfId="1" priority="2" operator="lessThan">
      <formula>1.15</formula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75"/>
    <col customWidth="1" min="2" max="2" width="6.25"/>
    <col customWidth="1" min="3" max="3" width="13.63"/>
    <col customWidth="1" min="4" max="4" width="11.75"/>
    <col customWidth="1" min="5" max="5" width="12.25"/>
    <col customWidth="1" min="6" max="6" width="11.75"/>
    <col customWidth="1" min="7" max="7" width="8.25"/>
    <col customWidth="1" min="8" max="8" width="10.75"/>
    <col customWidth="1" min="9" max="9" width="8.75"/>
    <col customWidth="1" min="10" max="10" width="11.75"/>
    <col customWidth="1" min="11" max="26" width="8.75"/>
  </cols>
  <sheetData>
    <row r="1">
      <c r="A1" s="70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59" t="s">
        <v>1</v>
      </c>
      <c r="B2" s="3"/>
      <c r="C2" s="3" t="str">
        <f>Summary!D2</f>
        <v>NYU VIDA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459" t="s">
        <v>5</v>
      </c>
      <c r="B3" s="3"/>
      <c r="C3" s="3" t="str">
        <f>Summary!C6</f>
        <v>The Beacon Apartments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459" t="s">
        <v>92</v>
      </c>
      <c r="B4" s="3"/>
      <c r="C4" s="68">
        <f>Summary!D3</f>
        <v>45033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666" t="s">
        <v>423</v>
      </c>
      <c r="B7" s="666"/>
      <c r="C7" s="666"/>
      <c r="D7" s="666"/>
      <c r="E7" s="666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 t="s">
        <v>424</v>
      </c>
      <c r="B8" s="3"/>
      <c r="C8" s="658">
        <v>0.04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 t="s">
        <v>425</v>
      </c>
      <c r="B10" s="3"/>
      <c r="C10" s="3"/>
      <c r="D10" s="71"/>
      <c r="E10" s="678">
        <f>+J16</f>
        <v>36152000</v>
      </c>
      <c r="F10" s="17"/>
      <c r="G10" s="702">
        <f>C4</f>
        <v>45033</v>
      </c>
      <c r="H10" s="80" t="s">
        <v>426</v>
      </c>
      <c r="I10" s="80"/>
      <c r="J10" s="70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 t="s">
        <v>427</v>
      </c>
      <c r="B11" s="3"/>
      <c r="C11" s="3"/>
      <c r="D11" s="704">
        <v>0.2</v>
      </c>
      <c r="E11" s="705">
        <f>+E$10*D11</f>
        <v>7230400</v>
      </c>
      <c r="F11" s="3"/>
      <c r="G11" s="15" t="s">
        <v>244</v>
      </c>
      <c r="H11" s="706">
        <f t="shared" ref="H11:H14" si="1">36152000/$I$16</f>
        <v>311655.1724</v>
      </c>
      <c r="I11" s="707">
        <f>Rents!D50</f>
        <v>29</v>
      </c>
      <c r="J11" s="708">
        <f t="shared" ref="J11:J14" si="2">+I11*H11</f>
        <v>9038000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" t="s">
        <v>428</v>
      </c>
      <c r="B12" s="3"/>
      <c r="C12" s="3"/>
      <c r="D12" s="704">
        <v>0.0</v>
      </c>
      <c r="E12" s="705">
        <f t="shared" ref="E12:E16" si="3">+C$5*D12</f>
        <v>0</v>
      </c>
      <c r="F12" s="3"/>
      <c r="G12" s="15" t="s">
        <v>429</v>
      </c>
      <c r="H12" s="706">
        <f t="shared" si="1"/>
        <v>311655.1724</v>
      </c>
      <c r="I12" s="707">
        <f>Rents!D51</f>
        <v>52</v>
      </c>
      <c r="J12" s="708">
        <f t="shared" si="2"/>
        <v>16206068.97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 t="s">
        <v>430</v>
      </c>
      <c r="B13" s="3"/>
      <c r="C13" s="3"/>
      <c r="D13" s="704">
        <v>0.0</v>
      </c>
      <c r="E13" s="705">
        <f t="shared" si="3"/>
        <v>0</v>
      </c>
      <c r="F13" s="3"/>
      <c r="G13" s="15" t="s">
        <v>431</v>
      </c>
      <c r="H13" s="706">
        <f t="shared" si="1"/>
        <v>311655.1724</v>
      </c>
      <c r="I13" s="707">
        <f>Rents!D52</f>
        <v>29</v>
      </c>
      <c r="J13" s="708">
        <f t="shared" si="2"/>
        <v>9038000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 t="s">
        <v>432</v>
      </c>
      <c r="B14" s="3"/>
      <c r="C14" s="3"/>
      <c r="D14" s="704">
        <v>0.0</v>
      </c>
      <c r="E14" s="705">
        <f t="shared" si="3"/>
        <v>0</v>
      </c>
      <c r="F14" s="3"/>
      <c r="G14" s="15" t="s">
        <v>433</v>
      </c>
      <c r="H14" s="706">
        <f t="shared" si="1"/>
        <v>311655.1724</v>
      </c>
      <c r="I14" s="709">
        <f>Rents!D53</f>
        <v>6</v>
      </c>
      <c r="J14" s="708">
        <f t="shared" si="2"/>
        <v>1869931.034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 t="s">
        <v>434</v>
      </c>
      <c r="B15" s="3"/>
      <c r="C15" s="3"/>
      <c r="D15" s="704">
        <v>0.0</v>
      </c>
      <c r="E15" s="705">
        <f t="shared" si="3"/>
        <v>0</v>
      </c>
      <c r="F15" s="3"/>
      <c r="G15" s="45" t="s">
        <v>435</v>
      </c>
      <c r="H15" s="710"/>
      <c r="I15" s="711"/>
      <c r="J15" s="712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 t="s">
        <v>436</v>
      </c>
      <c r="B16" s="3"/>
      <c r="C16" s="3"/>
      <c r="D16" s="704">
        <v>0.0</v>
      </c>
      <c r="E16" s="705">
        <f t="shared" si="3"/>
        <v>0</v>
      </c>
      <c r="F16" s="3"/>
      <c r="G16" s="45"/>
      <c r="H16" s="39"/>
      <c r="I16" s="713">
        <f>SUM(I11:I15)</f>
        <v>116</v>
      </c>
      <c r="J16" s="712">
        <f>SUM(J11:J14)</f>
        <v>36152000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3"/>
      <c r="C17" s="3"/>
      <c r="D17" s="127"/>
      <c r="E17" s="714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715" t="s">
        <v>437</v>
      </c>
      <c r="B18" s="715"/>
      <c r="C18" s="715"/>
      <c r="D18" s="716"/>
      <c r="E18" s="717">
        <f>SUM(E10:E16)</f>
        <v>43382400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5" t="s">
        <v>438</v>
      </c>
      <c r="B19" s="5"/>
      <c r="C19" s="5"/>
      <c r="D19" s="475" t="s">
        <v>439</v>
      </c>
      <c r="E19" s="717">
        <f>'Sources and Uses'!F92</f>
        <v>50227386.1</v>
      </c>
      <c r="F19" s="3"/>
      <c r="G19" s="3"/>
      <c r="H19" s="3"/>
      <c r="I19" s="70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 t="s">
        <v>440</v>
      </c>
      <c r="B20" s="3"/>
      <c r="C20" s="3"/>
      <c r="D20" s="71"/>
      <c r="E20" s="705"/>
      <c r="F20" s="3"/>
      <c r="G20" s="718" t="s">
        <v>441</v>
      </c>
      <c r="H20" s="22"/>
      <c r="I20" s="22"/>
      <c r="J20" s="719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 t="s">
        <v>442</v>
      </c>
      <c r="B21" s="3"/>
      <c r="C21" s="3"/>
      <c r="D21" s="71"/>
      <c r="E21" s="705"/>
      <c r="F21" s="3"/>
      <c r="G21" s="15" t="s">
        <v>443</v>
      </c>
      <c r="H21" s="3"/>
      <c r="I21" s="3"/>
      <c r="J21" s="125">
        <f>IF(C8=4%,'Sources and Uses'!H98-J22,"")</f>
        <v>18709266.19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 t="s">
        <v>444</v>
      </c>
      <c r="B22" s="3"/>
      <c r="C22" s="3"/>
      <c r="D22" s="71" t="s">
        <v>445</v>
      </c>
      <c r="E22" s="720">
        <v>0.0</v>
      </c>
      <c r="F22" s="3"/>
      <c r="G22" s="15" t="s">
        <v>446</v>
      </c>
      <c r="H22" s="3"/>
      <c r="I22" s="3"/>
      <c r="J22" s="125">
        <f>IF(C8=4%,Summary!E41,"")</f>
        <v>7196458.287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3"/>
      <c r="C23" s="3"/>
      <c r="D23" s="71"/>
      <c r="E23" s="705"/>
      <c r="F23" s="3"/>
      <c r="G23" s="15" t="s">
        <v>447</v>
      </c>
      <c r="H23" s="3"/>
      <c r="I23" s="3"/>
      <c r="J23" s="125">
        <f>IFERROR(J21+J22,"")</f>
        <v>25905724.48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 t="s">
        <v>448</v>
      </c>
      <c r="B24" s="3"/>
      <c r="C24" s="3"/>
      <c r="D24" s="71"/>
      <c r="E24" s="705">
        <f>SUM(E19:E22)</f>
        <v>50227386.1</v>
      </c>
      <c r="F24" s="3"/>
      <c r="G24" s="15"/>
      <c r="H24" s="3"/>
      <c r="I24" s="3"/>
      <c r="J24" s="69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3"/>
      <c r="C25" s="3"/>
      <c r="D25" s="71"/>
      <c r="E25" s="705"/>
      <c r="F25" s="3"/>
      <c r="G25" s="15" t="s">
        <v>449</v>
      </c>
      <c r="H25" s="3"/>
      <c r="I25" s="3"/>
      <c r="J25" s="125">
        <f>IF(C8=4%,'Sources and Uses'!F92,"")</f>
        <v>50227386.1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 t="s">
        <v>450</v>
      </c>
      <c r="B26" s="3"/>
      <c r="C26" s="3"/>
      <c r="D26" s="71"/>
      <c r="E26" s="705">
        <f>IF(E18&gt;E24,E24,E18)</f>
        <v>43382400</v>
      </c>
      <c r="F26" s="3"/>
      <c r="G26" s="15" t="s">
        <v>451</v>
      </c>
      <c r="H26" s="5"/>
      <c r="I26" s="3"/>
      <c r="J26" s="126">
        <f>IF(C8=4%,'Sources and Uses'!E10,"")</f>
        <v>0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 t="s">
        <v>452</v>
      </c>
      <c r="B27" s="3"/>
      <c r="C27" s="3"/>
      <c r="D27" s="71"/>
      <c r="E27" s="721">
        <v>0.0</v>
      </c>
      <c r="F27" s="3"/>
      <c r="G27" s="15" t="s">
        <v>453</v>
      </c>
      <c r="H27" s="5"/>
      <c r="I27" s="3"/>
      <c r="J27" s="125">
        <f>IFERROR(J25+J26,"")</f>
        <v>50227386.1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5" t="s">
        <v>454</v>
      </c>
      <c r="B28" s="5"/>
      <c r="C28" s="5"/>
      <c r="D28" s="475"/>
      <c r="E28" s="722">
        <f>SUM(E26:E27)</f>
        <v>43382400</v>
      </c>
      <c r="F28" s="3"/>
      <c r="G28" s="15"/>
      <c r="H28" s="5"/>
      <c r="I28" s="3"/>
      <c r="J28" s="12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/>
      <c r="D29" s="71"/>
      <c r="E29" s="705"/>
      <c r="F29" s="3"/>
      <c r="G29" s="45" t="s">
        <v>455</v>
      </c>
      <c r="H29" s="39"/>
      <c r="I29" s="39"/>
      <c r="J29" s="723">
        <f>IFERROR((J22+J21)/J27,"")</f>
        <v>0.5157689159</v>
      </c>
      <c r="K29" s="3"/>
      <c r="L29" s="77" t="s">
        <v>456</v>
      </c>
      <c r="M29" s="129"/>
      <c r="N29" s="129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 t="s">
        <v>457</v>
      </c>
      <c r="B30" s="3"/>
      <c r="C30" s="3"/>
      <c r="D30" s="724" t="s">
        <v>458</v>
      </c>
      <c r="E30" s="725">
        <f>IF(D30="Y",130%,100%)</f>
        <v>1.3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3"/>
      <c r="C31" s="3"/>
      <c r="D31" s="71"/>
      <c r="E31" s="705">
        <f>+E28*E30</f>
        <v>56397120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3"/>
      <c r="C32" s="3"/>
      <c r="D32" s="71"/>
      <c r="E32" s="705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 t="s">
        <v>459</v>
      </c>
      <c r="B33" s="3"/>
      <c r="C33" s="3"/>
      <c r="D33" s="127"/>
      <c r="E33" s="726">
        <v>1.0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3"/>
      <c r="C34" s="3"/>
      <c r="D34" s="127"/>
      <c r="E34" s="727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5" t="s">
        <v>460</v>
      </c>
      <c r="B35" s="5"/>
      <c r="C35" s="5"/>
      <c r="D35" s="475"/>
      <c r="E35" s="722">
        <f>+E31*E33</f>
        <v>56397120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71"/>
      <c r="E36" s="705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 t="s">
        <v>461</v>
      </c>
      <c r="B37" s="3"/>
      <c r="C37" s="3"/>
      <c r="D37" s="463"/>
      <c r="E37" s="728">
        <f>C8</f>
        <v>0.04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71"/>
      <c r="E38" s="70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5" t="s">
        <v>462</v>
      </c>
      <c r="B39" s="5"/>
      <c r="C39" s="5"/>
      <c r="D39" s="729"/>
      <c r="E39" s="730">
        <f>E35*E37</f>
        <v>2255884.8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71"/>
      <c r="E40" s="70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 t="s">
        <v>463</v>
      </c>
      <c r="B41" s="3"/>
      <c r="C41" s="3"/>
      <c r="D41" s="3"/>
      <c r="E41" s="705">
        <f>+E39*10</f>
        <v>22558848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705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3" t="s">
        <v>464</v>
      </c>
      <c r="B43" s="3"/>
      <c r="C43" s="3"/>
      <c r="D43" s="3"/>
      <c r="E43" s="658">
        <v>0.9999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705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 t="s">
        <v>465</v>
      </c>
      <c r="B45" s="3"/>
      <c r="C45" s="3"/>
      <c r="D45" s="3"/>
      <c r="E45" s="705">
        <f>E43*E41</f>
        <v>22556592.12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705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 t="s">
        <v>466</v>
      </c>
      <c r="B47" s="3"/>
      <c r="C47" s="3"/>
      <c r="D47" s="3"/>
      <c r="E47" s="731">
        <v>0.98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9"/>
      <c r="B48" s="39"/>
      <c r="C48" s="39"/>
      <c r="D48" s="39"/>
      <c r="E48" s="732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666" t="s">
        <v>467</v>
      </c>
      <c r="B49" s="666"/>
      <c r="C49" s="666"/>
      <c r="D49" s="666"/>
      <c r="E49" s="733">
        <f>+E47*E41</f>
        <v>22107671.04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666" t="s">
        <v>468</v>
      </c>
      <c r="B51" s="666"/>
      <c r="C51" s="666"/>
      <c r="D51" s="666"/>
      <c r="E51" s="666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 t="s">
        <v>469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 t="s">
        <v>470</v>
      </c>
      <c r="B54" s="3"/>
      <c r="C54" s="3"/>
      <c r="D54" s="3"/>
      <c r="E54" s="734">
        <v>0.0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 t="s">
        <v>471</v>
      </c>
      <c r="B56" s="3"/>
      <c r="C56" s="3"/>
      <c r="D56" s="3"/>
      <c r="E56" s="726">
        <v>0.3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 t="s">
        <v>472</v>
      </c>
      <c r="B58" s="3"/>
      <c r="C58" s="3"/>
      <c r="D58" s="3"/>
      <c r="E58" s="705">
        <f>+E56*E54</f>
        <v>0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 t="s">
        <v>473</v>
      </c>
      <c r="B60" s="3"/>
      <c r="C60" s="3"/>
      <c r="D60" s="3"/>
      <c r="E60" s="731">
        <v>0.75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9"/>
      <c r="B61" s="39"/>
      <c r="C61" s="39"/>
      <c r="D61" s="39"/>
      <c r="E61" s="73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666" t="s">
        <v>474</v>
      </c>
      <c r="B62" s="666"/>
      <c r="C62" s="666"/>
      <c r="D62" s="666"/>
      <c r="E62" s="733">
        <f>+E58*E60</f>
        <v>0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735" t="s">
        <v>475</v>
      </c>
      <c r="B64" s="736"/>
      <c r="C64" s="736"/>
      <c r="D64" s="737"/>
      <c r="E64" s="738">
        <f>+E62+E49</f>
        <v>22107671.04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67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9" t="s">
        <v>476</v>
      </c>
      <c r="B68" s="39"/>
      <c r="C68" s="39"/>
      <c r="D68" s="73" t="s">
        <v>189</v>
      </c>
      <c r="E68" s="39" t="s">
        <v>188</v>
      </c>
      <c r="F68" s="739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78" t="s">
        <v>477</v>
      </c>
      <c r="B69" s="3"/>
      <c r="C69" s="3"/>
      <c r="D69" s="676">
        <v>0.03098</v>
      </c>
      <c r="E69" s="657">
        <f t="shared" ref="E69:E73" si="4">IF(D69&gt;0,$E$74*D69,"")</f>
        <v>684895.6488</v>
      </c>
      <c r="F69" s="739"/>
      <c r="G69" s="739"/>
      <c r="H69" s="739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78" t="s">
        <v>57</v>
      </c>
      <c r="B70" s="3"/>
      <c r="C70" s="3"/>
      <c r="D70" s="740"/>
      <c r="E70" s="657" t="str">
        <f t="shared" si="4"/>
        <v/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78" t="s">
        <v>195</v>
      </c>
      <c r="B71" s="3"/>
      <c r="C71" s="3"/>
      <c r="D71" s="740">
        <v>0.1</v>
      </c>
      <c r="E71" s="657">
        <f t="shared" si="4"/>
        <v>2210767.104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78" t="s">
        <v>49</v>
      </c>
      <c r="B72" s="3"/>
      <c r="C72" s="3"/>
      <c r="D72" s="741">
        <f>D74-D69-D70-D71-D73</f>
        <v>0.857711708</v>
      </c>
      <c r="E72" s="657">
        <f t="shared" si="4"/>
        <v>18962008.29</v>
      </c>
      <c r="F72" s="3"/>
      <c r="G72" s="3"/>
      <c r="H72" s="739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659">
        <v>8609.0</v>
      </c>
      <c r="B73" s="39"/>
      <c r="C73" s="39"/>
      <c r="D73" s="742">
        <f>250000/E74</f>
        <v>0.01130829202</v>
      </c>
      <c r="E73" s="743">
        <f t="shared" si="4"/>
        <v>250000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 t="s">
        <v>202</v>
      </c>
      <c r="B74" s="3"/>
      <c r="C74" s="3"/>
      <c r="D74" s="741">
        <v>1.0</v>
      </c>
      <c r="E74" s="678">
        <f>E64</f>
        <v>22107671.04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17"/>
      <c r="B124" s="17"/>
      <c r="C124" s="17"/>
      <c r="D124" s="17"/>
      <c r="E124" s="17"/>
      <c r="F124" s="17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C8">
      <formula1>'Drop Down Menus'!$F$4:$F$5</formula1>
    </dataValidation>
    <dataValidation type="list" allowBlank="1" showErrorMessage="1" sqref="D30">
      <formula1>'Drop Down Menus'!$F$8:$F$9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31.63"/>
    <col customWidth="1" min="2" max="2" width="8.75"/>
    <col customWidth="1" min="3" max="3" width="11.38"/>
    <col customWidth="1" min="4" max="4" width="9.38"/>
    <col customWidth="1" min="5" max="5" width="9.13"/>
    <col customWidth="1" hidden="1" min="6" max="8" width="8.88"/>
    <col customWidth="1" min="9" max="9" width="8.88"/>
    <col customWidth="1" min="10" max="11" width="8.63"/>
    <col customWidth="1" min="12" max="12" width="14.0"/>
    <col customWidth="1" min="13" max="13" width="10.25"/>
    <col customWidth="1" min="14" max="14" width="17.63"/>
    <col customWidth="1" min="15" max="23" width="8.63"/>
  </cols>
  <sheetData>
    <row r="1">
      <c r="A1" s="701" t="s">
        <v>0</v>
      </c>
      <c r="B1" s="70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12.75" customHeight="1">
      <c r="A2" s="459" t="s">
        <v>1</v>
      </c>
      <c r="B2" s="3"/>
      <c r="D2" s="744" t="str">
        <f>Summary!D2</f>
        <v>NYU VIDA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ht="12.75" customHeight="1">
      <c r="A3" s="459" t="s">
        <v>5</v>
      </c>
      <c r="B3" s="3"/>
      <c r="D3" s="460" t="str">
        <f>Summary!C6</f>
        <v>The Beacon Apartments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ht="12.75" customHeight="1">
      <c r="A4" s="459" t="s">
        <v>92</v>
      </c>
      <c r="B4" s="459"/>
      <c r="C4" s="3"/>
      <c r="D4" s="461">
        <f>Summary!D3</f>
        <v>45033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ht="12.75" customHeight="1">
      <c r="A5" s="459"/>
      <c r="B5" s="459"/>
      <c r="C5" s="3"/>
      <c r="D5" s="6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ht="12.75" customHeight="1">
      <c r="A6" s="745" t="s">
        <v>478</v>
      </c>
      <c r="B6" s="459"/>
      <c r="C6" s="3"/>
      <c r="D6" s="6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ht="12.75" customHeight="1">
      <c r="A7" s="459"/>
      <c r="B7" s="459"/>
      <c r="C7" s="3"/>
      <c r="D7" s="6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ht="12.75" customHeight="1">
      <c r="A8" s="39"/>
      <c r="B8" s="39"/>
      <c r="C8" s="746" t="s">
        <v>479</v>
      </c>
      <c r="D8" s="747" t="s">
        <v>259</v>
      </c>
      <c r="E8" s="748" t="s">
        <v>256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ht="12.75" customHeight="1">
      <c r="A9" s="255" t="s">
        <v>480</v>
      </c>
      <c r="B9" s="276"/>
      <c r="C9" s="749">
        <f>Rents!M14*12</f>
        <v>1454304</v>
      </c>
      <c r="D9" s="750">
        <f>IF(C9=0,"",C9/Rents!$F$14)</f>
        <v>12537.10345</v>
      </c>
      <c r="E9" s="751">
        <f>IF(C9=0,"",C9/Rents!$G$14)</f>
        <v>20.2239466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ht="12.75" customHeight="1">
      <c r="A10" s="255" t="s">
        <v>365</v>
      </c>
      <c r="B10" s="276"/>
      <c r="C10" s="752">
        <f>Rents!T126</f>
        <v>181908</v>
      </c>
      <c r="D10" s="750">
        <f>IF(C10=0,"",C10/Rents!$F$14)</f>
        <v>1568.172414</v>
      </c>
      <c r="E10" s="751">
        <f>IF(C10=0,"",C10/Rents!$G$14)</f>
        <v>2.529662078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ht="12.75" customHeight="1">
      <c r="A11" s="255" t="s">
        <v>481</v>
      </c>
      <c r="B11" s="753">
        <v>40.0</v>
      </c>
      <c r="C11" s="754">
        <f>B11*Rents!F14*12</f>
        <v>55680</v>
      </c>
      <c r="D11" s="750">
        <f>IF(C11=0,"",C11/Rents!$F$14)</f>
        <v>480</v>
      </c>
      <c r="E11" s="751">
        <f>IF(C11=0,"",C11/Rents!$G$14)</f>
        <v>0.7743012098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ht="12.75" customHeight="1">
      <c r="A12" s="755" t="s">
        <v>482</v>
      </c>
      <c r="B12" s="254"/>
      <c r="C12" s="756">
        <f>SUM(C9:C11)</f>
        <v>1691892</v>
      </c>
      <c r="D12" s="757">
        <f>IF(C12=0,"",C12/Rents!$F$14)</f>
        <v>14585.27586</v>
      </c>
      <c r="E12" s="758">
        <f>IF(C12=0,"",C12/Rents!$G$14)</f>
        <v>23.52790989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ht="12.75" customHeight="1">
      <c r="A13" s="3"/>
      <c r="B13" s="71"/>
      <c r="C13" s="749"/>
      <c r="D13" s="750"/>
      <c r="E13" s="75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ht="12.75" customHeight="1">
      <c r="A14" s="255" t="s">
        <v>483</v>
      </c>
      <c r="B14" s="759">
        <v>0.05</v>
      </c>
      <c r="C14" s="749">
        <f t="shared" ref="C14:C15" si="1">-C9*B14</f>
        <v>-72715.2</v>
      </c>
      <c r="D14" s="750">
        <f>IF(C14=0,"",C14/Rents!$F$14)</f>
        <v>-626.8551724</v>
      </c>
      <c r="E14" s="751">
        <f>IF(C14=0,"",C14/Rents!$G$14)</f>
        <v>-1.01119733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ht="12.75" customHeight="1">
      <c r="A15" s="255" t="s">
        <v>484</v>
      </c>
      <c r="B15" s="759">
        <v>0.05</v>
      </c>
      <c r="C15" s="749">
        <f t="shared" si="1"/>
        <v>-9095.4</v>
      </c>
      <c r="D15" s="750">
        <f>IF(C15=0,"",C15/Rents!$F$14)</f>
        <v>-78.40862069</v>
      </c>
      <c r="E15" s="751">
        <f>IF(C15=0,"",C15/Rents!$G$14)</f>
        <v>-0.1264831039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ht="12.75" customHeight="1">
      <c r="A16" s="255" t="s">
        <v>485</v>
      </c>
      <c r="B16" s="759">
        <v>0.05</v>
      </c>
      <c r="C16" s="749">
        <f>-B16*C11</f>
        <v>-2784</v>
      </c>
      <c r="D16" s="750">
        <f>IF(C16=0,"",C16/Rents!$F$14)</f>
        <v>-24</v>
      </c>
      <c r="E16" s="751">
        <f>IF(C16=0,"",C16/Rents!$G$14)</f>
        <v>-0.03871506049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ht="12.75" customHeight="1">
      <c r="A17" s="760" t="s">
        <v>486</v>
      </c>
      <c r="B17" s="761"/>
      <c r="C17" s="762">
        <f>SUM(C14:C16)</f>
        <v>-84594.6</v>
      </c>
      <c r="D17" s="763">
        <f>IF(C17=0,"",C17/Rents!$F$14)</f>
        <v>-729.2637931</v>
      </c>
      <c r="E17" s="764">
        <f>IF(C17=0,"",C17/Rents!$G$14)</f>
        <v>-1.176395494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ht="12.75" customHeight="1">
      <c r="A18" s="755"/>
      <c r="B18" s="254"/>
      <c r="C18" s="749"/>
      <c r="D18" s="750"/>
      <c r="E18" s="75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ht="12.75" customHeight="1">
      <c r="A19" s="765" t="s">
        <v>487</v>
      </c>
      <c r="B19" s="766"/>
      <c r="C19" s="767">
        <f>C12+C17</f>
        <v>1607297.4</v>
      </c>
      <c r="D19" s="768">
        <f>IF(C19=0,"",C19/Rents!$F$14)</f>
        <v>13856.01207</v>
      </c>
      <c r="E19" s="769">
        <f>IF(C19=0,"",C19/Rents!$G$14)</f>
        <v>22.35151439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ht="12.75" customHeight="1">
      <c r="A20" s="3"/>
      <c r="B20" s="657"/>
      <c r="C20" s="770"/>
      <c r="D20" s="750"/>
      <c r="E20" s="75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ht="12.75" customHeight="1">
      <c r="A21" s="276" t="s">
        <v>488</v>
      </c>
      <c r="B21" s="759">
        <v>0.06</v>
      </c>
      <c r="C21" s="771">
        <f>C19*B21</f>
        <v>96437.844</v>
      </c>
      <c r="D21" s="750">
        <f>IF(C21=0,"",C21/Rents!$F$14)</f>
        <v>831.3607241</v>
      </c>
      <c r="E21" s="751">
        <f>IF(C21=0,"",C21/Rents!$G$14)</f>
        <v>1.341090864</v>
      </c>
      <c r="F21" s="3"/>
      <c r="G21" s="3"/>
      <c r="H21" s="772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ht="12.75" customHeight="1">
      <c r="A22" s="255" t="s">
        <v>127</v>
      </c>
      <c r="B22" s="773"/>
      <c r="C22" s="774">
        <v>101500.0</v>
      </c>
      <c r="D22" s="750">
        <f>IF(C22=0,"",C22/Rents!$F$14)</f>
        <v>875</v>
      </c>
      <c r="E22" s="751">
        <f>IF(C22=0,"",C22/Rents!$G$14)</f>
        <v>1.41148658</v>
      </c>
      <c r="F22" s="3"/>
      <c r="G22" s="3"/>
      <c r="H22" s="772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ht="12.75" customHeight="1">
      <c r="A23" s="255" t="s">
        <v>129</v>
      </c>
      <c r="B23" s="773"/>
      <c r="C23" s="774">
        <v>0.0</v>
      </c>
      <c r="D23" s="750" t="str">
        <f>IF(C23=0,"",C23/Rents!$F$14)</f>
        <v/>
      </c>
      <c r="E23" s="751" t="str">
        <f>IF(C23=0,"",C23/Rents!$G$14)</f>
        <v/>
      </c>
      <c r="F23" s="775"/>
      <c r="G23" s="3"/>
      <c r="H23" s="772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ht="12.75" customHeight="1">
      <c r="A24" s="255" t="s">
        <v>489</v>
      </c>
      <c r="B24" s="773"/>
      <c r="C24" s="771">
        <f>MAX('Debt &amp; Valuation'!C20-Rents!D45,0)</f>
        <v>0</v>
      </c>
      <c r="D24" s="750" t="str">
        <f>IF(C24=0,"",C24/Rents!$F$14)</f>
        <v/>
      </c>
      <c r="E24" s="751" t="str">
        <f>IF(C24=0,"",C24/Rents!$G$14)</f>
        <v/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ht="12.75" customHeight="1">
      <c r="A25" s="255"/>
      <c r="B25" s="773"/>
      <c r="C25" s="770"/>
      <c r="D25" s="750" t="str">
        <f>IF(C25=0,"",C25/Rents!$F$14)</f>
        <v/>
      </c>
      <c r="E25" s="751" t="str">
        <f>IF(C25=0,"",C25/Rents!$G$14)</f>
        <v/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ht="12.75" customHeight="1">
      <c r="A26" s="255" t="s">
        <v>490</v>
      </c>
      <c r="C26" s="776">
        <v>2000.0</v>
      </c>
      <c r="D26" s="750">
        <f>IF(C26=0,"",C26/Rents!$F$14)</f>
        <v>17.24137931</v>
      </c>
      <c r="E26" s="751">
        <f>IF(C26=0,"",C26/Rents!$G$14)</f>
        <v>0.02781254346</v>
      </c>
      <c r="F26" s="3"/>
      <c r="G26" s="777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ht="12.75" customHeight="1">
      <c r="A27" s="255" t="s">
        <v>130</v>
      </c>
      <c r="C27" s="776">
        <v>28000.0</v>
      </c>
      <c r="D27" s="750">
        <f>IF(C27=0,"",C27/Rents!$F$14)</f>
        <v>241.3793103</v>
      </c>
      <c r="E27" s="751">
        <f>IF(C27=0,"",C27/Rents!$G$14)</f>
        <v>0.3893756084</v>
      </c>
      <c r="F27" s="3"/>
      <c r="G27" s="777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ht="12.75" customHeight="1">
      <c r="A28" s="255" t="s">
        <v>175</v>
      </c>
      <c r="C28" s="776">
        <v>16600.0</v>
      </c>
      <c r="D28" s="750">
        <f>IF(C28=0,"",C28/Rents!$F$14)</f>
        <v>143.1034483</v>
      </c>
      <c r="E28" s="751">
        <f>IF(C28=0,"",C28/Rents!$G$14)</f>
        <v>0.2308441107</v>
      </c>
      <c r="F28" s="3"/>
      <c r="G28" s="777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2.75" customHeight="1">
      <c r="A29" s="255" t="s">
        <v>491</v>
      </c>
      <c r="C29" s="776">
        <v>2200.0</v>
      </c>
      <c r="D29" s="750">
        <f>IF(C29=0,"",C29/Rents!$F$14)</f>
        <v>18.96551724</v>
      </c>
      <c r="E29" s="751">
        <f>IF(C29=0,"",C29/Rents!$G$14)</f>
        <v>0.0305937978</v>
      </c>
      <c r="F29" s="3"/>
      <c r="G29" s="777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ht="12.75" customHeight="1">
      <c r="A30" s="255" t="s">
        <v>492</v>
      </c>
      <c r="C30" s="776">
        <v>55000.0</v>
      </c>
      <c r="D30" s="750">
        <f>IF(C30=0,"",C30/Rents!$F$14)</f>
        <v>474.137931</v>
      </c>
      <c r="E30" s="751">
        <f>IF(C30=0,"",C30/Rents!$G$14)</f>
        <v>0.7648449451</v>
      </c>
      <c r="F30" s="3"/>
      <c r="G30" s="77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ht="12.75" customHeight="1">
      <c r="A31" s="255" t="s">
        <v>493</v>
      </c>
      <c r="C31" s="776">
        <v>1000.0</v>
      </c>
      <c r="D31" s="750">
        <f>IF(C31=0,"",C31/Rents!$F$14)</f>
        <v>8.620689655</v>
      </c>
      <c r="E31" s="751">
        <f>IF(C31=0,"",C31/Rents!$G$14)</f>
        <v>0.01390627173</v>
      </c>
      <c r="F31" s="3"/>
      <c r="G31" s="778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ht="12.75" customHeight="1">
      <c r="A32" s="255" t="s">
        <v>494</v>
      </c>
      <c r="B32" s="779"/>
      <c r="C32" s="780">
        <v>12600.0</v>
      </c>
      <c r="D32" s="750">
        <f>IF(C32=0,"",C32/Rents!$F$14)</f>
        <v>108.6206897</v>
      </c>
      <c r="E32" s="751">
        <f>IF(C32=0,"",C32/Rents!$G$14)</f>
        <v>0.1752190238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ht="12.75" customHeight="1">
      <c r="A33" s="765" t="s">
        <v>495</v>
      </c>
      <c r="B33" s="781"/>
      <c r="C33" s="782">
        <f>SUM(C26:C32)</f>
        <v>117400</v>
      </c>
      <c r="D33" s="768">
        <f>IF(C33=0,"",C33/Rents!$F$14)</f>
        <v>1012.068966</v>
      </c>
      <c r="E33" s="769">
        <f>IF(C33=0,"",C33/Rents!$G$14)</f>
        <v>1.632596301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ht="12.75" customHeight="1">
      <c r="A34" s="255"/>
      <c r="B34" s="773"/>
      <c r="C34" s="770"/>
      <c r="D34" s="750" t="str">
        <f>IF(C34=0,"",C34/Rents!$F$14)</f>
        <v/>
      </c>
      <c r="E34" s="751" t="str">
        <f>IF(C34=0,"",C34/Rents!$G$14)</f>
        <v/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ht="12.75" customHeight="1">
      <c r="A35" s="255" t="s">
        <v>496</v>
      </c>
      <c r="C35" s="783">
        <v>90000.0</v>
      </c>
      <c r="D35" s="750">
        <f>IF(C35=0,"",C35/Rents!$F$14)</f>
        <v>775.862069</v>
      </c>
      <c r="E35" s="751">
        <f>IF(C35=0,"",C35/Rents!$G$14)</f>
        <v>1.251564456</v>
      </c>
      <c r="F35" s="3"/>
      <c r="G35" s="78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ht="12.75" customHeight="1">
      <c r="A36" s="255" t="s">
        <v>497</v>
      </c>
      <c r="C36" s="785">
        <v>3300.0</v>
      </c>
      <c r="D36" s="750">
        <f>IF(C36=0,"",C36/Rents!$F$14)</f>
        <v>28.44827586</v>
      </c>
      <c r="E36" s="751">
        <f>IF(C36=0,"",C36/Rents!$G$14)</f>
        <v>0.0458906967</v>
      </c>
      <c r="F36" s="3"/>
      <c r="G36" s="784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ht="12.75" customHeight="1">
      <c r="A37" s="255" t="s">
        <v>498</v>
      </c>
      <c r="C37" s="785">
        <v>90000.0</v>
      </c>
      <c r="D37" s="750">
        <f>IF(C37=0,"",C37/Rents!$F$14)</f>
        <v>775.862069</v>
      </c>
      <c r="E37" s="751">
        <f>IF(C37=0,"",C37/Rents!$G$14)</f>
        <v>1.251564456</v>
      </c>
      <c r="F37" s="3"/>
      <c r="G37" s="784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ht="12.75" customHeight="1">
      <c r="A38" s="255" t="s">
        <v>499</v>
      </c>
      <c r="C38" s="785">
        <v>12000.0</v>
      </c>
      <c r="D38" s="750">
        <f>IF(C38=0,"",C38/Rents!$F$14)</f>
        <v>103.4482759</v>
      </c>
      <c r="E38" s="751">
        <f>IF(C38=0,"",C38/Rents!$G$14)</f>
        <v>0.1668752607</v>
      </c>
      <c r="F38" s="3"/>
      <c r="G38" s="784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ht="12.75" customHeight="1">
      <c r="A39" s="255" t="s">
        <v>500</v>
      </c>
      <c r="C39" s="785">
        <v>10000.0</v>
      </c>
      <c r="D39" s="750">
        <f>IF(C39=0,"",C39/Rents!$F$14)</f>
        <v>86.20689655</v>
      </c>
      <c r="E39" s="751">
        <f>IF(C39=0,"",C39/Rents!$G$14)</f>
        <v>0.1390627173</v>
      </c>
      <c r="F39" s="3"/>
      <c r="G39" s="786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ht="12.75" customHeight="1">
      <c r="A40" s="765" t="s">
        <v>501</v>
      </c>
      <c r="B40" s="781"/>
      <c r="C40" s="782">
        <f>SUM(C35:C39)</f>
        <v>205300</v>
      </c>
      <c r="D40" s="768">
        <f>IF(C40=0,"",C40/Rents!$F$14)</f>
        <v>1769.827586</v>
      </c>
      <c r="E40" s="769">
        <f>IF(C40=0,"",C40/Rents!$G$14)</f>
        <v>2.854957586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ht="12.75" customHeight="1">
      <c r="A41" s="3"/>
      <c r="B41" s="773"/>
      <c r="C41" s="770"/>
      <c r="D41" s="750" t="str">
        <f>IF(C41=0,"",C41/Rents!$F$14)</f>
        <v/>
      </c>
      <c r="E41" s="751" t="str">
        <f>IF(C41=0,"",C41/Rents!$G$14)</f>
        <v/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ht="12.75" customHeight="1">
      <c r="A42" s="255" t="s">
        <v>502</v>
      </c>
      <c r="C42" s="776">
        <v>0.0</v>
      </c>
      <c r="D42" s="750" t="str">
        <f>IF(C42=0,"",C42/Rents!$F$14)</f>
        <v/>
      </c>
      <c r="E42" s="751" t="str">
        <f>IF(C42=0,"",C42/Rents!$G$14)</f>
        <v/>
      </c>
      <c r="F42" s="3"/>
      <c r="G42" s="777"/>
      <c r="H42" s="3"/>
      <c r="I42" s="3"/>
      <c r="J42" s="3"/>
      <c r="K42" s="3"/>
      <c r="L42" s="663" t="s">
        <v>503</v>
      </c>
      <c r="M42" s="663" t="s">
        <v>504</v>
      </c>
      <c r="N42" s="663" t="s">
        <v>505</v>
      </c>
      <c r="O42" s="3"/>
      <c r="P42" s="3"/>
      <c r="Q42" s="3"/>
      <c r="R42" s="3"/>
      <c r="S42" s="3"/>
      <c r="T42" s="3"/>
      <c r="U42" s="3"/>
      <c r="V42" s="3"/>
      <c r="W42" s="3"/>
    </row>
    <row r="43" ht="12.75" customHeight="1">
      <c r="A43" s="255" t="s">
        <v>506</v>
      </c>
      <c r="C43" s="787">
        <v>21980.0</v>
      </c>
      <c r="D43" s="750">
        <f>IF(C43=0,"",C43/Rents!$F$14)</f>
        <v>189.4827586</v>
      </c>
      <c r="E43" s="751">
        <f>IF(C43=0,"",C43/Rents!$G$14)</f>
        <v>0.3056598526</v>
      </c>
      <c r="F43" s="3"/>
      <c r="G43" s="777"/>
      <c r="H43" s="3"/>
      <c r="I43" s="3"/>
      <c r="J43" s="3"/>
      <c r="K43" s="475" t="s">
        <v>244</v>
      </c>
      <c r="L43" s="471">
        <f>Rents!D50</f>
        <v>29</v>
      </c>
      <c r="M43" s="71">
        <v>1.0</v>
      </c>
      <c r="N43" s="71">
        <f t="shared" ref="N43:N46" si="2">L43*M43</f>
        <v>29</v>
      </c>
      <c r="O43" s="3"/>
      <c r="P43" s="3"/>
      <c r="Q43" s="3"/>
      <c r="R43" s="3"/>
      <c r="S43" s="3"/>
      <c r="T43" s="3"/>
      <c r="U43" s="3"/>
      <c r="V43" s="3"/>
      <c r="W43" s="3"/>
    </row>
    <row r="44" ht="12.75" customHeight="1">
      <c r="A44" s="255" t="s">
        <v>507</v>
      </c>
      <c r="B44" s="657"/>
      <c r="C44" s="787">
        <v>35325.0</v>
      </c>
      <c r="D44" s="788">
        <f>IF(C44=0,"",C44/Rents!$F$14)</f>
        <v>304.5258621</v>
      </c>
      <c r="E44" s="751">
        <f>IF(C44=0,"",C44/Rents!$G$14)</f>
        <v>0.4912390488</v>
      </c>
      <c r="F44" s="3"/>
      <c r="G44" s="777"/>
      <c r="H44" s="3"/>
      <c r="I44" s="3"/>
      <c r="J44" s="3"/>
      <c r="K44" s="475" t="s">
        <v>328</v>
      </c>
      <c r="L44" s="471">
        <f>Rents!D51</f>
        <v>52</v>
      </c>
      <c r="M44" s="71">
        <v>1.0</v>
      </c>
      <c r="N44" s="71">
        <f t="shared" si="2"/>
        <v>52</v>
      </c>
      <c r="O44" s="3"/>
      <c r="P44" s="3"/>
      <c r="Q44" s="3"/>
      <c r="R44" s="3"/>
      <c r="S44" s="3"/>
      <c r="T44" s="3"/>
      <c r="U44" s="3"/>
      <c r="V44" s="3"/>
      <c r="W44" s="3"/>
    </row>
    <row r="45" ht="12.75" customHeight="1">
      <c r="A45" s="255" t="s">
        <v>338</v>
      </c>
      <c r="C45" s="776">
        <v>20410.0</v>
      </c>
      <c r="D45" s="750">
        <f>IF(C45=0,"",C45/Rents!$F$14)</f>
        <v>175.9482759</v>
      </c>
      <c r="E45" s="751">
        <f>IF(C45=0,"",C45/Rents!$G$14)</f>
        <v>0.283827006</v>
      </c>
      <c r="F45" s="3"/>
      <c r="G45" s="777"/>
      <c r="H45" s="3"/>
      <c r="I45" s="3"/>
      <c r="J45" s="3"/>
      <c r="K45" s="475" t="s">
        <v>329</v>
      </c>
      <c r="L45" s="471">
        <f>Rents!D52</f>
        <v>29</v>
      </c>
      <c r="M45" s="71">
        <v>2.0</v>
      </c>
      <c r="N45" s="71">
        <f t="shared" si="2"/>
        <v>58</v>
      </c>
      <c r="O45" s="3"/>
      <c r="P45" s="3"/>
      <c r="Q45" s="3"/>
      <c r="R45" s="3"/>
      <c r="S45" s="3"/>
      <c r="T45" s="3"/>
      <c r="U45" s="3"/>
      <c r="V45" s="3"/>
      <c r="W45" s="3"/>
    </row>
    <row r="46" ht="12.75" customHeight="1">
      <c r="A46" s="255" t="s">
        <v>339</v>
      </c>
      <c r="C46" s="776">
        <v>20410.0</v>
      </c>
      <c r="D46" s="750">
        <f>IF(C46=0,"",C46/Rents!$F$14)</f>
        <v>175.9482759</v>
      </c>
      <c r="E46" s="751">
        <f>IF(C46=0,"",C46/Rents!$G$14)</f>
        <v>0.283827006</v>
      </c>
      <c r="F46" s="3"/>
      <c r="G46" s="778"/>
      <c r="H46" s="3"/>
      <c r="I46" s="3"/>
      <c r="J46" s="3"/>
      <c r="K46" s="663" t="s">
        <v>330</v>
      </c>
      <c r="L46" s="471">
        <f>Rents!D53</f>
        <v>6</v>
      </c>
      <c r="M46" s="71">
        <v>3.0</v>
      </c>
      <c r="N46" s="71">
        <f t="shared" si="2"/>
        <v>18</v>
      </c>
      <c r="O46" s="3"/>
      <c r="P46" s="3"/>
      <c r="Q46" s="3"/>
      <c r="R46" s="3"/>
      <c r="S46" s="3"/>
      <c r="T46" s="3"/>
      <c r="U46" s="3"/>
      <c r="V46" s="3"/>
      <c r="W46" s="3"/>
    </row>
    <row r="47" ht="12.75" customHeight="1">
      <c r="A47" s="765" t="s">
        <v>508</v>
      </c>
      <c r="B47" s="781"/>
      <c r="C47" s="782">
        <f>SUM(C42:C46)</f>
        <v>98125</v>
      </c>
      <c r="D47" s="768">
        <f>IF(C47=0,"",C47/Rents!$F$14)</f>
        <v>845.9051724</v>
      </c>
      <c r="E47" s="769">
        <f>IF(C47=0,"",C47/Rents!$G$14)</f>
        <v>1.364552913</v>
      </c>
      <c r="F47" s="3"/>
      <c r="G47" s="3"/>
      <c r="H47" s="3"/>
      <c r="I47" s="3"/>
      <c r="J47" s="3"/>
      <c r="K47" s="789" t="s">
        <v>202</v>
      </c>
      <c r="L47" s="790">
        <f>SUM(L43:L46)</f>
        <v>116</v>
      </c>
      <c r="M47" s="791"/>
      <c r="N47" s="65">
        <f>SUM(N43:N46)</f>
        <v>157</v>
      </c>
      <c r="O47" s="3"/>
      <c r="P47" s="3"/>
      <c r="Q47" s="3"/>
      <c r="R47" s="3"/>
      <c r="S47" s="3"/>
      <c r="T47" s="3"/>
      <c r="U47" s="3"/>
      <c r="V47" s="3"/>
      <c r="W47" s="3"/>
    </row>
    <row r="48" ht="12.75" customHeight="1">
      <c r="A48" s="255"/>
      <c r="B48" s="773"/>
      <c r="C48" s="770"/>
      <c r="D48" s="750"/>
      <c r="E48" s="75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ht="12.75" customHeight="1">
      <c r="A49" s="255" t="s">
        <v>509</v>
      </c>
      <c r="B49" s="773"/>
      <c r="C49" s="776">
        <v>0.0</v>
      </c>
      <c r="D49" s="750" t="str">
        <f>IF(C49=0,"",C49/Rents!$F$14)</f>
        <v/>
      </c>
      <c r="E49" s="751" t="str">
        <f>IF(C49=0,"",C49/Rents!$G$14)</f>
        <v/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ht="12.75" customHeight="1">
      <c r="A50" s="255"/>
      <c r="B50" s="773"/>
      <c r="C50" s="770"/>
      <c r="D50" s="750" t="str">
        <f>IF(C50=0,"",C50/Rents!$F$14)</f>
        <v/>
      </c>
      <c r="E50" s="751" t="str">
        <f>IF(C50=0,"",C50/Rents!$G$14)</f>
        <v/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ht="12.75" customHeight="1">
      <c r="A51" s="255" t="s">
        <v>510</v>
      </c>
      <c r="C51" s="776">
        <v>1800.0</v>
      </c>
      <c r="D51" s="750">
        <f>IF(C51=0,"",C51/Rents!$F$14)</f>
        <v>15.51724138</v>
      </c>
      <c r="E51" s="751">
        <f>IF(C51=0,"",C51/Rents!$G$14)</f>
        <v>0.02503128911</v>
      </c>
      <c r="F51" s="3"/>
      <c r="G51" s="777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ht="12.75" customHeight="1">
      <c r="A52" s="255" t="s">
        <v>511</v>
      </c>
      <c r="C52" s="776">
        <v>93000.0</v>
      </c>
      <c r="D52" s="750">
        <f>IF(C52=0,"",C52/Rents!$F$14)</f>
        <v>801.7241379</v>
      </c>
      <c r="E52" s="751">
        <f>IF(C52=0,"",C52/Rents!$G$14)</f>
        <v>1.293283271</v>
      </c>
      <c r="F52" s="3"/>
      <c r="G52" s="777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ht="12.75" customHeight="1">
      <c r="A53" s="255" t="s">
        <v>512</v>
      </c>
      <c r="C53" s="776">
        <v>15000.0</v>
      </c>
      <c r="D53" s="750">
        <f>IF(C53=0,"",C53/Rents!$F$14)</f>
        <v>129.3103448</v>
      </c>
      <c r="E53" s="751">
        <f>IF(C53=0,"",C53/Rents!$G$14)</f>
        <v>0.2085940759</v>
      </c>
      <c r="F53" s="3"/>
      <c r="G53" s="777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ht="12.75" customHeight="1">
      <c r="A54" s="255" t="s">
        <v>513</v>
      </c>
      <c r="C54" s="776">
        <f>135*N47</f>
        <v>21195</v>
      </c>
      <c r="D54" s="750">
        <f>IF(C54=0,"",C54/Rents!$F$14)</f>
        <v>182.7155172</v>
      </c>
      <c r="E54" s="751">
        <f>IF(C54=0,"",C54/Rents!$G$14)</f>
        <v>0.2947434293</v>
      </c>
      <c r="F54" s="3"/>
      <c r="G54" s="7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ht="12.75" customHeight="1">
      <c r="A55" s="255" t="s">
        <v>514</v>
      </c>
      <c r="C55" s="776">
        <v>11000.0</v>
      </c>
      <c r="D55" s="750">
        <f>IF(C55=0,"",C55/Rents!$F$14)</f>
        <v>94.82758621</v>
      </c>
      <c r="E55" s="751">
        <f>IF(C55=0,"",C55/Rents!$G$14)</f>
        <v>0.152968989</v>
      </c>
      <c r="F55" s="3"/>
      <c r="G55" s="7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ht="12.75" customHeight="1">
      <c r="A56" s="255" t="s">
        <v>515</v>
      </c>
      <c r="C56" s="776">
        <f>7500*2</f>
        <v>15000</v>
      </c>
      <c r="D56" s="750">
        <f>IF(C56=0,"",C56/Rents!$F$14)</f>
        <v>129.3103448</v>
      </c>
      <c r="E56" s="751">
        <f>IF(C56=0,"",C56/Rents!$G$14)</f>
        <v>0.2085940759</v>
      </c>
      <c r="F56" s="3"/>
      <c r="G56" s="777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2.75" customHeight="1">
      <c r="A57" s="255" t="s">
        <v>516</v>
      </c>
      <c r="C57" s="776">
        <v>2000.0</v>
      </c>
      <c r="D57" s="750">
        <f>IF(C57=0,"",C57/Rents!$F$14)</f>
        <v>17.24137931</v>
      </c>
      <c r="E57" s="751">
        <f>IF(C57=0,"",C57/Rents!$G$14)</f>
        <v>0.02781254346</v>
      </c>
      <c r="F57" s="3"/>
      <c r="G57" s="778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ht="12.75" customHeight="1">
      <c r="A58" s="765" t="s">
        <v>517</v>
      </c>
      <c r="B58" s="781"/>
      <c r="C58" s="782">
        <f>SUM(C51:C57)</f>
        <v>158995</v>
      </c>
      <c r="D58" s="768">
        <f>IF(C58=0,"",C58/Rents!$F$14)</f>
        <v>1370.646552</v>
      </c>
      <c r="E58" s="769">
        <f>IF(C58=0,"",C58/Rents!$G$14)</f>
        <v>2.211027673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ht="12.75" customHeight="1">
      <c r="A59" s="255"/>
      <c r="B59" s="792"/>
      <c r="C59" s="770"/>
      <c r="D59" s="750"/>
      <c r="E59" s="75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ht="12.75" customHeight="1">
      <c r="A60" s="255" t="s">
        <v>518</v>
      </c>
      <c r="B60" s="792"/>
      <c r="C60" s="776">
        <v>0.0</v>
      </c>
      <c r="D60" s="750" t="str">
        <f>IF(C60=0,"",C60/Rents!$F$14)</f>
        <v/>
      </c>
      <c r="E60" s="751" t="str">
        <f>IF(C60=0,"",C60/Rents!$G$14)</f>
        <v/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ht="12.75" customHeight="1">
      <c r="A61" s="255" t="s">
        <v>519</v>
      </c>
      <c r="B61" s="276"/>
      <c r="C61" s="776">
        <v>0.0</v>
      </c>
      <c r="D61" s="750" t="str">
        <f>IF(C61=0,"",C61/Rents!$F$14)</f>
        <v/>
      </c>
      <c r="E61" s="751" t="str">
        <f>IF(C61=0,"",C61/Rents!$G$14)</f>
        <v/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ht="12.75" customHeight="1">
      <c r="A62" s="793" t="s">
        <v>520</v>
      </c>
      <c r="B62" s="793"/>
      <c r="C62" s="794">
        <v>0.0</v>
      </c>
      <c r="D62" s="795" t="str">
        <f>IF(C62=0,"",C62/Rents!$F$14)</f>
        <v/>
      </c>
      <c r="E62" s="796" t="str">
        <f>IF(C62=0,"",C62/Rents!$G$14)</f>
        <v/>
      </c>
      <c r="F62" s="3"/>
      <c r="G62" s="3"/>
      <c r="H62" s="710">
        <v>0.0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ht="12.75" customHeight="1">
      <c r="A63" s="755" t="s">
        <v>521</v>
      </c>
      <c r="B63" s="327"/>
      <c r="C63" s="797">
        <f>SUM(C21:C24,C33,C40,C47,C58)</f>
        <v>777757.844</v>
      </c>
      <c r="D63" s="757">
        <f>IF(C63=0,"",C63/Rents!$F$14)</f>
        <v>6704.809</v>
      </c>
      <c r="E63" s="758">
        <f>IF(C63=0,"",C63/Rents!$G$14)</f>
        <v>10.81571192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ht="12.75" customHeight="1">
      <c r="A64" s="255"/>
      <c r="B64" s="276"/>
      <c r="C64" s="770"/>
      <c r="D64" s="750" t="str">
        <f>IF(C64=0,"",C64/Rents!$F$14)</f>
        <v/>
      </c>
      <c r="E64" s="751" t="str">
        <f>IF(C64=0,"",C64/Rents!$G$14)</f>
        <v/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ht="12.75" customHeight="1">
      <c r="A65" s="255" t="s">
        <v>522</v>
      </c>
      <c r="B65" s="276"/>
      <c r="C65" s="770"/>
      <c r="D65" s="750" t="str">
        <f>IF(C65=0,"",C65/Rents!$F$14)</f>
        <v/>
      </c>
      <c r="E65" s="751" t="str">
        <f>IF(C65=0,"",C65/Rents!$G$14)</f>
        <v/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ht="12.75" customHeight="1">
      <c r="A66" s="325" t="s">
        <v>183</v>
      </c>
      <c r="B66" s="798">
        <v>300.0</v>
      </c>
      <c r="C66" s="799">
        <f>B66*Rents!F14</f>
        <v>34800</v>
      </c>
      <c r="D66" s="795">
        <f>IF(C66=0,"",C66/Rents!$F$14)</f>
        <v>300</v>
      </c>
      <c r="E66" s="796">
        <f>IF(C66=0,"",C66/Rents!$G$14)</f>
        <v>0.4839382562</v>
      </c>
      <c r="F66" s="3"/>
      <c r="G66" s="798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ht="12.75" customHeight="1">
      <c r="A67" s="755" t="s">
        <v>523</v>
      </c>
      <c r="B67" s="327"/>
      <c r="C67" s="797">
        <f>C63+C66</f>
        <v>812557.844</v>
      </c>
      <c r="D67" s="757">
        <f>IF(C67=0,"",C67/Rents!$F$14)</f>
        <v>7004.809</v>
      </c>
      <c r="E67" s="758">
        <f>IF(C67=0,"",C67/Rents!$G$14)</f>
        <v>11.29965017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ht="12.75" customHeight="1">
      <c r="A68" s="325"/>
      <c r="B68" s="793"/>
      <c r="C68" s="799"/>
      <c r="D68" s="795"/>
      <c r="E68" s="796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ht="12.75" customHeight="1">
      <c r="A69" s="800" t="s">
        <v>524</v>
      </c>
      <c r="B69" s="801"/>
      <c r="C69" s="802">
        <f>C19-C67</f>
        <v>794739.556</v>
      </c>
      <c r="D69" s="803">
        <f>IF(C69=0,"",C69/Rents!$F$14)</f>
        <v>6851.203069</v>
      </c>
      <c r="E69" s="748">
        <f>IF(C69=0,"",C69/Rents!$G$14)</f>
        <v>11.05186422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25.5" customHeight="1">
      <c r="A71" s="804"/>
      <c r="B71" s="134"/>
      <c r="C71" s="248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ht="12.75" customHeight="1">
      <c r="A72" s="3"/>
      <c r="B72" s="3"/>
      <c r="C72" s="657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ht="12.75" customHeight="1">
      <c r="A73" s="3"/>
      <c r="B73" s="3"/>
      <c r="C73" s="657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ht="12.75" customHeight="1">
      <c r="A74" s="804"/>
      <c r="B74" s="134"/>
      <c r="C74" s="248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2.63" defaultRowHeight="15.0"/>
  <cols>
    <col customWidth="1" min="1" max="1" width="22.38"/>
    <col customWidth="1" min="2" max="2" width="9.0"/>
    <col customWidth="1" min="3" max="42" width="10.63"/>
  </cols>
  <sheetData>
    <row r="1">
      <c r="A1" s="701" t="s">
        <v>0</v>
      </c>
      <c r="B1" s="3"/>
      <c r="C1" s="3"/>
      <c r="D1" s="3"/>
      <c r="E1" s="3"/>
      <c r="F1" s="745" t="s">
        <v>525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ht="12.75" customHeight="1">
      <c r="A2" s="459" t="s">
        <v>1</v>
      </c>
      <c r="B2" s="3"/>
      <c r="D2" s="460" t="str">
        <f>Summary!D2</f>
        <v>NYU VIDA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ht="12.75" customHeight="1">
      <c r="A3" s="459" t="s">
        <v>5</v>
      </c>
      <c r="B3" s="3"/>
      <c r="D3" s="460" t="str">
        <f>Summary!C6</f>
        <v>The Beacon Apartments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 ht="12.75" customHeight="1">
      <c r="A4" s="459" t="s">
        <v>3</v>
      </c>
      <c r="B4" s="3"/>
      <c r="D4" s="461">
        <f>Summary!D3</f>
        <v>45033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ht="12.75" customHeight="1">
      <c r="A5" s="3"/>
      <c r="B5" s="80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 ht="12.75" customHeight="1">
      <c r="A6" s="666" t="s">
        <v>290</v>
      </c>
      <c r="B6" s="806"/>
      <c r="C6" s="663">
        <v>1.0</v>
      </c>
      <c r="D6" s="663">
        <v>2.0</v>
      </c>
      <c r="E6" s="663">
        <v>3.0</v>
      </c>
      <c r="F6" s="663">
        <v>4.0</v>
      </c>
      <c r="G6" s="663">
        <v>5.0</v>
      </c>
      <c r="H6" s="663">
        <v>6.0</v>
      </c>
      <c r="I6" s="663">
        <v>7.0</v>
      </c>
      <c r="J6" s="663">
        <v>8.0</v>
      </c>
      <c r="K6" s="663">
        <v>9.0</v>
      </c>
      <c r="L6" s="663">
        <v>10.0</v>
      </c>
      <c r="M6" s="663">
        <v>11.0</v>
      </c>
      <c r="N6" s="663">
        <v>12.0</v>
      </c>
      <c r="O6" s="663">
        <v>13.0</v>
      </c>
      <c r="P6" s="663">
        <v>14.0</v>
      </c>
      <c r="Q6" s="807">
        <v>15.0</v>
      </c>
      <c r="R6" s="663">
        <v>16.0</v>
      </c>
      <c r="S6" s="663">
        <v>17.0</v>
      </c>
      <c r="T6" s="663">
        <v>18.0</v>
      </c>
      <c r="U6" s="663">
        <v>19.0</v>
      </c>
      <c r="V6" s="663">
        <v>20.0</v>
      </c>
      <c r="W6" s="663">
        <v>21.0</v>
      </c>
      <c r="X6" s="663">
        <v>22.0</v>
      </c>
      <c r="Y6" s="663">
        <v>23.0</v>
      </c>
      <c r="Z6" s="663">
        <v>24.0</v>
      </c>
      <c r="AA6" s="663">
        <v>25.0</v>
      </c>
      <c r="AB6" s="663">
        <v>26.0</v>
      </c>
      <c r="AC6" s="663">
        <v>27.0</v>
      </c>
      <c r="AD6" s="663">
        <v>28.0</v>
      </c>
      <c r="AE6" s="663">
        <v>29.0</v>
      </c>
      <c r="AF6" s="663">
        <v>30.0</v>
      </c>
      <c r="AG6" s="663">
        <v>31.0</v>
      </c>
      <c r="AH6" s="663">
        <v>32.0</v>
      </c>
      <c r="AI6" s="663">
        <v>33.0</v>
      </c>
      <c r="AJ6" s="663">
        <v>34.0</v>
      </c>
      <c r="AK6" s="663">
        <v>35.0</v>
      </c>
      <c r="AL6" s="663">
        <v>36.0</v>
      </c>
      <c r="AM6" s="663">
        <v>37.0</v>
      </c>
      <c r="AN6" s="663">
        <v>38.0</v>
      </c>
      <c r="AO6" s="663">
        <v>39.0</v>
      </c>
      <c r="AP6" s="663">
        <v>40.0</v>
      </c>
    </row>
    <row r="7" ht="12.75" customHeight="1">
      <c r="A7" s="3" t="s">
        <v>480</v>
      </c>
      <c r="B7" s="808">
        <v>0.0225</v>
      </c>
      <c r="C7" s="705">
        <f>'BY Proforma No Comm '!C9</f>
        <v>1454304</v>
      </c>
      <c r="D7" s="705">
        <f t="shared" ref="D7:AP7" si="1">C7*(1+$B$7)</f>
        <v>1487025.84</v>
      </c>
      <c r="E7" s="705">
        <f t="shared" si="1"/>
        <v>1520483.921</v>
      </c>
      <c r="F7" s="705">
        <f t="shared" si="1"/>
        <v>1554694.81</v>
      </c>
      <c r="G7" s="705">
        <f t="shared" si="1"/>
        <v>1589675.443</v>
      </c>
      <c r="H7" s="705">
        <f t="shared" si="1"/>
        <v>1625443.14</v>
      </c>
      <c r="I7" s="705">
        <f t="shared" si="1"/>
        <v>1662015.611</v>
      </c>
      <c r="J7" s="705">
        <f t="shared" si="1"/>
        <v>1699410.962</v>
      </c>
      <c r="K7" s="705">
        <f t="shared" si="1"/>
        <v>1737647.709</v>
      </c>
      <c r="L7" s="705">
        <f t="shared" si="1"/>
        <v>1776744.782</v>
      </c>
      <c r="M7" s="705">
        <f t="shared" si="1"/>
        <v>1816721.54</v>
      </c>
      <c r="N7" s="705">
        <f t="shared" si="1"/>
        <v>1857597.775</v>
      </c>
      <c r="O7" s="705">
        <f t="shared" si="1"/>
        <v>1899393.724</v>
      </c>
      <c r="P7" s="705">
        <f t="shared" si="1"/>
        <v>1942130.083</v>
      </c>
      <c r="Q7" s="809">
        <f t="shared" si="1"/>
        <v>1985828.01</v>
      </c>
      <c r="R7" s="705">
        <f t="shared" si="1"/>
        <v>2030509.14</v>
      </c>
      <c r="S7" s="705">
        <f t="shared" si="1"/>
        <v>2076195.596</v>
      </c>
      <c r="T7" s="705">
        <f t="shared" si="1"/>
        <v>2122909.997</v>
      </c>
      <c r="U7" s="705">
        <f t="shared" si="1"/>
        <v>2170675.472</v>
      </c>
      <c r="V7" s="705">
        <f t="shared" si="1"/>
        <v>2219515.67</v>
      </c>
      <c r="W7" s="705">
        <f t="shared" si="1"/>
        <v>2269454.773</v>
      </c>
      <c r="X7" s="705">
        <f t="shared" si="1"/>
        <v>2320517.505</v>
      </c>
      <c r="Y7" s="705">
        <f t="shared" si="1"/>
        <v>2372729.149</v>
      </c>
      <c r="Z7" s="705">
        <f t="shared" si="1"/>
        <v>2426115.555</v>
      </c>
      <c r="AA7" s="705">
        <f t="shared" si="1"/>
        <v>2480703.155</v>
      </c>
      <c r="AB7" s="705">
        <f t="shared" si="1"/>
        <v>2536518.976</v>
      </c>
      <c r="AC7" s="705">
        <f t="shared" si="1"/>
        <v>2593590.653</v>
      </c>
      <c r="AD7" s="705">
        <f t="shared" si="1"/>
        <v>2651946.442</v>
      </c>
      <c r="AE7" s="705">
        <f t="shared" si="1"/>
        <v>2711615.237</v>
      </c>
      <c r="AF7" s="705">
        <f t="shared" si="1"/>
        <v>2772626.58</v>
      </c>
      <c r="AG7" s="705">
        <f t="shared" si="1"/>
        <v>2835010.678</v>
      </c>
      <c r="AH7" s="705">
        <f t="shared" si="1"/>
        <v>2898798.418</v>
      </c>
      <c r="AI7" s="705">
        <f t="shared" si="1"/>
        <v>2964021.383</v>
      </c>
      <c r="AJ7" s="705">
        <f t="shared" si="1"/>
        <v>3030711.864</v>
      </c>
      <c r="AK7" s="705">
        <f t="shared" si="1"/>
        <v>3098902.881</v>
      </c>
      <c r="AL7" s="705">
        <f t="shared" si="1"/>
        <v>3168628.196</v>
      </c>
      <c r="AM7" s="705">
        <f t="shared" si="1"/>
        <v>3239922.33</v>
      </c>
      <c r="AN7" s="705">
        <f t="shared" si="1"/>
        <v>3312820.582</v>
      </c>
      <c r="AO7" s="705">
        <f t="shared" si="1"/>
        <v>3387359.046</v>
      </c>
      <c r="AP7" s="705">
        <f t="shared" si="1"/>
        <v>3463574.624</v>
      </c>
    </row>
    <row r="8" ht="12.75" customHeight="1">
      <c r="A8" s="3" t="s">
        <v>365</v>
      </c>
      <c r="B8" s="808"/>
      <c r="C8" s="705">
        <f>'BY Proforma No Comm '!C10</f>
        <v>181908</v>
      </c>
      <c r="D8" s="705">
        <f t="shared" ref="D8:AP8" si="2">C8*(1+$B$7)</f>
        <v>186000.93</v>
      </c>
      <c r="E8" s="705">
        <f t="shared" si="2"/>
        <v>190185.9509</v>
      </c>
      <c r="F8" s="705">
        <f t="shared" si="2"/>
        <v>194465.1348</v>
      </c>
      <c r="G8" s="705">
        <f t="shared" si="2"/>
        <v>198840.6004</v>
      </c>
      <c r="H8" s="705">
        <f t="shared" si="2"/>
        <v>203314.5139</v>
      </c>
      <c r="I8" s="705">
        <f t="shared" si="2"/>
        <v>207889.0904</v>
      </c>
      <c r="J8" s="705">
        <f t="shared" si="2"/>
        <v>212566.595</v>
      </c>
      <c r="K8" s="705">
        <f t="shared" si="2"/>
        <v>217349.3433</v>
      </c>
      <c r="L8" s="705">
        <f t="shared" si="2"/>
        <v>222239.7036</v>
      </c>
      <c r="M8" s="705">
        <f t="shared" si="2"/>
        <v>227240.0969</v>
      </c>
      <c r="N8" s="705">
        <f t="shared" si="2"/>
        <v>232352.9991</v>
      </c>
      <c r="O8" s="705">
        <f t="shared" si="2"/>
        <v>237580.9416</v>
      </c>
      <c r="P8" s="705">
        <f t="shared" si="2"/>
        <v>242926.5127</v>
      </c>
      <c r="Q8" s="809">
        <f t="shared" si="2"/>
        <v>248392.3593</v>
      </c>
      <c r="R8" s="705">
        <f t="shared" si="2"/>
        <v>253981.1874</v>
      </c>
      <c r="S8" s="705">
        <f t="shared" si="2"/>
        <v>259695.7641</v>
      </c>
      <c r="T8" s="705">
        <f t="shared" si="2"/>
        <v>265538.9188</v>
      </c>
      <c r="U8" s="705">
        <f t="shared" si="2"/>
        <v>271513.5444</v>
      </c>
      <c r="V8" s="705">
        <f t="shared" si="2"/>
        <v>277622.5992</v>
      </c>
      <c r="W8" s="705">
        <f t="shared" si="2"/>
        <v>283869.1077</v>
      </c>
      <c r="X8" s="705">
        <f t="shared" si="2"/>
        <v>290256.1626</v>
      </c>
      <c r="Y8" s="705">
        <f t="shared" si="2"/>
        <v>296786.9263</v>
      </c>
      <c r="Z8" s="705">
        <f t="shared" si="2"/>
        <v>303464.6321</v>
      </c>
      <c r="AA8" s="705">
        <f t="shared" si="2"/>
        <v>310292.5863</v>
      </c>
      <c r="AB8" s="705">
        <f t="shared" si="2"/>
        <v>317274.1695</v>
      </c>
      <c r="AC8" s="705">
        <f t="shared" si="2"/>
        <v>324412.8383</v>
      </c>
      <c r="AD8" s="705">
        <f t="shared" si="2"/>
        <v>331712.1272</v>
      </c>
      <c r="AE8" s="705">
        <f t="shared" si="2"/>
        <v>339175.6501</v>
      </c>
      <c r="AF8" s="705">
        <f t="shared" si="2"/>
        <v>346807.1022</v>
      </c>
      <c r="AG8" s="705">
        <f t="shared" si="2"/>
        <v>354610.262</v>
      </c>
      <c r="AH8" s="705">
        <f t="shared" si="2"/>
        <v>362588.9929</v>
      </c>
      <c r="AI8" s="705">
        <f t="shared" si="2"/>
        <v>370747.2452</v>
      </c>
      <c r="AJ8" s="705">
        <f t="shared" si="2"/>
        <v>379089.0582</v>
      </c>
      <c r="AK8" s="705">
        <f t="shared" si="2"/>
        <v>387618.562</v>
      </c>
      <c r="AL8" s="705">
        <f t="shared" si="2"/>
        <v>396339.9797</v>
      </c>
      <c r="AM8" s="705">
        <f t="shared" si="2"/>
        <v>405257.6292</v>
      </c>
      <c r="AN8" s="705">
        <f t="shared" si="2"/>
        <v>414375.9259</v>
      </c>
      <c r="AO8" s="705">
        <f t="shared" si="2"/>
        <v>423699.3842</v>
      </c>
      <c r="AP8" s="705">
        <f t="shared" si="2"/>
        <v>433232.6204</v>
      </c>
    </row>
    <row r="9" ht="12.75" customHeight="1">
      <c r="A9" s="3" t="s">
        <v>481</v>
      </c>
      <c r="B9" s="808"/>
      <c r="C9" s="705">
        <f>'BY Proforma No Comm '!C11</f>
        <v>55680</v>
      </c>
      <c r="D9" s="705">
        <f t="shared" ref="D9:AP9" si="3">C9*(1+$B$7)</f>
        <v>56932.8</v>
      </c>
      <c r="E9" s="705">
        <f t="shared" si="3"/>
        <v>58213.788</v>
      </c>
      <c r="F9" s="705">
        <f t="shared" si="3"/>
        <v>59523.59823</v>
      </c>
      <c r="G9" s="705">
        <f t="shared" si="3"/>
        <v>60862.87919</v>
      </c>
      <c r="H9" s="705">
        <f t="shared" si="3"/>
        <v>62232.29397</v>
      </c>
      <c r="I9" s="705">
        <f t="shared" si="3"/>
        <v>63632.52059</v>
      </c>
      <c r="J9" s="705">
        <f t="shared" si="3"/>
        <v>65064.2523</v>
      </c>
      <c r="K9" s="705">
        <f t="shared" si="3"/>
        <v>66528.19798</v>
      </c>
      <c r="L9" s="705">
        <f t="shared" si="3"/>
        <v>68025.08243</v>
      </c>
      <c r="M9" s="705">
        <f t="shared" si="3"/>
        <v>69555.64679</v>
      </c>
      <c r="N9" s="705">
        <f t="shared" si="3"/>
        <v>71120.64884</v>
      </c>
      <c r="O9" s="705">
        <f t="shared" si="3"/>
        <v>72720.86344</v>
      </c>
      <c r="P9" s="705">
        <f t="shared" si="3"/>
        <v>74357.08286</v>
      </c>
      <c r="Q9" s="809">
        <f t="shared" si="3"/>
        <v>76030.11723</v>
      </c>
      <c r="R9" s="705">
        <f t="shared" si="3"/>
        <v>77740.79487</v>
      </c>
      <c r="S9" s="705">
        <f t="shared" si="3"/>
        <v>79489.96275</v>
      </c>
      <c r="T9" s="705">
        <f t="shared" si="3"/>
        <v>81278.48691</v>
      </c>
      <c r="U9" s="705">
        <f t="shared" si="3"/>
        <v>83107.25287</v>
      </c>
      <c r="V9" s="705">
        <f t="shared" si="3"/>
        <v>84977.16606</v>
      </c>
      <c r="W9" s="705">
        <f t="shared" si="3"/>
        <v>86889.15229</v>
      </c>
      <c r="X9" s="705">
        <f t="shared" si="3"/>
        <v>88844.15822</v>
      </c>
      <c r="Y9" s="705">
        <f t="shared" si="3"/>
        <v>90843.15178</v>
      </c>
      <c r="Z9" s="705">
        <f t="shared" si="3"/>
        <v>92887.1227</v>
      </c>
      <c r="AA9" s="705">
        <f t="shared" si="3"/>
        <v>94977.08296</v>
      </c>
      <c r="AB9" s="705">
        <f t="shared" si="3"/>
        <v>97114.06732</v>
      </c>
      <c r="AC9" s="705">
        <f t="shared" si="3"/>
        <v>99299.13384</v>
      </c>
      <c r="AD9" s="705">
        <f t="shared" si="3"/>
        <v>101533.3643</v>
      </c>
      <c r="AE9" s="705">
        <f t="shared" si="3"/>
        <v>103817.865</v>
      </c>
      <c r="AF9" s="705">
        <f t="shared" si="3"/>
        <v>106153.767</v>
      </c>
      <c r="AG9" s="705">
        <f t="shared" si="3"/>
        <v>108542.2268</v>
      </c>
      <c r="AH9" s="705">
        <f t="shared" si="3"/>
        <v>110984.4269</v>
      </c>
      <c r="AI9" s="705">
        <f t="shared" si="3"/>
        <v>113481.5765</v>
      </c>
      <c r="AJ9" s="705">
        <f t="shared" si="3"/>
        <v>116034.9119</v>
      </c>
      <c r="AK9" s="705">
        <f t="shared" si="3"/>
        <v>118645.6975</v>
      </c>
      <c r="AL9" s="705">
        <f t="shared" si="3"/>
        <v>121315.2257</v>
      </c>
      <c r="AM9" s="705">
        <f t="shared" si="3"/>
        <v>124044.8182</v>
      </c>
      <c r="AN9" s="705">
        <f t="shared" si="3"/>
        <v>126835.8266</v>
      </c>
      <c r="AO9" s="705">
        <f t="shared" si="3"/>
        <v>129689.6327</v>
      </c>
      <c r="AP9" s="705">
        <f t="shared" si="3"/>
        <v>132607.6495</v>
      </c>
    </row>
    <row r="10" ht="12.75" customHeight="1">
      <c r="A10" s="39" t="str">
        <f>'BY Proforma No Comm '!A17</f>
        <v>Total Vacancy</v>
      </c>
      <c r="B10" s="810">
        <f>'BY Proforma No Comm '!B14</f>
        <v>0.05</v>
      </c>
      <c r="C10" s="732">
        <f t="shared" ref="C10:AP10" si="4">-$B$10*SUM(C7:C9)</f>
        <v>-84594.6</v>
      </c>
      <c r="D10" s="732">
        <f t="shared" si="4"/>
        <v>-86497.9785</v>
      </c>
      <c r="E10" s="732">
        <f t="shared" si="4"/>
        <v>-88444.18302</v>
      </c>
      <c r="F10" s="732">
        <f t="shared" si="4"/>
        <v>-90434.17713</v>
      </c>
      <c r="G10" s="732">
        <f t="shared" si="4"/>
        <v>-92468.94612</v>
      </c>
      <c r="H10" s="732">
        <f t="shared" si="4"/>
        <v>-94549.49741</v>
      </c>
      <c r="I10" s="732">
        <f t="shared" si="4"/>
        <v>-96676.8611</v>
      </c>
      <c r="J10" s="732">
        <f t="shared" si="4"/>
        <v>-98852.09047</v>
      </c>
      <c r="K10" s="732">
        <f t="shared" si="4"/>
        <v>-101076.2625</v>
      </c>
      <c r="L10" s="732">
        <f t="shared" si="4"/>
        <v>-103350.4784</v>
      </c>
      <c r="M10" s="732">
        <f t="shared" si="4"/>
        <v>-105675.8642</v>
      </c>
      <c r="N10" s="732">
        <f t="shared" si="4"/>
        <v>-108053.5711</v>
      </c>
      <c r="O10" s="732">
        <f t="shared" si="4"/>
        <v>-110484.7765</v>
      </c>
      <c r="P10" s="732">
        <f t="shared" si="4"/>
        <v>-112970.6839</v>
      </c>
      <c r="Q10" s="811">
        <f t="shared" si="4"/>
        <v>-115512.5243</v>
      </c>
      <c r="R10" s="732">
        <f t="shared" si="4"/>
        <v>-118111.5561</v>
      </c>
      <c r="S10" s="732">
        <f t="shared" si="4"/>
        <v>-120769.0661</v>
      </c>
      <c r="T10" s="732">
        <f t="shared" si="4"/>
        <v>-123486.3701</v>
      </c>
      <c r="U10" s="732">
        <f t="shared" si="4"/>
        <v>-126264.8135</v>
      </c>
      <c r="V10" s="732">
        <f t="shared" si="4"/>
        <v>-129105.7718</v>
      </c>
      <c r="W10" s="732">
        <f t="shared" si="4"/>
        <v>-132010.6516</v>
      </c>
      <c r="X10" s="732">
        <f t="shared" si="4"/>
        <v>-134980.8913</v>
      </c>
      <c r="Y10" s="732">
        <f t="shared" si="4"/>
        <v>-138017.9613</v>
      </c>
      <c r="Z10" s="732">
        <f t="shared" si="4"/>
        <v>-141123.3655</v>
      </c>
      <c r="AA10" s="732">
        <f t="shared" si="4"/>
        <v>-144298.6412</v>
      </c>
      <c r="AB10" s="732">
        <f t="shared" si="4"/>
        <v>-147545.3606</v>
      </c>
      <c r="AC10" s="732">
        <f t="shared" si="4"/>
        <v>-150865.1312</v>
      </c>
      <c r="AD10" s="732">
        <f t="shared" si="4"/>
        <v>-154259.5967</v>
      </c>
      <c r="AE10" s="732">
        <f t="shared" si="4"/>
        <v>-157730.4376</v>
      </c>
      <c r="AF10" s="732">
        <f t="shared" si="4"/>
        <v>-161279.3725</v>
      </c>
      <c r="AG10" s="732">
        <f t="shared" si="4"/>
        <v>-164908.1583</v>
      </c>
      <c r="AH10" s="732">
        <f t="shared" si="4"/>
        <v>-168618.5919</v>
      </c>
      <c r="AI10" s="732">
        <f t="shared" si="4"/>
        <v>-172412.5102</v>
      </c>
      <c r="AJ10" s="732">
        <f t="shared" si="4"/>
        <v>-176291.7917</v>
      </c>
      <c r="AK10" s="732">
        <f t="shared" si="4"/>
        <v>-180258.357</v>
      </c>
      <c r="AL10" s="732">
        <f t="shared" si="4"/>
        <v>-184314.1701</v>
      </c>
      <c r="AM10" s="732">
        <f t="shared" si="4"/>
        <v>-188461.2389</v>
      </c>
      <c r="AN10" s="732">
        <f t="shared" si="4"/>
        <v>-192701.6168</v>
      </c>
      <c r="AO10" s="732">
        <f t="shared" si="4"/>
        <v>-197037.4031</v>
      </c>
      <c r="AP10" s="732">
        <f t="shared" si="4"/>
        <v>-201470.7447</v>
      </c>
    </row>
    <row r="11" ht="12.75" customHeight="1">
      <c r="A11" s="812" t="str">
        <f>'BY Proforma No Comm '!A19</f>
        <v>Effective Gross Income</v>
      </c>
      <c r="B11" s="813"/>
      <c r="C11" s="814">
        <f t="shared" ref="C11:AP11" si="5">SUM(C7:C10)</f>
        <v>1607297.4</v>
      </c>
      <c r="D11" s="814">
        <f t="shared" si="5"/>
        <v>1643461.592</v>
      </c>
      <c r="E11" s="814">
        <f t="shared" si="5"/>
        <v>1680439.477</v>
      </c>
      <c r="F11" s="814">
        <f t="shared" si="5"/>
        <v>1718249.366</v>
      </c>
      <c r="G11" s="814">
        <f t="shared" si="5"/>
        <v>1756909.976</v>
      </c>
      <c r="H11" s="814">
        <f t="shared" si="5"/>
        <v>1796440.451</v>
      </c>
      <c r="I11" s="814">
        <f t="shared" si="5"/>
        <v>1836860.361</v>
      </c>
      <c r="J11" s="814">
        <f t="shared" si="5"/>
        <v>1878189.719</v>
      </c>
      <c r="K11" s="814">
        <f t="shared" si="5"/>
        <v>1920448.988</v>
      </c>
      <c r="L11" s="814">
        <f t="shared" si="5"/>
        <v>1963659.09</v>
      </c>
      <c r="M11" s="814">
        <f t="shared" si="5"/>
        <v>2007841.419</v>
      </c>
      <c r="N11" s="814">
        <f t="shared" si="5"/>
        <v>2053017.851</v>
      </c>
      <c r="O11" s="814">
        <f t="shared" si="5"/>
        <v>2099210.753</v>
      </c>
      <c r="P11" s="814">
        <f t="shared" si="5"/>
        <v>2146442.995</v>
      </c>
      <c r="Q11" s="815">
        <f t="shared" si="5"/>
        <v>2194737.962</v>
      </c>
      <c r="R11" s="814">
        <f t="shared" si="5"/>
        <v>2244119.566</v>
      </c>
      <c r="S11" s="814">
        <f t="shared" si="5"/>
        <v>2294612.257</v>
      </c>
      <c r="T11" s="814">
        <f t="shared" si="5"/>
        <v>2346241.033</v>
      </c>
      <c r="U11" s="814">
        <f t="shared" si="5"/>
        <v>2399031.456</v>
      </c>
      <c r="V11" s="814">
        <f t="shared" si="5"/>
        <v>2453009.664</v>
      </c>
      <c r="W11" s="814">
        <f t="shared" si="5"/>
        <v>2508202.381</v>
      </c>
      <c r="X11" s="814">
        <f t="shared" si="5"/>
        <v>2564636.935</v>
      </c>
      <c r="Y11" s="814">
        <f t="shared" si="5"/>
        <v>2622341.266</v>
      </c>
      <c r="Z11" s="814">
        <f t="shared" si="5"/>
        <v>2681343.944</v>
      </c>
      <c r="AA11" s="814">
        <f t="shared" si="5"/>
        <v>2741674.183</v>
      </c>
      <c r="AB11" s="814">
        <f t="shared" si="5"/>
        <v>2803361.852</v>
      </c>
      <c r="AC11" s="814">
        <f t="shared" si="5"/>
        <v>2866437.494</v>
      </c>
      <c r="AD11" s="814">
        <f t="shared" si="5"/>
        <v>2930932.337</v>
      </c>
      <c r="AE11" s="814">
        <f t="shared" si="5"/>
        <v>2996878.315</v>
      </c>
      <c r="AF11" s="814">
        <f t="shared" si="5"/>
        <v>3064308.077</v>
      </c>
      <c r="AG11" s="814">
        <f t="shared" si="5"/>
        <v>3133255.009</v>
      </c>
      <c r="AH11" s="814">
        <f t="shared" si="5"/>
        <v>3203753.246</v>
      </c>
      <c r="AI11" s="814">
        <f t="shared" si="5"/>
        <v>3275837.694</v>
      </c>
      <c r="AJ11" s="814">
        <f t="shared" si="5"/>
        <v>3349544.042</v>
      </c>
      <c r="AK11" s="814">
        <f t="shared" si="5"/>
        <v>3424908.783</v>
      </c>
      <c r="AL11" s="814">
        <f t="shared" si="5"/>
        <v>3501969.231</v>
      </c>
      <c r="AM11" s="814">
        <f t="shared" si="5"/>
        <v>3580763.539</v>
      </c>
      <c r="AN11" s="814">
        <f t="shared" si="5"/>
        <v>3661330.718</v>
      </c>
      <c r="AO11" s="814">
        <f t="shared" si="5"/>
        <v>3743710.659</v>
      </c>
      <c r="AP11" s="814">
        <f t="shared" si="5"/>
        <v>3827944.149</v>
      </c>
    </row>
    <row r="12" ht="12.75" customHeight="1">
      <c r="A12" s="3"/>
      <c r="B12" s="805"/>
      <c r="C12" s="657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816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</row>
    <row r="13" ht="12.75" customHeight="1">
      <c r="A13" s="3" t="str">
        <f>'BY Proforma No Comm '!A21</f>
        <v>Management Fees</v>
      </c>
      <c r="B13" s="817">
        <f>'BY Proforma No Comm '!B21</f>
        <v>0.06</v>
      </c>
      <c r="C13" s="657">
        <f t="shared" ref="C13:AP13" si="6">C11*$B$13</f>
        <v>96437.844</v>
      </c>
      <c r="D13" s="657">
        <f t="shared" si="6"/>
        <v>98607.69549</v>
      </c>
      <c r="E13" s="657">
        <f t="shared" si="6"/>
        <v>100826.3686</v>
      </c>
      <c r="F13" s="657">
        <f t="shared" si="6"/>
        <v>103094.9619</v>
      </c>
      <c r="G13" s="657">
        <f t="shared" si="6"/>
        <v>105414.5986</v>
      </c>
      <c r="H13" s="657">
        <f t="shared" si="6"/>
        <v>107786.427</v>
      </c>
      <c r="I13" s="657">
        <f t="shared" si="6"/>
        <v>110211.6217</v>
      </c>
      <c r="J13" s="657">
        <f t="shared" si="6"/>
        <v>112691.3831</v>
      </c>
      <c r="K13" s="657">
        <f t="shared" si="6"/>
        <v>115226.9393</v>
      </c>
      <c r="L13" s="657">
        <f t="shared" si="6"/>
        <v>117819.5454</v>
      </c>
      <c r="M13" s="657">
        <f t="shared" si="6"/>
        <v>120470.4852</v>
      </c>
      <c r="N13" s="657">
        <f t="shared" si="6"/>
        <v>123181.0711</v>
      </c>
      <c r="O13" s="657">
        <f t="shared" si="6"/>
        <v>125952.6452</v>
      </c>
      <c r="P13" s="657">
        <f t="shared" si="6"/>
        <v>128786.5797</v>
      </c>
      <c r="Q13" s="818">
        <f t="shared" si="6"/>
        <v>131684.2777</v>
      </c>
      <c r="R13" s="657">
        <f t="shared" si="6"/>
        <v>134647.174</v>
      </c>
      <c r="S13" s="657">
        <f t="shared" si="6"/>
        <v>137676.7354</v>
      </c>
      <c r="T13" s="657">
        <f t="shared" si="6"/>
        <v>140774.462</v>
      </c>
      <c r="U13" s="657">
        <f t="shared" si="6"/>
        <v>143941.8873</v>
      </c>
      <c r="V13" s="657">
        <f t="shared" si="6"/>
        <v>147180.5798</v>
      </c>
      <c r="W13" s="657">
        <f t="shared" si="6"/>
        <v>150492.1429</v>
      </c>
      <c r="X13" s="657">
        <f t="shared" si="6"/>
        <v>153878.2161</v>
      </c>
      <c r="Y13" s="657">
        <f t="shared" si="6"/>
        <v>157340.4759</v>
      </c>
      <c r="Z13" s="657">
        <f t="shared" si="6"/>
        <v>160880.6366</v>
      </c>
      <c r="AA13" s="657">
        <f t="shared" si="6"/>
        <v>164500.451</v>
      </c>
      <c r="AB13" s="657">
        <f t="shared" si="6"/>
        <v>168201.7111</v>
      </c>
      <c r="AC13" s="657">
        <f t="shared" si="6"/>
        <v>171986.2496</v>
      </c>
      <c r="AD13" s="657">
        <f t="shared" si="6"/>
        <v>175855.9402</v>
      </c>
      <c r="AE13" s="657">
        <f t="shared" si="6"/>
        <v>179812.6989</v>
      </c>
      <c r="AF13" s="657">
        <f t="shared" si="6"/>
        <v>183858.4846</v>
      </c>
      <c r="AG13" s="657">
        <f t="shared" si="6"/>
        <v>187995.3005</v>
      </c>
      <c r="AH13" s="657">
        <f t="shared" si="6"/>
        <v>192225.1948</v>
      </c>
      <c r="AI13" s="657">
        <f t="shared" si="6"/>
        <v>196550.2617</v>
      </c>
      <c r="AJ13" s="657">
        <f t="shared" si="6"/>
        <v>200972.6425</v>
      </c>
      <c r="AK13" s="657">
        <f t="shared" si="6"/>
        <v>205494.527</v>
      </c>
      <c r="AL13" s="657">
        <f t="shared" si="6"/>
        <v>210118.1539</v>
      </c>
      <c r="AM13" s="657">
        <f t="shared" si="6"/>
        <v>214845.8123</v>
      </c>
      <c r="AN13" s="657">
        <f t="shared" si="6"/>
        <v>219679.8431</v>
      </c>
      <c r="AO13" s="657">
        <f t="shared" si="6"/>
        <v>224622.6396</v>
      </c>
      <c r="AP13" s="657">
        <f t="shared" si="6"/>
        <v>229676.649</v>
      </c>
    </row>
    <row r="14" ht="12.75" customHeight="1">
      <c r="A14" s="3" t="str">
        <f>'BY Proforma No Comm '!A22</f>
        <v>Insurance</v>
      </c>
      <c r="B14" s="819">
        <v>0.03</v>
      </c>
      <c r="C14" s="657">
        <f>'BY Proforma No Comm '!C22</f>
        <v>101500</v>
      </c>
      <c r="D14" s="657">
        <f t="shared" ref="D14:AP14" si="7">C14*(1+$B14)</f>
        <v>104545</v>
      </c>
      <c r="E14" s="657">
        <f t="shared" si="7"/>
        <v>107681.35</v>
      </c>
      <c r="F14" s="657">
        <f t="shared" si="7"/>
        <v>110911.7905</v>
      </c>
      <c r="G14" s="657">
        <f t="shared" si="7"/>
        <v>114239.1442</v>
      </c>
      <c r="H14" s="657">
        <f t="shared" si="7"/>
        <v>117666.3185</v>
      </c>
      <c r="I14" s="657">
        <f t="shared" si="7"/>
        <v>121196.3081</v>
      </c>
      <c r="J14" s="657">
        <f t="shared" si="7"/>
        <v>124832.1973</v>
      </c>
      <c r="K14" s="657">
        <f t="shared" si="7"/>
        <v>128577.1633</v>
      </c>
      <c r="L14" s="657">
        <f t="shared" si="7"/>
        <v>132434.4782</v>
      </c>
      <c r="M14" s="657">
        <f t="shared" si="7"/>
        <v>136407.5125</v>
      </c>
      <c r="N14" s="657">
        <f t="shared" si="7"/>
        <v>140499.7379</v>
      </c>
      <c r="O14" s="657">
        <f t="shared" si="7"/>
        <v>144714.73</v>
      </c>
      <c r="P14" s="657">
        <f t="shared" si="7"/>
        <v>149056.1719</v>
      </c>
      <c r="Q14" s="818">
        <f t="shared" si="7"/>
        <v>153527.8571</v>
      </c>
      <c r="R14" s="657">
        <f t="shared" si="7"/>
        <v>158133.6928</v>
      </c>
      <c r="S14" s="657">
        <f t="shared" si="7"/>
        <v>162877.7036</v>
      </c>
      <c r="T14" s="657">
        <f t="shared" si="7"/>
        <v>167764.0347</v>
      </c>
      <c r="U14" s="657">
        <f t="shared" si="7"/>
        <v>172796.9557</v>
      </c>
      <c r="V14" s="657">
        <f t="shared" si="7"/>
        <v>177980.8644</v>
      </c>
      <c r="W14" s="657">
        <f t="shared" si="7"/>
        <v>183320.2903</v>
      </c>
      <c r="X14" s="657">
        <f t="shared" si="7"/>
        <v>188819.899</v>
      </c>
      <c r="Y14" s="657">
        <f t="shared" si="7"/>
        <v>194484.496</v>
      </c>
      <c r="Z14" s="657">
        <f t="shared" si="7"/>
        <v>200319.0309</v>
      </c>
      <c r="AA14" s="657">
        <f t="shared" si="7"/>
        <v>206328.6018</v>
      </c>
      <c r="AB14" s="657">
        <f t="shared" si="7"/>
        <v>212518.4599</v>
      </c>
      <c r="AC14" s="657">
        <f t="shared" si="7"/>
        <v>218894.0137</v>
      </c>
      <c r="AD14" s="657">
        <f t="shared" si="7"/>
        <v>225460.8341</v>
      </c>
      <c r="AE14" s="657">
        <f t="shared" si="7"/>
        <v>232224.6591</v>
      </c>
      <c r="AF14" s="657">
        <f t="shared" si="7"/>
        <v>239191.3989</v>
      </c>
      <c r="AG14" s="657">
        <f t="shared" si="7"/>
        <v>246367.1408</v>
      </c>
      <c r="AH14" s="657">
        <f t="shared" si="7"/>
        <v>253758.1551</v>
      </c>
      <c r="AI14" s="657">
        <f t="shared" si="7"/>
        <v>261370.8997</v>
      </c>
      <c r="AJ14" s="657">
        <f t="shared" si="7"/>
        <v>269212.0267</v>
      </c>
      <c r="AK14" s="657">
        <f t="shared" si="7"/>
        <v>277288.3875</v>
      </c>
      <c r="AL14" s="657">
        <f t="shared" si="7"/>
        <v>285607.0391</v>
      </c>
      <c r="AM14" s="657">
        <f t="shared" si="7"/>
        <v>294175.2503</v>
      </c>
      <c r="AN14" s="657">
        <f t="shared" si="7"/>
        <v>303000.5078</v>
      </c>
      <c r="AO14" s="657">
        <f t="shared" si="7"/>
        <v>312090.523</v>
      </c>
      <c r="AP14" s="657">
        <f t="shared" si="7"/>
        <v>321453.2387</v>
      </c>
    </row>
    <row r="15" ht="12.75" customHeight="1">
      <c r="A15" s="3" t="str">
        <f>'BY Proforma No Comm '!A23</f>
        <v>Real Estate Taxes</v>
      </c>
      <c r="B15" s="819">
        <v>0.03</v>
      </c>
      <c r="C15" s="657">
        <f>'BY Proforma No Comm '!C23</f>
        <v>0</v>
      </c>
      <c r="D15" s="657">
        <f t="shared" ref="D15:AP15" si="8">C15*(1+$B15)</f>
        <v>0</v>
      </c>
      <c r="E15" s="657">
        <f t="shared" si="8"/>
        <v>0</v>
      </c>
      <c r="F15" s="657">
        <f t="shared" si="8"/>
        <v>0</v>
      </c>
      <c r="G15" s="657">
        <f t="shared" si="8"/>
        <v>0</v>
      </c>
      <c r="H15" s="657">
        <f t="shared" si="8"/>
        <v>0</v>
      </c>
      <c r="I15" s="657">
        <f t="shared" si="8"/>
        <v>0</v>
      </c>
      <c r="J15" s="657">
        <f t="shared" si="8"/>
        <v>0</v>
      </c>
      <c r="K15" s="657">
        <f t="shared" si="8"/>
        <v>0</v>
      </c>
      <c r="L15" s="657">
        <f t="shared" si="8"/>
        <v>0</v>
      </c>
      <c r="M15" s="657">
        <f t="shared" si="8"/>
        <v>0</v>
      </c>
      <c r="N15" s="657">
        <f t="shared" si="8"/>
        <v>0</v>
      </c>
      <c r="O15" s="657">
        <f t="shared" si="8"/>
        <v>0</v>
      </c>
      <c r="P15" s="657">
        <f t="shared" si="8"/>
        <v>0</v>
      </c>
      <c r="Q15" s="818">
        <f t="shared" si="8"/>
        <v>0</v>
      </c>
      <c r="R15" s="657">
        <f t="shared" si="8"/>
        <v>0</v>
      </c>
      <c r="S15" s="657">
        <f t="shared" si="8"/>
        <v>0</v>
      </c>
      <c r="T15" s="657">
        <f t="shared" si="8"/>
        <v>0</v>
      </c>
      <c r="U15" s="657">
        <f t="shared" si="8"/>
        <v>0</v>
      </c>
      <c r="V15" s="657">
        <f t="shared" si="8"/>
        <v>0</v>
      </c>
      <c r="W15" s="657">
        <f t="shared" si="8"/>
        <v>0</v>
      </c>
      <c r="X15" s="657">
        <f t="shared" si="8"/>
        <v>0</v>
      </c>
      <c r="Y15" s="657">
        <f t="shared" si="8"/>
        <v>0</v>
      </c>
      <c r="Z15" s="657">
        <f t="shared" si="8"/>
        <v>0</v>
      </c>
      <c r="AA15" s="657">
        <f t="shared" si="8"/>
        <v>0</v>
      </c>
      <c r="AB15" s="657">
        <f t="shared" si="8"/>
        <v>0</v>
      </c>
      <c r="AC15" s="657">
        <f t="shared" si="8"/>
        <v>0</v>
      </c>
      <c r="AD15" s="657">
        <f t="shared" si="8"/>
        <v>0</v>
      </c>
      <c r="AE15" s="657">
        <f t="shared" si="8"/>
        <v>0</v>
      </c>
      <c r="AF15" s="657">
        <f t="shared" si="8"/>
        <v>0</v>
      </c>
      <c r="AG15" s="657">
        <f t="shared" si="8"/>
        <v>0</v>
      </c>
      <c r="AH15" s="657">
        <f t="shared" si="8"/>
        <v>0</v>
      </c>
      <c r="AI15" s="657">
        <f t="shared" si="8"/>
        <v>0</v>
      </c>
      <c r="AJ15" s="657">
        <f t="shared" si="8"/>
        <v>0</v>
      </c>
      <c r="AK15" s="657">
        <f t="shared" si="8"/>
        <v>0</v>
      </c>
      <c r="AL15" s="657">
        <f t="shared" si="8"/>
        <v>0</v>
      </c>
      <c r="AM15" s="657">
        <f t="shared" si="8"/>
        <v>0</v>
      </c>
      <c r="AN15" s="657">
        <f t="shared" si="8"/>
        <v>0</v>
      </c>
      <c r="AO15" s="657">
        <f t="shared" si="8"/>
        <v>0</v>
      </c>
      <c r="AP15" s="657">
        <f t="shared" si="8"/>
        <v>0</v>
      </c>
    </row>
    <row r="16" ht="12.75" customHeight="1">
      <c r="A16" s="3" t="str">
        <f>'BY Proforma No Comm '!A24</f>
        <v>Ground Lease Payment</v>
      </c>
      <c r="B16" s="819">
        <v>0.03</v>
      </c>
      <c r="C16" s="657">
        <f>'BY Proforma No Comm '!C24</f>
        <v>0</v>
      </c>
      <c r="D16" s="657">
        <f t="shared" ref="D16:AP16" si="9">C16*(1+$B16)</f>
        <v>0</v>
      </c>
      <c r="E16" s="657">
        <f t="shared" si="9"/>
        <v>0</v>
      </c>
      <c r="F16" s="657">
        <f t="shared" si="9"/>
        <v>0</v>
      </c>
      <c r="G16" s="657">
        <f t="shared" si="9"/>
        <v>0</v>
      </c>
      <c r="H16" s="657">
        <f t="shared" si="9"/>
        <v>0</v>
      </c>
      <c r="I16" s="657">
        <f t="shared" si="9"/>
        <v>0</v>
      </c>
      <c r="J16" s="657">
        <f t="shared" si="9"/>
        <v>0</v>
      </c>
      <c r="K16" s="657">
        <f t="shared" si="9"/>
        <v>0</v>
      </c>
      <c r="L16" s="657">
        <f t="shared" si="9"/>
        <v>0</v>
      </c>
      <c r="M16" s="657">
        <f t="shared" si="9"/>
        <v>0</v>
      </c>
      <c r="N16" s="657">
        <f t="shared" si="9"/>
        <v>0</v>
      </c>
      <c r="O16" s="657">
        <f t="shared" si="9"/>
        <v>0</v>
      </c>
      <c r="P16" s="657">
        <f t="shared" si="9"/>
        <v>0</v>
      </c>
      <c r="Q16" s="818">
        <f t="shared" si="9"/>
        <v>0</v>
      </c>
      <c r="R16" s="657">
        <f t="shared" si="9"/>
        <v>0</v>
      </c>
      <c r="S16" s="657">
        <f t="shared" si="9"/>
        <v>0</v>
      </c>
      <c r="T16" s="657">
        <f t="shared" si="9"/>
        <v>0</v>
      </c>
      <c r="U16" s="657">
        <f t="shared" si="9"/>
        <v>0</v>
      </c>
      <c r="V16" s="657">
        <f t="shared" si="9"/>
        <v>0</v>
      </c>
      <c r="W16" s="657">
        <f t="shared" si="9"/>
        <v>0</v>
      </c>
      <c r="X16" s="657">
        <f t="shared" si="9"/>
        <v>0</v>
      </c>
      <c r="Y16" s="657">
        <f t="shared" si="9"/>
        <v>0</v>
      </c>
      <c r="Z16" s="657">
        <f t="shared" si="9"/>
        <v>0</v>
      </c>
      <c r="AA16" s="657">
        <f t="shared" si="9"/>
        <v>0</v>
      </c>
      <c r="AB16" s="657">
        <f t="shared" si="9"/>
        <v>0</v>
      </c>
      <c r="AC16" s="657">
        <f t="shared" si="9"/>
        <v>0</v>
      </c>
      <c r="AD16" s="657">
        <f t="shared" si="9"/>
        <v>0</v>
      </c>
      <c r="AE16" s="657">
        <f t="shared" si="9"/>
        <v>0</v>
      </c>
      <c r="AF16" s="657">
        <f t="shared" si="9"/>
        <v>0</v>
      </c>
      <c r="AG16" s="657">
        <f t="shared" si="9"/>
        <v>0</v>
      </c>
      <c r="AH16" s="657">
        <f t="shared" si="9"/>
        <v>0</v>
      </c>
      <c r="AI16" s="657">
        <f t="shared" si="9"/>
        <v>0</v>
      </c>
      <c r="AJ16" s="657">
        <f t="shared" si="9"/>
        <v>0</v>
      </c>
      <c r="AK16" s="657">
        <f t="shared" si="9"/>
        <v>0</v>
      </c>
      <c r="AL16" s="657">
        <f t="shared" si="9"/>
        <v>0</v>
      </c>
      <c r="AM16" s="657">
        <f t="shared" si="9"/>
        <v>0</v>
      </c>
      <c r="AN16" s="657">
        <f t="shared" si="9"/>
        <v>0</v>
      </c>
      <c r="AO16" s="657">
        <f t="shared" si="9"/>
        <v>0</v>
      </c>
      <c r="AP16" s="657">
        <f t="shared" si="9"/>
        <v>0</v>
      </c>
    </row>
    <row r="17" ht="12.75" customHeight="1">
      <c r="A17" s="3" t="str">
        <f>'BY Proforma No Comm '!A33</f>
        <v>Total Administration</v>
      </c>
      <c r="B17" s="819">
        <v>0.03</v>
      </c>
      <c r="C17" s="657">
        <f>'BY Proforma No Comm '!C33</f>
        <v>117400</v>
      </c>
      <c r="D17" s="657">
        <f t="shared" ref="D17:AP17" si="10">C17*(1+$B17)</f>
        <v>120922</v>
      </c>
      <c r="E17" s="657">
        <f t="shared" si="10"/>
        <v>124549.66</v>
      </c>
      <c r="F17" s="657">
        <f t="shared" si="10"/>
        <v>128286.1498</v>
      </c>
      <c r="G17" s="657">
        <f t="shared" si="10"/>
        <v>132134.7343</v>
      </c>
      <c r="H17" s="657">
        <f t="shared" si="10"/>
        <v>136098.7763</v>
      </c>
      <c r="I17" s="657">
        <f t="shared" si="10"/>
        <v>140181.7396</v>
      </c>
      <c r="J17" s="657">
        <f t="shared" si="10"/>
        <v>144387.1918</v>
      </c>
      <c r="K17" s="657">
        <f t="shared" si="10"/>
        <v>148718.8076</v>
      </c>
      <c r="L17" s="657">
        <f t="shared" si="10"/>
        <v>153180.3718</v>
      </c>
      <c r="M17" s="657">
        <f t="shared" si="10"/>
        <v>157775.7829</v>
      </c>
      <c r="N17" s="657">
        <f t="shared" si="10"/>
        <v>162509.0564</v>
      </c>
      <c r="O17" s="657">
        <f t="shared" si="10"/>
        <v>167384.3281</v>
      </c>
      <c r="P17" s="657">
        <f t="shared" si="10"/>
        <v>172405.858</v>
      </c>
      <c r="Q17" s="818">
        <f t="shared" si="10"/>
        <v>177578.0337</v>
      </c>
      <c r="R17" s="657">
        <f t="shared" si="10"/>
        <v>182905.3747</v>
      </c>
      <c r="S17" s="657">
        <f t="shared" si="10"/>
        <v>188392.536</v>
      </c>
      <c r="T17" s="657">
        <f t="shared" si="10"/>
        <v>194044.312</v>
      </c>
      <c r="U17" s="657">
        <f t="shared" si="10"/>
        <v>199865.6414</v>
      </c>
      <c r="V17" s="657">
        <f t="shared" si="10"/>
        <v>205861.6106</v>
      </c>
      <c r="W17" s="657">
        <f t="shared" si="10"/>
        <v>212037.459</v>
      </c>
      <c r="X17" s="657">
        <f t="shared" si="10"/>
        <v>218398.5827</v>
      </c>
      <c r="Y17" s="657">
        <f t="shared" si="10"/>
        <v>224950.5402</v>
      </c>
      <c r="Z17" s="657">
        <f t="shared" si="10"/>
        <v>231699.0564</v>
      </c>
      <c r="AA17" s="657">
        <f t="shared" si="10"/>
        <v>238650.0281</v>
      </c>
      <c r="AB17" s="657">
        <f t="shared" si="10"/>
        <v>245809.5289</v>
      </c>
      <c r="AC17" s="657">
        <f t="shared" si="10"/>
        <v>253183.8148</v>
      </c>
      <c r="AD17" s="657">
        <f t="shared" si="10"/>
        <v>260779.3293</v>
      </c>
      <c r="AE17" s="657">
        <f t="shared" si="10"/>
        <v>268602.7091</v>
      </c>
      <c r="AF17" s="657">
        <f t="shared" si="10"/>
        <v>276660.7904</v>
      </c>
      <c r="AG17" s="657">
        <f t="shared" si="10"/>
        <v>284960.6141</v>
      </c>
      <c r="AH17" s="657">
        <f t="shared" si="10"/>
        <v>293509.4325</v>
      </c>
      <c r="AI17" s="657">
        <f t="shared" si="10"/>
        <v>302314.7155</v>
      </c>
      <c r="AJ17" s="657">
        <f t="shared" si="10"/>
        <v>311384.157</v>
      </c>
      <c r="AK17" s="657">
        <f t="shared" si="10"/>
        <v>320725.6817</v>
      </c>
      <c r="AL17" s="657">
        <f t="shared" si="10"/>
        <v>330347.4521</v>
      </c>
      <c r="AM17" s="657">
        <f t="shared" si="10"/>
        <v>340257.8757</v>
      </c>
      <c r="AN17" s="657">
        <f t="shared" si="10"/>
        <v>350465.612</v>
      </c>
      <c r="AO17" s="657">
        <f t="shared" si="10"/>
        <v>360979.5803</v>
      </c>
      <c r="AP17" s="657">
        <f t="shared" si="10"/>
        <v>371808.9677</v>
      </c>
    </row>
    <row r="18" ht="12.75" customHeight="1">
      <c r="A18" s="3" t="str">
        <f>'BY Proforma No Comm '!A40</f>
        <v>Payroll and Benefits</v>
      </c>
      <c r="B18" s="819">
        <v>0.03</v>
      </c>
      <c r="C18" s="657">
        <f>'BY Proforma No Comm '!C40</f>
        <v>205300</v>
      </c>
      <c r="D18" s="657">
        <f t="shared" ref="D18:AP18" si="11">C18*(1+$B18)</f>
        <v>211459</v>
      </c>
      <c r="E18" s="657">
        <f t="shared" si="11"/>
        <v>217802.77</v>
      </c>
      <c r="F18" s="657">
        <f t="shared" si="11"/>
        <v>224336.8531</v>
      </c>
      <c r="G18" s="657">
        <f t="shared" si="11"/>
        <v>231066.9587</v>
      </c>
      <c r="H18" s="657">
        <f t="shared" si="11"/>
        <v>237998.9675</v>
      </c>
      <c r="I18" s="657">
        <f t="shared" si="11"/>
        <v>245138.9365</v>
      </c>
      <c r="J18" s="657">
        <f t="shared" si="11"/>
        <v>252493.1046</v>
      </c>
      <c r="K18" s="657">
        <f t="shared" si="11"/>
        <v>260067.8977</v>
      </c>
      <c r="L18" s="657">
        <f t="shared" si="11"/>
        <v>267869.9346</v>
      </c>
      <c r="M18" s="657">
        <f t="shared" si="11"/>
        <v>275906.0327</v>
      </c>
      <c r="N18" s="657">
        <f t="shared" si="11"/>
        <v>284183.2137</v>
      </c>
      <c r="O18" s="657">
        <f t="shared" si="11"/>
        <v>292708.7101</v>
      </c>
      <c r="P18" s="657">
        <f t="shared" si="11"/>
        <v>301489.9714</v>
      </c>
      <c r="Q18" s="818">
        <f t="shared" si="11"/>
        <v>310534.6705</v>
      </c>
      <c r="R18" s="657">
        <f t="shared" si="11"/>
        <v>319850.7106</v>
      </c>
      <c r="S18" s="657">
        <f t="shared" si="11"/>
        <v>329446.2319</v>
      </c>
      <c r="T18" s="657">
        <f t="shared" si="11"/>
        <v>339329.6189</v>
      </c>
      <c r="U18" s="657">
        <f t="shared" si="11"/>
        <v>349509.5075</v>
      </c>
      <c r="V18" s="657">
        <f t="shared" si="11"/>
        <v>359994.7927</v>
      </c>
      <c r="W18" s="657">
        <f t="shared" si="11"/>
        <v>370794.6365</v>
      </c>
      <c r="X18" s="657">
        <f t="shared" si="11"/>
        <v>381918.4756</v>
      </c>
      <c r="Y18" s="657">
        <f t="shared" si="11"/>
        <v>393376.0298</v>
      </c>
      <c r="Z18" s="657">
        <f t="shared" si="11"/>
        <v>405177.3107</v>
      </c>
      <c r="AA18" s="657">
        <f t="shared" si="11"/>
        <v>417332.6301</v>
      </c>
      <c r="AB18" s="657">
        <f t="shared" si="11"/>
        <v>429852.609</v>
      </c>
      <c r="AC18" s="657">
        <f t="shared" si="11"/>
        <v>442748.1872</v>
      </c>
      <c r="AD18" s="657">
        <f t="shared" si="11"/>
        <v>456030.6328</v>
      </c>
      <c r="AE18" s="657">
        <f t="shared" si="11"/>
        <v>469711.5518</v>
      </c>
      <c r="AF18" s="657">
        <f t="shared" si="11"/>
        <v>483802.8984</v>
      </c>
      <c r="AG18" s="657">
        <f t="shared" si="11"/>
        <v>498316.9853</v>
      </c>
      <c r="AH18" s="657">
        <f t="shared" si="11"/>
        <v>513266.4949</v>
      </c>
      <c r="AI18" s="657">
        <f t="shared" si="11"/>
        <v>528664.4897</v>
      </c>
      <c r="AJ18" s="657">
        <f t="shared" si="11"/>
        <v>544524.4244</v>
      </c>
      <c r="AK18" s="657">
        <f t="shared" si="11"/>
        <v>560860.1572</v>
      </c>
      <c r="AL18" s="657">
        <f t="shared" si="11"/>
        <v>577685.9619</v>
      </c>
      <c r="AM18" s="657">
        <f t="shared" si="11"/>
        <v>595016.5407</v>
      </c>
      <c r="AN18" s="657">
        <f t="shared" si="11"/>
        <v>612867.037</v>
      </c>
      <c r="AO18" s="657">
        <f t="shared" si="11"/>
        <v>631253.0481</v>
      </c>
      <c r="AP18" s="657">
        <f t="shared" si="11"/>
        <v>650190.6395</v>
      </c>
    </row>
    <row r="19" ht="12.75" customHeight="1">
      <c r="A19" s="3" t="str">
        <f>'BY Proforma No Comm '!A47</f>
        <v>Total Utilities</v>
      </c>
      <c r="B19" s="819">
        <v>0.03</v>
      </c>
      <c r="C19" s="657">
        <f>'BY Proforma No Comm '!C47</f>
        <v>98125</v>
      </c>
      <c r="D19" s="657">
        <f t="shared" ref="D19:AP19" si="12">C19*(1+$B19)</f>
        <v>101068.75</v>
      </c>
      <c r="E19" s="657">
        <f t="shared" si="12"/>
        <v>104100.8125</v>
      </c>
      <c r="F19" s="657">
        <f t="shared" si="12"/>
        <v>107223.8369</v>
      </c>
      <c r="G19" s="657">
        <f t="shared" si="12"/>
        <v>110440.552</v>
      </c>
      <c r="H19" s="657">
        <f t="shared" si="12"/>
        <v>113753.7685</v>
      </c>
      <c r="I19" s="657">
        <f t="shared" si="12"/>
        <v>117166.3816</v>
      </c>
      <c r="J19" s="657">
        <f t="shared" si="12"/>
        <v>120681.373</v>
      </c>
      <c r="K19" s="657">
        <f t="shared" si="12"/>
        <v>124301.8142</v>
      </c>
      <c r="L19" s="657">
        <f t="shared" si="12"/>
        <v>128030.8687</v>
      </c>
      <c r="M19" s="657">
        <f t="shared" si="12"/>
        <v>131871.7947</v>
      </c>
      <c r="N19" s="657">
        <f t="shared" si="12"/>
        <v>135827.9486</v>
      </c>
      <c r="O19" s="657">
        <f t="shared" si="12"/>
        <v>139902.787</v>
      </c>
      <c r="P19" s="657">
        <f t="shared" si="12"/>
        <v>144099.8706</v>
      </c>
      <c r="Q19" s="818">
        <f t="shared" si="12"/>
        <v>148422.8668</v>
      </c>
      <c r="R19" s="657">
        <f t="shared" si="12"/>
        <v>152875.5528</v>
      </c>
      <c r="S19" s="657">
        <f t="shared" si="12"/>
        <v>157461.8193</v>
      </c>
      <c r="T19" s="657">
        <f t="shared" si="12"/>
        <v>162185.6739</v>
      </c>
      <c r="U19" s="657">
        <f t="shared" si="12"/>
        <v>167051.2441</v>
      </c>
      <c r="V19" s="657">
        <f t="shared" si="12"/>
        <v>172062.7815</v>
      </c>
      <c r="W19" s="657">
        <f t="shared" si="12"/>
        <v>177224.6649</v>
      </c>
      <c r="X19" s="657">
        <f t="shared" si="12"/>
        <v>182541.4048</v>
      </c>
      <c r="Y19" s="657">
        <f t="shared" si="12"/>
        <v>188017.647</v>
      </c>
      <c r="Z19" s="657">
        <f t="shared" si="12"/>
        <v>193658.1764</v>
      </c>
      <c r="AA19" s="657">
        <f t="shared" si="12"/>
        <v>199467.9217</v>
      </c>
      <c r="AB19" s="657">
        <f t="shared" si="12"/>
        <v>205451.9593</v>
      </c>
      <c r="AC19" s="657">
        <f t="shared" si="12"/>
        <v>211615.5181</v>
      </c>
      <c r="AD19" s="657">
        <f t="shared" si="12"/>
        <v>217963.9837</v>
      </c>
      <c r="AE19" s="657">
        <f t="shared" si="12"/>
        <v>224502.9032</v>
      </c>
      <c r="AF19" s="657">
        <f t="shared" si="12"/>
        <v>231237.9903</v>
      </c>
      <c r="AG19" s="657">
        <f t="shared" si="12"/>
        <v>238175.13</v>
      </c>
      <c r="AH19" s="657">
        <f t="shared" si="12"/>
        <v>245320.3839</v>
      </c>
      <c r="AI19" s="657">
        <f t="shared" si="12"/>
        <v>252679.9954</v>
      </c>
      <c r="AJ19" s="657">
        <f t="shared" si="12"/>
        <v>260260.3953</v>
      </c>
      <c r="AK19" s="657">
        <f t="shared" si="12"/>
        <v>268068.2071</v>
      </c>
      <c r="AL19" s="657">
        <f t="shared" si="12"/>
        <v>276110.2533</v>
      </c>
      <c r="AM19" s="657">
        <f t="shared" si="12"/>
        <v>284393.5609</v>
      </c>
      <c r="AN19" s="657">
        <f t="shared" si="12"/>
        <v>292925.3678</v>
      </c>
      <c r="AO19" s="657">
        <f t="shared" si="12"/>
        <v>301713.1288</v>
      </c>
      <c r="AP19" s="657">
        <f t="shared" si="12"/>
        <v>310764.5227</v>
      </c>
    </row>
    <row r="20" ht="12.75" customHeight="1">
      <c r="A20" s="3" t="str">
        <f>'BY Proforma No Comm '!A49</f>
        <v>Marketing</v>
      </c>
      <c r="B20" s="819">
        <v>0.03</v>
      </c>
      <c r="C20" s="657">
        <f>'BY Proforma No Comm '!C49</f>
        <v>0</v>
      </c>
      <c r="D20" s="657">
        <f t="shared" ref="D20:AP20" si="13">C20*(1+$B20)</f>
        <v>0</v>
      </c>
      <c r="E20" s="657">
        <f t="shared" si="13"/>
        <v>0</v>
      </c>
      <c r="F20" s="657">
        <f t="shared" si="13"/>
        <v>0</v>
      </c>
      <c r="G20" s="657">
        <f t="shared" si="13"/>
        <v>0</v>
      </c>
      <c r="H20" s="657">
        <f t="shared" si="13"/>
        <v>0</v>
      </c>
      <c r="I20" s="657">
        <f t="shared" si="13"/>
        <v>0</v>
      </c>
      <c r="J20" s="657">
        <f t="shared" si="13"/>
        <v>0</v>
      </c>
      <c r="K20" s="657">
        <f t="shared" si="13"/>
        <v>0</v>
      </c>
      <c r="L20" s="657">
        <f t="shared" si="13"/>
        <v>0</v>
      </c>
      <c r="M20" s="657">
        <f t="shared" si="13"/>
        <v>0</v>
      </c>
      <c r="N20" s="657">
        <f t="shared" si="13"/>
        <v>0</v>
      </c>
      <c r="O20" s="657">
        <f t="shared" si="13"/>
        <v>0</v>
      </c>
      <c r="P20" s="657">
        <f t="shared" si="13"/>
        <v>0</v>
      </c>
      <c r="Q20" s="818">
        <f t="shared" si="13"/>
        <v>0</v>
      </c>
      <c r="R20" s="657">
        <f t="shared" si="13"/>
        <v>0</v>
      </c>
      <c r="S20" s="657">
        <f t="shared" si="13"/>
        <v>0</v>
      </c>
      <c r="T20" s="657">
        <f t="shared" si="13"/>
        <v>0</v>
      </c>
      <c r="U20" s="657">
        <f t="shared" si="13"/>
        <v>0</v>
      </c>
      <c r="V20" s="657">
        <f t="shared" si="13"/>
        <v>0</v>
      </c>
      <c r="W20" s="657">
        <f t="shared" si="13"/>
        <v>0</v>
      </c>
      <c r="X20" s="657">
        <f t="shared" si="13"/>
        <v>0</v>
      </c>
      <c r="Y20" s="657">
        <f t="shared" si="13"/>
        <v>0</v>
      </c>
      <c r="Z20" s="657">
        <f t="shared" si="13"/>
        <v>0</v>
      </c>
      <c r="AA20" s="657">
        <f t="shared" si="13"/>
        <v>0</v>
      </c>
      <c r="AB20" s="657">
        <f t="shared" si="13"/>
        <v>0</v>
      </c>
      <c r="AC20" s="657">
        <f t="shared" si="13"/>
        <v>0</v>
      </c>
      <c r="AD20" s="657">
        <f t="shared" si="13"/>
        <v>0</v>
      </c>
      <c r="AE20" s="657">
        <f t="shared" si="13"/>
        <v>0</v>
      </c>
      <c r="AF20" s="657">
        <f t="shared" si="13"/>
        <v>0</v>
      </c>
      <c r="AG20" s="657">
        <f t="shared" si="13"/>
        <v>0</v>
      </c>
      <c r="AH20" s="657">
        <f t="shared" si="13"/>
        <v>0</v>
      </c>
      <c r="AI20" s="657">
        <f t="shared" si="13"/>
        <v>0</v>
      </c>
      <c r="AJ20" s="657">
        <f t="shared" si="13"/>
        <v>0</v>
      </c>
      <c r="AK20" s="657">
        <f t="shared" si="13"/>
        <v>0</v>
      </c>
      <c r="AL20" s="657">
        <f t="shared" si="13"/>
        <v>0</v>
      </c>
      <c r="AM20" s="657">
        <f t="shared" si="13"/>
        <v>0</v>
      </c>
      <c r="AN20" s="657">
        <f t="shared" si="13"/>
        <v>0</v>
      </c>
      <c r="AO20" s="657">
        <f t="shared" si="13"/>
        <v>0</v>
      </c>
      <c r="AP20" s="657">
        <f t="shared" si="13"/>
        <v>0</v>
      </c>
    </row>
    <row r="21" ht="12.75" customHeight="1">
      <c r="A21" s="3" t="str">
        <f>'BY Proforma No Comm '!A58</f>
        <v>Repairs and Maintenance</v>
      </c>
      <c r="B21" s="819">
        <v>0.03</v>
      </c>
      <c r="C21" s="657">
        <f>'BY Proforma No Comm '!C58</f>
        <v>158995</v>
      </c>
      <c r="D21" s="657">
        <f t="shared" ref="D21:AP21" si="14">C21*(1+$B21)</f>
        <v>163764.85</v>
      </c>
      <c r="E21" s="657">
        <f t="shared" si="14"/>
        <v>168677.7955</v>
      </c>
      <c r="F21" s="657">
        <f t="shared" si="14"/>
        <v>173738.1294</v>
      </c>
      <c r="G21" s="657">
        <f t="shared" si="14"/>
        <v>178950.2732</v>
      </c>
      <c r="H21" s="657">
        <f t="shared" si="14"/>
        <v>184318.7814</v>
      </c>
      <c r="I21" s="657">
        <f t="shared" si="14"/>
        <v>189848.3449</v>
      </c>
      <c r="J21" s="657">
        <f t="shared" si="14"/>
        <v>195543.7952</v>
      </c>
      <c r="K21" s="657">
        <f t="shared" si="14"/>
        <v>201410.1091</v>
      </c>
      <c r="L21" s="657">
        <f t="shared" si="14"/>
        <v>207452.4124</v>
      </c>
      <c r="M21" s="657">
        <f t="shared" si="14"/>
        <v>213675.9847</v>
      </c>
      <c r="N21" s="657">
        <f t="shared" si="14"/>
        <v>220086.2643</v>
      </c>
      <c r="O21" s="657">
        <f t="shared" si="14"/>
        <v>226688.8522</v>
      </c>
      <c r="P21" s="657">
        <f t="shared" si="14"/>
        <v>233489.5178</v>
      </c>
      <c r="Q21" s="818">
        <f t="shared" si="14"/>
        <v>240494.2033</v>
      </c>
      <c r="R21" s="657">
        <f t="shared" si="14"/>
        <v>247709.0294</v>
      </c>
      <c r="S21" s="657">
        <f t="shared" si="14"/>
        <v>255140.3003</v>
      </c>
      <c r="T21" s="657">
        <f t="shared" si="14"/>
        <v>262794.5093</v>
      </c>
      <c r="U21" s="657">
        <f t="shared" si="14"/>
        <v>270678.3446</v>
      </c>
      <c r="V21" s="657">
        <f t="shared" si="14"/>
        <v>278798.6949</v>
      </c>
      <c r="W21" s="657">
        <f t="shared" si="14"/>
        <v>287162.6558</v>
      </c>
      <c r="X21" s="657">
        <f t="shared" si="14"/>
        <v>295777.5354</v>
      </c>
      <c r="Y21" s="657">
        <f t="shared" si="14"/>
        <v>304650.8615</v>
      </c>
      <c r="Z21" s="657">
        <f t="shared" si="14"/>
        <v>313790.3873</v>
      </c>
      <c r="AA21" s="657">
        <f t="shared" si="14"/>
        <v>323204.099</v>
      </c>
      <c r="AB21" s="657">
        <f t="shared" si="14"/>
        <v>332900.2219</v>
      </c>
      <c r="AC21" s="657">
        <f t="shared" si="14"/>
        <v>342887.2286</v>
      </c>
      <c r="AD21" s="657">
        <f t="shared" si="14"/>
        <v>353173.8454</v>
      </c>
      <c r="AE21" s="657">
        <f t="shared" si="14"/>
        <v>363769.0608</v>
      </c>
      <c r="AF21" s="657">
        <f t="shared" si="14"/>
        <v>374682.1326</v>
      </c>
      <c r="AG21" s="657">
        <f t="shared" si="14"/>
        <v>385922.5966</v>
      </c>
      <c r="AH21" s="657">
        <f t="shared" si="14"/>
        <v>397500.2745</v>
      </c>
      <c r="AI21" s="657">
        <f t="shared" si="14"/>
        <v>409425.2827</v>
      </c>
      <c r="AJ21" s="657">
        <f t="shared" si="14"/>
        <v>421708.0412</v>
      </c>
      <c r="AK21" s="657">
        <f t="shared" si="14"/>
        <v>434359.2825</v>
      </c>
      <c r="AL21" s="657">
        <f t="shared" si="14"/>
        <v>447390.0609</v>
      </c>
      <c r="AM21" s="657">
        <f t="shared" si="14"/>
        <v>460811.7628</v>
      </c>
      <c r="AN21" s="657">
        <f t="shared" si="14"/>
        <v>474636.1156</v>
      </c>
      <c r="AO21" s="657">
        <f t="shared" si="14"/>
        <v>488875.1991</v>
      </c>
      <c r="AP21" s="657">
        <f t="shared" si="14"/>
        <v>503541.4551</v>
      </c>
    </row>
    <row r="22" ht="12.75" customHeight="1">
      <c r="A22" s="3" t="str">
        <f>'BY Proforma No Comm '!A60</f>
        <v>Miscellaneous</v>
      </c>
      <c r="B22" s="819">
        <v>0.03</v>
      </c>
      <c r="C22" s="657">
        <f>'BY Proforma No Comm '!C60</f>
        <v>0</v>
      </c>
      <c r="D22" s="657">
        <f t="shared" ref="D22:AP22" si="15">C22*(1+$B22)</f>
        <v>0</v>
      </c>
      <c r="E22" s="657">
        <f t="shared" si="15"/>
        <v>0</v>
      </c>
      <c r="F22" s="657">
        <f t="shared" si="15"/>
        <v>0</v>
      </c>
      <c r="G22" s="657">
        <f t="shared" si="15"/>
        <v>0</v>
      </c>
      <c r="H22" s="657">
        <f t="shared" si="15"/>
        <v>0</v>
      </c>
      <c r="I22" s="657">
        <f t="shared" si="15"/>
        <v>0</v>
      </c>
      <c r="J22" s="657">
        <f t="shared" si="15"/>
        <v>0</v>
      </c>
      <c r="K22" s="657">
        <f t="shared" si="15"/>
        <v>0</v>
      </c>
      <c r="L22" s="657">
        <f t="shared" si="15"/>
        <v>0</v>
      </c>
      <c r="M22" s="657">
        <f t="shared" si="15"/>
        <v>0</v>
      </c>
      <c r="N22" s="657">
        <f t="shared" si="15"/>
        <v>0</v>
      </c>
      <c r="O22" s="657">
        <f t="shared" si="15"/>
        <v>0</v>
      </c>
      <c r="P22" s="657">
        <f t="shared" si="15"/>
        <v>0</v>
      </c>
      <c r="Q22" s="818">
        <f t="shared" si="15"/>
        <v>0</v>
      </c>
      <c r="R22" s="657">
        <f t="shared" si="15"/>
        <v>0</v>
      </c>
      <c r="S22" s="657">
        <f t="shared" si="15"/>
        <v>0</v>
      </c>
      <c r="T22" s="657">
        <f t="shared" si="15"/>
        <v>0</v>
      </c>
      <c r="U22" s="657">
        <f t="shared" si="15"/>
        <v>0</v>
      </c>
      <c r="V22" s="657">
        <f t="shared" si="15"/>
        <v>0</v>
      </c>
      <c r="W22" s="657">
        <f t="shared" si="15"/>
        <v>0</v>
      </c>
      <c r="X22" s="657">
        <f t="shared" si="15"/>
        <v>0</v>
      </c>
      <c r="Y22" s="657">
        <f t="shared" si="15"/>
        <v>0</v>
      </c>
      <c r="Z22" s="657">
        <f t="shared" si="15"/>
        <v>0</v>
      </c>
      <c r="AA22" s="657">
        <f t="shared" si="15"/>
        <v>0</v>
      </c>
      <c r="AB22" s="657">
        <f t="shared" si="15"/>
        <v>0</v>
      </c>
      <c r="AC22" s="657">
        <f t="shared" si="15"/>
        <v>0</v>
      </c>
      <c r="AD22" s="657">
        <f t="shared" si="15"/>
        <v>0</v>
      </c>
      <c r="AE22" s="657">
        <f t="shared" si="15"/>
        <v>0</v>
      </c>
      <c r="AF22" s="657">
        <f t="shared" si="15"/>
        <v>0</v>
      </c>
      <c r="AG22" s="657">
        <f t="shared" si="15"/>
        <v>0</v>
      </c>
      <c r="AH22" s="657">
        <f t="shared" si="15"/>
        <v>0</v>
      </c>
      <c r="AI22" s="657">
        <f t="shared" si="15"/>
        <v>0</v>
      </c>
      <c r="AJ22" s="657">
        <f t="shared" si="15"/>
        <v>0</v>
      </c>
      <c r="AK22" s="657">
        <f t="shared" si="15"/>
        <v>0</v>
      </c>
      <c r="AL22" s="657">
        <f t="shared" si="15"/>
        <v>0</v>
      </c>
      <c r="AM22" s="657">
        <f t="shared" si="15"/>
        <v>0</v>
      </c>
      <c r="AN22" s="657">
        <f t="shared" si="15"/>
        <v>0</v>
      </c>
      <c r="AO22" s="657">
        <f t="shared" si="15"/>
        <v>0</v>
      </c>
      <c r="AP22" s="657">
        <f t="shared" si="15"/>
        <v>0</v>
      </c>
    </row>
    <row r="23" ht="12.75" customHeight="1">
      <c r="A23" s="3" t="str">
        <f>'BY Proforma No Comm '!A61</f>
        <v>Other Expenses</v>
      </c>
      <c r="B23" s="819">
        <v>0.03</v>
      </c>
      <c r="C23" s="657">
        <f>'BY Proforma No Comm '!C61</f>
        <v>0</v>
      </c>
      <c r="D23" s="657">
        <f t="shared" ref="D23:AP23" si="16">C23*(1+$B23)</f>
        <v>0</v>
      </c>
      <c r="E23" s="657">
        <f t="shared" si="16"/>
        <v>0</v>
      </c>
      <c r="F23" s="657">
        <f t="shared" si="16"/>
        <v>0</v>
      </c>
      <c r="G23" s="657">
        <f t="shared" si="16"/>
        <v>0</v>
      </c>
      <c r="H23" s="657">
        <f t="shared" si="16"/>
        <v>0</v>
      </c>
      <c r="I23" s="657">
        <f t="shared" si="16"/>
        <v>0</v>
      </c>
      <c r="J23" s="657">
        <f t="shared" si="16"/>
        <v>0</v>
      </c>
      <c r="K23" s="657">
        <f t="shared" si="16"/>
        <v>0</v>
      </c>
      <c r="L23" s="657">
        <f t="shared" si="16"/>
        <v>0</v>
      </c>
      <c r="M23" s="657">
        <f t="shared" si="16"/>
        <v>0</v>
      </c>
      <c r="N23" s="657">
        <f t="shared" si="16"/>
        <v>0</v>
      </c>
      <c r="O23" s="657">
        <f t="shared" si="16"/>
        <v>0</v>
      </c>
      <c r="P23" s="657">
        <f t="shared" si="16"/>
        <v>0</v>
      </c>
      <c r="Q23" s="818">
        <f t="shared" si="16"/>
        <v>0</v>
      </c>
      <c r="R23" s="657">
        <f t="shared" si="16"/>
        <v>0</v>
      </c>
      <c r="S23" s="657">
        <f t="shared" si="16"/>
        <v>0</v>
      </c>
      <c r="T23" s="657">
        <f t="shared" si="16"/>
        <v>0</v>
      </c>
      <c r="U23" s="657">
        <f t="shared" si="16"/>
        <v>0</v>
      </c>
      <c r="V23" s="657">
        <f t="shared" si="16"/>
        <v>0</v>
      </c>
      <c r="W23" s="657">
        <f t="shared" si="16"/>
        <v>0</v>
      </c>
      <c r="X23" s="657">
        <f t="shared" si="16"/>
        <v>0</v>
      </c>
      <c r="Y23" s="657">
        <f t="shared" si="16"/>
        <v>0</v>
      </c>
      <c r="Z23" s="657">
        <f t="shared" si="16"/>
        <v>0</v>
      </c>
      <c r="AA23" s="657">
        <f t="shared" si="16"/>
        <v>0</v>
      </c>
      <c r="AB23" s="657">
        <f t="shared" si="16"/>
        <v>0</v>
      </c>
      <c r="AC23" s="657">
        <f t="shared" si="16"/>
        <v>0</v>
      </c>
      <c r="AD23" s="657">
        <f t="shared" si="16"/>
        <v>0</v>
      </c>
      <c r="AE23" s="657">
        <f t="shared" si="16"/>
        <v>0</v>
      </c>
      <c r="AF23" s="657">
        <f t="shared" si="16"/>
        <v>0</v>
      </c>
      <c r="AG23" s="657">
        <f t="shared" si="16"/>
        <v>0</v>
      </c>
      <c r="AH23" s="657">
        <f t="shared" si="16"/>
        <v>0</v>
      </c>
      <c r="AI23" s="657">
        <f t="shared" si="16"/>
        <v>0</v>
      </c>
      <c r="AJ23" s="657">
        <f t="shared" si="16"/>
        <v>0</v>
      </c>
      <c r="AK23" s="657">
        <f t="shared" si="16"/>
        <v>0</v>
      </c>
      <c r="AL23" s="657">
        <f t="shared" si="16"/>
        <v>0</v>
      </c>
      <c r="AM23" s="657">
        <f t="shared" si="16"/>
        <v>0</v>
      </c>
      <c r="AN23" s="657">
        <f t="shared" si="16"/>
        <v>0</v>
      </c>
      <c r="AO23" s="657">
        <f t="shared" si="16"/>
        <v>0</v>
      </c>
      <c r="AP23" s="657">
        <f t="shared" si="16"/>
        <v>0</v>
      </c>
    </row>
    <row r="24" ht="12.75" customHeight="1">
      <c r="A24" s="39" t="str">
        <f>'BY Proforma No Comm '!A62</f>
        <v>Social Services</v>
      </c>
      <c r="B24" s="820">
        <v>0.03</v>
      </c>
      <c r="C24" s="743">
        <f>'BY Proforma No Comm '!C62</f>
        <v>0</v>
      </c>
      <c r="D24" s="743">
        <f t="shared" ref="D24:AP24" si="17">C24*(1+$B24)</f>
        <v>0</v>
      </c>
      <c r="E24" s="743">
        <f t="shared" si="17"/>
        <v>0</v>
      </c>
      <c r="F24" s="743">
        <f t="shared" si="17"/>
        <v>0</v>
      </c>
      <c r="G24" s="743">
        <f t="shared" si="17"/>
        <v>0</v>
      </c>
      <c r="H24" s="743">
        <f t="shared" si="17"/>
        <v>0</v>
      </c>
      <c r="I24" s="743">
        <f t="shared" si="17"/>
        <v>0</v>
      </c>
      <c r="J24" s="743">
        <f t="shared" si="17"/>
        <v>0</v>
      </c>
      <c r="K24" s="743">
        <f t="shared" si="17"/>
        <v>0</v>
      </c>
      <c r="L24" s="743">
        <f t="shared" si="17"/>
        <v>0</v>
      </c>
      <c r="M24" s="743">
        <f t="shared" si="17"/>
        <v>0</v>
      </c>
      <c r="N24" s="743">
        <f t="shared" si="17"/>
        <v>0</v>
      </c>
      <c r="O24" s="743">
        <f t="shared" si="17"/>
        <v>0</v>
      </c>
      <c r="P24" s="743">
        <f t="shared" si="17"/>
        <v>0</v>
      </c>
      <c r="Q24" s="821">
        <f t="shared" si="17"/>
        <v>0</v>
      </c>
      <c r="R24" s="743">
        <f t="shared" si="17"/>
        <v>0</v>
      </c>
      <c r="S24" s="743">
        <f t="shared" si="17"/>
        <v>0</v>
      </c>
      <c r="T24" s="743">
        <f t="shared" si="17"/>
        <v>0</v>
      </c>
      <c r="U24" s="743">
        <f t="shared" si="17"/>
        <v>0</v>
      </c>
      <c r="V24" s="743">
        <f t="shared" si="17"/>
        <v>0</v>
      </c>
      <c r="W24" s="743">
        <f t="shared" si="17"/>
        <v>0</v>
      </c>
      <c r="X24" s="743">
        <f t="shared" si="17"/>
        <v>0</v>
      </c>
      <c r="Y24" s="743">
        <f t="shared" si="17"/>
        <v>0</v>
      </c>
      <c r="Z24" s="743">
        <f t="shared" si="17"/>
        <v>0</v>
      </c>
      <c r="AA24" s="743">
        <f t="shared" si="17"/>
        <v>0</v>
      </c>
      <c r="AB24" s="743">
        <f t="shared" si="17"/>
        <v>0</v>
      </c>
      <c r="AC24" s="743">
        <f t="shared" si="17"/>
        <v>0</v>
      </c>
      <c r="AD24" s="743">
        <f t="shared" si="17"/>
        <v>0</v>
      </c>
      <c r="AE24" s="743">
        <f t="shared" si="17"/>
        <v>0</v>
      </c>
      <c r="AF24" s="743">
        <f t="shared" si="17"/>
        <v>0</v>
      </c>
      <c r="AG24" s="743">
        <f t="shared" si="17"/>
        <v>0</v>
      </c>
      <c r="AH24" s="743">
        <f t="shared" si="17"/>
        <v>0</v>
      </c>
      <c r="AI24" s="743">
        <f t="shared" si="17"/>
        <v>0</v>
      </c>
      <c r="AJ24" s="743">
        <f t="shared" si="17"/>
        <v>0</v>
      </c>
      <c r="AK24" s="743">
        <f t="shared" si="17"/>
        <v>0</v>
      </c>
      <c r="AL24" s="743">
        <f t="shared" si="17"/>
        <v>0</v>
      </c>
      <c r="AM24" s="743">
        <f t="shared" si="17"/>
        <v>0</v>
      </c>
      <c r="AN24" s="743">
        <f t="shared" si="17"/>
        <v>0</v>
      </c>
      <c r="AO24" s="743">
        <f t="shared" si="17"/>
        <v>0</v>
      </c>
      <c r="AP24" s="743">
        <f t="shared" si="17"/>
        <v>0</v>
      </c>
    </row>
    <row r="25" ht="12.75" customHeight="1">
      <c r="A25" s="666" t="str">
        <f>'BY Proforma No Comm '!A63</f>
        <v>Total Operating Expenses</v>
      </c>
      <c r="B25" s="822"/>
      <c r="C25" s="823">
        <f t="shared" ref="C25:AP25" si="18">SUM(C13:C24)</f>
        <v>777757.844</v>
      </c>
      <c r="D25" s="823">
        <f t="shared" si="18"/>
        <v>800367.2955</v>
      </c>
      <c r="E25" s="823">
        <f t="shared" si="18"/>
        <v>823638.7566</v>
      </c>
      <c r="F25" s="823">
        <f t="shared" si="18"/>
        <v>847591.7216</v>
      </c>
      <c r="G25" s="823">
        <f t="shared" si="18"/>
        <v>872246.261</v>
      </c>
      <c r="H25" s="823">
        <f t="shared" si="18"/>
        <v>897623.0393</v>
      </c>
      <c r="I25" s="823">
        <f t="shared" si="18"/>
        <v>923743.3323</v>
      </c>
      <c r="J25" s="823">
        <f t="shared" si="18"/>
        <v>950629.0451</v>
      </c>
      <c r="K25" s="823">
        <f t="shared" si="18"/>
        <v>978302.7311</v>
      </c>
      <c r="L25" s="823">
        <f t="shared" si="18"/>
        <v>1006787.611</v>
      </c>
      <c r="M25" s="823">
        <f t="shared" si="18"/>
        <v>1036107.593</v>
      </c>
      <c r="N25" s="823">
        <f t="shared" si="18"/>
        <v>1066287.292</v>
      </c>
      <c r="O25" s="823">
        <f t="shared" si="18"/>
        <v>1097352.053</v>
      </c>
      <c r="P25" s="823">
        <f t="shared" si="18"/>
        <v>1129327.969</v>
      </c>
      <c r="Q25" s="824">
        <f t="shared" si="18"/>
        <v>1162241.909</v>
      </c>
      <c r="R25" s="823">
        <f t="shared" si="18"/>
        <v>1196121.534</v>
      </c>
      <c r="S25" s="823">
        <f t="shared" si="18"/>
        <v>1230995.326</v>
      </c>
      <c r="T25" s="823">
        <f t="shared" si="18"/>
        <v>1266892.611</v>
      </c>
      <c r="U25" s="823">
        <f t="shared" si="18"/>
        <v>1303843.581</v>
      </c>
      <c r="V25" s="823">
        <f t="shared" si="18"/>
        <v>1341879.324</v>
      </c>
      <c r="W25" s="823">
        <f t="shared" si="18"/>
        <v>1381031.849</v>
      </c>
      <c r="X25" s="823">
        <f t="shared" si="18"/>
        <v>1421334.114</v>
      </c>
      <c r="Y25" s="823">
        <f t="shared" si="18"/>
        <v>1462820.05</v>
      </c>
      <c r="Z25" s="823">
        <f t="shared" si="18"/>
        <v>1505524.598</v>
      </c>
      <c r="AA25" s="823">
        <f t="shared" si="18"/>
        <v>1549483.732</v>
      </c>
      <c r="AB25" s="823">
        <f t="shared" si="18"/>
        <v>1594734.49</v>
      </c>
      <c r="AC25" s="823">
        <f t="shared" si="18"/>
        <v>1641315.012</v>
      </c>
      <c r="AD25" s="823">
        <f t="shared" si="18"/>
        <v>1689264.566</v>
      </c>
      <c r="AE25" s="823">
        <f t="shared" si="18"/>
        <v>1738623.583</v>
      </c>
      <c r="AF25" s="823">
        <f t="shared" si="18"/>
        <v>1789433.695</v>
      </c>
      <c r="AG25" s="823">
        <f t="shared" si="18"/>
        <v>1841737.767</v>
      </c>
      <c r="AH25" s="823">
        <f t="shared" si="18"/>
        <v>1895579.936</v>
      </c>
      <c r="AI25" s="823">
        <f t="shared" si="18"/>
        <v>1951005.645</v>
      </c>
      <c r="AJ25" s="823">
        <f t="shared" si="18"/>
        <v>2008061.687</v>
      </c>
      <c r="AK25" s="823">
        <f t="shared" si="18"/>
        <v>2066796.243</v>
      </c>
      <c r="AL25" s="823">
        <f t="shared" si="18"/>
        <v>2127258.921</v>
      </c>
      <c r="AM25" s="823">
        <f t="shared" si="18"/>
        <v>2189500.803</v>
      </c>
      <c r="AN25" s="823">
        <f t="shared" si="18"/>
        <v>2253574.483</v>
      </c>
      <c r="AO25" s="823">
        <f t="shared" si="18"/>
        <v>2319534.119</v>
      </c>
      <c r="AP25" s="823">
        <f t="shared" si="18"/>
        <v>2387435.473</v>
      </c>
    </row>
    <row r="26" ht="12.75" customHeight="1">
      <c r="A26" s="3" t="str">
        <f>'BY Proforma No Comm '!A65</f>
        <v>Operating Reserves</v>
      </c>
      <c r="B26" s="819">
        <v>0.0</v>
      </c>
      <c r="C26" s="657" t="str">
        <f>'BY Proforma No Comm '!C65</f>
        <v/>
      </c>
      <c r="D26" s="657">
        <f t="shared" ref="D26:AP26" si="19">C26*(1+$B26)</f>
        <v>0</v>
      </c>
      <c r="E26" s="657">
        <f t="shared" si="19"/>
        <v>0</v>
      </c>
      <c r="F26" s="657">
        <f t="shared" si="19"/>
        <v>0</v>
      </c>
      <c r="G26" s="657">
        <f t="shared" si="19"/>
        <v>0</v>
      </c>
      <c r="H26" s="657">
        <f t="shared" si="19"/>
        <v>0</v>
      </c>
      <c r="I26" s="657">
        <f t="shared" si="19"/>
        <v>0</v>
      </c>
      <c r="J26" s="657">
        <f t="shared" si="19"/>
        <v>0</v>
      </c>
      <c r="K26" s="657">
        <f t="shared" si="19"/>
        <v>0</v>
      </c>
      <c r="L26" s="657">
        <f t="shared" si="19"/>
        <v>0</v>
      </c>
      <c r="M26" s="657">
        <f t="shared" si="19"/>
        <v>0</v>
      </c>
      <c r="N26" s="657">
        <f t="shared" si="19"/>
        <v>0</v>
      </c>
      <c r="O26" s="657">
        <f t="shared" si="19"/>
        <v>0</v>
      </c>
      <c r="P26" s="657">
        <f t="shared" si="19"/>
        <v>0</v>
      </c>
      <c r="Q26" s="818">
        <f t="shared" si="19"/>
        <v>0</v>
      </c>
      <c r="R26" s="657">
        <f t="shared" si="19"/>
        <v>0</v>
      </c>
      <c r="S26" s="657">
        <f t="shared" si="19"/>
        <v>0</v>
      </c>
      <c r="T26" s="657">
        <f t="shared" si="19"/>
        <v>0</v>
      </c>
      <c r="U26" s="657">
        <f t="shared" si="19"/>
        <v>0</v>
      </c>
      <c r="V26" s="657">
        <f t="shared" si="19"/>
        <v>0</v>
      </c>
      <c r="W26" s="657">
        <f t="shared" si="19"/>
        <v>0</v>
      </c>
      <c r="X26" s="657">
        <f t="shared" si="19"/>
        <v>0</v>
      </c>
      <c r="Y26" s="657">
        <f t="shared" si="19"/>
        <v>0</v>
      </c>
      <c r="Z26" s="657">
        <f t="shared" si="19"/>
        <v>0</v>
      </c>
      <c r="AA26" s="657">
        <f t="shared" si="19"/>
        <v>0</v>
      </c>
      <c r="AB26" s="657">
        <f t="shared" si="19"/>
        <v>0</v>
      </c>
      <c r="AC26" s="657">
        <f t="shared" si="19"/>
        <v>0</v>
      </c>
      <c r="AD26" s="657">
        <f t="shared" si="19"/>
        <v>0</v>
      </c>
      <c r="AE26" s="657">
        <f t="shared" si="19"/>
        <v>0</v>
      </c>
      <c r="AF26" s="657">
        <f t="shared" si="19"/>
        <v>0</v>
      </c>
      <c r="AG26" s="657">
        <f t="shared" si="19"/>
        <v>0</v>
      </c>
      <c r="AH26" s="657">
        <f t="shared" si="19"/>
        <v>0</v>
      </c>
      <c r="AI26" s="657">
        <f t="shared" si="19"/>
        <v>0</v>
      </c>
      <c r="AJ26" s="657">
        <f t="shared" si="19"/>
        <v>0</v>
      </c>
      <c r="AK26" s="657">
        <f t="shared" si="19"/>
        <v>0</v>
      </c>
      <c r="AL26" s="657">
        <f t="shared" si="19"/>
        <v>0</v>
      </c>
      <c r="AM26" s="657">
        <f t="shared" si="19"/>
        <v>0</v>
      </c>
      <c r="AN26" s="657">
        <f t="shared" si="19"/>
        <v>0</v>
      </c>
      <c r="AO26" s="657">
        <f t="shared" si="19"/>
        <v>0</v>
      </c>
      <c r="AP26" s="657">
        <f t="shared" si="19"/>
        <v>0</v>
      </c>
    </row>
    <row r="27" ht="12.75" customHeight="1">
      <c r="A27" s="3" t="str">
        <f>'BY Proforma No Comm '!A66</f>
        <v>Replacement Reserves</v>
      </c>
      <c r="B27" s="819">
        <v>0.01</v>
      </c>
      <c r="C27" s="657">
        <f>'BY Proforma No Comm '!C66</f>
        <v>34800</v>
      </c>
      <c r="D27" s="657">
        <f t="shared" ref="D27:AP27" si="20">C27*(1+$B27)</f>
        <v>35148</v>
      </c>
      <c r="E27" s="657">
        <f t="shared" si="20"/>
        <v>35499.48</v>
      </c>
      <c r="F27" s="657">
        <f t="shared" si="20"/>
        <v>35854.4748</v>
      </c>
      <c r="G27" s="657">
        <f t="shared" si="20"/>
        <v>36213.01955</v>
      </c>
      <c r="H27" s="657">
        <f t="shared" si="20"/>
        <v>36575.14974</v>
      </c>
      <c r="I27" s="657">
        <f t="shared" si="20"/>
        <v>36940.90124</v>
      </c>
      <c r="J27" s="657">
        <f t="shared" si="20"/>
        <v>37310.31025</v>
      </c>
      <c r="K27" s="657">
        <f t="shared" si="20"/>
        <v>37683.41336</v>
      </c>
      <c r="L27" s="657">
        <f t="shared" si="20"/>
        <v>38060.24749</v>
      </c>
      <c r="M27" s="657">
        <f t="shared" si="20"/>
        <v>38440.84996</v>
      </c>
      <c r="N27" s="657">
        <f t="shared" si="20"/>
        <v>38825.25846</v>
      </c>
      <c r="O27" s="657">
        <f t="shared" si="20"/>
        <v>39213.51105</v>
      </c>
      <c r="P27" s="657">
        <f t="shared" si="20"/>
        <v>39605.64616</v>
      </c>
      <c r="Q27" s="818">
        <f t="shared" si="20"/>
        <v>40001.70262</v>
      </c>
      <c r="R27" s="657">
        <f t="shared" si="20"/>
        <v>40401.71965</v>
      </c>
      <c r="S27" s="657">
        <f t="shared" si="20"/>
        <v>40805.73684</v>
      </c>
      <c r="T27" s="657">
        <f t="shared" si="20"/>
        <v>41213.79421</v>
      </c>
      <c r="U27" s="657">
        <f t="shared" si="20"/>
        <v>41625.93215</v>
      </c>
      <c r="V27" s="657">
        <f t="shared" si="20"/>
        <v>42042.19148</v>
      </c>
      <c r="W27" s="657">
        <f t="shared" si="20"/>
        <v>42462.61339</v>
      </c>
      <c r="X27" s="657">
        <f t="shared" si="20"/>
        <v>42887.23952</v>
      </c>
      <c r="Y27" s="657">
        <f t="shared" si="20"/>
        <v>43316.11192</v>
      </c>
      <c r="Z27" s="657">
        <f t="shared" si="20"/>
        <v>43749.27304</v>
      </c>
      <c r="AA27" s="657">
        <f t="shared" si="20"/>
        <v>44186.76577</v>
      </c>
      <c r="AB27" s="657">
        <f t="shared" si="20"/>
        <v>44628.63343</v>
      </c>
      <c r="AC27" s="657">
        <f t="shared" si="20"/>
        <v>45074.91976</v>
      </c>
      <c r="AD27" s="657">
        <f t="shared" si="20"/>
        <v>45525.66896</v>
      </c>
      <c r="AE27" s="657">
        <f t="shared" si="20"/>
        <v>45980.92565</v>
      </c>
      <c r="AF27" s="657">
        <f t="shared" si="20"/>
        <v>46440.7349</v>
      </c>
      <c r="AG27" s="657">
        <f t="shared" si="20"/>
        <v>46905.14225</v>
      </c>
      <c r="AH27" s="657">
        <f t="shared" si="20"/>
        <v>47374.19368</v>
      </c>
      <c r="AI27" s="657">
        <f t="shared" si="20"/>
        <v>47847.93561</v>
      </c>
      <c r="AJ27" s="657">
        <f t="shared" si="20"/>
        <v>48326.41497</v>
      </c>
      <c r="AK27" s="657">
        <f t="shared" si="20"/>
        <v>48809.67912</v>
      </c>
      <c r="AL27" s="657">
        <f t="shared" si="20"/>
        <v>49297.77591</v>
      </c>
      <c r="AM27" s="657">
        <f t="shared" si="20"/>
        <v>49790.75367</v>
      </c>
      <c r="AN27" s="657">
        <f t="shared" si="20"/>
        <v>50288.66121</v>
      </c>
      <c r="AO27" s="657">
        <f t="shared" si="20"/>
        <v>50791.54782</v>
      </c>
      <c r="AP27" s="657">
        <f t="shared" si="20"/>
        <v>51299.4633</v>
      </c>
    </row>
    <row r="28" ht="12.75" customHeight="1">
      <c r="A28" s="825" t="str">
        <f>'BY Proforma No Comm '!A67</f>
        <v>Total Expenses &amp; Reserves</v>
      </c>
      <c r="B28" s="826"/>
      <c r="C28" s="827">
        <f t="shared" ref="C28:AP28" si="21">SUM(C25:C27)</f>
        <v>812557.844</v>
      </c>
      <c r="D28" s="827">
        <f t="shared" si="21"/>
        <v>835515.2955</v>
      </c>
      <c r="E28" s="827">
        <f t="shared" si="21"/>
        <v>859138.2366</v>
      </c>
      <c r="F28" s="827">
        <f t="shared" si="21"/>
        <v>883446.1964</v>
      </c>
      <c r="G28" s="827">
        <f t="shared" si="21"/>
        <v>908459.2806</v>
      </c>
      <c r="H28" s="827">
        <f t="shared" si="21"/>
        <v>934198.1891</v>
      </c>
      <c r="I28" s="827">
        <f t="shared" si="21"/>
        <v>960684.2336</v>
      </c>
      <c r="J28" s="827">
        <f t="shared" si="21"/>
        <v>987939.3554</v>
      </c>
      <c r="K28" s="827">
        <f t="shared" si="21"/>
        <v>1015986.144</v>
      </c>
      <c r="L28" s="827">
        <f t="shared" si="21"/>
        <v>1044847.858</v>
      </c>
      <c r="M28" s="827">
        <f t="shared" si="21"/>
        <v>1074548.443</v>
      </c>
      <c r="N28" s="827">
        <f t="shared" si="21"/>
        <v>1105112.55</v>
      </c>
      <c r="O28" s="827">
        <f t="shared" si="21"/>
        <v>1136565.564</v>
      </c>
      <c r="P28" s="827">
        <f t="shared" si="21"/>
        <v>1168933.616</v>
      </c>
      <c r="Q28" s="828">
        <f t="shared" si="21"/>
        <v>1202243.612</v>
      </c>
      <c r="R28" s="827">
        <f t="shared" si="21"/>
        <v>1236523.254</v>
      </c>
      <c r="S28" s="827">
        <f t="shared" si="21"/>
        <v>1271801.063</v>
      </c>
      <c r="T28" s="827">
        <f t="shared" si="21"/>
        <v>1308106.405</v>
      </c>
      <c r="U28" s="827">
        <f t="shared" si="21"/>
        <v>1345469.513</v>
      </c>
      <c r="V28" s="827">
        <f t="shared" si="21"/>
        <v>1383921.515</v>
      </c>
      <c r="W28" s="827">
        <f t="shared" si="21"/>
        <v>1423494.463</v>
      </c>
      <c r="X28" s="827">
        <f t="shared" si="21"/>
        <v>1464221.353</v>
      </c>
      <c r="Y28" s="827">
        <f t="shared" si="21"/>
        <v>1506136.162</v>
      </c>
      <c r="Z28" s="827">
        <f t="shared" si="21"/>
        <v>1549273.871</v>
      </c>
      <c r="AA28" s="827">
        <f t="shared" si="21"/>
        <v>1593670.497</v>
      </c>
      <c r="AB28" s="827">
        <f t="shared" si="21"/>
        <v>1639363.124</v>
      </c>
      <c r="AC28" s="827">
        <f t="shared" si="21"/>
        <v>1686389.932</v>
      </c>
      <c r="AD28" s="827">
        <f t="shared" si="21"/>
        <v>1734790.234</v>
      </c>
      <c r="AE28" s="827">
        <f t="shared" si="21"/>
        <v>1784604.509</v>
      </c>
      <c r="AF28" s="827">
        <f t="shared" si="21"/>
        <v>1835874.43</v>
      </c>
      <c r="AG28" s="827">
        <f t="shared" si="21"/>
        <v>1888642.91</v>
      </c>
      <c r="AH28" s="827">
        <f t="shared" si="21"/>
        <v>1942954.129</v>
      </c>
      <c r="AI28" s="827">
        <f t="shared" si="21"/>
        <v>1998853.58</v>
      </c>
      <c r="AJ28" s="827">
        <f t="shared" si="21"/>
        <v>2056388.102</v>
      </c>
      <c r="AK28" s="827">
        <f t="shared" si="21"/>
        <v>2115605.922</v>
      </c>
      <c r="AL28" s="827">
        <f t="shared" si="21"/>
        <v>2176556.697</v>
      </c>
      <c r="AM28" s="827">
        <f t="shared" si="21"/>
        <v>2239291.556</v>
      </c>
      <c r="AN28" s="827">
        <f t="shared" si="21"/>
        <v>2303863.144</v>
      </c>
      <c r="AO28" s="827">
        <f t="shared" si="21"/>
        <v>2370325.667</v>
      </c>
      <c r="AP28" s="827">
        <f t="shared" si="21"/>
        <v>2438734.936</v>
      </c>
    </row>
    <row r="29" ht="12.75" customHeight="1">
      <c r="A29" s="3"/>
      <c r="B29" s="805"/>
      <c r="C29" s="657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816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</row>
    <row r="30" ht="12.75" customHeight="1">
      <c r="A30" s="829" t="str">
        <f>'BY Proforma No Comm '!A69</f>
        <v>Net Operating Income (NOI)</v>
      </c>
      <c r="B30" s="830"/>
      <c r="C30" s="831">
        <f t="shared" ref="C30:AP30" si="22">C11-C28</f>
        <v>794739.556</v>
      </c>
      <c r="D30" s="831">
        <f t="shared" si="22"/>
        <v>807946.296</v>
      </c>
      <c r="E30" s="831">
        <f t="shared" si="22"/>
        <v>821301.2407</v>
      </c>
      <c r="F30" s="831">
        <f t="shared" si="22"/>
        <v>834803.1692</v>
      </c>
      <c r="G30" s="831">
        <f t="shared" si="22"/>
        <v>848450.6957</v>
      </c>
      <c r="H30" s="831">
        <f t="shared" si="22"/>
        <v>862242.2616</v>
      </c>
      <c r="I30" s="831">
        <f t="shared" si="22"/>
        <v>876176.1273</v>
      </c>
      <c r="J30" s="831">
        <f t="shared" si="22"/>
        <v>890250.3636</v>
      </c>
      <c r="K30" s="831">
        <f t="shared" si="22"/>
        <v>904462.8432</v>
      </c>
      <c r="L30" s="831">
        <f t="shared" si="22"/>
        <v>918811.2314</v>
      </c>
      <c r="M30" s="831">
        <f t="shared" si="22"/>
        <v>933292.9767</v>
      </c>
      <c r="N30" s="831">
        <f t="shared" si="22"/>
        <v>947905.301</v>
      </c>
      <c r="O30" s="831">
        <f t="shared" si="22"/>
        <v>962645.1894</v>
      </c>
      <c r="P30" s="831">
        <f t="shared" si="22"/>
        <v>977509.3795</v>
      </c>
      <c r="Q30" s="828">
        <f t="shared" si="22"/>
        <v>992494.3506</v>
      </c>
      <c r="R30" s="831">
        <f t="shared" si="22"/>
        <v>1007596.313</v>
      </c>
      <c r="S30" s="831">
        <f t="shared" si="22"/>
        <v>1022811.193</v>
      </c>
      <c r="T30" s="831">
        <f t="shared" si="22"/>
        <v>1038134.628</v>
      </c>
      <c r="U30" s="831">
        <f t="shared" si="22"/>
        <v>1053561.943</v>
      </c>
      <c r="V30" s="831">
        <f t="shared" si="22"/>
        <v>1069088.148</v>
      </c>
      <c r="W30" s="831">
        <f t="shared" si="22"/>
        <v>1084707.918</v>
      </c>
      <c r="X30" s="831">
        <f t="shared" si="22"/>
        <v>1100415.581</v>
      </c>
      <c r="Y30" s="831">
        <f t="shared" si="22"/>
        <v>1116205.103</v>
      </c>
      <c r="Z30" s="831">
        <f t="shared" si="22"/>
        <v>1132070.073</v>
      </c>
      <c r="AA30" s="831">
        <f t="shared" si="22"/>
        <v>1148003.685</v>
      </c>
      <c r="AB30" s="831">
        <f t="shared" si="22"/>
        <v>1163998.728</v>
      </c>
      <c r="AC30" s="831">
        <f t="shared" si="22"/>
        <v>1180047.562</v>
      </c>
      <c r="AD30" s="831">
        <f t="shared" si="22"/>
        <v>1196142.103</v>
      </c>
      <c r="AE30" s="831">
        <f t="shared" si="22"/>
        <v>1212273.806</v>
      </c>
      <c r="AF30" s="831">
        <f t="shared" si="22"/>
        <v>1228433.647</v>
      </c>
      <c r="AG30" s="831">
        <f t="shared" si="22"/>
        <v>1244612.099</v>
      </c>
      <c r="AH30" s="831">
        <f t="shared" si="22"/>
        <v>1260799.117</v>
      </c>
      <c r="AI30" s="831">
        <f t="shared" si="22"/>
        <v>1276984.114</v>
      </c>
      <c r="AJ30" s="831">
        <f t="shared" si="22"/>
        <v>1293155.94</v>
      </c>
      <c r="AK30" s="831">
        <f t="shared" si="22"/>
        <v>1309302.861</v>
      </c>
      <c r="AL30" s="831">
        <f t="shared" si="22"/>
        <v>1325412.534</v>
      </c>
      <c r="AM30" s="831">
        <f t="shared" si="22"/>
        <v>1341471.982</v>
      </c>
      <c r="AN30" s="831">
        <f t="shared" si="22"/>
        <v>1357467.574</v>
      </c>
      <c r="AO30" s="831">
        <f t="shared" si="22"/>
        <v>1373384.993</v>
      </c>
      <c r="AP30" s="831">
        <f t="shared" si="22"/>
        <v>1389209.213</v>
      </c>
    </row>
    <row r="31" ht="12.75" customHeight="1">
      <c r="A31" s="3"/>
      <c r="B31" s="805"/>
      <c r="C31" s="657"/>
      <c r="D31" s="657"/>
      <c r="E31" s="657"/>
      <c r="F31" s="657"/>
      <c r="G31" s="657"/>
      <c r="H31" s="657"/>
      <c r="I31" s="657"/>
      <c r="J31" s="657"/>
      <c r="K31" s="657"/>
      <c r="L31" s="657"/>
      <c r="M31" s="657"/>
      <c r="N31" s="657"/>
      <c r="O31" s="657"/>
      <c r="P31" s="657"/>
      <c r="Q31" s="818"/>
      <c r="R31" s="657"/>
      <c r="S31" s="657"/>
      <c r="T31" s="657"/>
      <c r="U31" s="657"/>
      <c r="V31" s="657"/>
      <c r="W31" s="657"/>
      <c r="X31" s="657"/>
      <c r="Y31" s="657"/>
      <c r="Z31" s="657"/>
      <c r="AA31" s="657"/>
      <c r="AB31" s="657"/>
      <c r="AC31" s="657"/>
      <c r="AD31" s="657"/>
      <c r="AE31" s="657"/>
      <c r="AF31" s="657"/>
      <c r="AG31" s="657"/>
      <c r="AH31" s="657"/>
      <c r="AI31" s="657"/>
      <c r="AJ31" s="657"/>
      <c r="AK31" s="657"/>
      <c r="AL31" s="657"/>
      <c r="AM31" s="657"/>
      <c r="AN31" s="657"/>
      <c r="AO31" s="657"/>
      <c r="AP31" s="657"/>
    </row>
    <row r="32" ht="12.75" customHeight="1">
      <c r="A32" s="832" t="str">
        <f>Summary!B41</f>
        <v>Bank of America Senior Permanent Debt</v>
      </c>
      <c r="B32" s="833"/>
      <c r="C32" s="834">
        <f>'Debt &amp; Valuation'!E35</f>
        <v>475752.8748</v>
      </c>
      <c r="D32" s="834">
        <f t="shared" ref="D32:AP32" si="23">C32</f>
        <v>475752.8748</v>
      </c>
      <c r="E32" s="834">
        <f t="shared" si="23"/>
        <v>475752.8748</v>
      </c>
      <c r="F32" s="834">
        <f t="shared" si="23"/>
        <v>475752.8748</v>
      </c>
      <c r="G32" s="834">
        <f t="shared" si="23"/>
        <v>475752.8748</v>
      </c>
      <c r="H32" s="834">
        <f t="shared" si="23"/>
        <v>475752.8748</v>
      </c>
      <c r="I32" s="834">
        <f t="shared" si="23"/>
        <v>475752.8748</v>
      </c>
      <c r="J32" s="834">
        <f t="shared" si="23"/>
        <v>475752.8748</v>
      </c>
      <c r="K32" s="834">
        <f t="shared" si="23"/>
        <v>475752.8748</v>
      </c>
      <c r="L32" s="834">
        <f t="shared" si="23"/>
        <v>475752.8748</v>
      </c>
      <c r="M32" s="834">
        <f t="shared" si="23"/>
        <v>475752.8748</v>
      </c>
      <c r="N32" s="834">
        <f t="shared" si="23"/>
        <v>475752.8748</v>
      </c>
      <c r="O32" s="834">
        <f t="shared" si="23"/>
        <v>475752.8748</v>
      </c>
      <c r="P32" s="834">
        <f t="shared" si="23"/>
        <v>475752.8748</v>
      </c>
      <c r="Q32" s="835">
        <f t="shared" si="23"/>
        <v>475752.8748</v>
      </c>
      <c r="R32" s="834">
        <f t="shared" si="23"/>
        <v>475752.8748</v>
      </c>
      <c r="S32" s="834">
        <f t="shared" si="23"/>
        <v>475752.8748</v>
      </c>
      <c r="T32" s="834">
        <f t="shared" si="23"/>
        <v>475752.8748</v>
      </c>
      <c r="U32" s="834">
        <f t="shared" si="23"/>
        <v>475752.8748</v>
      </c>
      <c r="V32" s="834">
        <f t="shared" si="23"/>
        <v>475752.8748</v>
      </c>
      <c r="W32" s="834">
        <f t="shared" si="23"/>
        <v>475752.8748</v>
      </c>
      <c r="X32" s="834">
        <f t="shared" si="23"/>
        <v>475752.8748</v>
      </c>
      <c r="Y32" s="834">
        <f t="shared" si="23"/>
        <v>475752.8748</v>
      </c>
      <c r="Z32" s="834">
        <f t="shared" si="23"/>
        <v>475752.8748</v>
      </c>
      <c r="AA32" s="834">
        <f t="shared" si="23"/>
        <v>475752.8748</v>
      </c>
      <c r="AB32" s="834">
        <f t="shared" si="23"/>
        <v>475752.8748</v>
      </c>
      <c r="AC32" s="834">
        <f t="shared" si="23"/>
        <v>475752.8748</v>
      </c>
      <c r="AD32" s="834">
        <f t="shared" si="23"/>
        <v>475752.8748</v>
      </c>
      <c r="AE32" s="834">
        <f t="shared" si="23"/>
        <v>475752.8748</v>
      </c>
      <c r="AF32" s="834">
        <f t="shared" si="23"/>
        <v>475752.8748</v>
      </c>
      <c r="AG32" s="834">
        <f t="shared" si="23"/>
        <v>475752.8748</v>
      </c>
      <c r="AH32" s="834">
        <f t="shared" si="23"/>
        <v>475752.8748</v>
      </c>
      <c r="AI32" s="834">
        <f t="shared" si="23"/>
        <v>475752.8748</v>
      </c>
      <c r="AJ32" s="834">
        <f t="shared" si="23"/>
        <v>475752.8748</v>
      </c>
      <c r="AK32" s="834">
        <f t="shared" si="23"/>
        <v>475752.8748</v>
      </c>
      <c r="AL32" s="834">
        <f t="shared" si="23"/>
        <v>475752.8748</v>
      </c>
      <c r="AM32" s="834">
        <f t="shared" si="23"/>
        <v>475752.8748</v>
      </c>
      <c r="AN32" s="834">
        <f t="shared" si="23"/>
        <v>475752.8748</v>
      </c>
      <c r="AO32" s="834">
        <f t="shared" si="23"/>
        <v>475752.8748</v>
      </c>
      <c r="AP32" s="834">
        <f t="shared" si="23"/>
        <v>475752.8748</v>
      </c>
    </row>
    <row r="33" ht="12.75" customHeight="1">
      <c r="A33" s="836" t="str">
        <f>Summary!B43</f>
        <v>HPD ELLA Subsidy Program Loan</v>
      </c>
      <c r="B33" s="805"/>
      <c r="C33" s="657">
        <f t="shared" ref="C33:AP33" si="24">C49</f>
        <v>140679</v>
      </c>
      <c r="D33" s="657">
        <f t="shared" si="24"/>
        <v>145560.5613</v>
      </c>
      <c r="E33" s="657">
        <f t="shared" si="24"/>
        <v>150611.5128</v>
      </c>
      <c r="F33" s="657">
        <f t="shared" si="24"/>
        <v>155837.7323</v>
      </c>
      <c r="G33" s="657">
        <f t="shared" si="24"/>
        <v>161245.3016</v>
      </c>
      <c r="H33" s="657">
        <f t="shared" si="24"/>
        <v>166840.5135</v>
      </c>
      <c r="I33" s="657">
        <f t="shared" si="24"/>
        <v>172629.8794</v>
      </c>
      <c r="J33" s="657">
        <f t="shared" si="24"/>
        <v>178620.1362</v>
      </c>
      <c r="K33" s="657">
        <f t="shared" si="24"/>
        <v>184818.2549</v>
      </c>
      <c r="L33" s="657">
        <f t="shared" si="24"/>
        <v>191231.4483</v>
      </c>
      <c r="M33" s="657">
        <f t="shared" si="24"/>
        <v>197867.1796</v>
      </c>
      <c r="N33" s="657">
        <f t="shared" si="24"/>
        <v>204733.1707</v>
      </c>
      <c r="O33" s="657">
        <f t="shared" si="24"/>
        <v>211837.4118</v>
      </c>
      <c r="P33" s="657">
        <f t="shared" si="24"/>
        <v>219188.17</v>
      </c>
      <c r="Q33" s="818">
        <f t="shared" si="24"/>
        <v>226793.9995</v>
      </c>
      <c r="R33" s="657">
        <f t="shared" si="24"/>
        <v>234663.7512</v>
      </c>
      <c r="S33" s="657">
        <f t="shared" si="24"/>
        <v>242806.5834</v>
      </c>
      <c r="T33" s="657">
        <f t="shared" si="24"/>
        <v>251231.9718</v>
      </c>
      <c r="U33" s="657">
        <f t="shared" si="24"/>
        <v>259949.7213</v>
      </c>
      <c r="V33" s="657">
        <f t="shared" si="24"/>
        <v>268969.9766</v>
      </c>
      <c r="W33" s="657">
        <f t="shared" si="24"/>
        <v>278303.2348</v>
      </c>
      <c r="X33" s="657">
        <f t="shared" si="24"/>
        <v>287960.357</v>
      </c>
      <c r="Y33" s="657">
        <f t="shared" si="24"/>
        <v>297952.5814</v>
      </c>
      <c r="Z33" s="657">
        <f t="shared" si="24"/>
        <v>308291.536</v>
      </c>
      <c r="AA33" s="657">
        <f t="shared" si="24"/>
        <v>318989.2523</v>
      </c>
      <c r="AB33" s="657">
        <f t="shared" si="24"/>
        <v>330058.1793</v>
      </c>
      <c r="AC33" s="657">
        <f t="shared" si="24"/>
        <v>341511.1982</v>
      </c>
      <c r="AD33" s="657">
        <f t="shared" si="24"/>
        <v>353361.6367</v>
      </c>
      <c r="AE33" s="657">
        <f t="shared" si="24"/>
        <v>365623.2855</v>
      </c>
      <c r="AF33" s="657">
        <f t="shared" si="24"/>
        <v>378310.4135</v>
      </c>
      <c r="AG33" s="657">
        <f t="shared" si="24"/>
        <v>391437.7849</v>
      </c>
      <c r="AH33" s="657">
        <f t="shared" si="24"/>
        <v>405020.676</v>
      </c>
      <c r="AI33" s="657">
        <f t="shared" si="24"/>
        <v>419074.8935</v>
      </c>
      <c r="AJ33" s="657">
        <f t="shared" si="24"/>
        <v>433616.7923</v>
      </c>
      <c r="AK33" s="657">
        <f t="shared" si="24"/>
        <v>448663.295</v>
      </c>
      <c r="AL33" s="657">
        <f t="shared" si="24"/>
        <v>464231.9113</v>
      </c>
      <c r="AM33" s="657">
        <f t="shared" si="24"/>
        <v>480340.7586</v>
      </c>
      <c r="AN33" s="657">
        <f t="shared" si="24"/>
        <v>497008.583</v>
      </c>
      <c r="AO33" s="657">
        <f t="shared" si="24"/>
        <v>514254.7808</v>
      </c>
      <c r="AP33" s="657">
        <f t="shared" si="24"/>
        <v>532099.4217</v>
      </c>
    </row>
    <row r="34" ht="12.75" customHeight="1">
      <c r="A34" s="836" t="str">
        <f>Summary!B45</f>
        <v>HDC ELLA Subsidy Program Loan</v>
      </c>
      <c r="B34" s="805"/>
      <c r="C34" s="657">
        <f t="shared" ref="C34:AP34" si="25">C55</f>
        <v>74646</v>
      </c>
      <c r="D34" s="657">
        <f t="shared" si="25"/>
        <v>77236.2162</v>
      </c>
      <c r="E34" s="657">
        <f t="shared" si="25"/>
        <v>79916.3129</v>
      </c>
      <c r="F34" s="657">
        <f t="shared" si="25"/>
        <v>82689.40896</v>
      </c>
      <c r="G34" s="657">
        <f t="shared" si="25"/>
        <v>85558.73145</v>
      </c>
      <c r="H34" s="657">
        <f t="shared" si="25"/>
        <v>88527.61943</v>
      </c>
      <c r="I34" s="657">
        <f t="shared" si="25"/>
        <v>91599.52783</v>
      </c>
      <c r="J34" s="657">
        <f t="shared" si="25"/>
        <v>94778.03144</v>
      </c>
      <c r="K34" s="657">
        <f t="shared" si="25"/>
        <v>98066.82913</v>
      </c>
      <c r="L34" s="657">
        <f t="shared" si="25"/>
        <v>101469.7481</v>
      </c>
      <c r="M34" s="657">
        <f t="shared" si="25"/>
        <v>104990.7484</v>
      </c>
      <c r="N34" s="657">
        <f t="shared" si="25"/>
        <v>108633.9273</v>
      </c>
      <c r="O34" s="657">
        <f t="shared" si="25"/>
        <v>112403.5246</v>
      </c>
      <c r="P34" s="657">
        <f t="shared" si="25"/>
        <v>116303.9269</v>
      </c>
      <c r="Q34" s="818">
        <f t="shared" si="25"/>
        <v>120339.6732</v>
      </c>
      <c r="R34" s="657">
        <f t="shared" si="25"/>
        <v>124515.4598</v>
      </c>
      <c r="S34" s="657">
        <f t="shared" si="25"/>
        <v>128836.1463</v>
      </c>
      <c r="T34" s="657">
        <f t="shared" si="25"/>
        <v>133306.7606</v>
      </c>
      <c r="U34" s="657">
        <f t="shared" si="25"/>
        <v>137932.5052</v>
      </c>
      <c r="V34" s="657">
        <f t="shared" si="25"/>
        <v>142718.7631</v>
      </c>
      <c r="W34" s="657">
        <f t="shared" si="25"/>
        <v>147671.1042</v>
      </c>
      <c r="X34" s="657">
        <f t="shared" si="25"/>
        <v>152795.2915</v>
      </c>
      <c r="Y34" s="657">
        <f t="shared" si="25"/>
        <v>158097.2881</v>
      </c>
      <c r="Z34" s="657">
        <f t="shared" si="25"/>
        <v>163583.264</v>
      </c>
      <c r="AA34" s="657">
        <f t="shared" si="25"/>
        <v>169259.6033</v>
      </c>
      <c r="AB34" s="657">
        <f t="shared" si="25"/>
        <v>175132.9115</v>
      </c>
      <c r="AC34" s="657">
        <f t="shared" si="25"/>
        <v>181210.0235</v>
      </c>
      <c r="AD34" s="657">
        <f t="shared" si="25"/>
        <v>187498.0113</v>
      </c>
      <c r="AE34" s="657">
        <f t="shared" si="25"/>
        <v>194004.1923</v>
      </c>
      <c r="AF34" s="657">
        <f t="shared" si="25"/>
        <v>200736.1378</v>
      </c>
      <c r="AG34" s="657">
        <f t="shared" si="25"/>
        <v>207701.6818</v>
      </c>
      <c r="AH34" s="657">
        <f t="shared" si="25"/>
        <v>214908.9301</v>
      </c>
      <c r="AI34" s="657">
        <f t="shared" si="25"/>
        <v>222366.27</v>
      </c>
      <c r="AJ34" s="657">
        <f t="shared" si="25"/>
        <v>230082.3796</v>
      </c>
      <c r="AK34" s="657">
        <f t="shared" si="25"/>
        <v>238066.2382</v>
      </c>
      <c r="AL34" s="657">
        <f t="shared" si="25"/>
        <v>246327.1366</v>
      </c>
      <c r="AM34" s="657">
        <f t="shared" si="25"/>
        <v>254874.6883</v>
      </c>
      <c r="AN34" s="657">
        <f t="shared" si="25"/>
        <v>263718.8399</v>
      </c>
      <c r="AO34" s="657">
        <f t="shared" si="25"/>
        <v>272869.8837</v>
      </c>
      <c r="AP34" s="657">
        <f t="shared" si="25"/>
        <v>282338.4687</v>
      </c>
    </row>
    <row r="35" ht="12.75" customHeight="1">
      <c r="A35" s="825" t="s">
        <v>526</v>
      </c>
      <c r="B35" s="826"/>
      <c r="C35" s="827">
        <f t="shared" ref="C35:AP35" si="26">SUM(C32:C34)</f>
        <v>691077.8748</v>
      </c>
      <c r="D35" s="827">
        <f t="shared" si="26"/>
        <v>698549.6523</v>
      </c>
      <c r="E35" s="827">
        <f t="shared" si="26"/>
        <v>706280.7005</v>
      </c>
      <c r="F35" s="827">
        <f t="shared" si="26"/>
        <v>714280.016</v>
      </c>
      <c r="G35" s="827">
        <f t="shared" si="26"/>
        <v>722556.9078</v>
      </c>
      <c r="H35" s="827">
        <f t="shared" si="26"/>
        <v>731121.0078</v>
      </c>
      <c r="I35" s="827">
        <f t="shared" si="26"/>
        <v>739982.282</v>
      </c>
      <c r="J35" s="827">
        <f t="shared" si="26"/>
        <v>749151.0424</v>
      </c>
      <c r="K35" s="827">
        <f t="shared" si="26"/>
        <v>758637.9588</v>
      </c>
      <c r="L35" s="827">
        <f t="shared" si="26"/>
        <v>768454.0712</v>
      </c>
      <c r="M35" s="827">
        <f t="shared" si="26"/>
        <v>778610.8028</v>
      </c>
      <c r="N35" s="827">
        <f t="shared" si="26"/>
        <v>789119.9729</v>
      </c>
      <c r="O35" s="827">
        <f t="shared" si="26"/>
        <v>799993.8112</v>
      </c>
      <c r="P35" s="827">
        <f t="shared" si="26"/>
        <v>811244.9716</v>
      </c>
      <c r="Q35" s="828">
        <f t="shared" si="26"/>
        <v>822886.5474</v>
      </c>
      <c r="R35" s="827">
        <f t="shared" si="26"/>
        <v>834932.0859</v>
      </c>
      <c r="S35" s="827">
        <f t="shared" si="26"/>
        <v>847395.6045</v>
      </c>
      <c r="T35" s="827">
        <f t="shared" si="26"/>
        <v>860291.6072</v>
      </c>
      <c r="U35" s="827">
        <f t="shared" si="26"/>
        <v>873635.1012</v>
      </c>
      <c r="V35" s="827">
        <f t="shared" si="26"/>
        <v>887441.6145</v>
      </c>
      <c r="W35" s="827">
        <f t="shared" si="26"/>
        <v>901727.2137</v>
      </c>
      <c r="X35" s="827">
        <f t="shared" si="26"/>
        <v>916508.5233</v>
      </c>
      <c r="Y35" s="827">
        <f t="shared" si="26"/>
        <v>931802.7443</v>
      </c>
      <c r="Z35" s="827">
        <f t="shared" si="26"/>
        <v>947627.6748</v>
      </c>
      <c r="AA35" s="827">
        <f t="shared" si="26"/>
        <v>964001.7303</v>
      </c>
      <c r="AB35" s="827">
        <f t="shared" si="26"/>
        <v>980943.9656</v>
      </c>
      <c r="AC35" s="827">
        <f t="shared" si="26"/>
        <v>998474.0965</v>
      </c>
      <c r="AD35" s="827">
        <f t="shared" si="26"/>
        <v>1016612.523</v>
      </c>
      <c r="AE35" s="827">
        <f t="shared" si="26"/>
        <v>1035380.353</v>
      </c>
      <c r="AF35" s="827">
        <f t="shared" si="26"/>
        <v>1054799.426</v>
      </c>
      <c r="AG35" s="827">
        <f t="shared" si="26"/>
        <v>1074892.341</v>
      </c>
      <c r="AH35" s="827">
        <f t="shared" si="26"/>
        <v>1095682.481</v>
      </c>
      <c r="AI35" s="827">
        <f t="shared" si="26"/>
        <v>1117194.038</v>
      </c>
      <c r="AJ35" s="827">
        <f t="shared" si="26"/>
        <v>1139452.047</v>
      </c>
      <c r="AK35" s="827">
        <f t="shared" si="26"/>
        <v>1162482.408</v>
      </c>
      <c r="AL35" s="827">
        <f t="shared" si="26"/>
        <v>1186311.923</v>
      </c>
      <c r="AM35" s="827">
        <f t="shared" si="26"/>
        <v>1210968.322</v>
      </c>
      <c r="AN35" s="827">
        <f t="shared" si="26"/>
        <v>1236480.298</v>
      </c>
      <c r="AO35" s="827">
        <f t="shared" si="26"/>
        <v>1262877.539</v>
      </c>
      <c r="AP35" s="827">
        <f t="shared" si="26"/>
        <v>1290190.765</v>
      </c>
    </row>
    <row r="36" ht="12.75" customHeight="1">
      <c r="A36" s="3"/>
      <c r="B36" s="805"/>
      <c r="C36" s="657"/>
      <c r="D36" s="657"/>
      <c r="E36" s="657"/>
      <c r="F36" s="657"/>
      <c r="G36" s="657"/>
      <c r="H36" s="657"/>
      <c r="I36" s="657"/>
      <c r="J36" s="657"/>
      <c r="K36" s="657"/>
      <c r="L36" s="657"/>
      <c r="M36" s="657"/>
      <c r="N36" s="657"/>
      <c r="O36" s="657"/>
      <c r="P36" s="657"/>
      <c r="Q36" s="818"/>
      <c r="R36" s="657"/>
      <c r="S36" s="657"/>
      <c r="T36" s="657"/>
      <c r="U36" s="657"/>
      <c r="V36" s="657"/>
      <c r="W36" s="657"/>
      <c r="X36" s="657"/>
      <c r="Y36" s="657"/>
      <c r="Z36" s="657"/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</row>
    <row r="37" ht="12.75" customHeight="1">
      <c r="A37" s="837" t="s">
        <v>527</v>
      </c>
      <c r="B37" s="838"/>
      <c r="C37" s="839">
        <f t="shared" ref="C37:AP37" si="27">C30-C35</f>
        <v>103661.6812</v>
      </c>
      <c r="D37" s="839">
        <f t="shared" si="27"/>
        <v>109396.6437</v>
      </c>
      <c r="E37" s="839">
        <f t="shared" si="27"/>
        <v>115020.5402</v>
      </c>
      <c r="F37" s="839">
        <f t="shared" si="27"/>
        <v>120523.1532</v>
      </c>
      <c r="G37" s="839">
        <f t="shared" si="27"/>
        <v>125893.7879</v>
      </c>
      <c r="H37" s="839">
        <f t="shared" si="27"/>
        <v>131121.2539</v>
      </c>
      <c r="I37" s="839">
        <f t="shared" si="27"/>
        <v>136193.8453</v>
      </c>
      <c r="J37" s="839">
        <f t="shared" si="27"/>
        <v>141099.3212</v>
      </c>
      <c r="K37" s="839">
        <f t="shared" si="27"/>
        <v>145824.8844</v>
      </c>
      <c r="L37" s="839">
        <f t="shared" si="27"/>
        <v>150357.1602</v>
      </c>
      <c r="M37" s="839">
        <f t="shared" si="27"/>
        <v>154682.174</v>
      </c>
      <c r="N37" s="839">
        <f t="shared" si="27"/>
        <v>158785.3282</v>
      </c>
      <c r="O37" s="839">
        <f t="shared" si="27"/>
        <v>162651.3782</v>
      </c>
      <c r="P37" s="839">
        <f t="shared" si="27"/>
        <v>166264.4078</v>
      </c>
      <c r="Q37" s="828">
        <f t="shared" si="27"/>
        <v>169607.8032</v>
      </c>
      <c r="R37" s="839">
        <f t="shared" si="27"/>
        <v>172664.2267</v>
      </c>
      <c r="S37" s="839">
        <f t="shared" si="27"/>
        <v>175415.5889</v>
      </c>
      <c r="T37" s="839">
        <f t="shared" si="27"/>
        <v>177843.0203</v>
      </c>
      <c r="U37" s="839">
        <f t="shared" si="27"/>
        <v>179926.8418</v>
      </c>
      <c r="V37" s="839">
        <f t="shared" si="27"/>
        <v>181646.5337</v>
      </c>
      <c r="W37" s="839">
        <f t="shared" si="27"/>
        <v>182980.7046</v>
      </c>
      <c r="X37" s="839">
        <f t="shared" si="27"/>
        <v>183907.058</v>
      </c>
      <c r="Y37" s="839">
        <f t="shared" si="27"/>
        <v>184402.3589</v>
      </c>
      <c r="Z37" s="839">
        <f t="shared" si="27"/>
        <v>184442.3978</v>
      </c>
      <c r="AA37" s="839">
        <f t="shared" si="27"/>
        <v>184001.9551</v>
      </c>
      <c r="AB37" s="839">
        <f t="shared" si="27"/>
        <v>183054.7627</v>
      </c>
      <c r="AC37" s="839">
        <f t="shared" si="27"/>
        <v>181573.4653</v>
      </c>
      <c r="AD37" s="839">
        <f t="shared" si="27"/>
        <v>179529.5798</v>
      </c>
      <c r="AE37" s="839">
        <f t="shared" si="27"/>
        <v>176893.4535</v>
      </c>
      <c r="AF37" s="839">
        <f t="shared" si="27"/>
        <v>173634.2206</v>
      </c>
      <c r="AG37" s="839">
        <f t="shared" si="27"/>
        <v>169719.7574</v>
      </c>
      <c r="AH37" s="839">
        <f t="shared" si="27"/>
        <v>165116.6359</v>
      </c>
      <c r="AI37" s="839">
        <f t="shared" si="27"/>
        <v>159790.0756</v>
      </c>
      <c r="AJ37" s="839">
        <f t="shared" si="27"/>
        <v>153703.8936</v>
      </c>
      <c r="AK37" s="839">
        <f t="shared" si="27"/>
        <v>146820.4533</v>
      </c>
      <c r="AL37" s="839">
        <f t="shared" si="27"/>
        <v>139100.611</v>
      </c>
      <c r="AM37" s="839">
        <f t="shared" si="27"/>
        <v>130503.6605</v>
      </c>
      <c r="AN37" s="839">
        <f t="shared" si="27"/>
        <v>120987.2761</v>
      </c>
      <c r="AO37" s="839">
        <f t="shared" si="27"/>
        <v>110507.4534</v>
      </c>
      <c r="AP37" s="839">
        <f t="shared" si="27"/>
        <v>99018.44815</v>
      </c>
    </row>
    <row r="38" ht="12.75" customHeight="1">
      <c r="A38" s="805" t="s">
        <v>528</v>
      </c>
      <c r="B38" s="805"/>
      <c r="C38" s="840">
        <f t="shared" ref="C38:AP38" si="28">C30/C35</f>
        <v>1.15</v>
      </c>
      <c r="D38" s="840">
        <f t="shared" si="28"/>
        <v>1.156605394</v>
      </c>
      <c r="E38" s="840">
        <f t="shared" si="28"/>
        <v>1.162853863</v>
      </c>
      <c r="F38" s="840">
        <f t="shared" si="28"/>
        <v>1.168733761</v>
      </c>
      <c r="G38" s="840">
        <f t="shared" si="28"/>
        <v>1.174233734</v>
      </c>
      <c r="H38" s="840">
        <f t="shared" si="28"/>
        <v>1.179342752</v>
      </c>
      <c r="I38" s="840">
        <f t="shared" si="28"/>
        <v>1.184050144</v>
      </c>
      <c r="J38" s="840">
        <f t="shared" si="28"/>
        <v>1.188345625</v>
      </c>
      <c r="K38" s="840">
        <f t="shared" si="28"/>
        <v>1.192219336</v>
      </c>
      <c r="L38" s="840">
        <f t="shared" si="28"/>
        <v>1.195661869</v>
      </c>
      <c r="M38" s="840">
        <f t="shared" si="28"/>
        <v>1.198664305</v>
      </c>
      <c r="N38" s="840">
        <f t="shared" si="28"/>
        <v>1.201218235</v>
      </c>
      <c r="O38" s="840">
        <f t="shared" si="28"/>
        <v>1.203315796</v>
      </c>
      <c r="P38" s="840">
        <f t="shared" si="28"/>
        <v>1.204949693</v>
      </c>
      <c r="Q38" s="841">
        <f t="shared" si="28"/>
        <v>1.206113229</v>
      </c>
      <c r="R38" s="840">
        <f t="shared" si="28"/>
        <v>1.206800325</v>
      </c>
      <c r="S38" s="840">
        <f t="shared" si="28"/>
        <v>1.207005545</v>
      </c>
      <c r="T38" s="840">
        <f t="shared" si="28"/>
        <v>1.206724114</v>
      </c>
      <c r="U38" s="840">
        <f t="shared" si="28"/>
        <v>1.205951937</v>
      </c>
      <c r="V38" s="840">
        <f t="shared" si="28"/>
        <v>1.204685616</v>
      </c>
      <c r="W38" s="840">
        <f t="shared" si="28"/>
        <v>1.20292246</v>
      </c>
      <c r="X38" s="840">
        <f t="shared" si="28"/>
        <v>1.200660499</v>
      </c>
      <c r="Y38" s="840">
        <f t="shared" si="28"/>
        <v>1.197898493</v>
      </c>
      <c r="Z38" s="840">
        <f t="shared" si="28"/>
        <v>1.194635934</v>
      </c>
      <c r="AA38" s="840">
        <f t="shared" si="28"/>
        <v>1.190873055</v>
      </c>
      <c r="AB38" s="840">
        <f t="shared" si="28"/>
        <v>1.186610825</v>
      </c>
      <c r="AC38" s="840">
        <f t="shared" si="28"/>
        <v>1.181850952</v>
      </c>
      <c r="AD38" s="840">
        <f t="shared" si="28"/>
        <v>1.176595877</v>
      </c>
      <c r="AE38" s="840">
        <f t="shared" si="28"/>
        <v>1.170848764</v>
      </c>
      <c r="AF38" s="840">
        <f t="shared" si="28"/>
        <v>1.164613496</v>
      </c>
      <c r="AG38" s="840">
        <f t="shared" si="28"/>
        <v>1.157894657</v>
      </c>
      <c r="AH38" s="840">
        <f t="shared" si="28"/>
        <v>1.150697523</v>
      </c>
      <c r="AI38" s="840">
        <f t="shared" si="28"/>
        <v>1.143028042</v>
      </c>
      <c r="AJ38" s="840">
        <f t="shared" si="28"/>
        <v>1.134892815</v>
      </c>
      <c r="AK38" s="840">
        <f t="shared" si="28"/>
        <v>1.126299075</v>
      </c>
      <c r="AL38" s="840">
        <f t="shared" si="28"/>
        <v>1.117254668</v>
      </c>
      <c r="AM38" s="840">
        <f t="shared" si="28"/>
        <v>1.107768022</v>
      </c>
      <c r="AN38" s="840">
        <f t="shared" si="28"/>
        <v>1.097848123</v>
      </c>
      <c r="AO38" s="840">
        <f t="shared" si="28"/>
        <v>1.087504489</v>
      </c>
      <c r="AP38" s="840">
        <f t="shared" si="28"/>
        <v>1.076747138</v>
      </c>
    </row>
    <row r="39" ht="12.75" customHeight="1">
      <c r="A39" s="842" t="s">
        <v>277</v>
      </c>
      <c r="B39" s="805"/>
      <c r="C39" s="843">
        <f t="shared" ref="C39:AP39" si="29">C25/C11</f>
        <v>0.483891683</v>
      </c>
      <c r="D39" s="843">
        <f t="shared" si="29"/>
        <v>0.487000913</v>
      </c>
      <c r="E39" s="843">
        <f t="shared" si="29"/>
        <v>0.490132949</v>
      </c>
      <c r="F39" s="843">
        <f t="shared" si="29"/>
        <v>0.4932879584</v>
      </c>
      <c r="G39" s="843">
        <f t="shared" si="29"/>
        <v>0.4964661097</v>
      </c>
      <c r="H39" s="843">
        <f t="shared" si="29"/>
        <v>0.4996675726</v>
      </c>
      <c r="I39" s="843">
        <f t="shared" si="29"/>
        <v>0.5028925181</v>
      </c>
      <c r="J39" s="843">
        <f t="shared" si="29"/>
        <v>0.5061411185</v>
      </c>
      <c r="K39" s="843">
        <f t="shared" si="29"/>
        <v>0.5094135472</v>
      </c>
      <c r="L39" s="843">
        <f t="shared" si="29"/>
        <v>0.5127099791</v>
      </c>
      <c r="M39" s="843">
        <f t="shared" si="29"/>
        <v>0.5160305902</v>
      </c>
      <c r="N39" s="843">
        <f t="shared" si="29"/>
        <v>0.5193755579</v>
      </c>
      <c r="O39" s="843">
        <f t="shared" si="29"/>
        <v>0.5227450607</v>
      </c>
      <c r="P39" s="843">
        <f t="shared" si="29"/>
        <v>0.5261392788</v>
      </c>
      <c r="Q39" s="844">
        <f t="shared" si="29"/>
        <v>0.5295583933</v>
      </c>
      <c r="R39" s="843">
        <f t="shared" si="29"/>
        <v>0.5330025869</v>
      </c>
      <c r="S39" s="843">
        <f t="shared" si="29"/>
        <v>0.5364720435</v>
      </c>
      <c r="T39" s="843">
        <f t="shared" si="29"/>
        <v>0.5399669485</v>
      </c>
      <c r="U39" s="843">
        <f t="shared" si="29"/>
        <v>0.5434874885</v>
      </c>
      <c r="V39" s="843">
        <f t="shared" si="29"/>
        <v>0.5470338515</v>
      </c>
      <c r="W39" s="843">
        <f t="shared" si="29"/>
        <v>0.5506062269</v>
      </c>
      <c r="X39" s="843">
        <f t="shared" si="29"/>
        <v>0.5542048056</v>
      </c>
      <c r="Y39" s="843">
        <f t="shared" si="29"/>
        <v>0.5578297797</v>
      </c>
      <c r="Z39" s="843">
        <f t="shared" si="29"/>
        <v>0.5614813429</v>
      </c>
      <c r="AA39" s="843">
        <f t="shared" si="29"/>
        <v>0.5651596901</v>
      </c>
      <c r="AB39" s="843">
        <f t="shared" si="29"/>
        <v>0.5688650179</v>
      </c>
      <c r="AC39" s="843">
        <f t="shared" si="29"/>
        <v>0.5725975242</v>
      </c>
      <c r="AD39" s="843">
        <f t="shared" si="29"/>
        <v>0.5763574082</v>
      </c>
      <c r="AE39" s="843">
        <f t="shared" si="29"/>
        <v>0.5801448709</v>
      </c>
      <c r="AF39" s="843">
        <f t="shared" si="29"/>
        <v>0.5839601144</v>
      </c>
      <c r="AG39" s="843">
        <f t="shared" si="29"/>
        <v>0.5878033426</v>
      </c>
      <c r="AH39" s="843">
        <f t="shared" si="29"/>
        <v>0.5916747608</v>
      </c>
      <c r="AI39" s="843">
        <f t="shared" si="29"/>
        <v>0.5955745757</v>
      </c>
      <c r="AJ39" s="843">
        <f t="shared" si="29"/>
        <v>0.5995029956</v>
      </c>
      <c r="AK39" s="843">
        <f t="shared" si="29"/>
        <v>0.6034602302</v>
      </c>
      <c r="AL39" s="843">
        <f t="shared" si="29"/>
        <v>0.6074464911</v>
      </c>
      <c r="AM39" s="843">
        <f t="shared" si="29"/>
        <v>0.611461991</v>
      </c>
      <c r="AN39" s="843">
        <f t="shared" si="29"/>
        <v>0.6155069445</v>
      </c>
      <c r="AO39" s="843">
        <f t="shared" si="29"/>
        <v>0.6195815676</v>
      </c>
      <c r="AP39" s="843">
        <f t="shared" si="29"/>
        <v>0.6236860779</v>
      </c>
    </row>
    <row r="40" ht="12.75" hidden="1" customHeight="1">
      <c r="A40" s="3"/>
      <c r="B40" s="805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816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 ht="12.75" hidden="1" customHeight="1">
      <c r="A41" s="3"/>
      <c r="B41" s="3"/>
      <c r="C41" s="705"/>
      <c r="D41" s="705"/>
      <c r="E41" s="705"/>
      <c r="F41" s="705"/>
      <c r="G41" s="705"/>
      <c r="H41" s="705"/>
      <c r="I41" s="705"/>
      <c r="J41" s="705"/>
      <c r="K41" s="705"/>
      <c r="L41" s="705"/>
      <c r="M41" s="705"/>
      <c r="N41" s="705"/>
      <c r="O41" s="705"/>
      <c r="P41" s="705"/>
      <c r="Q41" s="809"/>
      <c r="R41" s="705"/>
      <c r="S41" s="705"/>
      <c r="T41" s="705"/>
      <c r="U41" s="705"/>
      <c r="V41" s="705"/>
      <c r="W41" s="705"/>
      <c r="X41" s="705"/>
      <c r="Y41" s="705"/>
      <c r="Z41" s="705"/>
      <c r="AA41" s="705"/>
      <c r="AB41" s="705"/>
      <c r="AC41" s="705"/>
      <c r="AD41" s="705"/>
      <c r="AE41" s="705"/>
      <c r="AF41" s="705"/>
      <c r="AG41" s="705"/>
      <c r="AH41" s="705"/>
      <c r="AI41" s="705"/>
      <c r="AJ41" s="705"/>
      <c r="AK41" s="705"/>
      <c r="AL41" s="705"/>
      <c r="AM41" s="705"/>
      <c r="AN41" s="705"/>
      <c r="AO41" s="705"/>
      <c r="AP41" s="705"/>
    </row>
    <row r="42" ht="12.75" hidden="1" customHeight="1">
      <c r="A42" s="3" t="s">
        <v>529</v>
      </c>
      <c r="B42" s="3"/>
      <c r="C42" s="705">
        <v>430000.0</v>
      </c>
      <c r="D42" s="705">
        <v>430001.0</v>
      </c>
      <c r="E42" s="705">
        <v>430002.0</v>
      </c>
      <c r="F42" s="705">
        <v>430003.0</v>
      </c>
      <c r="G42" s="705">
        <v>430004.0</v>
      </c>
      <c r="H42" s="705">
        <v>430005.0</v>
      </c>
      <c r="I42" s="705">
        <v>430006.0</v>
      </c>
      <c r="J42" s="705">
        <v>430007.0</v>
      </c>
      <c r="K42" s="705">
        <v>430008.0</v>
      </c>
      <c r="L42" s="705">
        <v>430009.0</v>
      </c>
      <c r="M42" s="705">
        <v>430010.0</v>
      </c>
      <c r="N42" s="705">
        <v>430011.0</v>
      </c>
      <c r="O42" s="705">
        <v>430012.0</v>
      </c>
      <c r="P42" s="705">
        <v>430013.0</v>
      </c>
      <c r="Q42" s="809">
        <v>430014.0</v>
      </c>
      <c r="R42" s="705">
        <v>430015.0</v>
      </c>
      <c r="S42" s="705">
        <v>430016.0</v>
      </c>
      <c r="T42" s="705"/>
      <c r="U42" s="705"/>
      <c r="V42" s="705"/>
      <c r="W42" s="705"/>
      <c r="X42" s="705"/>
      <c r="Y42" s="705"/>
      <c r="Z42" s="705"/>
      <c r="AA42" s="705"/>
      <c r="AB42" s="705"/>
      <c r="AC42" s="705"/>
      <c r="AD42" s="705"/>
      <c r="AE42" s="705"/>
      <c r="AF42" s="705"/>
      <c r="AG42" s="705"/>
      <c r="AH42" s="705"/>
      <c r="AI42" s="705"/>
      <c r="AJ42" s="705"/>
      <c r="AK42" s="705"/>
      <c r="AL42" s="705"/>
      <c r="AM42" s="705"/>
      <c r="AN42" s="705"/>
      <c r="AO42" s="705"/>
      <c r="AP42" s="705"/>
    </row>
    <row r="43" ht="12.75" hidden="1" customHeight="1">
      <c r="A43" s="3" t="s">
        <v>530</v>
      </c>
      <c r="B43" s="845">
        <v>0.0375</v>
      </c>
      <c r="C43" s="705">
        <f t="shared" ref="C43:S43" si="30">+C42*$B$43</f>
        <v>16125</v>
      </c>
      <c r="D43" s="705">
        <f t="shared" si="30"/>
        <v>16125.0375</v>
      </c>
      <c r="E43" s="705">
        <f t="shared" si="30"/>
        <v>16125.075</v>
      </c>
      <c r="F43" s="705">
        <f t="shared" si="30"/>
        <v>16125.1125</v>
      </c>
      <c r="G43" s="705">
        <f t="shared" si="30"/>
        <v>16125.15</v>
      </c>
      <c r="H43" s="705">
        <f t="shared" si="30"/>
        <v>16125.1875</v>
      </c>
      <c r="I43" s="705">
        <f t="shared" si="30"/>
        <v>16125.225</v>
      </c>
      <c r="J43" s="705">
        <f t="shared" si="30"/>
        <v>16125.2625</v>
      </c>
      <c r="K43" s="705">
        <f t="shared" si="30"/>
        <v>16125.3</v>
      </c>
      <c r="L43" s="705">
        <f t="shared" si="30"/>
        <v>16125.3375</v>
      </c>
      <c r="M43" s="705">
        <f t="shared" si="30"/>
        <v>16125.375</v>
      </c>
      <c r="N43" s="705">
        <f t="shared" si="30"/>
        <v>16125.4125</v>
      </c>
      <c r="O43" s="705">
        <f t="shared" si="30"/>
        <v>16125.45</v>
      </c>
      <c r="P43" s="705">
        <f t="shared" si="30"/>
        <v>16125.4875</v>
      </c>
      <c r="Q43" s="809">
        <f t="shared" si="30"/>
        <v>16125.525</v>
      </c>
      <c r="R43" s="705">
        <f t="shared" si="30"/>
        <v>16125.5625</v>
      </c>
      <c r="S43" s="705">
        <f t="shared" si="30"/>
        <v>16125.6</v>
      </c>
      <c r="T43" s="705"/>
      <c r="U43" s="705"/>
      <c r="V43" s="705"/>
      <c r="W43" s="705"/>
      <c r="X43" s="705"/>
      <c r="Y43" s="705"/>
      <c r="Z43" s="705"/>
      <c r="AA43" s="705"/>
      <c r="AB43" s="705"/>
      <c r="AC43" s="705"/>
      <c r="AD43" s="705"/>
      <c r="AE43" s="705"/>
      <c r="AF43" s="705"/>
      <c r="AG43" s="705"/>
      <c r="AH43" s="705"/>
      <c r="AI43" s="705"/>
      <c r="AJ43" s="705"/>
      <c r="AK43" s="705"/>
      <c r="AL43" s="705"/>
      <c r="AM43" s="705"/>
      <c r="AN43" s="705"/>
      <c r="AO43" s="705"/>
      <c r="AP43" s="705"/>
    </row>
    <row r="44" ht="12.75" hidden="1" customHeight="1">
      <c r="A44" s="3"/>
      <c r="B44" s="3"/>
      <c r="C44" s="705">
        <f t="shared" ref="C44:S44" si="31">SUM(C42:C43)</f>
        <v>446125</v>
      </c>
      <c r="D44" s="705">
        <f t="shared" si="31"/>
        <v>446126.0375</v>
      </c>
      <c r="E44" s="705">
        <f t="shared" si="31"/>
        <v>446127.075</v>
      </c>
      <c r="F44" s="705">
        <f t="shared" si="31"/>
        <v>446128.1125</v>
      </c>
      <c r="G44" s="705">
        <f t="shared" si="31"/>
        <v>446129.15</v>
      </c>
      <c r="H44" s="705">
        <f t="shared" si="31"/>
        <v>446130.1875</v>
      </c>
      <c r="I44" s="705">
        <f t="shared" si="31"/>
        <v>446131.225</v>
      </c>
      <c r="J44" s="705">
        <f t="shared" si="31"/>
        <v>446132.2625</v>
      </c>
      <c r="K44" s="705">
        <f t="shared" si="31"/>
        <v>446133.3</v>
      </c>
      <c r="L44" s="705">
        <f t="shared" si="31"/>
        <v>446134.3375</v>
      </c>
      <c r="M44" s="705">
        <f t="shared" si="31"/>
        <v>446135.375</v>
      </c>
      <c r="N44" s="705">
        <f t="shared" si="31"/>
        <v>446136.4125</v>
      </c>
      <c r="O44" s="705">
        <f t="shared" si="31"/>
        <v>446137.45</v>
      </c>
      <c r="P44" s="705">
        <f t="shared" si="31"/>
        <v>446138.4875</v>
      </c>
      <c r="Q44" s="809">
        <f t="shared" si="31"/>
        <v>446139.525</v>
      </c>
      <c r="R44" s="705">
        <f t="shared" si="31"/>
        <v>446140.5625</v>
      </c>
      <c r="S44" s="705">
        <f t="shared" si="31"/>
        <v>446141.6</v>
      </c>
      <c r="T44" s="705"/>
      <c r="U44" s="705"/>
      <c r="V44" s="705"/>
      <c r="W44" s="705"/>
      <c r="X44" s="705"/>
      <c r="Y44" s="705"/>
      <c r="Z44" s="705"/>
      <c r="AA44" s="705"/>
      <c r="AB44" s="705"/>
      <c r="AC44" s="705"/>
      <c r="AD44" s="705"/>
      <c r="AE44" s="705"/>
      <c r="AF44" s="705"/>
      <c r="AG44" s="705"/>
      <c r="AH44" s="705"/>
      <c r="AI44" s="705"/>
      <c r="AJ44" s="705"/>
      <c r="AK44" s="705"/>
      <c r="AL44" s="705"/>
      <c r="AM44" s="705"/>
      <c r="AN44" s="705"/>
      <c r="AO44" s="705"/>
      <c r="AP44" s="705"/>
    </row>
    <row r="45" ht="12.75" customHeight="1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846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ht="12.75" customHeight="1">
      <c r="A46" s="847" t="str">
        <f>A33</f>
        <v>HPD ELLA Subsidy Program Loan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816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</row>
    <row r="47" ht="12.75" customHeight="1">
      <c r="A47" s="17" t="s">
        <v>531</v>
      </c>
      <c r="B47" s="448"/>
      <c r="C47" s="705">
        <f>'Debt &amp; Valuation'!G24</f>
        <v>14067900</v>
      </c>
      <c r="D47" s="705">
        <f t="shared" ref="D47:AP47" si="32">C50</f>
        <v>14556056.13</v>
      </c>
      <c r="E47" s="705">
        <f t="shared" si="32"/>
        <v>15061151.28</v>
      </c>
      <c r="F47" s="705">
        <f t="shared" si="32"/>
        <v>15583773.23</v>
      </c>
      <c r="G47" s="705">
        <f t="shared" si="32"/>
        <v>16124530.16</v>
      </c>
      <c r="H47" s="705">
        <f t="shared" si="32"/>
        <v>16684051.35</v>
      </c>
      <c r="I47" s="705">
        <f t="shared" si="32"/>
        <v>17262987.94</v>
      </c>
      <c r="J47" s="705">
        <f t="shared" si="32"/>
        <v>17862013.62</v>
      </c>
      <c r="K47" s="705">
        <f t="shared" si="32"/>
        <v>18481825.49</v>
      </c>
      <c r="L47" s="705">
        <f t="shared" si="32"/>
        <v>19123144.83</v>
      </c>
      <c r="M47" s="705">
        <f t="shared" si="32"/>
        <v>19786717.96</v>
      </c>
      <c r="N47" s="705">
        <f t="shared" si="32"/>
        <v>20473317.07</v>
      </c>
      <c r="O47" s="705">
        <f t="shared" si="32"/>
        <v>21183741.18</v>
      </c>
      <c r="P47" s="705">
        <f t="shared" si="32"/>
        <v>21918817</v>
      </c>
      <c r="Q47" s="809">
        <f t="shared" si="32"/>
        <v>22679399.95</v>
      </c>
      <c r="R47" s="705">
        <f t="shared" si="32"/>
        <v>23466375.12</v>
      </c>
      <c r="S47" s="705">
        <f t="shared" si="32"/>
        <v>24280658.34</v>
      </c>
      <c r="T47" s="705">
        <f t="shared" si="32"/>
        <v>25123197.18</v>
      </c>
      <c r="U47" s="705">
        <f t="shared" si="32"/>
        <v>25994972.13</v>
      </c>
      <c r="V47" s="705">
        <f t="shared" si="32"/>
        <v>26896997.66</v>
      </c>
      <c r="W47" s="705">
        <f t="shared" si="32"/>
        <v>27830323.48</v>
      </c>
      <c r="X47" s="705">
        <f t="shared" si="32"/>
        <v>28796035.7</v>
      </c>
      <c r="Y47" s="705">
        <f t="shared" si="32"/>
        <v>29795258.14</v>
      </c>
      <c r="Z47" s="705">
        <f t="shared" si="32"/>
        <v>30829153.6</v>
      </c>
      <c r="AA47" s="705">
        <f t="shared" si="32"/>
        <v>31898925.23</v>
      </c>
      <c r="AB47" s="705">
        <f t="shared" si="32"/>
        <v>33005817.93</v>
      </c>
      <c r="AC47" s="705">
        <f t="shared" si="32"/>
        <v>34151119.82</v>
      </c>
      <c r="AD47" s="705">
        <f t="shared" si="32"/>
        <v>35336163.67</v>
      </c>
      <c r="AE47" s="705">
        <f t="shared" si="32"/>
        <v>36562328.55</v>
      </c>
      <c r="AF47" s="705">
        <f t="shared" si="32"/>
        <v>37831041.35</v>
      </c>
      <c r="AG47" s="705">
        <f t="shared" si="32"/>
        <v>39143778.49</v>
      </c>
      <c r="AH47" s="705">
        <f t="shared" si="32"/>
        <v>40502067.6</v>
      </c>
      <c r="AI47" s="705">
        <f t="shared" si="32"/>
        <v>41907489.35</v>
      </c>
      <c r="AJ47" s="705">
        <f t="shared" si="32"/>
        <v>43361679.23</v>
      </c>
      <c r="AK47" s="705">
        <f t="shared" si="32"/>
        <v>44866329.5</v>
      </c>
      <c r="AL47" s="705">
        <f t="shared" si="32"/>
        <v>46423191.13</v>
      </c>
      <c r="AM47" s="705">
        <f t="shared" si="32"/>
        <v>48034075.86</v>
      </c>
      <c r="AN47" s="705">
        <f t="shared" si="32"/>
        <v>49700858.3</v>
      </c>
      <c r="AO47" s="705">
        <f t="shared" si="32"/>
        <v>51425478.08</v>
      </c>
      <c r="AP47" s="705">
        <f t="shared" si="32"/>
        <v>53209942.17</v>
      </c>
    </row>
    <row r="48" ht="12.75" customHeight="1">
      <c r="A48" s="17" t="s">
        <v>532</v>
      </c>
      <c r="B48" s="448"/>
      <c r="C48" s="705">
        <f>C47*'Debt &amp; Valuation'!$G$26</f>
        <v>628835.13</v>
      </c>
      <c r="D48" s="705">
        <f>D47*'Debt &amp; Valuation'!$G$26</f>
        <v>650655.709</v>
      </c>
      <c r="E48" s="705">
        <f>E47*'Debt &amp; Valuation'!$G$26</f>
        <v>673233.4621</v>
      </c>
      <c r="F48" s="705">
        <f>F47*'Debt &amp; Valuation'!$G$26</f>
        <v>696594.6632</v>
      </c>
      <c r="G48" s="705">
        <f>G47*'Debt &amp; Valuation'!$G$26</f>
        <v>720766.4981</v>
      </c>
      <c r="H48" s="705">
        <f>H47*'Debt &amp; Valuation'!$G$26</f>
        <v>745777.0955</v>
      </c>
      <c r="I48" s="705">
        <f>I47*'Debt &amp; Valuation'!$G$26</f>
        <v>771655.5608</v>
      </c>
      <c r="J48" s="705">
        <f>J47*'Debt &amp; Valuation'!$G$26</f>
        <v>798432.0087</v>
      </c>
      <c r="K48" s="705">
        <f>K47*'Debt &amp; Valuation'!$G$26</f>
        <v>826137.5994</v>
      </c>
      <c r="L48" s="705">
        <f>L47*'Debt &amp; Valuation'!$G$26</f>
        <v>854804.5741</v>
      </c>
      <c r="M48" s="705">
        <f>M47*'Debt &amp; Valuation'!$G$26</f>
        <v>884466.2928</v>
      </c>
      <c r="N48" s="705">
        <f>N47*'Debt &amp; Valuation'!$G$26</f>
        <v>915157.2732</v>
      </c>
      <c r="O48" s="705">
        <f>O47*'Debt &amp; Valuation'!$G$26</f>
        <v>946913.2306</v>
      </c>
      <c r="P48" s="705">
        <f>P47*'Debt &amp; Valuation'!$G$26</f>
        <v>979771.1197</v>
      </c>
      <c r="Q48" s="809">
        <f>Q47*'Debt &amp; Valuation'!$G$26</f>
        <v>1013769.178</v>
      </c>
      <c r="R48" s="705">
        <f>R47*'Debt &amp; Valuation'!$G$26</f>
        <v>1048946.968</v>
      </c>
      <c r="S48" s="705">
        <f>S47*'Debt &amp; Valuation'!$G$26</f>
        <v>1085345.428</v>
      </c>
      <c r="T48" s="705">
        <f>T47*'Debt &amp; Valuation'!$G$26</f>
        <v>1123006.914</v>
      </c>
      <c r="U48" s="705">
        <f>U47*'Debt &amp; Valuation'!$G$26</f>
        <v>1161975.254</v>
      </c>
      <c r="V48" s="705">
        <f>V47*'Debt &amp; Valuation'!$G$26</f>
        <v>1202295.795</v>
      </c>
      <c r="W48" s="705">
        <f>W47*'Debt &amp; Valuation'!$G$26</f>
        <v>1244015.459</v>
      </c>
      <c r="X48" s="705">
        <f>X47*'Debt &amp; Valuation'!$G$26</f>
        <v>1287182.796</v>
      </c>
      <c r="Y48" s="705">
        <f>Y47*'Debt &amp; Valuation'!$G$26</f>
        <v>1331848.039</v>
      </c>
      <c r="Z48" s="705">
        <f>Z47*'Debt &amp; Valuation'!$G$26</f>
        <v>1378063.166</v>
      </c>
      <c r="AA48" s="705">
        <f>AA47*'Debt &amp; Valuation'!$G$26</f>
        <v>1425881.958</v>
      </c>
      <c r="AB48" s="705">
        <f>AB47*'Debt &amp; Valuation'!$G$26</f>
        <v>1475360.062</v>
      </c>
      <c r="AC48" s="705">
        <f>AC47*'Debt &amp; Valuation'!$G$26</f>
        <v>1526555.056</v>
      </c>
      <c r="AD48" s="705">
        <f>AD47*'Debt &amp; Valuation'!$G$26</f>
        <v>1579526.516</v>
      </c>
      <c r="AE48" s="705">
        <f>AE47*'Debt &amp; Valuation'!$G$26</f>
        <v>1634336.086</v>
      </c>
      <c r="AF48" s="705">
        <f>AF47*'Debt &amp; Valuation'!$G$26</f>
        <v>1691047.549</v>
      </c>
      <c r="AG48" s="705">
        <f>AG47*'Debt &amp; Valuation'!$G$26</f>
        <v>1749726.898</v>
      </c>
      <c r="AH48" s="705">
        <f>AH47*'Debt &amp; Valuation'!$G$26</f>
        <v>1810442.422</v>
      </c>
      <c r="AI48" s="705">
        <f>AI47*'Debt &amp; Valuation'!$G$26</f>
        <v>1873264.774</v>
      </c>
      <c r="AJ48" s="705">
        <f>AJ47*'Debt &amp; Valuation'!$G$26</f>
        <v>1938267.062</v>
      </c>
      <c r="AK48" s="705">
        <f>AK47*'Debt &amp; Valuation'!$G$26</f>
        <v>2005524.929</v>
      </c>
      <c r="AL48" s="705">
        <f>AL47*'Debt &amp; Valuation'!$G$26</f>
        <v>2075116.644</v>
      </c>
      <c r="AM48" s="705">
        <f>AM47*'Debt &amp; Valuation'!$G$26</f>
        <v>2147123.191</v>
      </c>
      <c r="AN48" s="705">
        <f>AN47*'Debt &amp; Valuation'!$G$26</f>
        <v>2221628.366</v>
      </c>
      <c r="AO48" s="705">
        <f>AO47*'Debt &amp; Valuation'!$G$26</f>
        <v>2298718.87</v>
      </c>
      <c r="AP48" s="705">
        <f>AP47*'Debt &amp; Valuation'!$G$26</f>
        <v>2378484.415</v>
      </c>
    </row>
    <row r="49" ht="12.75" customHeight="1">
      <c r="A49" s="17" t="s">
        <v>533</v>
      </c>
      <c r="B49" s="448"/>
      <c r="C49" s="705">
        <f>'Debt &amp; Valuation'!$G$27*C47</f>
        <v>140679</v>
      </c>
      <c r="D49" s="705">
        <f>'Debt &amp; Valuation'!$G$27*D47</f>
        <v>145560.5613</v>
      </c>
      <c r="E49" s="705">
        <f>'Debt &amp; Valuation'!$G$27*E47</f>
        <v>150611.5128</v>
      </c>
      <c r="F49" s="705">
        <f>'Debt &amp; Valuation'!$G$27*F47</f>
        <v>155837.7323</v>
      </c>
      <c r="G49" s="705">
        <f>'Debt &amp; Valuation'!$G$27*G47</f>
        <v>161245.3016</v>
      </c>
      <c r="H49" s="705">
        <f>'Debt &amp; Valuation'!$G$27*H47</f>
        <v>166840.5135</v>
      </c>
      <c r="I49" s="705">
        <f>'Debt &amp; Valuation'!$G$27*I47</f>
        <v>172629.8794</v>
      </c>
      <c r="J49" s="705">
        <f>'Debt &amp; Valuation'!$G$27*J47</f>
        <v>178620.1362</v>
      </c>
      <c r="K49" s="705">
        <f>'Debt &amp; Valuation'!$G$27*K47</f>
        <v>184818.2549</v>
      </c>
      <c r="L49" s="705">
        <f>'Debt &amp; Valuation'!$G$27*L47</f>
        <v>191231.4483</v>
      </c>
      <c r="M49" s="705">
        <f>'Debt &amp; Valuation'!$G$27*M47</f>
        <v>197867.1796</v>
      </c>
      <c r="N49" s="705">
        <f>'Debt &amp; Valuation'!$G$27*N47</f>
        <v>204733.1707</v>
      </c>
      <c r="O49" s="705">
        <f>'Debt &amp; Valuation'!$G$27*O47</f>
        <v>211837.4118</v>
      </c>
      <c r="P49" s="705">
        <f>'Debt &amp; Valuation'!$G$27*P47</f>
        <v>219188.17</v>
      </c>
      <c r="Q49" s="809">
        <f>'Debt &amp; Valuation'!$G$27*Q47</f>
        <v>226793.9995</v>
      </c>
      <c r="R49" s="705">
        <f>'Debt &amp; Valuation'!$G$27*R47</f>
        <v>234663.7512</v>
      </c>
      <c r="S49" s="705">
        <f>'Debt &amp; Valuation'!$G$27*S47</f>
        <v>242806.5834</v>
      </c>
      <c r="T49" s="705">
        <f>'Debt &amp; Valuation'!$G$27*T47</f>
        <v>251231.9718</v>
      </c>
      <c r="U49" s="705">
        <f>'Debt &amp; Valuation'!$G$27*U47</f>
        <v>259949.7213</v>
      </c>
      <c r="V49" s="705">
        <f>'Debt &amp; Valuation'!$G$27*V47</f>
        <v>268969.9766</v>
      </c>
      <c r="W49" s="705">
        <f>'Debt &amp; Valuation'!$G$27*W47</f>
        <v>278303.2348</v>
      </c>
      <c r="X49" s="705">
        <f>'Debt &amp; Valuation'!$G$27*X47</f>
        <v>287960.357</v>
      </c>
      <c r="Y49" s="705">
        <f>'Debt &amp; Valuation'!$G$27*Y47</f>
        <v>297952.5814</v>
      </c>
      <c r="Z49" s="705">
        <f>'Debt &amp; Valuation'!$G$27*Z47</f>
        <v>308291.536</v>
      </c>
      <c r="AA49" s="705">
        <f>'Debt &amp; Valuation'!$G$27*AA47</f>
        <v>318989.2523</v>
      </c>
      <c r="AB49" s="705">
        <f>'Debt &amp; Valuation'!$G$27*AB47</f>
        <v>330058.1793</v>
      </c>
      <c r="AC49" s="705">
        <f>'Debt &amp; Valuation'!$G$27*AC47</f>
        <v>341511.1982</v>
      </c>
      <c r="AD49" s="705">
        <f>'Debt &amp; Valuation'!$G$27*AD47</f>
        <v>353361.6367</v>
      </c>
      <c r="AE49" s="705">
        <f>'Debt &amp; Valuation'!$G$27*AE47</f>
        <v>365623.2855</v>
      </c>
      <c r="AF49" s="705">
        <f>'Debt &amp; Valuation'!$G$27*AF47</f>
        <v>378310.4135</v>
      </c>
      <c r="AG49" s="705">
        <f>'Debt &amp; Valuation'!$G$27*AG47</f>
        <v>391437.7849</v>
      </c>
      <c r="AH49" s="705">
        <f>'Debt &amp; Valuation'!$G$27*AH47</f>
        <v>405020.676</v>
      </c>
      <c r="AI49" s="705">
        <f>'Debt &amp; Valuation'!$G$27*AI47</f>
        <v>419074.8935</v>
      </c>
      <c r="AJ49" s="705">
        <f>'Debt &amp; Valuation'!$G$27*AJ47</f>
        <v>433616.7923</v>
      </c>
      <c r="AK49" s="705">
        <f>'Debt &amp; Valuation'!$G$27*AK47</f>
        <v>448663.295</v>
      </c>
      <c r="AL49" s="705">
        <f>'Debt &amp; Valuation'!$G$27*AL47</f>
        <v>464231.9113</v>
      </c>
      <c r="AM49" s="705">
        <f>'Debt &amp; Valuation'!$G$27*AM47</f>
        <v>480340.7586</v>
      </c>
      <c r="AN49" s="705">
        <f>'Debt &amp; Valuation'!$G$27*AN47</f>
        <v>497008.583</v>
      </c>
      <c r="AO49" s="705">
        <f>'Debt &amp; Valuation'!$G$27*AO47</f>
        <v>514254.7808</v>
      </c>
      <c r="AP49" s="705">
        <f>'Debt &amp; Valuation'!$G$27*AP47</f>
        <v>532099.4217</v>
      </c>
    </row>
    <row r="50" ht="12.75" customHeight="1">
      <c r="A50" s="17" t="s">
        <v>534</v>
      </c>
      <c r="C50" s="705">
        <f t="shared" ref="C50:AP50" si="33">C47+(C48-C49)</f>
        <v>14556056.13</v>
      </c>
      <c r="D50" s="705">
        <f t="shared" si="33"/>
        <v>15061151.28</v>
      </c>
      <c r="E50" s="705">
        <f t="shared" si="33"/>
        <v>15583773.23</v>
      </c>
      <c r="F50" s="705">
        <f t="shared" si="33"/>
        <v>16124530.16</v>
      </c>
      <c r="G50" s="705">
        <f t="shared" si="33"/>
        <v>16684051.35</v>
      </c>
      <c r="H50" s="705">
        <f t="shared" si="33"/>
        <v>17262987.94</v>
      </c>
      <c r="I50" s="705">
        <f t="shared" si="33"/>
        <v>17862013.62</v>
      </c>
      <c r="J50" s="705">
        <f t="shared" si="33"/>
        <v>18481825.49</v>
      </c>
      <c r="K50" s="705">
        <f t="shared" si="33"/>
        <v>19123144.83</v>
      </c>
      <c r="L50" s="705">
        <f t="shared" si="33"/>
        <v>19786717.96</v>
      </c>
      <c r="M50" s="705">
        <f t="shared" si="33"/>
        <v>20473317.07</v>
      </c>
      <c r="N50" s="705">
        <f t="shared" si="33"/>
        <v>21183741.18</v>
      </c>
      <c r="O50" s="705">
        <f t="shared" si="33"/>
        <v>21918817</v>
      </c>
      <c r="P50" s="705">
        <f t="shared" si="33"/>
        <v>22679399.95</v>
      </c>
      <c r="Q50" s="809">
        <f t="shared" si="33"/>
        <v>23466375.12</v>
      </c>
      <c r="R50" s="705">
        <f t="shared" si="33"/>
        <v>24280658.34</v>
      </c>
      <c r="S50" s="705">
        <f t="shared" si="33"/>
        <v>25123197.18</v>
      </c>
      <c r="T50" s="705">
        <f t="shared" si="33"/>
        <v>25994972.13</v>
      </c>
      <c r="U50" s="705">
        <f t="shared" si="33"/>
        <v>26896997.66</v>
      </c>
      <c r="V50" s="705">
        <f t="shared" si="33"/>
        <v>27830323.48</v>
      </c>
      <c r="W50" s="705">
        <f t="shared" si="33"/>
        <v>28796035.7</v>
      </c>
      <c r="X50" s="705">
        <f t="shared" si="33"/>
        <v>29795258.14</v>
      </c>
      <c r="Y50" s="705">
        <f t="shared" si="33"/>
        <v>30829153.6</v>
      </c>
      <c r="Z50" s="705">
        <f t="shared" si="33"/>
        <v>31898925.23</v>
      </c>
      <c r="AA50" s="705">
        <f t="shared" si="33"/>
        <v>33005817.93</v>
      </c>
      <c r="AB50" s="705">
        <f t="shared" si="33"/>
        <v>34151119.82</v>
      </c>
      <c r="AC50" s="705">
        <f t="shared" si="33"/>
        <v>35336163.67</v>
      </c>
      <c r="AD50" s="705">
        <f t="shared" si="33"/>
        <v>36562328.55</v>
      </c>
      <c r="AE50" s="705">
        <f t="shared" si="33"/>
        <v>37831041.35</v>
      </c>
      <c r="AF50" s="705">
        <f t="shared" si="33"/>
        <v>39143778.49</v>
      </c>
      <c r="AG50" s="705">
        <f t="shared" si="33"/>
        <v>40502067.6</v>
      </c>
      <c r="AH50" s="705">
        <f t="shared" si="33"/>
        <v>41907489.35</v>
      </c>
      <c r="AI50" s="705">
        <f t="shared" si="33"/>
        <v>43361679.23</v>
      </c>
      <c r="AJ50" s="705">
        <f t="shared" si="33"/>
        <v>44866329.5</v>
      </c>
      <c r="AK50" s="705">
        <f t="shared" si="33"/>
        <v>46423191.13</v>
      </c>
      <c r="AL50" s="705">
        <f t="shared" si="33"/>
        <v>48034075.86</v>
      </c>
      <c r="AM50" s="705">
        <f t="shared" si="33"/>
        <v>49700858.3</v>
      </c>
      <c r="AN50" s="705">
        <f t="shared" si="33"/>
        <v>51425478.08</v>
      </c>
      <c r="AO50" s="705">
        <f t="shared" si="33"/>
        <v>53209942.17</v>
      </c>
      <c r="AP50" s="705">
        <f t="shared" si="33"/>
        <v>55056327.16</v>
      </c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816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ht="12.75" customHeight="1">
      <c r="A52" s="847" t="str">
        <f>A34</f>
        <v>HDC ELLA Subsidy Program Loan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816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ht="12.75" customHeight="1">
      <c r="A53" s="17" t="s">
        <v>535</v>
      </c>
      <c r="B53" s="3"/>
      <c r="C53" s="705">
        <f>'Debt &amp; Valuation'!I24</f>
        <v>7464600</v>
      </c>
      <c r="D53" s="705">
        <f t="shared" ref="D53:AP53" si="34">C56</f>
        <v>7723621.62</v>
      </c>
      <c r="E53" s="705">
        <f t="shared" si="34"/>
        <v>7991631.29</v>
      </c>
      <c r="F53" s="705">
        <f t="shared" si="34"/>
        <v>8268940.896</v>
      </c>
      <c r="G53" s="705">
        <f t="shared" si="34"/>
        <v>8555873.145</v>
      </c>
      <c r="H53" s="705">
        <f t="shared" si="34"/>
        <v>8852761.943</v>
      </c>
      <c r="I53" s="705">
        <f t="shared" si="34"/>
        <v>9159952.783</v>
      </c>
      <c r="J53" s="705">
        <f t="shared" si="34"/>
        <v>9477803.144</v>
      </c>
      <c r="K53" s="705">
        <f t="shared" si="34"/>
        <v>9806682.913</v>
      </c>
      <c r="L53" s="705">
        <f t="shared" si="34"/>
        <v>10146974.81</v>
      </c>
      <c r="M53" s="705">
        <f t="shared" si="34"/>
        <v>10499074.84</v>
      </c>
      <c r="N53" s="705">
        <f t="shared" si="34"/>
        <v>10863392.73</v>
      </c>
      <c r="O53" s="705">
        <f t="shared" si="34"/>
        <v>11240352.46</v>
      </c>
      <c r="P53" s="705">
        <f t="shared" si="34"/>
        <v>11630392.69</v>
      </c>
      <c r="Q53" s="809">
        <f t="shared" si="34"/>
        <v>12033967.32</v>
      </c>
      <c r="R53" s="705">
        <f t="shared" si="34"/>
        <v>12451545.98</v>
      </c>
      <c r="S53" s="705">
        <f t="shared" si="34"/>
        <v>12883614.63</v>
      </c>
      <c r="T53" s="705">
        <f t="shared" si="34"/>
        <v>13330676.06</v>
      </c>
      <c r="U53" s="705">
        <f t="shared" si="34"/>
        <v>13793250.52</v>
      </c>
      <c r="V53" s="705">
        <f t="shared" si="34"/>
        <v>14271876.31</v>
      </c>
      <c r="W53" s="705">
        <f t="shared" si="34"/>
        <v>14767110.42</v>
      </c>
      <c r="X53" s="705">
        <f t="shared" si="34"/>
        <v>15279529.15</v>
      </c>
      <c r="Y53" s="705">
        <f t="shared" si="34"/>
        <v>15809728.81</v>
      </c>
      <c r="Z53" s="705">
        <f t="shared" si="34"/>
        <v>16358326.4</v>
      </c>
      <c r="AA53" s="705">
        <f t="shared" si="34"/>
        <v>16925960.33</v>
      </c>
      <c r="AB53" s="705">
        <f t="shared" si="34"/>
        <v>17513291.15</v>
      </c>
      <c r="AC53" s="705">
        <f t="shared" si="34"/>
        <v>18121002.35</v>
      </c>
      <c r="AD53" s="705">
        <f t="shared" si="34"/>
        <v>18749801.13</v>
      </c>
      <c r="AE53" s="705">
        <f t="shared" si="34"/>
        <v>19400419.23</v>
      </c>
      <c r="AF53" s="705">
        <f t="shared" si="34"/>
        <v>20073613.78</v>
      </c>
      <c r="AG53" s="705">
        <f t="shared" si="34"/>
        <v>20770168.18</v>
      </c>
      <c r="AH53" s="705">
        <f t="shared" si="34"/>
        <v>21490893.01</v>
      </c>
      <c r="AI53" s="705">
        <f t="shared" si="34"/>
        <v>22236627</v>
      </c>
      <c r="AJ53" s="705">
        <f t="shared" si="34"/>
        <v>23008237.96</v>
      </c>
      <c r="AK53" s="705">
        <f t="shared" si="34"/>
        <v>23806623.82</v>
      </c>
      <c r="AL53" s="705">
        <f t="shared" si="34"/>
        <v>24632713.66</v>
      </c>
      <c r="AM53" s="705">
        <f t="shared" si="34"/>
        <v>25487468.83</v>
      </c>
      <c r="AN53" s="705">
        <f t="shared" si="34"/>
        <v>26371883.99</v>
      </c>
      <c r="AO53" s="705">
        <f t="shared" si="34"/>
        <v>27286988.37</v>
      </c>
      <c r="AP53" s="705">
        <f t="shared" si="34"/>
        <v>28233846.87</v>
      </c>
    </row>
    <row r="54" ht="12.75" customHeight="1">
      <c r="A54" s="17" t="s">
        <v>532</v>
      </c>
      <c r="B54" s="3"/>
      <c r="C54" s="705">
        <f>C53*'Debt &amp; Valuation'!$I$26</f>
        <v>333667.62</v>
      </c>
      <c r="D54" s="705">
        <f>D53*'Debt &amp; Valuation'!$I$26</f>
        <v>345245.8864</v>
      </c>
      <c r="E54" s="705">
        <f>E53*'Debt &amp; Valuation'!$I$26</f>
        <v>357225.9187</v>
      </c>
      <c r="F54" s="705">
        <f>F53*'Debt &amp; Valuation'!$I$26</f>
        <v>369621.6581</v>
      </c>
      <c r="G54" s="705">
        <f>G53*'Debt &amp; Valuation'!$I$26</f>
        <v>382447.5296</v>
      </c>
      <c r="H54" s="705">
        <f>H53*'Debt &amp; Valuation'!$I$26</f>
        <v>395718.4589</v>
      </c>
      <c r="I54" s="705">
        <f>I53*'Debt &amp; Valuation'!$I$26</f>
        <v>409449.8894</v>
      </c>
      <c r="J54" s="705">
        <f>J53*'Debt &amp; Valuation'!$I$26</f>
        <v>423657.8005</v>
      </c>
      <c r="K54" s="705">
        <f>K53*'Debt &amp; Valuation'!$I$26</f>
        <v>438358.7262</v>
      </c>
      <c r="L54" s="705">
        <f>L53*'Debt &amp; Valuation'!$I$26</f>
        <v>453569.774</v>
      </c>
      <c r="M54" s="705">
        <f>M53*'Debt &amp; Valuation'!$I$26</f>
        <v>469308.6452</v>
      </c>
      <c r="N54" s="705">
        <f>N53*'Debt &amp; Valuation'!$I$26</f>
        <v>485593.6552</v>
      </c>
      <c r="O54" s="705">
        <f>O53*'Debt &amp; Valuation'!$I$26</f>
        <v>502443.755</v>
      </c>
      <c r="P54" s="705">
        <f>P53*'Debt &amp; Valuation'!$I$26</f>
        <v>519878.5533</v>
      </c>
      <c r="Q54" s="809">
        <f>Q53*'Debt &amp; Valuation'!$I$26</f>
        <v>537918.3391</v>
      </c>
      <c r="R54" s="705">
        <f>R53*'Debt &amp; Valuation'!$I$26</f>
        <v>556584.1055</v>
      </c>
      <c r="S54" s="705">
        <f>S53*'Debt &amp; Valuation'!$I$26</f>
        <v>575897.5739</v>
      </c>
      <c r="T54" s="705">
        <f>T53*'Debt &amp; Valuation'!$I$26</f>
        <v>595881.2197</v>
      </c>
      <c r="U54" s="705">
        <f>U53*'Debt &amp; Valuation'!$I$26</f>
        <v>616558.2981</v>
      </c>
      <c r="V54" s="705">
        <f>V53*'Debt &amp; Valuation'!$I$26</f>
        <v>637952.871</v>
      </c>
      <c r="W54" s="705">
        <f>W53*'Debt &amp; Valuation'!$I$26</f>
        <v>660089.8356</v>
      </c>
      <c r="X54" s="705">
        <f>X53*'Debt &amp; Valuation'!$I$26</f>
        <v>682994.9529</v>
      </c>
      <c r="Y54" s="705">
        <f>Y53*'Debt &amp; Valuation'!$I$26</f>
        <v>706694.8778</v>
      </c>
      <c r="Z54" s="705">
        <f>Z53*'Debt &amp; Valuation'!$I$26</f>
        <v>731217.1901</v>
      </c>
      <c r="AA54" s="705">
        <f>AA53*'Debt &amp; Valuation'!$I$26</f>
        <v>756590.4266</v>
      </c>
      <c r="AB54" s="705">
        <f>AB53*'Debt &amp; Valuation'!$I$26</f>
        <v>782844.1144</v>
      </c>
      <c r="AC54" s="705">
        <f>AC53*'Debt &amp; Valuation'!$I$26</f>
        <v>810008.8051</v>
      </c>
      <c r="AD54" s="705">
        <f>AD53*'Debt &amp; Valuation'!$I$26</f>
        <v>838116.1107</v>
      </c>
      <c r="AE54" s="705">
        <f>AE53*'Debt &amp; Valuation'!$I$26</f>
        <v>867198.7397</v>
      </c>
      <c r="AF54" s="705">
        <f>AF53*'Debt &amp; Valuation'!$I$26</f>
        <v>897290.536</v>
      </c>
      <c r="AG54" s="705">
        <f>AG53*'Debt &amp; Valuation'!$I$26</f>
        <v>928426.5176</v>
      </c>
      <c r="AH54" s="705">
        <f>AH53*'Debt &amp; Valuation'!$I$26</f>
        <v>960642.9177</v>
      </c>
      <c r="AI54" s="705">
        <f>AI53*'Debt &amp; Valuation'!$I$26</f>
        <v>993977.227</v>
      </c>
      <c r="AJ54" s="705">
        <f>AJ53*'Debt &amp; Valuation'!$I$26</f>
        <v>1028468.237</v>
      </c>
      <c r="AK54" s="705">
        <f>AK53*'Debt &amp; Valuation'!$I$26</f>
        <v>1064156.085</v>
      </c>
      <c r="AL54" s="705">
        <f>AL53*'Debt &amp; Valuation'!$I$26</f>
        <v>1101082.301</v>
      </c>
      <c r="AM54" s="705">
        <f>AM53*'Debt &amp; Valuation'!$I$26</f>
        <v>1139289.857</v>
      </c>
      <c r="AN54" s="705">
        <f>AN53*'Debt &amp; Valuation'!$I$26</f>
        <v>1178823.215</v>
      </c>
      <c r="AO54" s="705">
        <f>AO53*'Debt &amp; Valuation'!$I$26</f>
        <v>1219728.38</v>
      </c>
      <c r="AP54" s="705">
        <f>AP53*'Debt &amp; Valuation'!$I$26</f>
        <v>1262052.955</v>
      </c>
    </row>
    <row r="55" ht="12.75" customHeight="1">
      <c r="A55" s="17" t="s">
        <v>533</v>
      </c>
      <c r="B55" s="3"/>
      <c r="C55" s="705">
        <f>'Debt &amp; Valuation'!$I$27*C53</f>
        <v>74646</v>
      </c>
      <c r="D55" s="705">
        <f>'Debt &amp; Valuation'!$I$27*D53</f>
        <v>77236.2162</v>
      </c>
      <c r="E55" s="705">
        <f>'Debt &amp; Valuation'!$I$27*E53</f>
        <v>79916.3129</v>
      </c>
      <c r="F55" s="705">
        <f>'Debt &amp; Valuation'!$I$27*F53</f>
        <v>82689.40896</v>
      </c>
      <c r="G55" s="705">
        <f>'Debt &amp; Valuation'!$I$27*G53</f>
        <v>85558.73145</v>
      </c>
      <c r="H55" s="705">
        <f>'Debt &amp; Valuation'!$I$27*H53</f>
        <v>88527.61943</v>
      </c>
      <c r="I55" s="705">
        <f>'Debt &amp; Valuation'!$I$27*I53</f>
        <v>91599.52783</v>
      </c>
      <c r="J55" s="705">
        <f>'Debt &amp; Valuation'!$I$27*J53</f>
        <v>94778.03144</v>
      </c>
      <c r="K55" s="705">
        <f>'Debt &amp; Valuation'!$I$27*K53</f>
        <v>98066.82913</v>
      </c>
      <c r="L55" s="705">
        <f>'Debt &amp; Valuation'!$I$27*L53</f>
        <v>101469.7481</v>
      </c>
      <c r="M55" s="705">
        <f>'Debt &amp; Valuation'!$I$27*M53</f>
        <v>104990.7484</v>
      </c>
      <c r="N55" s="705">
        <f>'Debt &amp; Valuation'!$I$27*N53</f>
        <v>108633.9273</v>
      </c>
      <c r="O55" s="705">
        <f>'Debt &amp; Valuation'!$I$27*O53</f>
        <v>112403.5246</v>
      </c>
      <c r="P55" s="705">
        <f>'Debt &amp; Valuation'!$I$27*P53</f>
        <v>116303.9269</v>
      </c>
      <c r="Q55" s="809">
        <f>'Debt &amp; Valuation'!$I$27*Q53</f>
        <v>120339.6732</v>
      </c>
      <c r="R55" s="705">
        <f>'Debt &amp; Valuation'!$I$27*R53</f>
        <v>124515.4598</v>
      </c>
      <c r="S55" s="705">
        <f>'Debt &amp; Valuation'!$I$27*S53</f>
        <v>128836.1463</v>
      </c>
      <c r="T55" s="705">
        <f>'Debt &amp; Valuation'!$I$27*T53</f>
        <v>133306.7606</v>
      </c>
      <c r="U55" s="705">
        <f>'Debt &amp; Valuation'!$I$27*U53</f>
        <v>137932.5052</v>
      </c>
      <c r="V55" s="705">
        <f>'Debt &amp; Valuation'!$I$27*V53</f>
        <v>142718.7631</v>
      </c>
      <c r="W55" s="705">
        <f>'Debt &amp; Valuation'!$I$27*W53</f>
        <v>147671.1042</v>
      </c>
      <c r="X55" s="705">
        <f>'Debt &amp; Valuation'!$I$27*X53</f>
        <v>152795.2915</v>
      </c>
      <c r="Y55" s="705">
        <f>'Debt &amp; Valuation'!$I$27*Y53</f>
        <v>158097.2881</v>
      </c>
      <c r="Z55" s="705">
        <f>'Debt &amp; Valuation'!$I$27*Z53</f>
        <v>163583.264</v>
      </c>
      <c r="AA55" s="705">
        <f>'Debt &amp; Valuation'!$I$27*AA53</f>
        <v>169259.6033</v>
      </c>
      <c r="AB55" s="705">
        <f>'Debt &amp; Valuation'!$I$27*AB53</f>
        <v>175132.9115</v>
      </c>
      <c r="AC55" s="705">
        <f>'Debt &amp; Valuation'!$I$27*AC53</f>
        <v>181210.0235</v>
      </c>
      <c r="AD55" s="705">
        <f>'Debt &amp; Valuation'!$I$27*AD53</f>
        <v>187498.0113</v>
      </c>
      <c r="AE55" s="705">
        <f>'Debt &amp; Valuation'!$I$27*AE53</f>
        <v>194004.1923</v>
      </c>
      <c r="AF55" s="705">
        <f>'Debt &amp; Valuation'!$I$27*AF53</f>
        <v>200736.1378</v>
      </c>
      <c r="AG55" s="705">
        <f>'Debt &amp; Valuation'!$I$27*AG53</f>
        <v>207701.6818</v>
      </c>
      <c r="AH55" s="705">
        <f>'Debt &amp; Valuation'!$I$27*AH53</f>
        <v>214908.9301</v>
      </c>
      <c r="AI55" s="705">
        <f>'Debt &amp; Valuation'!$I$27*AI53</f>
        <v>222366.27</v>
      </c>
      <c r="AJ55" s="705">
        <f>'Debt &amp; Valuation'!$I$27*AJ53</f>
        <v>230082.3796</v>
      </c>
      <c r="AK55" s="705">
        <f>'Debt &amp; Valuation'!$I$27*AK53</f>
        <v>238066.2382</v>
      </c>
      <c r="AL55" s="705">
        <f>'Debt &amp; Valuation'!$I$27*AL53</f>
        <v>246327.1366</v>
      </c>
      <c r="AM55" s="705">
        <f>'Debt &amp; Valuation'!$I$27*AM53</f>
        <v>254874.6883</v>
      </c>
      <c r="AN55" s="705">
        <f>'Debt &amp; Valuation'!$I$27*AN53</f>
        <v>263718.8399</v>
      </c>
      <c r="AO55" s="705">
        <f>'Debt &amp; Valuation'!$I$27*AO53</f>
        <v>272869.8837</v>
      </c>
      <c r="AP55" s="705">
        <f>'Debt &amp; Valuation'!$I$27*AP53</f>
        <v>282338.4687</v>
      </c>
    </row>
    <row r="56" ht="12.75" customHeight="1">
      <c r="A56" s="17" t="s">
        <v>534</v>
      </c>
      <c r="B56" s="3"/>
      <c r="C56" s="705">
        <f>C53+(C54-C55)</f>
        <v>7723621.62</v>
      </c>
      <c r="D56" s="705">
        <f t="shared" ref="D56:AP56" si="35">C56+(D54-D55)</f>
        <v>7991631.29</v>
      </c>
      <c r="E56" s="705">
        <f t="shared" si="35"/>
        <v>8268940.896</v>
      </c>
      <c r="F56" s="705">
        <f t="shared" si="35"/>
        <v>8555873.145</v>
      </c>
      <c r="G56" s="705">
        <f t="shared" si="35"/>
        <v>8852761.943</v>
      </c>
      <c r="H56" s="705">
        <f t="shared" si="35"/>
        <v>9159952.783</v>
      </c>
      <c r="I56" s="705">
        <f t="shared" si="35"/>
        <v>9477803.144</v>
      </c>
      <c r="J56" s="705">
        <f t="shared" si="35"/>
        <v>9806682.913</v>
      </c>
      <c r="K56" s="705">
        <f t="shared" si="35"/>
        <v>10146974.81</v>
      </c>
      <c r="L56" s="705">
        <f t="shared" si="35"/>
        <v>10499074.84</v>
      </c>
      <c r="M56" s="705">
        <f t="shared" si="35"/>
        <v>10863392.73</v>
      </c>
      <c r="N56" s="705">
        <f t="shared" si="35"/>
        <v>11240352.46</v>
      </c>
      <c r="O56" s="705">
        <f t="shared" si="35"/>
        <v>11630392.69</v>
      </c>
      <c r="P56" s="705">
        <f t="shared" si="35"/>
        <v>12033967.32</v>
      </c>
      <c r="Q56" s="809">
        <f t="shared" si="35"/>
        <v>12451545.98</v>
      </c>
      <c r="R56" s="705">
        <f t="shared" si="35"/>
        <v>12883614.63</v>
      </c>
      <c r="S56" s="705">
        <f t="shared" si="35"/>
        <v>13330676.06</v>
      </c>
      <c r="T56" s="705">
        <f t="shared" si="35"/>
        <v>13793250.52</v>
      </c>
      <c r="U56" s="705">
        <f t="shared" si="35"/>
        <v>14271876.31</v>
      </c>
      <c r="V56" s="705">
        <f t="shared" si="35"/>
        <v>14767110.42</v>
      </c>
      <c r="W56" s="705">
        <f t="shared" si="35"/>
        <v>15279529.15</v>
      </c>
      <c r="X56" s="705">
        <f t="shared" si="35"/>
        <v>15809728.81</v>
      </c>
      <c r="Y56" s="705">
        <f t="shared" si="35"/>
        <v>16358326.4</v>
      </c>
      <c r="Z56" s="705">
        <f t="shared" si="35"/>
        <v>16925960.33</v>
      </c>
      <c r="AA56" s="705">
        <f t="shared" si="35"/>
        <v>17513291.15</v>
      </c>
      <c r="AB56" s="705">
        <f t="shared" si="35"/>
        <v>18121002.35</v>
      </c>
      <c r="AC56" s="705">
        <f t="shared" si="35"/>
        <v>18749801.13</v>
      </c>
      <c r="AD56" s="705">
        <f t="shared" si="35"/>
        <v>19400419.23</v>
      </c>
      <c r="AE56" s="705">
        <f t="shared" si="35"/>
        <v>20073613.78</v>
      </c>
      <c r="AF56" s="705">
        <f t="shared" si="35"/>
        <v>20770168.18</v>
      </c>
      <c r="AG56" s="705">
        <f t="shared" si="35"/>
        <v>21490893.01</v>
      </c>
      <c r="AH56" s="705">
        <f t="shared" si="35"/>
        <v>22236627</v>
      </c>
      <c r="AI56" s="705">
        <f t="shared" si="35"/>
        <v>23008237.96</v>
      </c>
      <c r="AJ56" s="705">
        <f t="shared" si="35"/>
        <v>23806623.82</v>
      </c>
      <c r="AK56" s="705">
        <f t="shared" si="35"/>
        <v>24632713.66</v>
      </c>
      <c r="AL56" s="705">
        <f t="shared" si="35"/>
        <v>25487468.83</v>
      </c>
      <c r="AM56" s="705">
        <f t="shared" si="35"/>
        <v>26371883.99</v>
      </c>
      <c r="AN56" s="705">
        <f t="shared" si="35"/>
        <v>27286988.37</v>
      </c>
      <c r="AO56" s="705">
        <f t="shared" si="35"/>
        <v>28233846.87</v>
      </c>
      <c r="AP56" s="705">
        <f t="shared" si="35"/>
        <v>29213561.35</v>
      </c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816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</row>
    <row r="61" ht="12.75" customHeight="1">
      <c r="A61" s="67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</row>
    <row r="62" ht="12.75" customHeight="1">
      <c r="A62" s="67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ht="12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</row>
    <row r="76" ht="12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</row>
    <row r="77" ht="12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</row>
    <row r="78" ht="12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</row>
    <row r="79" ht="12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</row>
    <row r="80" ht="12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</row>
    <row r="81" ht="12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</row>
    <row r="82" ht="12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</row>
    <row r="90" ht="12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</row>
    <row r="112" ht="12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</row>
    <row r="113" ht="12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</row>
    <row r="134" ht="12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</row>
    <row r="135" ht="12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</row>
    <row r="136" ht="12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</row>
    <row r="137" ht="12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</row>
    <row r="138" ht="12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</row>
    <row r="139" ht="12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</row>
    <row r="140" ht="12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</row>
    <row r="141" ht="12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</row>
    <row r="142" ht="12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</row>
    <row r="143" ht="12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</row>
    <row r="144" ht="12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</row>
    <row r="145" ht="12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</row>
    <row r="146" ht="12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</row>
    <row r="147" ht="12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</row>
    <row r="148" ht="12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</row>
    <row r="149" ht="12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</row>
    <row r="150" ht="12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</row>
    <row r="151" ht="12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</row>
    <row r="152" ht="12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</row>
    <row r="153" ht="12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</row>
    <row r="154" ht="12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</row>
    <row r="155" ht="12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</row>
    <row r="156" ht="12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</row>
    <row r="157" ht="12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</row>
    <row r="158" ht="12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</row>
    <row r="159" ht="12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</row>
    <row r="160" ht="12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</row>
    <row r="161" ht="12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</row>
    <row r="162" ht="12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</row>
    <row r="163" ht="12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</row>
    <row r="164" ht="12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</row>
    <row r="165" ht="12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</row>
    <row r="166" ht="12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</row>
    <row r="167" ht="12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</row>
    <row r="168" ht="12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</row>
    <row r="169" ht="12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</row>
    <row r="170" ht="12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</row>
    <row r="171" ht="12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</row>
    <row r="172" ht="12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</row>
    <row r="173" ht="12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</row>
    <row r="174" ht="12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</row>
    <row r="175" ht="12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</row>
    <row r="176" ht="12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</row>
    <row r="177" ht="12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</row>
    <row r="178" ht="12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</row>
    <row r="179" ht="12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</row>
    <row r="180" ht="12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</row>
    <row r="181" ht="12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</row>
    <row r="182" ht="12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</row>
    <row r="183" ht="12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</row>
    <row r="184" ht="12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</row>
    <row r="185" ht="12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</row>
    <row r="186" ht="12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</row>
    <row r="187" ht="12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</row>
    <row r="188" ht="12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</row>
    <row r="189" ht="12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</row>
    <row r="190" ht="12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</row>
    <row r="191" ht="12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</row>
    <row r="192" ht="12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</row>
    <row r="193" ht="12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</row>
    <row r="194" ht="12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</row>
    <row r="195" ht="12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</row>
    <row r="196" ht="12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</row>
    <row r="197" ht="12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</row>
    <row r="198" ht="12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</row>
    <row r="199" ht="12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</row>
    <row r="200" ht="12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</row>
    <row r="201" ht="12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</row>
    <row r="202" ht="12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</row>
    <row r="203" ht="12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</row>
    <row r="204" ht="12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</row>
    <row r="205" ht="12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</row>
    <row r="206" ht="12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</row>
    <row r="207" ht="12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</row>
    <row r="208" ht="12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</row>
    <row r="209" ht="12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</row>
    <row r="210" ht="12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</row>
    <row r="211" ht="12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</row>
    <row r="212" ht="12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</row>
    <row r="213" ht="12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</row>
    <row r="214" ht="12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</row>
    <row r="215" ht="12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</row>
    <row r="216" ht="12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</row>
    <row r="217" ht="12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</row>
    <row r="218" ht="12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</row>
    <row r="219" ht="12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</row>
    <row r="220" ht="12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</row>
    <row r="221" ht="12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</row>
    <row r="222" ht="12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</row>
    <row r="223" ht="12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</row>
    <row r="224" ht="12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</row>
    <row r="225" ht="12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</row>
    <row r="226" ht="12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</row>
    <row r="227" ht="12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</row>
    <row r="228" ht="12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</row>
    <row r="229" ht="12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</row>
    <row r="230" ht="12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</row>
    <row r="231" ht="12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</row>
    <row r="232" ht="12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</row>
    <row r="233" ht="12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</row>
    <row r="234" ht="12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</row>
    <row r="235" ht="12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</row>
    <row r="236" ht="12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</row>
    <row r="237" ht="12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</row>
    <row r="238" ht="12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</row>
    <row r="239" ht="12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</row>
    <row r="240" ht="12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</row>
    <row r="241" ht="12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</row>
    <row r="242" ht="12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</row>
    <row r="243" ht="12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</row>
    <row r="24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75"/>
    <col customWidth="1" min="2" max="2" width="8.25"/>
    <col customWidth="1" min="3" max="3" width="9.38"/>
    <col customWidth="1" min="4" max="5" width="11.25"/>
    <col customWidth="1" min="6" max="6" width="19.75"/>
    <col customWidth="1" min="7" max="7" width="11.25"/>
    <col customWidth="1" min="8" max="8" width="15.38"/>
    <col customWidth="1" min="9" max="26" width="8.75"/>
  </cols>
  <sheetData>
    <row r="1">
      <c r="A1" s="70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59" t="s">
        <v>1</v>
      </c>
      <c r="B2" s="3"/>
      <c r="C2" s="3" t="str">
        <f>Summary!D2</f>
        <v>NYU VIDA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459" t="s">
        <v>5</v>
      </c>
      <c r="B3" s="3"/>
      <c r="C3" s="3" t="str">
        <f>Summary!C6</f>
        <v>The Beacon Apartments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459" t="s">
        <v>92</v>
      </c>
      <c r="B4" s="3"/>
      <c r="C4" s="68">
        <f>Summary!D3</f>
        <v>45033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848" t="s">
        <v>536</v>
      </c>
      <c r="B7" s="849"/>
      <c r="C7" s="849"/>
      <c r="D7" s="849"/>
      <c r="E7" s="849"/>
      <c r="F7" s="850" t="s">
        <v>537</v>
      </c>
      <c r="G7" s="850" t="s">
        <v>538</v>
      </c>
      <c r="H7" s="851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852" t="s">
        <v>539</v>
      </c>
      <c r="B8" s="3"/>
      <c r="C8" s="3"/>
      <c r="D8" s="3"/>
      <c r="E8" s="3"/>
      <c r="F8" s="663" t="s">
        <v>540</v>
      </c>
      <c r="G8" s="663" t="s">
        <v>100</v>
      </c>
      <c r="H8" s="853" t="s">
        <v>202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539"/>
      <c r="B9" s="3"/>
      <c r="C9" s="3"/>
      <c r="D9" s="3"/>
      <c r="E9" s="3"/>
      <c r="F9" s="3"/>
      <c r="G9" s="3"/>
      <c r="H9" s="85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855" t="s">
        <v>541</v>
      </c>
      <c r="B10" s="3"/>
      <c r="C10" s="3"/>
      <c r="D10" s="3"/>
      <c r="E10" s="3"/>
      <c r="F10" s="3"/>
      <c r="G10" s="3"/>
      <c r="H10" s="85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539"/>
      <c r="B11" s="3"/>
      <c r="C11" s="3"/>
      <c r="D11" s="3"/>
      <c r="E11" s="3"/>
      <c r="F11" s="3"/>
      <c r="G11" s="3"/>
      <c r="H11" s="854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539" t="s">
        <v>542</v>
      </c>
      <c r="B12" s="3"/>
      <c r="C12" s="3"/>
      <c r="D12" s="3"/>
      <c r="E12" s="3"/>
      <c r="F12" s="856">
        <v>405.09</v>
      </c>
      <c r="G12" s="856">
        <v>42.0</v>
      </c>
      <c r="H12" s="857">
        <f t="shared" ref="H12:H19" si="1">+F12*G12</f>
        <v>17013.78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539" t="s">
        <v>543</v>
      </c>
      <c r="B13" s="3"/>
      <c r="C13" s="3"/>
      <c r="D13" s="3"/>
      <c r="E13" s="3"/>
      <c r="F13" s="858">
        <v>9044.55</v>
      </c>
      <c r="G13" s="856">
        <v>42.0</v>
      </c>
      <c r="H13" s="857">
        <f t="shared" si="1"/>
        <v>379871.1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539" t="s">
        <v>544</v>
      </c>
      <c r="B14" s="3"/>
      <c r="C14" s="3"/>
      <c r="D14" s="3"/>
      <c r="E14" s="3"/>
      <c r="F14" s="856">
        <v>641.01</v>
      </c>
      <c r="G14" s="856">
        <v>42.0</v>
      </c>
      <c r="H14" s="857">
        <f t="shared" si="1"/>
        <v>26922.42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539" t="s">
        <v>545</v>
      </c>
      <c r="B15" s="3"/>
      <c r="C15" s="3"/>
      <c r="D15" s="3"/>
      <c r="E15" s="3"/>
      <c r="F15" s="856">
        <v>1488.69</v>
      </c>
      <c r="G15" s="856">
        <v>42.0</v>
      </c>
      <c r="H15" s="857">
        <f t="shared" si="1"/>
        <v>62524.98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539" t="s">
        <v>546</v>
      </c>
      <c r="B16" s="3"/>
      <c r="C16" s="3"/>
      <c r="D16" s="3"/>
      <c r="E16" s="3"/>
      <c r="F16" s="858">
        <v>11849.89</v>
      </c>
      <c r="G16" s="856">
        <v>2.68</v>
      </c>
      <c r="H16" s="857">
        <f t="shared" si="1"/>
        <v>31757.7052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539" t="s">
        <v>547</v>
      </c>
      <c r="B17" s="3"/>
      <c r="C17" s="3"/>
      <c r="D17" s="3"/>
      <c r="E17" s="3"/>
      <c r="F17" s="858">
        <v>8063.34</v>
      </c>
      <c r="G17" s="856">
        <v>42.0</v>
      </c>
      <c r="H17" s="857">
        <f t="shared" si="1"/>
        <v>338660.28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539" t="s">
        <v>548</v>
      </c>
      <c r="B18" s="3"/>
      <c r="C18" s="3"/>
      <c r="D18" s="3"/>
      <c r="E18" s="3"/>
      <c r="F18" s="858">
        <v>4436.2</v>
      </c>
      <c r="G18" s="856">
        <v>42.0</v>
      </c>
      <c r="H18" s="857">
        <f t="shared" si="1"/>
        <v>186320.4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539" t="s">
        <v>549</v>
      </c>
      <c r="B19" s="3"/>
      <c r="C19" s="3"/>
      <c r="D19" s="3"/>
      <c r="E19" s="3"/>
      <c r="F19" s="858">
        <v>397.93</v>
      </c>
      <c r="G19" s="856">
        <v>42.0</v>
      </c>
      <c r="H19" s="857">
        <f t="shared" si="1"/>
        <v>16713.06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539"/>
      <c r="B20" s="3"/>
      <c r="C20" s="3"/>
      <c r="D20" s="3"/>
      <c r="E20" s="3"/>
      <c r="F20" s="859"/>
      <c r="G20" s="860"/>
      <c r="H20" s="857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855" t="s">
        <v>550</v>
      </c>
      <c r="B21" s="3"/>
      <c r="C21" s="3"/>
      <c r="D21" s="3"/>
      <c r="E21" s="3"/>
      <c r="F21" s="859"/>
      <c r="G21" s="860"/>
      <c r="H21" s="85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539"/>
      <c r="B22" s="3"/>
      <c r="C22" s="3"/>
      <c r="D22" s="3"/>
      <c r="E22" s="3"/>
      <c r="F22" s="859"/>
      <c r="G22" s="860"/>
      <c r="H22" s="857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539" t="s">
        <v>551</v>
      </c>
      <c r="B23" s="3"/>
      <c r="C23" s="3"/>
      <c r="D23" s="3"/>
      <c r="E23" s="3"/>
      <c r="F23" s="858">
        <v>205.0</v>
      </c>
      <c r="G23" s="856">
        <v>33.0</v>
      </c>
      <c r="H23" s="857">
        <f t="shared" ref="H23:H28" si="2">+F23*G23</f>
        <v>6765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539" t="s">
        <v>552</v>
      </c>
      <c r="B24" s="3"/>
      <c r="C24" s="3"/>
      <c r="D24" s="3"/>
      <c r="E24" s="3"/>
      <c r="F24" s="858">
        <v>2400.0</v>
      </c>
      <c r="G24" s="856">
        <v>42.0</v>
      </c>
      <c r="H24" s="857">
        <f t="shared" si="2"/>
        <v>100800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539" t="s">
        <v>553</v>
      </c>
      <c r="B25" s="3"/>
      <c r="C25" s="3"/>
      <c r="D25" s="3"/>
      <c r="E25" s="3"/>
      <c r="F25" s="858">
        <v>11000.0</v>
      </c>
      <c r="G25" s="856">
        <v>42.0</v>
      </c>
      <c r="H25" s="857">
        <f t="shared" si="2"/>
        <v>462000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539" t="s">
        <v>554</v>
      </c>
      <c r="B26" s="3"/>
      <c r="C26" s="3"/>
      <c r="D26" s="3"/>
      <c r="E26" s="3"/>
      <c r="F26" s="858">
        <v>2.05</v>
      </c>
      <c r="G26" s="856">
        <v>51155.0</v>
      </c>
      <c r="H26" s="857">
        <f t="shared" si="2"/>
        <v>104867.75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539" t="s">
        <v>555</v>
      </c>
      <c r="B27" s="3"/>
      <c r="C27" s="3"/>
      <c r="D27" s="3"/>
      <c r="E27" s="3"/>
      <c r="F27" s="858">
        <v>500.0</v>
      </c>
      <c r="G27" s="856">
        <v>42.0</v>
      </c>
      <c r="H27" s="857">
        <f t="shared" si="2"/>
        <v>21000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539" t="s">
        <v>556</v>
      </c>
      <c r="B28" s="3"/>
      <c r="C28" s="3"/>
      <c r="D28" s="3"/>
      <c r="E28" s="3"/>
      <c r="F28" s="858">
        <v>0.03</v>
      </c>
      <c r="G28" s="856">
        <v>38625.0</v>
      </c>
      <c r="H28" s="857">
        <f t="shared" si="2"/>
        <v>1158.75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539"/>
      <c r="B29" s="3"/>
      <c r="C29" s="3"/>
      <c r="D29" s="3"/>
      <c r="E29" s="3"/>
      <c r="F29" s="859"/>
      <c r="G29" s="860"/>
      <c r="H29" s="857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539" t="s">
        <v>557</v>
      </c>
      <c r="B30" s="3"/>
      <c r="C30" s="3"/>
      <c r="D30" s="3"/>
      <c r="E30" s="3"/>
      <c r="F30" s="859"/>
      <c r="G30" s="860"/>
      <c r="H30" s="861">
        <v>-703438.9952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539"/>
      <c r="B31" s="3"/>
      <c r="C31" s="3"/>
      <c r="D31" s="3"/>
      <c r="E31" s="3"/>
      <c r="F31" s="460"/>
      <c r="G31" s="3"/>
      <c r="H31" s="85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862" t="s">
        <v>558</v>
      </c>
      <c r="B32" s="863"/>
      <c r="C32" s="863"/>
      <c r="D32" s="863"/>
      <c r="E32" s="863"/>
      <c r="F32" s="864"/>
      <c r="G32" s="863"/>
      <c r="H32" s="865">
        <f>SUM(H12:H30)</f>
        <v>1052936.23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539"/>
      <c r="B33" s="3"/>
      <c r="C33" s="3"/>
      <c r="D33" s="3"/>
      <c r="E33" s="3"/>
      <c r="F33" s="460"/>
      <c r="G33" s="3"/>
      <c r="H33" s="85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866"/>
      <c r="B34" s="867"/>
      <c r="C34" s="867"/>
      <c r="D34" s="867"/>
      <c r="E34" s="867"/>
      <c r="F34" s="867"/>
      <c r="G34" s="867"/>
      <c r="H34" s="868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848" t="str">
        <f>+A7</f>
        <v>Affordable Housing New Construction</v>
      </c>
      <c r="B36" s="849"/>
      <c r="C36" s="849"/>
      <c r="D36" s="849"/>
      <c r="E36" s="849"/>
      <c r="F36" s="850" t="s">
        <v>537</v>
      </c>
      <c r="G36" s="850" t="s">
        <v>538</v>
      </c>
      <c r="H36" s="85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852" t="s">
        <v>539</v>
      </c>
      <c r="B37" s="3"/>
      <c r="C37" s="3"/>
      <c r="D37" s="3"/>
      <c r="E37" s="3"/>
      <c r="F37" s="663" t="s">
        <v>559</v>
      </c>
      <c r="G37" s="663" t="s">
        <v>560</v>
      </c>
      <c r="H37" s="853" t="s">
        <v>202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539"/>
      <c r="B38" s="3"/>
      <c r="C38" s="3"/>
      <c r="D38" s="3"/>
      <c r="E38" s="3"/>
      <c r="F38" s="3"/>
      <c r="G38" s="3"/>
      <c r="H38" s="85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855" t="s">
        <v>541</v>
      </c>
      <c r="B39" s="3"/>
      <c r="C39" s="3"/>
      <c r="D39" s="3"/>
      <c r="E39" s="3"/>
      <c r="F39" s="3"/>
      <c r="G39" s="3"/>
      <c r="H39" s="85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539"/>
      <c r="B40" s="3"/>
      <c r="C40" s="3"/>
      <c r="D40" s="3"/>
      <c r="E40" s="3"/>
      <c r="F40" s="3"/>
      <c r="G40" s="3"/>
      <c r="H40" s="85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539" t="s">
        <v>542</v>
      </c>
      <c r="B41" s="3"/>
      <c r="C41" s="3"/>
      <c r="D41" s="3"/>
      <c r="E41" s="3"/>
      <c r="F41" s="856">
        <v>405.09</v>
      </c>
      <c r="G41" s="856">
        <v>1.0</v>
      </c>
      <c r="H41" s="857">
        <f t="shared" ref="H41:H48" si="3">+F41*G41</f>
        <v>405.09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539" t="s">
        <v>543</v>
      </c>
      <c r="B42" s="3"/>
      <c r="C42" s="3"/>
      <c r="D42" s="3"/>
      <c r="E42" s="3"/>
      <c r="F42" s="858">
        <v>9044.55</v>
      </c>
      <c r="G42" s="856">
        <v>1.0</v>
      </c>
      <c r="H42" s="857">
        <f t="shared" si="3"/>
        <v>9044.55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539" t="s">
        <v>544</v>
      </c>
      <c r="B43" s="3"/>
      <c r="C43" s="3"/>
      <c r="D43" s="3"/>
      <c r="E43" s="3"/>
      <c r="F43" s="856">
        <v>641.01</v>
      </c>
      <c r="G43" s="856">
        <v>1.0</v>
      </c>
      <c r="H43" s="857">
        <f t="shared" si="3"/>
        <v>641.01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539" t="s">
        <v>545</v>
      </c>
      <c r="B44" s="3"/>
      <c r="C44" s="3"/>
      <c r="D44" s="3"/>
      <c r="E44" s="3"/>
      <c r="F44" s="856">
        <v>1488.69</v>
      </c>
      <c r="G44" s="856">
        <v>1.0</v>
      </c>
      <c r="H44" s="857">
        <f t="shared" si="3"/>
        <v>1488.69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539" t="s">
        <v>546</v>
      </c>
      <c r="B45" s="3"/>
      <c r="C45" s="3"/>
      <c r="D45" s="3"/>
      <c r="E45" s="3"/>
      <c r="F45" s="858">
        <v>11849.89</v>
      </c>
      <c r="G45" s="856">
        <v>0.0</v>
      </c>
      <c r="H45" s="857">
        <f t="shared" si="3"/>
        <v>0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539" t="s">
        <v>547</v>
      </c>
      <c r="B46" s="3"/>
      <c r="C46" s="3"/>
      <c r="D46" s="3"/>
      <c r="E46" s="3"/>
      <c r="F46" s="858">
        <v>8063.34</v>
      </c>
      <c r="G46" s="856">
        <v>1.0</v>
      </c>
      <c r="H46" s="857">
        <f t="shared" si="3"/>
        <v>8063.34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539" t="s">
        <v>548</v>
      </c>
      <c r="B47" s="3"/>
      <c r="C47" s="3"/>
      <c r="D47" s="3"/>
      <c r="E47" s="3"/>
      <c r="F47" s="858">
        <v>4436.2</v>
      </c>
      <c r="G47" s="856">
        <v>1.0</v>
      </c>
      <c r="H47" s="857">
        <f t="shared" si="3"/>
        <v>4436.2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539" t="s">
        <v>549</v>
      </c>
      <c r="B48" s="3"/>
      <c r="C48" s="3"/>
      <c r="D48" s="3"/>
      <c r="E48" s="3"/>
      <c r="F48" s="858">
        <v>397.93</v>
      </c>
      <c r="G48" s="856">
        <v>1.0</v>
      </c>
      <c r="H48" s="857">
        <f t="shared" si="3"/>
        <v>397.93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539"/>
      <c r="B49" s="3"/>
      <c r="C49" s="3"/>
      <c r="D49" s="3"/>
      <c r="E49" s="3"/>
      <c r="F49" s="869"/>
      <c r="G49" s="870"/>
      <c r="H49" s="857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855" t="s">
        <v>550</v>
      </c>
      <c r="B50" s="3"/>
      <c r="C50" s="3"/>
      <c r="D50" s="3"/>
      <c r="E50" s="3"/>
      <c r="F50" s="869"/>
      <c r="G50" s="870"/>
      <c r="H50" s="857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539"/>
      <c r="B51" s="3"/>
      <c r="C51" s="3"/>
      <c r="D51" s="3"/>
      <c r="E51" s="3"/>
      <c r="F51" s="869"/>
      <c r="G51" s="870"/>
      <c r="H51" s="857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539" t="s">
        <v>551</v>
      </c>
      <c r="B52" s="3"/>
      <c r="C52" s="3"/>
      <c r="D52" s="3"/>
      <c r="E52" s="3"/>
      <c r="F52" s="858">
        <v>205.0</v>
      </c>
      <c r="G52" s="856">
        <v>1.0</v>
      </c>
      <c r="H52" s="857">
        <f t="shared" ref="H52:H57" si="4">+F52*G52</f>
        <v>205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539" t="s">
        <v>552</v>
      </c>
      <c r="B53" s="3"/>
      <c r="C53" s="3"/>
      <c r="D53" s="3"/>
      <c r="E53" s="3"/>
      <c r="F53" s="858">
        <v>2400.0</v>
      </c>
      <c r="G53" s="856">
        <v>1.0</v>
      </c>
      <c r="H53" s="857">
        <f t="shared" si="4"/>
        <v>2400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539" t="s">
        <v>553</v>
      </c>
      <c r="B54" s="3"/>
      <c r="C54" s="3"/>
      <c r="D54" s="3"/>
      <c r="E54" s="3"/>
      <c r="F54" s="858">
        <v>6300.0</v>
      </c>
      <c r="G54" s="856">
        <v>1.0</v>
      </c>
      <c r="H54" s="857">
        <f t="shared" si="4"/>
        <v>6300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539" t="s">
        <v>554</v>
      </c>
      <c r="B55" s="3"/>
      <c r="C55" s="3"/>
      <c r="D55" s="3"/>
      <c r="E55" s="3"/>
      <c r="F55" s="858">
        <v>2.05</v>
      </c>
      <c r="G55" s="856">
        <v>950.0</v>
      </c>
      <c r="H55" s="857">
        <f t="shared" si="4"/>
        <v>1947.5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539" t="s">
        <v>561</v>
      </c>
      <c r="B56" s="3"/>
      <c r="C56" s="3"/>
      <c r="D56" s="3"/>
      <c r="E56" s="3"/>
      <c r="F56" s="858">
        <v>500.0</v>
      </c>
      <c r="G56" s="856">
        <v>1.0</v>
      </c>
      <c r="H56" s="857">
        <f t="shared" si="4"/>
        <v>500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539" t="s">
        <v>562</v>
      </c>
      <c r="B57" s="3"/>
      <c r="C57" s="3"/>
      <c r="D57" s="3"/>
      <c r="E57" s="3"/>
      <c r="F57" s="858">
        <v>0.03</v>
      </c>
      <c r="G57" s="856">
        <v>0.0</v>
      </c>
      <c r="H57" s="857">
        <f t="shared" si="4"/>
        <v>0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539"/>
      <c r="B58" s="3"/>
      <c r="C58" s="3"/>
      <c r="D58" s="3"/>
      <c r="E58" s="3"/>
      <c r="F58" s="859"/>
      <c r="G58" s="860"/>
      <c r="H58" s="857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539"/>
      <c r="B59" s="3"/>
      <c r="C59" s="3"/>
      <c r="D59" s="3"/>
      <c r="E59" s="3"/>
      <c r="F59" s="859"/>
      <c r="G59" s="860"/>
      <c r="H59" s="86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539"/>
      <c r="B60" s="3"/>
      <c r="C60" s="3"/>
      <c r="D60" s="3"/>
      <c r="E60" s="3"/>
      <c r="F60" s="460"/>
      <c r="G60" s="3"/>
      <c r="H60" s="85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862" t="s">
        <v>563</v>
      </c>
      <c r="B61" s="863"/>
      <c r="C61" s="863"/>
      <c r="D61" s="863"/>
      <c r="E61" s="863"/>
      <c r="F61" s="864"/>
      <c r="G61" s="863"/>
      <c r="H61" s="865">
        <f>SUM(H41:H59)</f>
        <v>35829.31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539"/>
      <c r="B62" s="3"/>
      <c r="C62" s="3"/>
      <c r="D62" s="3"/>
      <c r="E62" s="3"/>
      <c r="F62" s="460"/>
      <c r="G62" s="3"/>
      <c r="H62" s="85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866"/>
      <c r="B63" s="867"/>
      <c r="C63" s="867"/>
      <c r="D63" s="867"/>
      <c r="E63" s="867"/>
      <c r="F63" s="867"/>
      <c r="G63" s="867"/>
      <c r="H63" s="868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848" t="s">
        <v>564</v>
      </c>
      <c r="B65" s="849"/>
      <c r="C65" s="849"/>
      <c r="D65" s="849"/>
      <c r="E65" s="849"/>
      <c r="F65" s="849"/>
      <c r="G65" s="849"/>
      <c r="H65" s="87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852" t="s">
        <v>565</v>
      </c>
      <c r="B66" s="3"/>
      <c r="C66" s="3"/>
      <c r="D66" s="3"/>
      <c r="E66" s="3"/>
      <c r="F66" s="3"/>
      <c r="G66" s="3"/>
      <c r="H66" s="85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539"/>
      <c r="B67" s="3"/>
      <c r="C67" s="3"/>
      <c r="D67" s="3"/>
      <c r="E67" s="3"/>
      <c r="F67" s="3"/>
      <c r="G67" s="3"/>
      <c r="H67" s="85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855" t="s">
        <v>566</v>
      </c>
      <c r="B68" s="3"/>
      <c r="C68" s="3"/>
      <c r="D68" s="3"/>
      <c r="E68" s="3"/>
      <c r="F68" s="3"/>
      <c r="G68" s="3"/>
      <c r="H68" s="872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539"/>
      <c r="B69" s="3"/>
      <c r="C69" s="3"/>
      <c r="D69" s="3"/>
      <c r="E69" s="3"/>
      <c r="F69" s="3"/>
      <c r="G69" s="3"/>
      <c r="H69" s="872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539" t="s">
        <v>567</v>
      </c>
      <c r="B70" s="3"/>
      <c r="C70" s="3"/>
      <c r="D70" s="3"/>
      <c r="E70" s="3"/>
      <c r="F70" s="3"/>
      <c r="G70" s="3"/>
      <c r="H70" s="873">
        <v>2000.0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539" t="s">
        <v>568</v>
      </c>
      <c r="B71" s="3"/>
      <c r="C71" s="3"/>
      <c r="D71" s="3"/>
      <c r="E71" s="3"/>
      <c r="F71" s="3"/>
      <c r="G71" s="3"/>
      <c r="H71" s="873">
        <v>5800.0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539" t="s">
        <v>569</v>
      </c>
      <c r="B72" s="3"/>
      <c r="C72" s="3"/>
      <c r="D72" s="3"/>
      <c r="E72" s="3"/>
      <c r="F72" s="3"/>
      <c r="G72" s="3"/>
      <c r="H72" s="873">
        <v>4660.0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539" t="s">
        <v>570</v>
      </c>
      <c r="B73" s="3"/>
      <c r="C73" s="3"/>
      <c r="D73" s="3"/>
      <c r="E73" s="3"/>
      <c r="F73" s="3"/>
      <c r="G73" s="3"/>
      <c r="H73" s="873">
        <v>2044.0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539" t="s">
        <v>571</v>
      </c>
      <c r="B74" s="3"/>
      <c r="C74" s="3"/>
      <c r="D74" s="3"/>
      <c r="E74" s="3"/>
      <c r="F74" s="3"/>
      <c r="G74" s="3"/>
      <c r="H74" s="873">
        <f>33733.95-2000-2044-4660</f>
        <v>25029.95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539" t="s">
        <v>572</v>
      </c>
      <c r="B75" s="3"/>
      <c r="C75" s="3"/>
      <c r="D75" s="3"/>
      <c r="E75" s="3"/>
      <c r="F75" s="3"/>
      <c r="G75" s="3"/>
      <c r="H75" s="87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539"/>
      <c r="B76" s="3"/>
      <c r="C76" s="3"/>
      <c r="D76" s="3"/>
      <c r="E76" s="3"/>
      <c r="F76" s="3" t="s">
        <v>573</v>
      </c>
      <c r="G76" s="3"/>
      <c r="H76" s="87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539"/>
      <c r="B77" s="3"/>
      <c r="C77" s="3"/>
      <c r="D77" s="3"/>
      <c r="E77" s="3"/>
      <c r="F77" s="3" t="s">
        <v>574</v>
      </c>
      <c r="G77" s="3"/>
      <c r="H77" s="87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539"/>
      <c r="B78" s="3"/>
      <c r="C78" s="3"/>
      <c r="D78" s="3"/>
      <c r="E78" s="3"/>
      <c r="F78" s="3" t="s">
        <v>575</v>
      </c>
      <c r="G78" s="3"/>
      <c r="H78" s="87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539"/>
      <c r="B79" s="3"/>
      <c r="C79" s="3"/>
      <c r="D79" s="3"/>
      <c r="E79" s="3"/>
      <c r="F79" s="3" t="s">
        <v>576</v>
      </c>
      <c r="G79" s="3"/>
      <c r="H79" s="87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539"/>
      <c r="B80" s="3"/>
      <c r="C80" s="3"/>
      <c r="D80" s="3"/>
      <c r="E80" s="3"/>
      <c r="F80" s="3" t="s">
        <v>577</v>
      </c>
      <c r="G80" s="3"/>
      <c r="H80" s="87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539"/>
      <c r="B81" s="3"/>
      <c r="C81" s="3"/>
      <c r="D81" s="3"/>
      <c r="E81" s="3"/>
      <c r="F81" s="3" t="s">
        <v>578</v>
      </c>
      <c r="G81" s="3"/>
      <c r="H81" s="87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539"/>
      <c r="B82" s="3"/>
      <c r="C82" s="3"/>
      <c r="D82" s="3"/>
      <c r="E82" s="3"/>
      <c r="F82" s="3" t="s">
        <v>579</v>
      </c>
      <c r="G82" s="3"/>
      <c r="H82" s="87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539"/>
      <c r="B83" s="3"/>
      <c r="C83" s="3"/>
      <c r="D83" s="3"/>
      <c r="E83" s="3"/>
      <c r="F83" s="3" t="s">
        <v>580</v>
      </c>
      <c r="G83" s="3"/>
      <c r="H83" s="873">
        <v>56736.51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539"/>
      <c r="B84" s="3"/>
      <c r="C84" s="3"/>
      <c r="D84" s="3"/>
      <c r="E84" s="3"/>
      <c r="F84" s="3"/>
      <c r="G84" s="3"/>
      <c r="H84" s="875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539"/>
      <c r="B85" s="3"/>
      <c r="C85" s="3"/>
      <c r="D85" s="3"/>
      <c r="E85" s="3"/>
      <c r="F85" s="3"/>
      <c r="G85" s="3"/>
      <c r="H85" s="876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539"/>
      <c r="B86" s="3"/>
      <c r="C86" s="3"/>
      <c r="D86" s="3"/>
      <c r="E86" s="3"/>
      <c r="F86" s="3"/>
      <c r="G86" s="3"/>
      <c r="H86" s="877">
        <f>SUM(H65:H85)</f>
        <v>96270.46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539"/>
      <c r="B87" s="3"/>
      <c r="C87" s="3"/>
      <c r="D87" s="3"/>
      <c r="E87" s="3"/>
      <c r="F87" s="3"/>
      <c r="G87" s="3"/>
      <c r="H87" s="878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85" t="s">
        <v>581</v>
      </c>
      <c r="B88" s="386"/>
      <c r="C88" s="386"/>
      <c r="D88" s="386"/>
      <c r="E88" s="386"/>
      <c r="F88" s="386"/>
      <c r="G88" s="386"/>
      <c r="H88" s="879">
        <f>+H32+H61+H86</f>
        <v>1185036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880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17"/>
      <c r="B287" s="17"/>
      <c r="C287" s="17"/>
      <c r="D287" s="17"/>
      <c r="E287" s="17"/>
      <c r="F287" s="17"/>
      <c r="G287" s="17"/>
      <c r="H287" s="17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17"/>
      <c r="B288" s="17"/>
      <c r="C288" s="17"/>
      <c r="D288" s="17"/>
      <c r="E288" s="17"/>
      <c r="F288" s="17"/>
      <c r="G288" s="17"/>
      <c r="H288" s="17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75"/>
    <col customWidth="1" min="2" max="2" width="22.0"/>
    <col customWidth="1" min="3" max="3" width="11.38"/>
    <col customWidth="1" min="4" max="5" width="9.13"/>
    <col customWidth="1" min="6" max="7" width="8.88"/>
    <col customWidth="1" min="8" max="26" width="8.63"/>
  </cols>
  <sheetData>
    <row r="1">
      <c r="A1" s="70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59" t="s">
        <v>1</v>
      </c>
      <c r="B2" s="3"/>
      <c r="C2" s="3" t="str">
        <f>Summary!D2</f>
        <v>NYU VIDA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459" t="s">
        <v>5</v>
      </c>
      <c r="B3" s="3"/>
      <c r="C3" s="3" t="str">
        <f>Summary!C6</f>
        <v>The Beacon Apartments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459" t="s">
        <v>92</v>
      </c>
      <c r="B4" s="3"/>
      <c r="C4" s="68">
        <f>Summary!D3</f>
        <v>45033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881" t="s">
        <v>582</v>
      </c>
      <c r="C6" s="881" t="s">
        <v>583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881" t="s">
        <v>584</v>
      </c>
      <c r="C7" s="658">
        <v>0.049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/>
      <c r="B8" s="881" t="s">
        <v>585</v>
      </c>
      <c r="C8" s="658">
        <v>0.023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/>
      <c r="B9" s="882" t="s">
        <v>586</v>
      </c>
      <c r="C9" s="883">
        <v>0.01</v>
      </c>
      <c r="D9" s="3"/>
      <c r="E9" s="130" t="s">
        <v>587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/>
      <c r="B10" s="881" t="s">
        <v>588</v>
      </c>
      <c r="C10" s="775">
        <f>SUM(C7:C9)</f>
        <v>0.082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/>
      <c r="B11" s="78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"/>
      <c r="B12" s="276" t="s">
        <v>589</v>
      </c>
      <c r="C12" s="657">
        <f>Summary!D40</f>
        <v>25905724.48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/>
      <c r="B13" s="78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881" t="s">
        <v>53</v>
      </c>
      <c r="C14" s="3">
        <f>Summary!E37</f>
        <v>36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882" t="s">
        <v>590</v>
      </c>
      <c r="C15" s="884">
        <v>0.6</v>
      </c>
      <c r="D15" s="3"/>
      <c r="E15" s="885" t="s">
        <v>591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/>
      <c r="B16" s="881" t="s">
        <v>592</v>
      </c>
      <c r="C16" s="657">
        <f>C12*C10*(C14/12)*C15</f>
        <v>3823684.933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/>
      <c r="B27" s="3"/>
      <c r="C27" s="3"/>
      <c r="D27" s="3"/>
      <c r="E27" s="3"/>
      <c r="F27" s="3"/>
      <c r="G27" s="3" t="s">
        <v>593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17"/>
      <c r="B139" s="17"/>
      <c r="C139" s="17"/>
      <c r="D139" s="17"/>
      <c r="E139" s="17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17"/>
      <c r="B140" s="17"/>
      <c r="C140" s="17"/>
      <c r="D140" s="17"/>
      <c r="E140" s="17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17"/>
      <c r="B141" s="17"/>
      <c r="C141" s="17"/>
      <c r="D141" s="17"/>
      <c r="E141" s="17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17"/>
      <c r="B142" s="17"/>
      <c r="C142" s="17"/>
      <c r="D142" s="17"/>
      <c r="E142" s="17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17"/>
      <c r="B143" s="17"/>
      <c r="C143" s="17"/>
      <c r="D143" s="17"/>
      <c r="E143" s="17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17"/>
      <c r="B144" s="17"/>
      <c r="C144" s="17"/>
      <c r="D144" s="17"/>
      <c r="E144" s="17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17"/>
      <c r="B145" s="17"/>
      <c r="C145" s="17"/>
      <c r="D145" s="17"/>
      <c r="E145" s="1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17"/>
      <c r="B146" s="17"/>
      <c r="C146" s="17"/>
      <c r="D146" s="17"/>
      <c r="E146" s="1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17"/>
      <c r="B147" s="17"/>
      <c r="C147" s="17"/>
      <c r="D147" s="17"/>
      <c r="E147" s="1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17"/>
      <c r="B148" s="17"/>
      <c r="C148" s="17"/>
      <c r="D148" s="17"/>
      <c r="E148" s="17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17"/>
      <c r="B149" s="17"/>
      <c r="C149" s="17"/>
      <c r="D149" s="17"/>
      <c r="E149" s="17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17"/>
      <c r="B150" s="17"/>
      <c r="C150" s="17"/>
      <c r="D150" s="17"/>
      <c r="E150" s="17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17"/>
      <c r="B151" s="17"/>
      <c r="C151" s="17"/>
      <c r="D151" s="17"/>
      <c r="E151" s="17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17"/>
      <c r="B152" s="17"/>
      <c r="C152" s="17"/>
      <c r="D152" s="17"/>
      <c r="E152" s="17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17"/>
      <c r="B153" s="17"/>
      <c r="C153" s="17"/>
      <c r="D153" s="17"/>
      <c r="E153" s="17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17"/>
      <c r="B154" s="17"/>
      <c r="C154" s="17"/>
      <c r="D154" s="17"/>
      <c r="E154" s="17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17"/>
      <c r="B155" s="17"/>
      <c r="C155" s="17"/>
      <c r="D155" s="17"/>
      <c r="E155" s="17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17"/>
      <c r="B156" s="17"/>
      <c r="C156" s="17"/>
      <c r="D156" s="17"/>
      <c r="E156" s="17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17"/>
      <c r="B157" s="17"/>
      <c r="C157" s="17"/>
      <c r="D157" s="17"/>
      <c r="E157" s="17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17"/>
      <c r="B158" s="17"/>
      <c r="C158" s="17"/>
      <c r="D158" s="17"/>
      <c r="E158" s="17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17"/>
      <c r="B159" s="17"/>
      <c r="C159" s="17"/>
      <c r="D159" s="17"/>
      <c r="E159" s="17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17"/>
      <c r="B160" s="17"/>
      <c r="C160" s="17"/>
      <c r="D160" s="17"/>
      <c r="E160" s="17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17"/>
      <c r="B161" s="17"/>
      <c r="C161" s="17"/>
      <c r="D161" s="17"/>
      <c r="E161" s="17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17"/>
      <c r="B162" s="17"/>
      <c r="C162" s="17"/>
      <c r="D162" s="17"/>
      <c r="E162" s="17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17"/>
      <c r="B163" s="17"/>
      <c r="C163" s="17"/>
      <c r="D163" s="17"/>
      <c r="E163" s="17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17"/>
      <c r="B164" s="17"/>
      <c r="C164" s="17"/>
      <c r="D164" s="17"/>
      <c r="E164" s="17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17"/>
      <c r="B165" s="17"/>
      <c r="C165" s="17"/>
      <c r="D165" s="17"/>
      <c r="E165" s="17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17"/>
      <c r="B166" s="17"/>
      <c r="C166" s="17"/>
      <c r="D166" s="17"/>
      <c r="E166" s="17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17"/>
      <c r="B167" s="17"/>
      <c r="C167" s="17"/>
      <c r="D167" s="17"/>
      <c r="E167" s="17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17"/>
      <c r="B168" s="17"/>
      <c r="C168" s="17"/>
      <c r="D168" s="17"/>
      <c r="E168" s="17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17"/>
      <c r="B169" s="17"/>
      <c r="C169" s="17"/>
      <c r="D169" s="17"/>
      <c r="E169" s="17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17"/>
      <c r="B170" s="17"/>
      <c r="C170" s="17"/>
      <c r="D170" s="17"/>
      <c r="E170" s="17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17"/>
      <c r="B171" s="17"/>
      <c r="C171" s="17"/>
      <c r="D171" s="17"/>
      <c r="E171" s="17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17"/>
      <c r="B172" s="17"/>
      <c r="C172" s="17"/>
      <c r="D172" s="17"/>
      <c r="E172" s="17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17"/>
      <c r="B173" s="17"/>
      <c r="C173" s="17"/>
      <c r="D173" s="17"/>
      <c r="E173" s="17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17"/>
      <c r="B174" s="17"/>
      <c r="C174" s="17"/>
      <c r="D174" s="17"/>
      <c r="E174" s="17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17"/>
      <c r="B175" s="17"/>
      <c r="C175" s="17"/>
      <c r="D175" s="17"/>
      <c r="E175" s="17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17"/>
      <c r="B176" s="17"/>
      <c r="C176" s="17"/>
      <c r="D176" s="17"/>
      <c r="E176" s="17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17"/>
      <c r="B177" s="17"/>
      <c r="C177" s="17"/>
      <c r="D177" s="17"/>
      <c r="E177" s="17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17"/>
      <c r="B178" s="17"/>
      <c r="C178" s="17"/>
      <c r="D178" s="17"/>
      <c r="E178" s="17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17"/>
      <c r="B179" s="17"/>
      <c r="C179" s="17"/>
      <c r="D179" s="17"/>
      <c r="E179" s="17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17"/>
      <c r="B180" s="17"/>
      <c r="C180" s="17"/>
      <c r="D180" s="17"/>
      <c r="E180" s="17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17"/>
      <c r="B181" s="17"/>
      <c r="C181" s="17"/>
      <c r="D181" s="17"/>
      <c r="E181" s="17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17"/>
      <c r="B182" s="17"/>
      <c r="C182" s="17"/>
      <c r="D182" s="17"/>
      <c r="E182" s="17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17"/>
      <c r="B183" s="17"/>
      <c r="C183" s="17"/>
      <c r="D183" s="17"/>
      <c r="E183" s="17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17"/>
      <c r="B184" s="17"/>
      <c r="C184" s="17"/>
      <c r="D184" s="17"/>
      <c r="E184" s="17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17"/>
      <c r="B185" s="17"/>
      <c r="C185" s="17"/>
      <c r="D185" s="17"/>
      <c r="E185" s="17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17"/>
      <c r="B186" s="17"/>
      <c r="C186" s="17"/>
      <c r="D186" s="17"/>
      <c r="E186" s="17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17"/>
      <c r="B187" s="17"/>
      <c r="C187" s="17"/>
      <c r="D187" s="17"/>
      <c r="E187" s="17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17"/>
      <c r="B188" s="17"/>
      <c r="C188" s="17"/>
      <c r="D188" s="17"/>
      <c r="E188" s="17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17"/>
      <c r="B189" s="17"/>
      <c r="C189" s="17"/>
      <c r="D189" s="17"/>
      <c r="E189" s="17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17"/>
      <c r="B190" s="17"/>
      <c r="C190" s="17"/>
      <c r="D190" s="17"/>
      <c r="E190" s="17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17"/>
      <c r="B191" s="17"/>
      <c r="C191" s="17"/>
      <c r="D191" s="17"/>
      <c r="E191" s="17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17"/>
      <c r="B192" s="17"/>
      <c r="C192" s="17"/>
      <c r="D192" s="17"/>
      <c r="E192" s="17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17"/>
      <c r="B193" s="17"/>
      <c r="C193" s="17"/>
      <c r="D193" s="17"/>
      <c r="E193" s="17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17"/>
      <c r="B194" s="17"/>
      <c r="C194" s="17"/>
      <c r="D194" s="17"/>
      <c r="E194" s="17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17"/>
      <c r="B195" s="17"/>
      <c r="C195" s="17"/>
      <c r="D195" s="17"/>
      <c r="E195" s="17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17"/>
      <c r="B196" s="17"/>
      <c r="C196" s="17"/>
      <c r="D196" s="17"/>
      <c r="E196" s="17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17"/>
      <c r="B197" s="17"/>
      <c r="C197" s="17"/>
      <c r="D197" s="17"/>
      <c r="E197" s="17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17"/>
      <c r="B198" s="17"/>
      <c r="C198" s="17"/>
      <c r="D198" s="17"/>
      <c r="E198" s="17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17"/>
      <c r="B199" s="17"/>
      <c r="C199" s="17"/>
      <c r="D199" s="17"/>
      <c r="E199" s="17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17"/>
      <c r="B200" s="17"/>
      <c r="C200" s="17"/>
      <c r="D200" s="17"/>
      <c r="E200" s="1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17"/>
      <c r="B201" s="17"/>
      <c r="C201" s="17"/>
      <c r="D201" s="17"/>
      <c r="E201" s="1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17"/>
      <c r="B202" s="17"/>
      <c r="C202" s="17"/>
      <c r="D202" s="17"/>
      <c r="E202" s="1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17"/>
      <c r="B203" s="17"/>
      <c r="C203" s="17"/>
      <c r="D203" s="17"/>
      <c r="E203" s="1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17"/>
      <c r="B204" s="17"/>
      <c r="C204" s="17"/>
      <c r="D204" s="17"/>
      <c r="E204" s="1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17"/>
      <c r="B205" s="17"/>
      <c r="C205" s="17"/>
      <c r="D205" s="17"/>
      <c r="E205" s="1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17"/>
      <c r="B206" s="17"/>
      <c r="C206" s="17"/>
      <c r="D206" s="17"/>
      <c r="E206" s="1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17"/>
      <c r="B207" s="17"/>
      <c r="C207" s="17"/>
      <c r="D207" s="17"/>
      <c r="E207" s="1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17"/>
      <c r="B208" s="17"/>
      <c r="C208" s="17"/>
      <c r="D208" s="17"/>
      <c r="E208" s="1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17"/>
      <c r="B209" s="17"/>
      <c r="C209" s="17"/>
      <c r="D209" s="17"/>
      <c r="E209" s="1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17"/>
      <c r="B210" s="17"/>
      <c r="C210" s="17"/>
      <c r="D210" s="17"/>
      <c r="E210" s="1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17"/>
      <c r="B211" s="17"/>
      <c r="C211" s="17"/>
      <c r="D211" s="17"/>
      <c r="E211" s="1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17"/>
      <c r="B212" s="17"/>
      <c r="C212" s="17"/>
      <c r="D212" s="17"/>
      <c r="E212" s="1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17"/>
      <c r="B213" s="17"/>
      <c r="C213" s="17"/>
      <c r="D213" s="17"/>
      <c r="E213" s="17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17"/>
      <c r="B214" s="17"/>
      <c r="C214" s="17"/>
      <c r="D214" s="17"/>
      <c r="E214" s="17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17"/>
      <c r="B215" s="17"/>
      <c r="C215" s="17"/>
      <c r="D215" s="17"/>
      <c r="E215" s="17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17"/>
      <c r="B216" s="17"/>
      <c r="C216" s="17"/>
      <c r="D216" s="17"/>
      <c r="E216" s="17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17"/>
      <c r="B217" s="17"/>
      <c r="C217" s="17"/>
      <c r="D217" s="17"/>
      <c r="E217" s="17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17"/>
      <c r="B218" s="17"/>
      <c r="C218" s="17"/>
      <c r="D218" s="17"/>
      <c r="E218" s="17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17"/>
      <c r="B219" s="17"/>
      <c r="C219" s="17"/>
      <c r="D219" s="17"/>
      <c r="E219" s="17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17"/>
      <c r="B220" s="17"/>
      <c r="C220" s="17"/>
      <c r="D220" s="17"/>
      <c r="E220" s="17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17"/>
      <c r="B221" s="17"/>
      <c r="C221" s="17"/>
      <c r="D221" s="17"/>
      <c r="E221" s="17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17"/>
      <c r="B222" s="17"/>
      <c r="C222" s="17"/>
      <c r="D222" s="17"/>
      <c r="E222" s="17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17"/>
      <c r="B223" s="17"/>
      <c r="C223" s="17"/>
      <c r="D223" s="17"/>
      <c r="E223" s="17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17"/>
      <c r="B224" s="17"/>
      <c r="C224" s="17"/>
      <c r="D224" s="17"/>
      <c r="E224" s="17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17"/>
      <c r="B225" s="17"/>
      <c r="C225" s="17"/>
      <c r="D225" s="17"/>
      <c r="E225" s="17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17"/>
      <c r="B226" s="17"/>
      <c r="C226" s="17"/>
      <c r="D226" s="17"/>
      <c r="E226" s="17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17"/>
      <c r="B227" s="17"/>
      <c r="C227" s="17"/>
      <c r="D227" s="17"/>
      <c r="E227" s="17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31.63"/>
    <col customWidth="1" min="2" max="2" width="8.75"/>
    <col customWidth="1" min="3" max="3" width="11.38"/>
    <col customWidth="1" min="4" max="4" width="9.38"/>
    <col customWidth="1" min="5" max="5" width="9.13"/>
    <col customWidth="1" hidden="1" min="6" max="8" width="8.88"/>
    <col customWidth="1" min="9" max="9" width="8.88"/>
    <col customWidth="1" min="10" max="11" width="8.63"/>
    <col customWidth="1" min="12" max="12" width="14.0"/>
    <col customWidth="1" min="13" max="13" width="10.25"/>
    <col customWidth="1" min="14" max="14" width="17.63"/>
    <col customWidth="1" min="15" max="23" width="8.63"/>
  </cols>
  <sheetData>
    <row r="1">
      <c r="A1" s="701" t="s">
        <v>0</v>
      </c>
      <c r="B1" s="701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ht="12.75" customHeight="1">
      <c r="A2" s="459" t="s">
        <v>1</v>
      </c>
      <c r="B2" s="3"/>
      <c r="D2" s="744" t="str">
        <f>Summary!D2</f>
        <v>NYU VIDA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ht="12.75" customHeight="1">
      <c r="A3" s="459" t="s">
        <v>5</v>
      </c>
      <c r="B3" s="3"/>
      <c r="D3" s="460" t="str">
        <f>Summary!C6</f>
        <v>The Beacon Apartments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ht="12.75" customHeight="1">
      <c r="A4" s="459" t="s">
        <v>92</v>
      </c>
      <c r="B4" s="459"/>
      <c r="C4" s="3"/>
      <c r="D4" s="461">
        <f>Summary!D3</f>
        <v>45033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ht="12.75" customHeight="1">
      <c r="A5" s="459"/>
      <c r="B5" s="459"/>
      <c r="C5" s="3"/>
      <c r="D5" s="6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ht="12.75" customHeight="1">
      <c r="A6" s="745" t="s">
        <v>594</v>
      </c>
      <c r="B6" s="459"/>
      <c r="C6" s="3"/>
      <c r="D6" s="6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ht="12.75" customHeight="1">
      <c r="A7" s="459"/>
      <c r="B7" s="459"/>
      <c r="C7" s="3"/>
      <c r="D7" s="6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ht="12.75" customHeight="1">
      <c r="A8" s="39"/>
      <c r="B8" s="39"/>
      <c r="C8" s="746" t="s">
        <v>479</v>
      </c>
      <c r="D8" s="747" t="s">
        <v>259</v>
      </c>
      <c r="E8" s="748" t="s">
        <v>256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ht="12.75" customHeight="1">
      <c r="A9" s="255" t="s">
        <v>480</v>
      </c>
      <c r="B9" s="276"/>
      <c r="C9" s="749">
        <f>Rents!M14*12</f>
        <v>1454304</v>
      </c>
      <c r="D9" s="750">
        <f>IF(C9=0,"",C9/Rents!$F$14)</f>
        <v>12537.10345</v>
      </c>
      <c r="E9" s="751">
        <f>IF(C9=0,"",C9/Rents!$G$14)</f>
        <v>20.2239466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ht="12.75" customHeight="1">
      <c r="A10" s="255" t="s">
        <v>365</v>
      </c>
      <c r="B10" s="276"/>
      <c r="C10" s="752">
        <f>Rents!T126</f>
        <v>181908</v>
      </c>
      <c r="D10" s="750">
        <f>IF(C10=0,"",C10/Rents!$F$14)</f>
        <v>1568.172414</v>
      </c>
      <c r="E10" s="751">
        <f>IF(C10=0,"",C10/Rents!$G$14)</f>
        <v>2.529662078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ht="12.75" customHeight="1">
      <c r="A11" s="255" t="s">
        <v>481</v>
      </c>
      <c r="B11" s="753">
        <v>40.0</v>
      </c>
      <c r="C11" s="754">
        <f>B11*Rents!F14*12</f>
        <v>55680</v>
      </c>
      <c r="D11" s="750">
        <f>IF(C11=0,"",C11/Rents!$F$14)</f>
        <v>480</v>
      </c>
      <c r="E11" s="751">
        <f>IF(C11=0,"",C11/Rents!$G$14)</f>
        <v>0.7743012098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ht="12.75" customHeight="1">
      <c r="A12" s="325" t="s">
        <v>341</v>
      </c>
      <c r="B12" s="793"/>
      <c r="C12" s="886">
        <f>Rents!D45-'Debt &amp; Valuation'!C20</f>
        <v>210838.4649</v>
      </c>
      <c r="D12" s="795"/>
      <c r="E12" s="796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ht="12.75" customHeight="1">
      <c r="A13" s="755" t="s">
        <v>482</v>
      </c>
      <c r="B13" s="254"/>
      <c r="C13" s="756">
        <f>SUM(C9:C12)</f>
        <v>1902730.465</v>
      </c>
      <c r="D13" s="757">
        <f>IF(C13=0,"",C13/Rents!$F$14)</f>
        <v>16402.84884</v>
      </c>
      <c r="E13" s="758">
        <f>IF(C13=0,"",C13/Rents!$G$14)</f>
        <v>26.45988687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ht="12.75" customHeight="1">
      <c r="A14" s="3"/>
      <c r="B14" s="71"/>
      <c r="C14" s="749"/>
      <c r="D14" s="750"/>
      <c r="E14" s="75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ht="12.75" customHeight="1">
      <c r="A15" s="255" t="s">
        <v>483</v>
      </c>
      <c r="B15" s="759">
        <v>0.05</v>
      </c>
      <c r="C15" s="749">
        <f t="shared" ref="C15:C16" si="1">-C9*B15</f>
        <v>-72715.2</v>
      </c>
      <c r="D15" s="750">
        <f>IF(C15=0,"",C15/Rents!$F$14)</f>
        <v>-626.8551724</v>
      </c>
      <c r="E15" s="751">
        <f>IF(C15=0,"",C15/Rents!$G$14)</f>
        <v>-1.01119733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ht="12.75" customHeight="1">
      <c r="A16" s="255" t="s">
        <v>484</v>
      </c>
      <c r="B16" s="759">
        <v>0.05</v>
      </c>
      <c r="C16" s="749">
        <f t="shared" si="1"/>
        <v>-9095.4</v>
      </c>
      <c r="D16" s="750">
        <f>IF(C16=0,"",C16/Rents!$F$14)</f>
        <v>-78.40862069</v>
      </c>
      <c r="E16" s="751">
        <f>IF(C16=0,"",C16/Rents!$G$14)</f>
        <v>-0.1264831039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ht="12.75" customHeight="1">
      <c r="A17" s="255" t="s">
        <v>485</v>
      </c>
      <c r="B17" s="759">
        <v>0.05</v>
      </c>
      <c r="C17" s="749">
        <f t="shared" ref="C17:C18" si="2">-B17*C11</f>
        <v>-2784</v>
      </c>
      <c r="D17" s="750">
        <f>IF(C17=0,"",C17/Rents!$F$14)</f>
        <v>-24</v>
      </c>
      <c r="E17" s="751">
        <f>IF(C17=0,"",C17/Rents!$G$14)</f>
        <v>-0.03871506049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ht="12.75" customHeight="1">
      <c r="A18" s="325" t="s">
        <v>595</v>
      </c>
      <c r="B18" s="887">
        <v>0.05</v>
      </c>
      <c r="C18" s="888">
        <f t="shared" si="2"/>
        <v>-10541.92325</v>
      </c>
      <c r="D18" s="795">
        <f>IF(C18=0,"",C18/Rents!$F$14)</f>
        <v>-90.87864866</v>
      </c>
      <c r="E18" s="796">
        <f>IF(C18=0,"",C18/Rents!$G$14)</f>
        <v>-0.1465988492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ht="12.75" customHeight="1">
      <c r="A19" s="760" t="s">
        <v>486</v>
      </c>
      <c r="B19" s="761"/>
      <c r="C19" s="762">
        <f>SUM(C15:C18)</f>
        <v>-95136.52325</v>
      </c>
      <c r="D19" s="763">
        <f>IF(C19=0,"",C19/Rents!$F$14)</f>
        <v>-820.1424418</v>
      </c>
      <c r="E19" s="764">
        <f>IF(C19=0,"",C19/Rents!$G$14)</f>
        <v>-1.322994344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ht="12.75" customHeight="1">
      <c r="A20" s="755"/>
      <c r="B20" s="254"/>
      <c r="C20" s="749"/>
      <c r="D20" s="750"/>
      <c r="E20" s="75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ht="12.75" customHeight="1">
      <c r="A21" s="765" t="s">
        <v>487</v>
      </c>
      <c r="B21" s="766"/>
      <c r="C21" s="767">
        <f>C13+C19</f>
        <v>1807593.942</v>
      </c>
      <c r="D21" s="768">
        <f>IF(C21=0,"",C21/Rents!$F$14)</f>
        <v>15582.70639</v>
      </c>
      <c r="E21" s="769">
        <f>IF(C21=0,"",C21/Rents!$G$14)</f>
        <v>25.13689253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ht="12.75" customHeight="1">
      <c r="A22" s="3"/>
      <c r="B22" s="657"/>
      <c r="C22" s="770"/>
      <c r="D22" s="750"/>
      <c r="E22" s="75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ht="12.75" customHeight="1">
      <c r="A23" s="276" t="s">
        <v>488</v>
      </c>
      <c r="B23" s="759">
        <v>0.06</v>
      </c>
      <c r="C23" s="771">
        <f>C21*B23</f>
        <v>108455.6365</v>
      </c>
      <c r="D23" s="750">
        <f>IF(C23=0,"",C23/Rents!$F$14)</f>
        <v>934.9623836</v>
      </c>
      <c r="E23" s="751">
        <f>IF(C23=0,"",C23/Rents!$G$14)</f>
        <v>1.508213552</v>
      </c>
      <c r="F23" s="3"/>
      <c r="G23" s="3"/>
      <c r="H23" s="772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ht="12.75" customHeight="1">
      <c r="A24" s="255" t="s">
        <v>127</v>
      </c>
      <c r="B24" s="773"/>
      <c r="C24" s="774">
        <v>101500.0</v>
      </c>
      <c r="D24" s="750">
        <f>IF(C24=0,"",C24/Rents!$F$14)</f>
        <v>875</v>
      </c>
      <c r="E24" s="751">
        <f>IF(C24=0,"",C24/Rents!$G$14)</f>
        <v>1.41148658</v>
      </c>
      <c r="F24" s="3"/>
      <c r="G24" s="3"/>
      <c r="H24" s="772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ht="12.75" customHeight="1">
      <c r="A25" s="255" t="s">
        <v>129</v>
      </c>
      <c r="B25" s="773"/>
      <c r="C25" s="774">
        <v>0.0</v>
      </c>
      <c r="D25" s="750" t="str">
        <f>IF(C25=0,"",C25/Rents!$F$14)</f>
        <v/>
      </c>
      <c r="E25" s="751" t="str">
        <f>IF(C25=0,"",C25/Rents!$G$14)</f>
        <v/>
      </c>
      <c r="F25" s="775"/>
      <c r="G25" s="3"/>
      <c r="H25" s="772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ht="12.75" customHeight="1">
      <c r="A26" s="255" t="s">
        <v>489</v>
      </c>
      <c r="B26" s="773"/>
      <c r="C26" s="771">
        <f>MAX('Debt &amp; Valuation'!C20-Rents!D45,0)</f>
        <v>0</v>
      </c>
      <c r="D26" s="750" t="str">
        <f>IF(C26=0,"",C26/Rents!$F$14)</f>
        <v/>
      </c>
      <c r="E26" s="751" t="str">
        <f>IF(C26=0,"",C26/Rents!$G$14)</f>
        <v/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ht="12.75" customHeight="1">
      <c r="A27" s="255"/>
      <c r="B27" s="773"/>
      <c r="C27" s="770"/>
      <c r="D27" s="750" t="str">
        <f>IF(C27=0,"",C27/Rents!$F$14)</f>
        <v/>
      </c>
      <c r="E27" s="751" t="str">
        <f>IF(C27=0,"",C27/Rents!$G$14)</f>
        <v/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ht="12.75" customHeight="1">
      <c r="A28" s="255" t="s">
        <v>490</v>
      </c>
      <c r="C28" s="776">
        <v>2000.0</v>
      </c>
      <c r="D28" s="750">
        <f>IF(C28=0,"",C28/Rents!$F$14)</f>
        <v>17.24137931</v>
      </c>
      <c r="E28" s="751">
        <f>IF(C28=0,"",C28/Rents!$G$14)</f>
        <v>0.02781254346</v>
      </c>
      <c r="F28" s="3"/>
      <c r="G28" s="777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ht="12.75" customHeight="1">
      <c r="A29" s="255" t="s">
        <v>130</v>
      </c>
      <c r="C29" s="776">
        <v>28000.0</v>
      </c>
      <c r="D29" s="750">
        <f>IF(C29=0,"",C29/Rents!$F$14)</f>
        <v>241.3793103</v>
      </c>
      <c r="E29" s="751">
        <f>IF(C29=0,"",C29/Rents!$G$14)</f>
        <v>0.3893756084</v>
      </c>
      <c r="F29" s="3"/>
      <c r="G29" s="777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ht="12.75" customHeight="1">
      <c r="A30" s="255" t="s">
        <v>175</v>
      </c>
      <c r="C30" s="776">
        <v>16600.0</v>
      </c>
      <c r="D30" s="750">
        <f>IF(C30=0,"",C30/Rents!$F$14)</f>
        <v>143.1034483</v>
      </c>
      <c r="E30" s="751">
        <f>IF(C30=0,"",C30/Rents!$G$14)</f>
        <v>0.2308441107</v>
      </c>
      <c r="F30" s="3"/>
      <c r="G30" s="77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ht="12.75" customHeight="1">
      <c r="A31" s="255" t="s">
        <v>491</v>
      </c>
      <c r="C31" s="776">
        <v>2200.0</v>
      </c>
      <c r="D31" s="750">
        <f>IF(C31=0,"",C31/Rents!$F$14)</f>
        <v>18.96551724</v>
      </c>
      <c r="E31" s="751">
        <f>IF(C31=0,"",C31/Rents!$G$14)</f>
        <v>0.0305937978</v>
      </c>
      <c r="F31" s="3"/>
      <c r="G31" s="777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ht="12.75" customHeight="1">
      <c r="A32" s="255" t="s">
        <v>492</v>
      </c>
      <c r="C32" s="776">
        <v>55000.0</v>
      </c>
      <c r="D32" s="750">
        <f>IF(C32=0,"",C32/Rents!$F$14)</f>
        <v>474.137931</v>
      </c>
      <c r="E32" s="751">
        <f>IF(C32=0,"",C32/Rents!$G$14)</f>
        <v>0.7648449451</v>
      </c>
      <c r="F32" s="3"/>
      <c r="G32" s="777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ht="12.75" customHeight="1">
      <c r="A33" s="255" t="s">
        <v>493</v>
      </c>
      <c r="C33" s="776">
        <v>1000.0</v>
      </c>
      <c r="D33" s="750">
        <f>IF(C33=0,"",C33/Rents!$F$14)</f>
        <v>8.620689655</v>
      </c>
      <c r="E33" s="751">
        <f>IF(C33=0,"",C33/Rents!$G$14)</f>
        <v>0.01390627173</v>
      </c>
      <c r="F33" s="3"/>
      <c r="G33" s="778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ht="12.75" customHeight="1">
      <c r="A34" s="255" t="s">
        <v>494</v>
      </c>
      <c r="B34" s="779"/>
      <c r="C34" s="780">
        <v>12600.0</v>
      </c>
      <c r="D34" s="750">
        <f>IF(C34=0,"",C34/Rents!$F$14)</f>
        <v>108.6206897</v>
      </c>
      <c r="E34" s="751">
        <f>IF(C34=0,"",C34/Rents!$G$14)</f>
        <v>0.1752190238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ht="12.75" customHeight="1">
      <c r="A35" s="765" t="s">
        <v>495</v>
      </c>
      <c r="B35" s="781"/>
      <c r="C35" s="782">
        <f>SUM(C28:C34)</f>
        <v>117400</v>
      </c>
      <c r="D35" s="768">
        <f>IF(C35=0,"",C35/Rents!$F$14)</f>
        <v>1012.068966</v>
      </c>
      <c r="E35" s="769">
        <f>IF(C35=0,"",C35/Rents!$G$14)</f>
        <v>1.632596301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ht="12.75" customHeight="1">
      <c r="A36" s="255"/>
      <c r="B36" s="773"/>
      <c r="C36" s="770"/>
      <c r="D36" s="750" t="str">
        <f>IF(C36=0,"",C36/Rents!$F$14)</f>
        <v/>
      </c>
      <c r="E36" s="751" t="str">
        <f>IF(C36=0,"",C36/Rents!$G$14)</f>
        <v/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ht="12.75" customHeight="1">
      <c r="A37" s="255" t="s">
        <v>496</v>
      </c>
      <c r="C37" s="783">
        <v>90000.0</v>
      </c>
      <c r="D37" s="750">
        <f>IF(C37=0,"",C37/Rents!$F$14)</f>
        <v>775.862069</v>
      </c>
      <c r="E37" s="751">
        <f>IF(C37=0,"",C37/Rents!$G$14)</f>
        <v>1.251564456</v>
      </c>
      <c r="F37" s="3"/>
      <c r="G37" s="784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ht="12.75" customHeight="1">
      <c r="A38" s="255" t="s">
        <v>497</v>
      </c>
      <c r="C38" s="785">
        <v>3300.0</v>
      </c>
      <c r="D38" s="750">
        <f>IF(C38=0,"",C38/Rents!$F$14)</f>
        <v>28.44827586</v>
      </c>
      <c r="E38" s="751">
        <f>IF(C38=0,"",C38/Rents!$G$14)</f>
        <v>0.0458906967</v>
      </c>
      <c r="F38" s="3"/>
      <c r="G38" s="784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ht="12.75" customHeight="1">
      <c r="A39" s="255" t="s">
        <v>498</v>
      </c>
      <c r="C39" s="785">
        <v>90000.0</v>
      </c>
      <c r="D39" s="750">
        <f>IF(C39=0,"",C39/Rents!$F$14)</f>
        <v>775.862069</v>
      </c>
      <c r="E39" s="751">
        <f>IF(C39=0,"",C39/Rents!$G$14)</f>
        <v>1.251564456</v>
      </c>
      <c r="F39" s="3"/>
      <c r="G39" s="784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ht="12.75" customHeight="1">
      <c r="A40" s="255" t="s">
        <v>499</v>
      </c>
      <c r="C40" s="785">
        <v>12000.0</v>
      </c>
      <c r="D40" s="750">
        <f>IF(C40=0,"",C40/Rents!$F$14)</f>
        <v>103.4482759</v>
      </c>
      <c r="E40" s="751">
        <f>IF(C40=0,"",C40/Rents!$G$14)</f>
        <v>0.1668752607</v>
      </c>
      <c r="F40" s="3"/>
      <c r="G40" s="784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ht="12.75" customHeight="1">
      <c r="A41" s="255" t="s">
        <v>500</v>
      </c>
      <c r="C41" s="785">
        <v>10000.0</v>
      </c>
      <c r="D41" s="750">
        <f>IF(C41=0,"",C41/Rents!$F$14)</f>
        <v>86.20689655</v>
      </c>
      <c r="E41" s="751">
        <f>IF(C41=0,"",C41/Rents!$G$14)</f>
        <v>0.1390627173</v>
      </c>
      <c r="F41" s="3"/>
      <c r="G41" s="786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ht="12.75" customHeight="1">
      <c r="A42" s="765" t="s">
        <v>501</v>
      </c>
      <c r="B42" s="781"/>
      <c r="C42" s="782">
        <f>SUM(C37:C41)</f>
        <v>205300</v>
      </c>
      <c r="D42" s="768">
        <f>IF(C42=0,"",C42/Rents!$F$14)</f>
        <v>1769.827586</v>
      </c>
      <c r="E42" s="769">
        <f>IF(C42=0,"",C42/Rents!$G$14)</f>
        <v>2.854957586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ht="12.75" customHeight="1">
      <c r="A43" s="3"/>
      <c r="B43" s="773"/>
      <c r="C43" s="770"/>
      <c r="D43" s="750" t="str">
        <f>IF(C43=0,"",C43/Rents!$F$14)</f>
        <v/>
      </c>
      <c r="E43" s="751" t="str">
        <f>IF(C43=0,"",C43/Rents!$G$14)</f>
        <v/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ht="12.75" customHeight="1">
      <c r="A44" s="255" t="s">
        <v>502</v>
      </c>
      <c r="C44" s="776">
        <v>0.0</v>
      </c>
      <c r="D44" s="750" t="str">
        <f>IF(C44=0,"",C44/Rents!$F$14)</f>
        <v/>
      </c>
      <c r="E44" s="751" t="str">
        <f>IF(C44=0,"",C44/Rents!$G$14)</f>
        <v/>
      </c>
      <c r="F44" s="3"/>
      <c r="G44" s="777"/>
      <c r="H44" s="3"/>
      <c r="I44" s="3"/>
      <c r="J44" s="3"/>
      <c r="K44" s="3"/>
      <c r="L44" s="663" t="s">
        <v>503</v>
      </c>
      <c r="M44" s="663" t="s">
        <v>504</v>
      </c>
      <c r="N44" s="663" t="s">
        <v>505</v>
      </c>
      <c r="O44" s="3"/>
      <c r="P44" s="3"/>
      <c r="Q44" s="3"/>
      <c r="R44" s="3"/>
      <c r="S44" s="3"/>
      <c r="T44" s="3"/>
      <c r="U44" s="3"/>
      <c r="V44" s="3"/>
      <c r="W44" s="3"/>
    </row>
    <row r="45" ht="12.75" customHeight="1">
      <c r="A45" s="255" t="s">
        <v>506</v>
      </c>
      <c r="C45" s="787">
        <v>21980.0</v>
      </c>
      <c r="D45" s="750">
        <f>IF(C45=0,"",C45/Rents!$F$14)</f>
        <v>189.4827586</v>
      </c>
      <c r="E45" s="751">
        <f>IF(C45=0,"",C45/Rents!$G$14)</f>
        <v>0.3056598526</v>
      </c>
      <c r="F45" s="3"/>
      <c r="G45" s="777"/>
      <c r="H45" s="3"/>
      <c r="I45" s="3"/>
      <c r="J45" s="3"/>
      <c r="K45" s="475" t="s">
        <v>244</v>
      </c>
      <c r="L45" s="471">
        <f>Rents!D50</f>
        <v>29</v>
      </c>
      <c r="M45" s="71">
        <v>1.0</v>
      </c>
      <c r="N45" s="71">
        <f t="shared" ref="N45:N48" si="3">L45*M45</f>
        <v>29</v>
      </c>
      <c r="O45" s="3"/>
      <c r="P45" s="3"/>
      <c r="Q45" s="3"/>
      <c r="R45" s="3"/>
      <c r="S45" s="3"/>
      <c r="T45" s="3"/>
      <c r="U45" s="3"/>
      <c r="V45" s="3"/>
      <c r="W45" s="3"/>
    </row>
    <row r="46" ht="12.75" customHeight="1">
      <c r="A46" s="255" t="s">
        <v>507</v>
      </c>
      <c r="B46" s="657"/>
      <c r="C46" s="787">
        <v>35325.0</v>
      </c>
      <c r="D46" s="788">
        <f>IF(C46=0,"",C46/Rents!$F$14)</f>
        <v>304.5258621</v>
      </c>
      <c r="E46" s="751">
        <f>IF(C46=0,"",C46/Rents!$G$14)</f>
        <v>0.4912390488</v>
      </c>
      <c r="F46" s="3"/>
      <c r="G46" s="777"/>
      <c r="H46" s="3"/>
      <c r="I46" s="3"/>
      <c r="J46" s="3"/>
      <c r="K46" s="475" t="s">
        <v>328</v>
      </c>
      <c r="L46" s="471">
        <f>Rents!D51</f>
        <v>52</v>
      </c>
      <c r="M46" s="71">
        <v>1.0</v>
      </c>
      <c r="N46" s="71">
        <f t="shared" si="3"/>
        <v>52</v>
      </c>
      <c r="O46" s="3"/>
      <c r="P46" s="3"/>
      <c r="Q46" s="3"/>
      <c r="R46" s="3"/>
      <c r="S46" s="3"/>
      <c r="T46" s="3"/>
      <c r="U46" s="3"/>
      <c r="V46" s="3"/>
      <c r="W46" s="3"/>
    </row>
    <row r="47" ht="12.75" customHeight="1">
      <c r="A47" s="255" t="s">
        <v>338</v>
      </c>
      <c r="C47" s="776">
        <v>20410.0</v>
      </c>
      <c r="D47" s="750">
        <f>IF(C47=0,"",C47/Rents!$F$14)</f>
        <v>175.9482759</v>
      </c>
      <c r="E47" s="751">
        <f>IF(C47=0,"",C47/Rents!$G$14)</f>
        <v>0.283827006</v>
      </c>
      <c r="F47" s="3"/>
      <c r="G47" s="777"/>
      <c r="H47" s="3"/>
      <c r="I47" s="3"/>
      <c r="J47" s="3"/>
      <c r="K47" s="475" t="s">
        <v>329</v>
      </c>
      <c r="L47" s="471">
        <f>Rents!D52</f>
        <v>29</v>
      </c>
      <c r="M47" s="71">
        <v>2.0</v>
      </c>
      <c r="N47" s="71">
        <f t="shared" si="3"/>
        <v>58</v>
      </c>
      <c r="O47" s="3"/>
      <c r="P47" s="3"/>
      <c r="Q47" s="3"/>
      <c r="R47" s="3"/>
      <c r="S47" s="3"/>
      <c r="T47" s="3"/>
      <c r="U47" s="3"/>
      <c r="V47" s="3"/>
      <c r="W47" s="3"/>
    </row>
    <row r="48" ht="12.75" customHeight="1">
      <c r="A48" s="255" t="s">
        <v>339</v>
      </c>
      <c r="C48" s="776">
        <v>20410.0</v>
      </c>
      <c r="D48" s="750">
        <f>IF(C48=0,"",C48/Rents!$F$14)</f>
        <v>175.9482759</v>
      </c>
      <c r="E48" s="751">
        <f>IF(C48=0,"",C48/Rents!$G$14)</f>
        <v>0.283827006</v>
      </c>
      <c r="F48" s="3"/>
      <c r="G48" s="778"/>
      <c r="H48" s="3"/>
      <c r="I48" s="3"/>
      <c r="J48" s="3"/>
      <c r="K48" s="663" t="s">
        <v>330</v>
      </c>
      <c r="L48" s="471">
        <f>Rents!D53</f>
        <v>6</v>
      </c>
      <c r="M48" s="71">
        <v>3.0</v>
      </c>
      <c r="N48" s="71">
        <f t="shared" si="3"/>
        <v>18</v>
      </c>
      <c r="O48" s="3"/>
      <c r="P48" s="3"/>
      <c r="Q48" s="3"/>
      <c r="R48" s="3"/>
      <c r="S48" s="3"/>
      <c r="T48" s="3"/>
      <c r="U48" s="3"/>
      <c r="V48" s="3"/>
      <c r="W48" s="3"/>
    </row>
    <row r="49" ht="12.75" customHeight="1">
      <c r="A49" s="765" t="s">
        <v>508</v>
      </c>
      <c r="B49" s="781"/>
      <c r="C49" s="782">
        <f>SUM(C44:C48)</f>
        <v>98125</v>
      </c>
      <c r="D49" s="768">
        <f>IF(C49=0,"",C49/Rents!$F$14)</f>
        <v>845.9051724</v>
      </c>
      <c r="E49" s="769">
        <f>IF(C49=0,"",C49/Rents!$G$14)</f>
        <v>1.364552913</v>
      </c>
      <c r="F49" s="3"/>
      <c r="G49" s="3"/>
      <c r="H49" s="3"/>
      <c r="I49" s="3"/>
      <c r="J49" s="3"/>
      <c r="K49" s="789" t="s">
        <v>202</v>
      </c>
      <c r="L49" s="790">
        <f>SUM(L45:L48)</f>
        <v>116</v>
      </c>
      <c r="M49" s="791"/>
      <c r="N49" s="65">
        <f>SUM(N45:N48)</f>
        <v>157</v>
      </c>
      <c r="O49" s="3"/>
      <c r="P49" s="3"/>
      <c r="Q49" s="3"/>
      <c r="R49" s="3"/>
      <c r="S49" s="3"/>
      <c r="T49" s="3"/>
      <c r="U49" s="3"/>
      <c r="V49" s="3"/>
      <c r="W49" s="3"/>
    </row>
    <row r="50" ht="12.75" customHeight="1">
      <c r="A50" s="255"/>
      <c r="B50" s="773"/>
      <c r="C50" s="770"/>
      <c r="D50" s="750"/>
      <c r="E50" s="75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ht="12.75" customHeight="1">
      <c r="A51" s="255" t="s">
        <v>509</v>
      </c>
      <c r="B51" s="773"/>
      <c r="C51" s="776">
        <v>0.0</v>
      </c>
      <c r="D51" s="750" t="str">
        <f>IF(C51=0,"",C51/Rents!$F$14)</f>
        <v/>
      </c>
      <c r="E51" s="751" t="str">
        <f>IF(C51=0,"",C51/Rents!$G$14)</f>
        <v/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ht="12.75" customHeight="1">
      <c r="A52" s="255"/>
      <c r="B52" s="773"/>
      <c r="C52" s="770"/>
      <c r="D52" s="750" t="str">
        <f>IF(C52=0,"",C52/Rents!$F$14)</f>
        <v/>
      </c>
      <c r="E52" s="751" t="str">
        <f>IF(C52=0,"",C52/Rents!$G$14)</f>
        <v/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ht="12.75" customHeight="1">
      <c r="A53" s="255" t="s">
        <v>510</v>
      </c>
      <c r="C53" s="776">
        <v>1800.0</v>
      </c>
      <c r="D53" s="750">
        <f>IF(C53=0,"",C53/Rents!$F$14)</f>
        <v>15.51724138</v>
      </c>
      <c r="E53" s="751">
        <f>IF(C53=0,"",C53/Rents!$G$14)</f>
        <v>0.02503128911</v>
      </c>
      <c r="F53" s="3"/>
      <c r="G53" s="777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ht="12.75" customHeight="1">
      <c r="A54" s="255" t="s">
        <v>511</v>
      </c>
      <c r="C54" s="776">
        <v>93000.0</v>
      </c>
      <c r="D54" s="750">
        <f>IF(C54=0,"",C54/Rents!$F$14)</f>
        <v>801.7241379</v>
      </c>
      <c r="E54" s="751">
        <f>IF(C54=0,"",C54/Rents!$G$14)</f>
        <v>1.293283271</v>
      </c>
      <c r="F54" s="3"/>
      <c r="G54" s="7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ht="12.75" customHeight="1">
      <c r="A55" s="255" t="s">
        <v>512</v>
      </c>
      <c r="C55" s="776">
        <v>15000.0</v>
      </c>
      <c r="D55" s="750">
        <f>IF(C55=0,"",C55/Rents!$F$14)</f>
        <v>129.3103448</v>
      </c>
      <c r="E55" s="751">
        <f>IF(C55=0,"",C55/Rents!$G$14)</f>
        <v>0.2085940759</v>
      </c>
      <c r="F55" s="3"/>
      <c r="G55" s="7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ht="12.75" customHeight="1">
      <c r="A56" s="255" t="s">
        <v>513</v>
      </c>
      <c r="C56" s="776">
        <f>135*N49</f>
        <v>21195</v>
      </c>
      <c r="D56" s="750">
        <f>IF(C56=0,"",C56/Rents!$F$14)</f>
        <v>182.7155172</v>
      </c>
      <c r="E56" s="751">
        <f>IF(C56=0,"",C56/Rents!$G$14)</f>
        <v>0.2947434293</v>
      </c>
      <c r="F56" s="3"/>
      <c r="G56" s="777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ht="12.75" customHeight="1">
      <c r="A57" s="255" t="s">
        <v>514</v>
      </c>
      <c r="C57" s="776">
        <v>11000.0</v>
      </c>
      <c r="D57" s="750">
        <f>IF(C57=0,"",C57/Rents!$F$14)</f>
        <v>94.82758621</v>
      </c>
      <c r="E57" s="751">
        <f>IF(C57=0,"",C57/Rents!$G$14)</f>
        <v>0.152968989</v>
      </c>
      <c r="F57" s="3"/>
      <c r="G57" s="777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ht="12.75" customHeight="1">
      <c r="A58" s="255" t="s">
        <v>515</v>
      </c>
      <c r="C58" s="776">
        <f>7500*2</f>
        <v>15000</v>
      </c>
      <c r="D58" s="750">
        <f>IF(C58=0,"",C58/Rents!$F$14)</f>
        <v>129.3103448</v>
      </c>
      <c r="E58" s="751">
        <f>IF(C58=0,"",C58/Rents!$G$14)</f>
        <v>0.2085940759</v>
      </c>
      <c r="F58" s="3"/>
      <c r="G58" s="777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ht="12.75" customHeight="1">
      <c r="A59" s="255" t="s">
        <v>516</v>
      </c>
      <c r="C59" s="776">
        <v>2000.0</v>
      </c>
      <c r="D59" s="750">
        <f>IF(C59=0,"",C59/Rents!$F$14)</f>
        <v>17.24137931</v>
      </c>
      <c r="E59" s="751">
        <f>IF(C59=0,"",C59/Rents!$G$14)</f>
        <v>0.02781254346</v>
      </c>
      <c r="F59" s="3"/>
      <c r="G59" s="778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ht="12.75" customHeight="1">
      <c r="A60" s="765" t="s">
        <v>517</v>
      </c>
      <c r="B60" s="781"/>
      <c r="C60" s="782">
        <f>SUM(C53:C59)</f>
        <v>158995</v>
      </c>
      <c r="D60" s="768">
        <f>IF(C60=0,"",C60/Rents!$F$14)</f>
        <v>1370.646552</v>
      </c>
      <c r="E60" s="769">
        <f>IF(C60=0,"",C60/Rents!$G$14)</f>
        <v>2.211027673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ht="12.75" customHeight="1">
      <c r="A61" s="255"/>
      <c r="B61" s="792"/>
      <c r="C61" s="770"/>
      <c r="D61" s="750"/>
      <c r="E61" s="75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ht="12.75" customHeight="1">
      <c r="A62" s="255" t="s">
        <v>518</v>
      </c>
      <c r="B62" s="792"/>
      <c r="C62" s="776">
        <v>0.0</v>
      </c>
      <c r="D62" s="750" t="str">
        <f>IF(C62=0,"",C62/Rents!$F$14)</f>
        <v/>
      </c>
      <c r="E62" s="751" t="str">
        <f>IF(C62=0,"",C62/Rents!$G$14)</f>
        <v/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ht="12.75" customHeight="1">
      <c r="A63" s="255" t="s">
        <v>519</v>
      </c>
      <c r="B63" s="276"/>
      <c r="C63" s="776">
        <v>0.0</v>
      </c>
      <c r="D63" s="750" t="str">
        <f>IF(C63=0,"",C63/Rents!$F$14)</f>
        <v/>
      </c>
      <c r="E63" s="751" t="str">
        <f>IF(C63=0,"",C63/Rents!$G$14)</f>
        <v/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ht="12.75" customHeight="1">
      <c r="A64" s="793" t="s">
        <v>520</v>
      </c>
      <c r="B64" s="793"/>
      <c r="C64" s="794">
        <v>0.0</v>
      </c>
      <c r="D64" s="795" t="str">
        <f>IF(C64=0,"",C64/Rents!$F$14)</f>
        <v/>
      </c>
      <c r="E64" s="796" t="str">
        <f>IF(C64=0,"",C64/Rents!$G$14)</f>
        <v/>
      </c>
      <c r="F64" s="3"/>
      <c r="G64" s="3"/>
      <c r="H64" s="710">
        <v>0.0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ht="12.75" customHeight="1">
      <c r="A65" s="755" t="s">
        <v>521</v>
      </c>
      <c r="B65" s="327"/>
      <c r="C65" s="797">
        <f>SUM(C23:C26,C35,C42,C49,C60)</f>
        <v>789775.6365</v>
      </c>
      <c r="D65" s="757">
        <f>IF(C65=0,"",C65/Rents!$F$14)</f>
        <v>6808.410659</v>
      </c>
      <c r="E65" s="758">
        <f>IF(C65=0,"",C65/Rents!$G$14)</f>
        <v>10.98283461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ht="12.75" customHeight="1">
      <c r="A66" s="255"/>
      <c r="B66" s="276"/>
      <c r="C66" s="770"/>
      <c r="D66" s="750" t="str">
        <f>IF(C66=0,"",C66/Rents!$F$14)</f>
        <v/>
      </c>
      <c r="E66" s="751" t="str">
        <f>IF(C66=0,"",C66/Rents!$G$14)</f>
        <v/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ht="12.75" customHeight="1">
      <c r="A67" s="255" t="s">
        <v>522</v>
      </c>
      <c r="B67" s="276"/>
      <c r="C67" s="770"/>
      <c r="D67" s="750" t="str">
        <f>IF(C67=0,"",C67/Rents!$F$14)</f>
        <v/>
      </c>
      <c r="E67" s="751" t="str">
        <f>IF(C67=0,"",C67/Rents!$G$14)</f>
        <v/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ht="12.75" customHeight="1">
      <c r="A68" s="325" t="s">
        <v>183</v>
      </c>
      <c r="B68" s="798">
        <v>300.0</v>
      </c>
      <c r="C68" s="799">
        <f>B68*Rents!F14</f>
        <v>34800</v>
      </c>
      <c r="D68" s="795">
        <f>IF(C68=0,"",C68/Rents!$F$14)</f>
        <v>300</v>
      </c>
      <c r="E68" s="796">
        <f>IF(C68=0,"",C68/Rents!$G$14)</f>
        <v>0.4839382562</v>
      </c>
      <c r="F68" s="3"/>
      <c r="G68" s="798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ht="12.75" customHeight="1">
      <c r="A69" s="755" t="s">
        <v>523</v>
      </c>
      <c r="B69" s="327"/>
      <c r="C69" s="797">
        <f>C65+C68</f>
        <v>824575.6365</v>
      </c>
      <c r="D69" s="757">
        <f>IF(C69=0,"",C69/Rents!$F$14)</f>
        <v>7108.410659</v>
      </c>
      <c r="E69" s="758">
        <f>IF(C69=0,"",C69/Rents!$G$14)</f>
        <v>11.46677286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ht="12.75" customHeight="1">
      <c r="A70" s="325"/>
      <c r="B70" s="793"/>
      <c r="C70" s="799"/>
      <c r="D70" s="795"/>
      <c r="E70" s="796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ht="12.75" customHeight="1">
      <c r="A71" s="800" t="s">
        <v>524</v>
      </c>
      <c r="B71" s="801"/>
      <c r="C71" s="802">
        <f>C21-C69</f>
        <v>983018.3052</v>
      </c>
      <c r="D71" s="803">
        <f>IF(C71=0,"",C71/Rents!$F$14)</f>
        <v>8474.295734</v>
      </c>
      <c r="E71" s="748">
        <f>IF(C71=0,"",C71/Rents!$G$14)</f>
        <v>13.67011967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ht="25.5" customHeight="1">
      <c r="A73" s="804"/>
      <c r="B73" s="134"/>
      <c r="C73" s="248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ht="12.75" customHeight="1">
      <c r="A74" s="3"/>
      <c r="B74" s="3"/>
      <c r="C74" s="657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ht="12.75" customHeight="1">
      <c r="A75" s="3"/>
      <c r="B75" s="3"/>
      <c r="C75" s="657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ht="12.75" customHeight="1">
      <c r="A76" s="804"/>
      <c r="B76" s="134"/>
      <c r="C76" s="248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2.63" defaultRowHeight="15.0"/>
  <cols>
    <col customWidth="1" min="1" max="1" width="22.38"/>
    <col customWidth="1" min="2" max="2" width="9.0"/>
    <col customWidth="1" min="3" max="42" width="10.63"/>
  </cols>
  <sheetData>
    <row r="1">
      <c r="A1" s="701" t="s">
        <v>0</v>
      </c>
      <c r="B1" s="3"/>
      <c r="C1" s="3"/>
      <c r="D1" s="3"/>
      <c r="E1" s="3"/>
      <c r="F1" s="745" t="s">
        <v>594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ht="12.75" customHeight="1">
      <c r="A2" s="459" t="s">
        <v>1</v>
      </c>
      <c r="B2" s="3"/>
      <c r="D2" s="460" t="str">
        <f>Summary!D2</f>
        <v>NYU VIDA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</row>
    <row r="3" ht="12.75" customHeight="1">
      <c r="A3" s="459" t="s">
        <v>5</v>
      </c>
      <c r="B3" s="3"/>
      <c r="D3" s="460" t="str">
        <f>Summary!C6</f>
        <v>The Beacon Apartments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 ht="12.75" customHeight="1">
      <c r="A4" s="459" t="s">
        <v>3</v>
      </c>
      <c r="B4" s="3"/>
      <c r="D4" s="461">
        <f>Summary!D3</f>
        <v>45033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 ht="12.75" customHeight="1">
      <c r="A5" s="3"/>
      <c r="B5" s="80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 ht="12.75" customHeight="1">
      <c r="A6" s="666" t="s">
        <v>290</v>
      </c>
      <c r="B6" s="806"/>
      <c r="C6" s="663">
        <v>1.0</v>
      </c>
      <c r="D6" s="663">
        <v>2.0</v>
      </c>
      <c r="E6" s="663">
        <v>3.0</v>
      </c>
      <c r="F6" s="663">
        <v>4.0</v>
      </c>
      <c r="G6" s="663">
        <v>5.0</v>
      </c>
      <c r="H6" s="663">
        <v>6.0</v>
      </c>
      <c r="I6" s="663">
        <v>7.0</v>
      </c>
      <c r="J6" s="663">
        <v>8.0</v>
      </c>
      <c r="K6" s="663">
        <v>9.0</v>
      </c>
      <c r="L6" s="663">
        <v>10.0</v>
      </c>
      <c r="M6" s="663">
        <v>11.0</v>
      </c>
      <c r="N6" s="663">
        <v>12.0</v>
      </c>
      <c r="O6" s="663">
        <v>13.0</v>
      </c>
      <c r="P6" s="663">
        <v>14.0</v>
      </c>
      <c r="Q6" s="807">
        <v>15.0</v>
      </c>
      <c r="R6" s="663">
        <v>16.0</v>
      </c>
      <c r="S6" s="663">
        <v>17.0</v>
      </c>
      <c r="T6" s="663">
        <v>18.0</v>
      </c>
      <c r="U6" s="663">
        <v>19.0</v>
      </c>
      <c r="V6" s="663">
        <v>20.0</v>
      </c>
      <c r="W6" s="663">
        <v>21.0</v>
      </c>
      <c r="X6" s="663">
        <v>22.0</v>
      </c>
      <c r="Y6" s="663">
        <v>23.0</v>
      </c>
      <c r="Z6" s="663">
        <v>24.0</v>
      </c>
      <c r="AA6" s="663">
        <v>25.0</v>
      </c>
      <c r="AB6" s="663">
        <v>26.0</v>
      </c>
      <c r="AC6" s="663">
        <v>27.0</v>
      </c>
      <c r="AD6" s="663">
        <v>28.0</v>
      </c>
      <c r="AE6" s="663">
        <v>29.0</v>
      </c>
      <c r="AF6" s="663">
        <v>30.0</v>
      </c>
      <c r="AG6" s="663">
        <v>31.0</v>
      </c>
      <c r="AH6" s="663">
        <v>32.0</v>
      </c>
      <c r="AI6" s="663">
        <v>33.0</v>
      </c>
      <c r="AJ6" s="663">
        <v>34.0</v>
      </c>
      <c r="AK6" s="663">
        <v>35.0</v>
      </c>
      <c r="AL6" s="663">
        <v>36.0</v>
      </c>
      <c r="AM6" s="663">
        <v>37.0</v>
      </c>
      <c r="AN6" s="663">
        <v>38.0</v>
      </c>
      <c r="AO6" s="663">
        <v>39.0</v>
      </c>
      <c r="AP6" s="663">
        <v>40.0</v>
      </c>
    </row>
    <row r="7" ht="12.75" customHeight="1">
      <c r="A7" s="3" t="s">
        <v>480</v>
      </c>
      <c r="B7" s="808">
        <v>0.0225</v>
      </c>
      <c r="C7" s="705">
        <f>'BY Proforma No Comm '!C9</f>
        <v>1454304</v>
      </c>
      <c r="D7" s="705">
        <f t="shared" ref="D7:AP7" si="1">C7*(1+$B$7)</f>
        <v>1487025.84</v>
      </c>
      <c r="E7" s="705">
        <f t="shared" si="1"/>
        <v>1520483.921</v>
      </c>
      <c r="F7" s="705">
        <f t="shared" si="1"/>
        <v>1554694.81</v>
      </c>
      <c r="G7" s="705">
        <f t="shared" si="1"/>
        <v>1589675.443</v>
      </c>
      <c r="H7" s="705">
        <f t="shared" si="1"/>
        <v>1625443.14</v>
      </c>
      <c r="I7" s="705">
        <f t="shared" si="1"/>
        <v>1662015.611</v>
      </c>
      <c r="J7" s="705">
        <f t="shared" si="1"/>
        <v>1699410.962</v>
      </c>
      <c r="K7" s="705">
        <f t="shared" si="1"/>
        <v>1737647.709</v>
      </c>
      <c r="L7" s="705">
        <f t="shared" si="1"/>
        <v>1776744.782</v>
      </c>
      <c r="M7" s="705">
        <f t="shared" si="1"/>
        <v>1816721.54</v>
      </c>
      <c r="N7" s="705">
        <f t="shared" si="1"/>
        <v>1857597.775</v>
      </c>
      <c r="O7" s="705">
        <f t="shared" si="1"/>
        <v>1899393.724</v>
      </c>
      <c r="P7" s="705">
        <f t="shared" si="1"/>
        <v>1942130.083</v>
      </c>
      <c r="Q7" s="809">
        <f t="shared" si="1"/>
        <v>1985828.01</v>
      </c>
      <c r="R7" s="705">
        <f t="shared" si="1"/>
        <v>2030509.14</v>
      </c>
      <c r="S7" s="705">
        <f t="shared" si="1"/>
        <v>2076195.596</v>
      </c>
      <c r="T7" s="705">
        <f t="shared" si="1"/>
        <v>2122909.997</v>
      </c>
      <c r="U7" s="705">
        <f t="shared" si="1"/>
        <v>2170675.472</v>
      </c>
      <c r="V7" s="705">
        <f t="shared" si="1"/>
        <v>2219515.67</v>
      </c>
      <c r="W7" s="705">
        <f t="shared" si="1"/>
        <v>2269454.773</v>
      </c>
      <c r="X7" s="705">
        <f t="shared" si="1"/>
        <v>2320517.505</v>
      </c>
      <c r="Y7" s="705">
        <f t="shared" si="1"/>
        <v>2372729.149</v>
      </c>
      <c r="Z7" s="705">
        <f t="shared" si="1"/>
        <v>2426115.555</v>
      </c>
      <c r="AA7" s="705">
        <f t="shared" si="1"/>
        <v>2480703.155</v>
      </c>
      <c r="AB7" s="705">
        <f t="shared" si="1"/>
        <v>2536518.976</v>
      </c>
      <c r="AC7" s="705">
        <f t="shared" si="1"/>
        <v>2593590.653</v>
      </c>
      <c r="AD7" s="705">
        <f t="shared" si="1"/>
        <v>2651946.442</v>
      </c>
      <c r="AE7" s="705">
        <f t="shared" si="1"/>
        <v>2711615.237</v>
      </c>
      <c r="AF7" s="705">
        <f t="shared" si="1"/>
        <v>2772626.58</v>
      </c>
      <c r="AG7" s="705">
        <f t="shared" si="1"/>
        <v>2835010.678</v>
      </c>
      <c r="AH7" s="705">
        <f t="shared" si="1"/>
        <v>2898798.418</v>
      </c>
      <c r="AI7" s="705">
        <f t="shared" si="1"/>
        <v>2964021.383</v>
      </c>
      <c r="AJ7" s="705">
        <f t="shared" si="1"/>
        <v>3030711.864</v>
      </c>
      <c r="AK7" s="705">
        <f t="shared" si="1"/>
        <v>3098902.881</v>
      </c>
      <c r="AL7" s="705">
        <f t="shared" si="1"/>
        <v>3168628.196</v>
      </c>
      <c r="AM7" s="705">
        <f t="shared" si="1"/>
        <v>3239922.33</v>
      </c>
      <c r="AN7" s="705">
        <f t="shared" si="1"/>
        <v>3312820.582</v>
      </c>
      <c r="AO7" s="705">
        <f t="shared" si="1"/>
        <v>3387359.046</v>
      </c>
      <c r="AP7" s="705">
        <f t="shared" si="1"/>
        <v>3463574.624</v>
      </c>
    </row>
    <row r="8" ht="12.75" customHeight="1">
      <c r="A8" s="3" t="s">
        <v>365</v>
      </c>
      <c r="B8" s="808"/>
      <c r="C8" s="705">
        <f>'BY Proforma No Comm '!C10</f>
        <v>181908</v>
      </c>
      <c r="D8" s="705">
        <f t="shared" ref="D8:AP8" si="2">C8*(1+$B$7)</f>
        <v>186000.93</v>
      </c>
      <c r="E8" s="705">
        <f t="shared" si="2"/>
        <v>190185.9509</v>
      </c>
      <c r="F8" s="705">
        <f t="shared" si="2"/>
        <v>194465.1348</v>
      </c>
      <c r="G8" s="705">
        <f t="shared" si="2"/>
        <v>198840.6004</v>
      </c>
      <c r="H8" s="705">
        <f t="shared" si="2"/>
        <v>203314.5139</v>
      </c>
      <c r="I8" s="705">
        <f t="shared" si="2"/>
        <v>207889.0904</v>
      </c>
      <c r="J8" s="705">
        <f t="shared" si="2"/>
        <v>212566.595</v>
      </c>
      <c r="K8" s="705">
        <f t="shared" si="2"/>
        <v>217349.3433</v>
      </c>
      <c r="L8" s="705">
        <f t="shared" si="2"/>
        <v>222239.7036</v>
      </c>
      <c r="M8" s="705">
        <f t="shared" si="2"/>
        <v>227240.0969</v>
      </c>
      <c r="N8" s="705">
        <f t="shared" si="2"/>
        <v>232352.9991</v>
      </c>
      <c r="O8" s="705">
        <f t="shared" si="2"/>
        <v>237580.9416</v>
      </c>
      <c r="P8" s="705">
        <f t="shared" si="2"/>
        <v>242926.5127</v>
      </c>
      <c r="Q8" s="809">
        <f t="shared" si="2"/>
        <v>248392.3593</v>
      </c>
      <c r="R8" s="705">
        <f t="shared" si="2"/>
        <v>253981.1874</v>
      </c>
      <c r="S8" s="705">
        <f t="shared" si="2"/>
        <v>259695.7641</v>
      </c>
      <c r="T8" s="705">
        <f t="shared" si="2"/>
        <v>265538.9188</v>
      </c>
      <c r="U8" s="705">
        <f t="shared" si="2"/>
        <v>271513.5444</v>
      </c>
      <c r="V8" s="705">
        <f t="shared" si="2"/>
        <v>277622.5992</v>
      </c>
      <c r="W8" s="705">
        <f t="shared" si="2"/>
        <v>283869.1077</v>
      </c>
      <c r="X8" s="705">
        <f t="shared" si="2"/>
        <v>290256.1626</v>
      </c>
      <c r="Y8" s="705">
        <f t="shared" si="2"/>
        <v>296786.9263</v>
      </c>
      <c r="Z8" s="705">
        <f t="shared" si="2"/>
        <v>303464.6321</v>
      </c>
      <c r="AA8" s="705">
        <f t="shared" si="2"/>
        <v>310292.5863</v>
      </c>
      <c r="AB8" s="705">
        <f t="shared" si="2"/>
        <v>317274.1695</v>
      </c>
      <c r="AC8" s="705">
        <f t="shared" si="2"/>
        <v>324412.8383</v>
      </c>
      <c r="AD8" s="705">
        <f t="shared" si="2"/>
        <v>331712.1272</v>
      </c>
      <c r="AE8" s="705">
        <f t="shared" si="2"/>
        <v>339175.6501</v>
      </c>
      <c r="AF8" s="705">
        <f t="shared" si="2"/>
        <v>346807.1022</v>
      </c>
      <c r="AG8" s="705">
        <f t="shared" si="2"/>
        <v>354610.262</v>
      </c>
      <c r="AH8" s="705">
        <f t="shared" si="2"/>
        <v>362588.9929</v>
      </c>
      <c r="AI8" s="705">
        <f t="shared" si="2"/>
        <v>370747.2452</v>
      </c>
      <c r="AJ8" s="705">
        <f t="shared" si="2"/>
        <v>379089.0582</v>
      </c>
      <c r="AK8" s="705">
        <f t="shared" si="2"/>
        <v>387618.562</v>
      </c>
      <c r="AL8" s="705">
        <f t="shared" si="2"/>
        <v>396339.9797</v>
      </c>
      <c r="AM8" s="705">
        <f t="shared" si="2"/>
        <v>405257.6292</v>
      </c>
      <c r="AN8" s="705">
        <f t="shared" si="2"/>
        <v>414375.9259</v>
      </c>
      <c r="AO8" s="705">
        <f t="shared" si="2"/>
        <v>423699.3842</v>
      </c>
      <c r="AP8" s="705">
        <f t="shared" si="2"/>
        <v>433232.6204</v>
      </c>
    </row>
    <row r="9" ht="12.75" customHeight="1">
      <c r="A9" s="3" t="s">
        <v>481</v>
      </c>
      <c r="B9" s="808"/>
      <c r="C9" s="705">
        <f>'BY Proforma No Comm '!C11</f>
        <v>55680</v>
      </c>
      <c r="D9" s="705">
        <f t="shared" ref="D9:AP9" si="3">C9*(1+$B$7)</f>
        <v>56932.8</v>
      </c>
      <c r="E9" s="705">
        <f t="shared" si="3"/>
        <v>58213.788</v>
      </c>
      <c r="F9" s="705">
        <f t="shared" si="3"/>
        <v>59523.59823</v>
      </c>
      <c r="G9" s="705">
        <f t="shared" si="3"/>
        <v>60862.87919</v>
      </c>
      <c r="H9" s="705">
        <f t="shared" si="3"/>
        <v>62232.29397</v>
      </c>
      <c r="I9" s="705">
        <f t="shared" si="3"/>
        <v>63632.52059</v>
      </c>
      <c r="J9" s="705">
        <f t="shared" si="3"/>
        <v>65064.2523</v>
      </c>
      <c r="K9" s="705">
        <f t="shared" si="3"/>
        <v>66528.19798</v>
      </c>
      <c r="L9" s="705">
        <f t="shared" si="3"/>
        <v>68025.08243</v>
      </c>
      <c r="M9" s="705">
        <f t="shared" si="3"/>
        <v>69555.64679</v>
      </c>
      <c r="N9" s="705">
        <f t="shared" si="3"/>
        <v>71120.64884</v>
      </c>
      <c r="O9" s="705">
        <f t="shared" si="3"/>
        <v>72720.86344</v>
      </c>
      <c r="P9" s="705">
        <f t="shared" si="3"/>
        <v>74357.08286</v>
      </c>
      <c r="Q9" s="809">
        <f t="shared" si="3"/>
        <v>76030.11723</v>
      </c>
      <c r="R9" s="705">
        <f t="shared" si="3"/>
        <v>77740.79487</v>
      </c>
      <c r="S9" s="705">
        <f t="shared" si="3"/>
        <v>79489.96275</v>
      </c>
      <c r="T9" s="705">
        <f t="shared" si="3"/>
        <v>81278.48691</v>
      </c>
      <c r="U9" s="705">
        <f t="shared" si="3"/>
        <v>83107.25287</v>
      </c>
      <c r="V9" s="705">
        <f t="shared" si="3"/>
        <v>84977.16606</v>
      </c>
      <c r="W9" s="705">
        <f t="shared" si="3"/>
        <v>86889.15229</v>
      </c>
      <c r="X9" s="705">
        <f t="shared" si="3"/>
        <v>88844.15822</v>
      </c>
      <c r="Y9" s="705">
        <f t="shared" si="3"/>
        <v>90843.15178</v>
      </c>
      <c r="Z9" s="705">
        <f t="shared" si="3"/>
        <v>92887.1227</v>
      </c>
      <c r="AA9" s="705">
        <f t="shared" si="3"/>
        <v>94977.08296</v>
      </c>
      <c r="AB9" s="705">
        <f t="shared" si="3"/>
        <v>97114.06732</v>
      </c>
      <c r="AC9" s="705">
        <f t="shared" si="3"/>
        <v>99299.13384</v>
      </c>
      <c r="AD9" s="705">
        <f t="shared" si="3"/>
        <v>101533.3643</v>
      </c>
      <c r="AE9" s="705">
        <f t="shared" si="3"/>
        <v>103817.865</v>
      </c>
      <c r="AF9" s="705">
        <f t="shared" si="3"/>
        <v>106153.767</v>
      </c>
      <c r="AG9" s="705">
        <f t="shared" si="3"/>
        <v>108542.2268</v>
      </c>
      <c r="AH9" s="705">
        <f t="shared" si="3"/>
        <v>110984.4269</v>
      </c>
      <c r="AI9" s="705">
        <f t="shared" si="3"/>
        <v>113481.5765</v>
      </c>
      <c r="AJ9" s="705">
        <f t="shared" si="3"/>
        <v>116034.9119</v>
      </c>
      <c r="AK9" s="705">
        <f t="shared" si="3"/>
        <v>118645.6975</v>
      </c>
      <c r="AL9" s="705">
        <f t="shared" si="3"/>
        <v>121315.2257</v>
      </c>
      <c r="AM9" s="705">
        <f t="shared" si="3"/>
        <v>124044.8182</v>
      </c>
      <c r="AN9" s="705">
        <f t="shared" si="3"/>
        <v>126835.8266</v>
      </c>
      <c r="AO9" s="705">
        <f t="shared" si="3"/>
        <v>129689.6327</v>
      </c>
      <c r="AP9" s="705">
        <f t="shared" si="3"/>
        <v>132607.6495</v>
      </c>
    </row>
    <row r="10" ht="12.75" customHeight="1">
      <c r="A10" s="3" t="s">
        <v>341</v>
      </c>
      <c r="B10" s="817"/>
      <c r="C10" s="705">
        <f>'BY Proforma w Comm'!C12</f>
        <v>210838.4649</v>
      </c>
      <c r="D10" s="705">
        <f t="shared" ref="D10:AP10" si="4">C10*(1+$B$7)</f>
        <v>215582.3304</v>
      </c>
      <c r="E10" s="705">
        <f t="shared" si="4"/>
        <v>220432.9328</v>
      </c>
      <c r="F10" s="705">
        <f t="shared" si="4"/>
        <v>225392.6738</v>
      </c>
      <c r="G10" s="705">
        <f t="shared" si="4"/>
        <v>230464.0089</v>
      </c>
      <c r="H10" s="705">
        <f t="shared" si="4"/>
        <v>235649.4491</v>
      </c>
      <c r="I10" s="705">
        <f t="shared" si="4"/>
        <v>240951.5617</v>
      </c>
      <c r="J10" s="705">
        <f t="shared" si="4"/>
        <v>246372.9719</v>
      </c>
      <c r="K10" s="705">
        <f t="shared" si="4"/>
        <v>251916.3638</v>
      </c>
      <c r="L10" s="705">
        <f t="shared" si="4"/>
        <v>257584.4819</v>
      </c>
      <c r="M10" s="705">
        <f t="shared" si="4"/>
        <v>263380.1328</v>
      </c>
      <c r="N10" s="705">
        <f t="shared" si="4"/>
        <v>269306.1858</v>
      </c>
      <c r="O10" s="705">
        <f t="shared" si="4"/>
        <v>275365.575</v>
      </c>
      <c r="P10" s="705">
        <f t="shared" si="4"/>
        <v>281561.3004</v>
      </c>
      <c r="Q10" s="809">
        <f t="shared" si="4"/>
        <v>287896.4296</v>
      </c>
      <c r="R10" s="705">
        <f t="shared" si="4"/>
        <v>294374.0993</v>
      </c>
      <c r="S10" s="705">
        <f t="shared" si="4"/>
        <v>300997.5165</v>
      </c>
      <c r="T10" s="705">
        <f t="shared" si="4"/>
        <v>307769.9607</v>
      </c>
      <c r="U10" s="705">
        <f t="shared" si="4"/>
        <v>314694.7848</v>
      </c>
      <c r="V10" s="705">
        <f t="shared" si="4"/>
        <v>321775.4174</v>
      </c>
      <c r="W10" s="705">
        <f t="shared" si="4"/>
        <v>329015.3643</v>
      </c>
      <c r="X10" s="705">
        <f t="shared" si="4"/>
        <v>336418.21</v>
      </c>
      <c r="Y10" s="705">
        <f t="shared" si="4"/>
        <v>343987.6198</v>
      </c>
      <c r="Z10" s="705">
        <f t="shared" si="4"/>
        <v>351727.3412</v>
      </c>
      <c r="AA10" s="705">
        <f t="shared" si="4"/>
        <v>359641.2064</v>
      </c>
      <c r="AB10" s="705">
        <f t="shared" si="4"/>
        <v>367733.1335</v>
      </c>
      <c r="AC10" s="705">
        <f t="shared" si="4"/>
        <v>376007.129</v>
      </c>
      <c r="AD10" s="705">
        <f t="shared" si="4"/>
        <v>384467.2894</v>
      </c>
      <c r="AE10" s="705">
        <f t="shared" si="4"/>
        <v>393117.8034</v>
      </c>
      <c r="AF10" s="705">
        <f t="shared" si="4"/>
        <v>401962.954</v>
      </c>
      <c r="AG10" s="705">
        <f t="shared" si="4"/>
        <v>411007.1205</v>
      </c>
      <c r="AH10" s="705">
        <f t="shared" si="4"/>
        <v>420254.7807</v>
      </c>
      <c r="AI10" s="705">
        <f t="shared" si="4"/>
        <v>429710.5133</v>
      </c>
      <c r="AJ10" s="705">
        <f t="shared" si="4"/>
        <v>439378.9998</v>
      </c>
      <c r="AK10" s="705">
        <f t="shared" si="4"/>
        <v>449265.0273</v>
      </c>
      <c r="AL10" s="705">
        <f t="shared" si="4"/>
        <v>459373.4904</v>
      </c>
      <c r="AM10" s="705">
        <f t="shared" si="4"/>
        <v>469709.394</v>
      </c>
      <c r="AN10" s="705">
        <f t="shared" si="4"/>
        <v>480277.8553</v>
      </c>
      <c r="AO10" s="705">
        <f t="shared" si="4"/>
        <v>491084.1071</v>
      </c>
      <c r="AP10" s="705">
        <f t="shared" si="4"/>
        <v>502133.4995</v>
      </c>
    </row>
    <row r="11" ht="12.75" customHeight="1">
      <c r="A11" s="39" t="str">
        <f>'BY Proforma No Comm '!A17</f>
        <v>Total Vacancy</v>
      </c>
      <c r="B11" s="810">
        <f>'BY Proforma No Comm '!B14</f>
        <v>0.05</v>
      </c>
      <c r="C11" s="732">
        <f t="shared" ref="C11:AP11" si="5">-$B$11*SUM(C7:C9)</f>
        <v>-84594.6</v>
      </c>
      <c r="D11" s="732">
        <f t="shared" si="5"/>
        <v>-86497.9785</v>
      </c>
      <c r="E11" s="732">
        <f t="shared" si="5"/>
        <v>-88444.18302</v>
      </c>
      <c r="F11" s="732">
        <f t="shared" si="5"/>
        <v>-90434.17713</v>
      </c>
      <c r="G11" s="732">
        <f t="shared" si="5"/>
        <v>-92468.94612</v>
      </c>
      <c r="H11" s="732">
        <f t="shared" si="5"/>
        <v>-94549.49741</v>
      </c>
      <c r="I11" s="732">
        <f t="shared" si="5"/>
        <v>-96676.8611</v>
      </c>
      <c r="J11" s="732">
        <f t="shared" si="5"/>
        <v>-98852.09047</v>
      </c>
      <c r="K11" s="732">
        <f t="shared" si="5"/>
        <v>-101076.2625</v>
      </c>
      <c r="L11" s="732">
        <f t="shared" si="5"/>
        <v>-103350.4784</v>
      </c>
      <c r="M11" s="732">
        <f t="shared" si="5"/>
        <v>-105675.8642</v>
      </c>
      <c r="N11" s="732">
        <f t="shared" si="5"/>
        <v>-108053.5711</v>
      </c>
      <c r="O11" s="732">
        <f t="shared" si="5"/>
        <v>-110484.7765</v>
      </c>
      <c r="P11" s="732">
        <f t="shared" si="5"/>
        <v>-112970.6839</v>
      </c>
      <c r="Q11" s="811">
        <f t="shared" si="5"/>
        <v>-115512.5243</v>
      </c>
      <c r="R11" s="732">
        <f t="shared" si="5"/>
        <v>-118111.5561</v>
      </c>
      <c r="S11" s="732">
        <f t="shared" si="5"/>
        <v>-120769.0661</v>
      </c>
      <c r="T11" s="732">
        <f t="shared" si="5"/>
        <v>-123486.3701</v>
      </c>
      <c r="U11" s="732">
        <f t="shared" si="5"/>
        <v>-126264.8135</v>
      </c>
      <c r="V11" s="732">
        <f t="shared" si="5"/>
        <v>-129105.7718</v>
      </c>
      <c r="W11" s="732">
        <f t="shared" si="5"/>
        <v>-132010.6516</v>
      </c>
      <c r="X11" s="732">
        <f t="shared" si="5"/>
        <v>-134980.8913</v>
      </c>
      <c r="Y11" s="732">
        <f t="shared" si="5"/>
        <v>-138017.9613</v>
      </c>
      <c r="Z11" s="732">
        <f t="shared" si="5"/>
        <v>-141123.3655</v>
      </c>
      <c r="AA11" s="732">
        <f t="shared" si="5"/>
        <v>-144298.6412</v>
      </c>
      <c r="AB11" s="732">
        <f t="shared" si="5"/>
        <v>-147545.3606</v>
      </c>
      <c r="AC11" s="732">
        <f t="shared" si="5"/>
        <v>-150865.1312</v>
      </c>
      <c r="AD11" s="732">
        <f t="shared" si="5"/>
        <v>-154259.5967</v>
      </c>
      <c r="AE11" s="732">
        <f t="shared" si="5"/>
        <v>-157730.4376</v>
      </c>
      <c r="AF11" s="732">
        <f t="shared" si="5"/>
        <v>-161279.3725</v>
      </c>
      <c r="AG11" s="732">
        <f t="shared" si="5"/>
        <v>-164908.1583</v>
      </c>
      <c r="AH11" s="732">
        <f t="shared" si="5"/>
        <v>-168618.5919</v>
      </c>
      <c r="AI11" s="732">
        <f t="shared" si="5"/>
        <v>-172412.5102</v>
      </c>
      <c r="AJ11" s="732">
        <f t="shared" si="5"/>
        <v>-176291.7917</v>
      </c>
      <c r="AK11" s="732">
        <f t="shared" si="5"/>
        <v>-180258.357</v>
      </c>
      <c r="AL11" s="732">
        <f t="shared" si="5"/>
        <v>-184314.1701</v>
      </c>
      <c r="AM11" s="732">
        <f t="shared" si="5"/>
        <v>-188461.2389</v>
      </c>
      <c r="AN11" s="732">
        <f t="shared" si="5"/>
        <v>-192701.6168</v>
      </c>
      <c r="AO11" s="732">
        <f t="shared" si="5"/>
        <v>-197037.4031</v>
      </c>
      <c r="AP11" s="732">
        <f t="shared" si="5"/>
        <v>-201470.7447</v>
      </c>
    </row>
    <row r="12" ht="12.75" customHeight="1">
      <c r="A12" s="812" t="str">
        <f>'BY Proforma No Comm '!A19</f>
        <v>Effective Gross Income</v>
      </c>
      <c r="B12" s="813"/>
      <c r="C12" s="814">
        <f t="shared" ref="C12:AP12" si="6">SUM(C7:C11)</f>
        <v>1818135.865</v>
      </c>
      <c r="D12" s="814">
        <f t="shared" si="6"/>
        <v>1859043.922</v>
      </c>
      <c r="E12" s="814">
        <f t="shared" si="6"/>
        <v>1900872.41</v>
      </c>
      <c r="F12" s="814">
        <f t="shared" si="6"/>
        <v>1943642.039</v>
      </c>
      <c r="G12" s="814">
        <f t="shared" si="6"/>
        <v>1987373.985</v>
      </c>
      <c r="H12" s="814">
        <f t="shared" si="6"/>
        <v>2032089.9</v>
      </c>
      <c r="I12" s="814">
        <f t="shared" si="6"/>
        <v>2077811.923</v>
      </c>
      <c r="J12" s="814">
        <f t="shared" si="6"/>
        <v>2124562.691</v>
      </c>
      <c r="K12" s="814">
        <f t="shared" si="6"/>
        <v>2172365.351</v>
      </c>
      <c r="L12" s="814">
        <f t="shared" si="6"/>
        <v>2221243.572</v>
      </c>
      <c r="M12" s="814">
        <f t="shared" si="6"/>
        <v>2271221.552</v>
      </c>
      <c r="N12" s="814">
        <f t="shared" si="6"/>
        <v>2322324.037</v>
      </c>
      <c r="O12" s="814">
        <f t="shared" si="6"/>
        <v>2374576.328</v>
      </c>
      <c r="P12" s="814">
        <f t="shared" si="6"/>
        <v>2428004.295</v>
      </c>
      <c r="Q12" s="815">
        <f t="shared" si="6"/>
        <v>2482634.392</v>
      </c>
      <c r="R12" s="814">
        <f t="shared" si="6"/>
        <v>2538493.666</v>
      </c>
      <c r="S12" s="814">
        <f t="shared" si="6"/>
        <v>2595609.773</v>
      </c>
      <c r="T12" s="814">
        <f t="shared" si="6"/>
        <v>2654010.993</v>
      </c>
      <c r="U12" s="814">
        <f t="shared" si="6"/>
        <v>2713726.241</v>
      </c>
      <c r="V12" s="814">
        <f t="shared" si="6"/>
        <v>2774785.081</v>
      </c>
      <c r="W12" s="814">
        <f t="shared" si="6"/>
        <v>2837217.745</v>
      </c>
      <c r="X12" s="814">
        <f t="shared" si="6"/>
        <v>2901055.145</v>
      </c>
      <c r="Y12" s="814">
        <f t="shared" si="6"/>
        <v>2966328.885</v>
      </c>
      <c r="Z12" s="814">
        <f t="shared" si="6"/>
        <v>3033071.285</v>
      </c>
      <c r="AA12" s="814">
        <f t="shared" si="6"/>
        <v>3101315.389</v>
      </c>
      <c r="AB12" s="814">
        <f t="shared" si="6"/>
        <v>3171094.985</v>
      </c>
      <c r="AC12" s="814">
        <f t="shared" si="6"/>
        <v>3242444.623</v>
      </c>
      <c r="AD12" s="814">
        <f t="shared" si="6"/>
        <v>3315399.627</v>
      </c>
      <c r="AE12" s="814">
        <f t="shared" si="6"/>
        <v>3389996.118</v>
      </c>
      <c r="AF12" s="814">
        <f t="shared" si="6"/>
        <v>3466271.031</v>
      </c>
      <c r="AG12" s="814">
        <f t="shared" si="6"/>
        <v>3544262.129</v>
      </c>
      <c r="AH12" s="814">
        <f t="shared" si="6"/>
        <v>3624008.027</v>
      </c>
      <c r="AI12" s="814">
        <f t="shared" si="6"/>
        <v>3705548.208</v>
      </c>
      <c r="AJ12" s="814">
        <f t="shared" si="6"/>
        <v>3788923.042</v>
      </c>
      <c r="AK12" s="814">
        <f t="shared" si="6"/>
        <v>3874173.811</v>
      </c>
      <c r="AL12" s="814">
        <f t="shared" si="6"/>
        <v>3961342.721</v>
      </c>
      <c r="AM12" s="814">
        <f t="shared" si="6"/>
        <v>4050472.933</v>
      </c>
      <c r="AN12" s="814">
        <f t="shared" si="6"/>
        <v>4141608.574</v>
      </c>
      <c r="AO12" s="814">
        <f t="shared" si="6"/>
        <v>4234794.766</v>
      </c>
      <c r="AP12" s="814">
        <f t="shared" si="6"/>
        <v>4330077.649</v>
      </c>
    </row>
    <row r="13" ht="12.75" customHeight="1">
      <c r="A13" s="3"/>
      <c r="B13" s="805"/>
      <c r="C13" s="657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816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</row>
    <row r="14" ht="12.75" customHeight="1">
      <c r="A14" s="3" t="str">
        <f>'BY Proforma No Comm '!A21</f>
        <v>Management Fees</v>
      </c>
      <c r="B14" s="817">
        <f>'BY Proforma No Comm '!B21</f>
        <v>0.06</v>
      </c>
      <c r="C14" s="657">
        <f t="shared" ref="C14:AP14" si="7">C12*$B$14</f>
        <v>109088.1519</v>
      </c>
      <c r="D14" s="657">
        <f t="shared" si="7"/>
        <v>111542.6353</v>
      </c>
      <c r="E14" s="657">
        <f t="shared" si="7"/>
        <v>114052.3446</v>
      </c>
      <c r="F14" s="657">
        <f t="shared" si="7"/>
        <v>116618.5224</v>
      </c>
      <c r="G14" s="657">
        <f t="shared" si="7"/>
        <v>119242.4391</v>
      </c>
      <c r="H14" s="657">
        <f t="shared" si="7"/>
        <v>121925.394</v>
      </c>
      <c r="I14" s="657">
        <f t="shared" si="7"/>
        <v>124668.7154</v>
      </c>
      <c r="J14" s="657">
        <f t="shared" si="7"/>
        <v>127473.7615</v>
      </c>
      <c r="K14" s="657">
        <f t="shared" si="7"/>
        <v>130341.9211</v>
      </c>
      <c r="L14" s="657">
        <f t="shared" si="7"/>
        <v>133274.6143</v>
      </c>
      <c r="M14" s="657">
        <f t="shared" si="7"/>
        <v>136273.2931</v>
      </c>
      <c r="N14" s="657">
        <f t="shared" si="7"/>
        <v>139339.4422</v>
      </c>
      <c r="O14" s="657">
        <f t="shared" si="7"/>
        <v>142474.5797</v>
      </c>
      <c r="P14" s="657">
        <f t="shared" si="7"/>
        <v>145680.2577</v>
      </c>
      <c r="Q14" s="818">
        <f t="shared" si="7"/>
        <v>148958.0635</v>
      </c>
      <c r="R14" s="657">
        <f t="shared" si="7"/>
        <v>152309.6199</v>
      </c>
      <c r="S14" s="657">
        <f t="shared" si="7"/>
        <v>155736.5864</v>
      </c>
      <c r="T14" s="657">
        <f t="shared" si="7"/>
        <v>159240.6596</v>
      </c>
      <c r="U14" s="657">
        <f t="shared" si="7"/>
        <v>162823.5744</v>
      </c>
      <c r="V14" s="657">
        <f t="shared" si="7"/>
        <v>166487.1049</v>
      </c>
      <c r="W14" s="657">
        <f t="shared" si="7"/>
        <v>170233.0647</v>
      </c>
      <c r="X14" s="657">
        <f t="shared" si="7"/>
        <v>174063.3087</v>
      </c>
      <c r="Y14" s="657">
        <f t="shared" si="7"/>
        <v>177979.7331</v>
      </c>
      <c r="Z14" s="657">
        <f t="shared" si="7"/>
        <v>181984.2771</v>
      </c>
      <c r="AA14" s="657">
        <f t="shared" si="7"/>
        <v>186078.9233</v>
      </c>
      <c r="AB14" s="657">
        <f t="shared" si="7"/>
        <v>190265.6991</v>
      </c>
      <c r="AC14" s="657">
        <f t="shared" si="7"/>
        <v>194546.6774</v>
      </c>
      <c r="AD14" s="657">
        <f t="shared" si="7"/>
        <v>198923.9776</v>
      </c>
      <c r="AE14" s="657">
        <f t="shared" si="7"/>
        <v>203399.7671</v>
      </c>
      <c r="AF14" s="657">
        <f t="shared" si="7"/>
        <v>207976.2618</v>
      </c>
      <c r="AG14" s="657">
        <f t="shared" si="7"/>
        <v>212655.7277</v>
      </c>
      <c r="AH14" s="657">
        <f t="shared" si="7"/>
        <v>217440.4816</v>
      </c>
      <c r="AI14" s="657">
        <f t="shared" si="7"/>
        <v>222332.8925</v>
      </c>
      <c r="AJ14" s="657">
        <f t="shared" si="7"/>
        <v>227335.3825</v>
      </c>
      <c r="AK14" s="657">
        <f t="shared" si="7"/>
        <v>232450.4286</v>
      </c>
      <c r="AL14" s="657">
        <f t="shared" si="7"/>
        <v>237680.5633</v>
      </c>
      <c r="AM14" s="657">
        <f t="shared" si="7"/>
        <v>243028.376</v>
      </c>
      <c r="AN14" s="657">
        <f t="shared" si="7"/>
        <v>248496.5144</v>
      </c>
      <c r="AO14" s="657">
        <f t="shared" si="7"/>
        <v>254087.686</v>
      </c>
      <c r="AP14" s="657">
        <f t="shared" si="7"/>
        <v>259804.6589</v>
      </c>
    </row>
    <row r="15" ht="12.75" customHeight="1">
      <c r="A15" s="3" t="str">
        <f>'BY Proforma No Comm '!A22</f>
        <v>Insurance</v>
      </c>
      <c r="B15" s="819">
        <v>0.03</v>
      </c>
      <c r="C15" s="657">
        <f>'BY Proforma No Comm '!C22</f>
        <v>101500</v>
      </c>
      <c r="D15" s="657">
        <f t="shared" ref="D15:AP15" si="8">C15*(1+$B15)</f>
        <v>104545</v>
      </c>
      <c r="E15" s="657">
        <f t="shared" si="8"/>
        <v>107681.35</v>
      </c>
      <c r="F15" s="657">
        <f t="shared" si="8"/>
        <v>110911.7905</v>
      </c>
      <c r="G15" s="657">
        <f t="shared" si="8"/>
        <v>114239.1442</v>
      </c>
      <c r="H15" s="657">
        <f t="shared" si="8"/>
        <v>117666.3185</v>
      </c>
      <c r="I15" s="657">
        <f t="shared" si="8"/>
        <v>121196.3081</v>
      </c>
      <c r="J15" s="657">
        <f t="shared" si="8"/>
        <v>124832.1973</v>
      </c>
      <c r="K15" s="657">
        <f t="shared" si="8"/>
        <v>128577.1633</v>
      </c>
      <c r="L15" s="657">
        <f t="shared" si="8"/>
        <v>132434.4782</v>
      </c>
      <c r="M15" s="657">
        <f t="shared" si="8"/>
        <v>136407.5125</v>
      </c>
      <c r="N15" s="657">
        <f t="shared" si="8"/>
        <v>140499.7379</v>
      </c>
      <c r="O15" s="657">
        <f t="shared" si="8"/>
        <v>144714.73</v>
      </c>
      <c r="P15" s="657">
        <f t="shared" si="8"/>
        <v>149056.1719</v>
      </c>
      <c r="Q15" s="818">
        <f t="shared" si="8"/>
        <v>153527.8571</v>
      </c>
      <c r="R15" s="657">
        <f t="shared" si="8"/>
        <v>158133.6928</v>
      </c>
      <c r="S15" s="657">
        <f t="shared" si="8"/>
        <v>162877.7036</v>
      </c>
      <c r="T15" s="657">
        <f t="shared" si="8"/>
        <v>167764.0347</v>
      </c>
      <c r="U15" s="657">
        <f t="shared" si="8"/>
        <v>172796.9557</v>
      </c>
      <c r="V15" s="657">
        <f t="shared" si="8"/>
        <v>177980.8644</v>
      </c>
      <c r="W15" s="657">
        <f t="shared" si="8"/>
        <v>183320.2903</v>
      </c>
      <c r="X15" s="657">
        <f t="shared" si="8"/>
        <v>188819.899</v>
      </c>
      <c r="Y15" s="657">
        <f t="shared" si="8"/>
        <v>194484.496</v>
      </c>
      <c r="Z15" s="657">
        <f t="shared" si="8"/>
        <v>200319.0309</v>
      </c>
      <c r="AA15" s="657">
        <f t="shared" si="8"/>
        <v>206328.6018</v>
      </c>
      <c r="AB15" s="657">
        <f t="shared" si="8"/>
        <v>212518.4599</v>
      </c>
      <c r="AC15" s="657">
        <f t="shared" si="8"/>
        <v>218894.0137</v>
      </c>
      <c r="AD15" s="657">
        <f t="shared" si="8"/>
        <v>225460.8341</v>
      </c>
      <c r="AE15" s="657">
        <f t="shared" si="8"/>
        <v>232224.6591</v>
      </c>
      <c r="AF15" s="657">
        <f t="shared" si="8"/>
        <v>239191.3989</v>
      </c>
      <c r="AG15" s="657">
        <f t="shared" si="8"/>
        <v>246367.1408</v>
      </c>
      <c r="AH15" s="657">
        <f t="shared" si="8"/>
        <v>253758.1551</v>
      </c>
      <c r="AI15" s="657">
        <f t="shared" si="8"/>
        <v>261370.8997</v>
      </c>
      <c r="AJ15" s="657">
        <f t="shared" si="8"/>
        <v>269212.0267</v>
      </c>
      <c r="AK15" s="657">
        <f t="shared" si="8"/>
        <v>277288.3875</v>
      </c>
      <c r="AL15" s="657">
        <f t="shared" si="8"/>
        <v>285607.0391</v>
      </c>
      <c r="AM15" s="657">
        <f t="shared" si="8"/>
        <v>294175.2503</v>
      </c>
      <c r="AN15" s="657">
        <f t="shared" si="8"/>
        <v>303000.5078</v>
      </c>
      <c r="AO15" s="657">
        <f t="shared" si="8"/>
        <v>312090.523</v>
      </c>
      <c r="AP15" s="657">
        <f t="shared" si="8"/>
        <v>321453.2387</v>
      </c>
    </row>
    <row r="16" ht="12.75" customHeight="1">
      <c r="A16" s="3" t="str">
        <f>'BY Proforma No Comm '!A23</f>
        <v>Real Estate Taxes</v>
      </c>
      <c r="B16" s="819">
        <v>0.03</v>
      </c>
      <c r="C16" s="657">
        <f>'BY Proforma No Comm '!C23</f>
        <v>0</v>
      </c>
      <c r="D16" s="657">
        <f t="shared" ref="D16:AP16" si="9">C16*(1+$B16)</f>
        <v>0</v>
      </c>
      <c r="E16" s="657">
        <f t="shared" si="9"/>
        <v>0</v>
      </c>
      <c r="F16" s="657">
        <f t="shared" si="9"/>
        <v>0</v>
      </c>
      <c r="G16" s="657">
        <f t="shared" si="9"/>
        <v>0</v>
      </c>
      <c r="H16" s="657">
        <f t="shared" si="9"/>
        <v>0</v>
      </c>
      <c r="I16" s="657">
        <f t="shared" si="9"/>
        <v>0</v>
      </c>
      <c r="J16" s="657">
        <f t="shared" si="9"/>
        <v>0</v>
      </c>
      <c r="K16" s="657">
        <f t="shared" si="9"/>
        <v>0</v>
      </c>
      <c r="L16" s="657">
        <f t="shared" si="9"/>
        <v>0</v>
      </c>
      <c r="M16" s="657">
        <f t="shared" si="9"/>
        <v>0</v>
      </c>
      <c r="N16" s="657">
        <f t="shared" si="9"/>
        <v>0</v>
      </c>
      <c r="O16" s="657">
        <f t="shared" si="9"/>
        <v>0</v>
      </c>
      <c r="P16" s="657">
        <f t="shared" si="9"/>
        <v>0</v>
      </c>
      <c r="Q16" s="818">
        <f t="shared" si="9"/>
        <v>0</v>
      </c>
      <c r="R16" s="657">
        <f t="shared" si="9"/>
        <v>0</v>
      </c>
      <c r="S16" s="657">
        <f t="shared" si="9"/>
        <v>0</v>
      </c>
      <c r="T16" s="657">
        <f t="shared" si="9"/>
        <v>0</v>
      </c>
      <c r="U16" s="657">
        <f t="shared" si="9"/>
        <v>0</v>
      </c>
      <c r="V16" s="657">
        <f t="shared" si="9"/>
        <v>0</v>
      </c>
      <c r="W16" s="657">
        <f t="shared" si="9"/>
        <v>0</v>
      </c>
      <c r="X16" s="657">
        <f t="shared" si="9"/>
        <v>0</v>
      </c>
      <c r="Y16" s="657">
        <f t="shared" si="9"/>
        <v>0</v>
      </c>
      <c r="Z16" s="657">
        <f t="shared" si="9"/>
        <v>0</v>
      </c>
      <c r="AA16" s="657">
        <f t="shared" si="9"/>
        <v>0</v>
      </c>
      <c r="AB16" s="657">
        <f t="shared" si="9"/>
        <v>0</v>
      </c>
      <c r="AC16" s="657">
        <f t="shared" si="9"/>
        <v>0</v>
      </c>
      <c r="AD16" s="657">
        <f t="shared" si="9"/>
        <v>0</v>
      </c>
      <c r="AE16" s="657">
        <f t="shared" si="9"/>
        <v>0</v>
      </c>
      <c r="AF16" s="657">
        <f t="shared" si="9"/>
        <v>0</v>
      </c>
      <c r="AG16" s="657">
        <f t="shared" si="9"/>
        <v>0</v>
      </c>
      <c r="AH16" s="657">
        <f t="shared" si="9"/>
        <v>0</v>
      </c>
      <c r="AI16" s="657">
        <f t="shared" si="9"/>
        <v>0</v>
      </c>
      <c r="AJ16" s="657">
        <f t="shared" si="9"/>
        <v>0</v>
      </c>
      <c r="AK16" s="657">
        <f t="shared" si="9"/>
        <v>0</v>
      </c>
      <c r="AL16" s="657">
        <f t="shared" si="9"/>
        <v>0</v>
      </c>
      <c r="AM16" s="657">
        <f t="shared" si="9"/>
        <v>0</v>
      </c>
      <c r="AN16" s="657">
        <f t="shared" si="9"/>
        <v>0</v>
      </c>
      <c r="AO16" s="657">
        <f t="shared" si="9"/>
        <v>0</v>
      </c>
      <c r="AP16" s="657">
        <f t="shared" si="9"/>
        <v>0</v>
      </c>
    </row>
    <row r="17" ht="12.75" customHeight="1">
      <c r="A17" s="3" t="str">
        <f>'BY Proforma No Comm '!A24</f>
        <v>Ground Lease Payment</v>
      </c>
      <c r="B17" s="819">
        <v>0.03</v>
      </c>
      <c r="C17" s="657">
        <f>'BY Proforma No Comm '!C24</f>
        <v>0</v>
      </c>
      <c r="D17" s="657">
        <f t="shared" ref="D17:AP17" si="10">C17*(1+$B17)</f>
        <v>0</v>
      </c>
      <c r="E17" s="657">
        <f t="shared" si="10"/>
        <v>0</v>
      </c>
      <c r="F17" s="657">
        <f t="shared" si="10"/>
        <v>0</v>
      </c>
      <c r="G17" s="657">
        <f t="shared" si="10"/>
        <v>0</v>
      </c>
      <c r="H17" s="657">
        <f t="shared" si="10"/>
        <v>0</v>
      </c>
      <c r="I17" s="657">
        <f t="shared" si="10"/>
        <v>0</v>
      </c>
      <c r="J17" s="657">
        <f t="shared" si="10"/>
        <v>0</v>
      </c>
      <c r="K17" s="657">
        <f t="shared" si="10"/>
        <v>0</v>
      </c>
      <c r="L17" s="657">
        <f t="shared" si="10"/>
        <v>0</v>
      </c>
      <c r="M17" s="657">
        <f t="shared" si="10"/>
        <v>0</v>
      </c>
      <c r="N17" s="657">
        <f t="shared" si="10"/>
        <v>0</v>
      </c>
      <c r="O17" s="657">
        <f t="shared" si="10"/>
        <v>0</v>
      </c>
      <c r="P17" s="657">
        <f t="shared" si="10"/>
        <v>0</v>
      </c>
      <c r="Q17" s="818">
        <f t="shared" si="10"/>
        <v>0</v>
      </c>
      <c r="R17" s="657">
        <f t="shared" si="10"/>
        <v>0</v>
      </c>
      <c r="S17" s="657">
        <f t="shared" si="10"/>
        <v>0</v>
      </c>
      <c r="T17" s="657">
        <f t="shared" si="10"/>
        <v>0</v>
      </c>
      <c r="U17" s="657">
        <f t="shared" si="10"/>
        <v>0</v>
      </c>
      <c r="V17" s="657">
        <f t="shared" si="10"/>
        <v>0</v>
      </c>
      <c r="W17" s="657">
        <f t="shared" si="10"/>
        <v>0</v>
      </c>
      <c r="X17" s="657">
        <f t="shared" si="10"/>
        <v>0</v>
      </c>
      <c r="Y17" s="657">
        <f t="shared" si="10"/>
        <v>0</v>
      </c>
      <c r="Z17" s="657">
        <f t="shared" si="10"/>
        <v>0</v>
      </c>
      <c r="AA17" s="657">
        <f t="shared" si="10"/>
        <v>0</v>
      </c>
      <c r="AB17" s="657">
        <f t="shared" si="10"/>
        <v>0</v>
      </c>
      <c r="AC17" s="657">
        <f t="shared" si="10"/>
        <v>0</v>
      </c>
      <c r="AD17" s="657">
        <f t="shared" si="10"/>
        <v>0</v>
      </c>
      <c r="AE17" s="657">
        <f t="shared" si="10"/>
        <v>0</v>
      </c>
      <c r="AF17" s="657">
        <f t="shared" si="10"/>
        <v>0</v>
      </c>
      <c r="AG17" s="657">
        <f t="shared" si="10"/>
        <v>0</v>
      </c>
      <c r="AH17" s="657">
        <f t="shared" si="10"/>
        <v>0</v>
      </c>
      <c r="AI17" s="657">
        <f t="shared" si="10"/>
        <v>0</v>
      </c>
      <c r="AJ17" s="657">
        <f t="shared" si="10"/>
        <v>0</v>
      </c>
      <c r="AK17" s="657">
        <f t="shared" si="10"/>
        <v>0</v>
      </c>
      <c r="AL17" s="657">
        <f t="shared" si="10"/>
        <v>0</v>
      </c>
      <c r="AM17" s="657">
        <f t="shared" si="10"/>
        <v>0</v>
      </c>
      <c r="AN17" s="657">
        <f t="shared" si="10"/>
        <v>0</v>
      </c>
      <c r="AO17" s="657">
        <f t="shared" si="10"/>
        <v>0</v>
      </c>
      <c r="AP17" s="657">
        <f t="shared" si="10"/>
        <v>0</v>
      </c>
    </row>
    <row r="18" ht="12.75" customHeight="1">
      <c r="A18" s="3" t="str">
        <f>'BY Proforma No Comm '!A33</f>
        <v>Total Administration</v>
      </c>
      <c r="B18" s="819">
        <v>0.03</v>
      </c>
      <c r="C18" s="657">
        <f>'BY Proforma No Comm '!C33</f>
        <v>117400</v>
      </c>
      <c r="D18" s="657">
        <f t="shared" ref="D18:AP18" si="11">C18*(1+$B18)</f>
        <v>120922</v>
      </c>
      <c r="E18" s="657">
        <f t="shared" si="11"/>
        <v>124549.66</v>
      </c>
      <c r="F18" s="657">
        <f t="shared" si="11"/>
        <v>128286.1498</v>
      </c>
      <c r="G18" s="657">
        <f t="shared" si="11"/>
        <v>132134.7343</v>
      </c>
      <c r="H18" s="657">
        <f t="shared" si="11"/>
        <v>136098.7763</v>
      </c>
      <c r="I18" s="657">
        <f t="shared" si="11"/>
        <v>140181.7396</v>
      </c>
      <c r="J18" s="657">
        <f t="shared" si="11"/>
        <v>144387.1918</v>
      </c>
      <c r="K18" s="657">
        <f t="shared" si="11"/>
        <v>148718.8076</v>
      </c>
      <c r="L18" s="657">
        <f t="shared" si="11"/>
        <v>153180.3718</v>
      </c>
      <c r="M18" s="657">
        <f t="shared" si="11"/>
        <v>157775.7829</v>
      </c>
      <c r="N18" s="657">
        <f t="shared" si="11"/>
        <v>162509.0564</v>
      </c>
      <c r="O18" s="657">
        <f t="shared" si="11"/>
        <v>167384.3281</v>
      </c>
      <c r="P18" s="657">
        <f t="shared" si="11"/>
        <v>172405.858</v>
      </c>
      <c r="Q18" s="818">
        <f t="shared" si="11"/>
        <v>177578.0337</v>
      </c>
      <c r="R18" s="657">
        <f t="shared" si="11"/>
        <v>182905.3747</v>
      </c>
      <c r="S18" s="657">
        <f t="shared" si="11"/>
        <v>188392.536</v>
      </c>
      <c r="T18" s="657">
        <f t="shared" si="11"/>
        <v>194044.312</v>
      </c>
      <c r="U18" s="657">
        <f t="shared" si="11"/>
        <v>199865.6414</v>
      </c>
      <c r="V18" s="657">
        <f t="shared" si="11"/>
        <v>205861.6106</v>
      </c>
      <c r="W18" s="657">
        <f t="shared" si="11"/>
        <v>212037.459</v>
      </c>
      <c r="X18" s="657">
        <f t="shared" si="11"/>
        <v>218398.5827</v>
      </c>
      <c r="Y18" s="657">
        <f t="shared" si="11"/>
        <v>224950.5402</v>
      </c>
      <c r="Z18" s="657">
        <f t="shared" si="11"/>
        <v>231699.0564</v>
      </c>
      <c r="AA18" s="657">
        <f t="shared" si="11"/>
        <v>238650.0281</v>
      </c>
      <c r="AB18" s="657">
        <f t="shared" si="11"/>
        <v>245809.5289</v>
      </c>
      <c r="AC18" s="657">
        <f t="shared" si="11"/>
        <v>253183.8148</v>
      </c>
      <c r="AD18" s="657">
        <f t="shared" si="11"/>
        <v>260779.3293</v>
      </c>
      <c r="AE18" s="657">
        <f t="shared" si="11"/>
        <v>268602.7091</v>
      </c>
      <c r="AF18" s="657">
        <f t="shared" si="11"/>
        <v>276660.7904</v>
      </c>
      <c r="AG18" s="657">
        <f t="shared" si="11"/>
        <v>284960.6141</v>
      </c>
      <c r="AH18" s="657">
        <f t="shared" si="11"/>
        <v>293509.4325</v>
      </c>
      <c r="AI18" s="657">
        <f t="shared" si="11"/>
        <v>302314.7155</v>
      </c>
      <c r="AJ18" s="657">
        <f t="shared" si="11"/>
        <v>311384.157</v>
      </c>
      <c r="AK18" s="657">
        <f t="shared" si="11"/>
        <v>320725.6817</v>
      </c>
      <c r="AL18" s="657">
        <f t="shared" si="11"/>
        <v>330347.4521</v>
      </c>
      <c r="AM18" s="657">
        <f t="shared" si="11"/>
        <v>340257.8757</v>
      </c>
      <c r="AN18" s="657">
        <f t="shared" si="11"/>
        <v>350465.612</v>
      </c>
      <c r="AO18" s="657">
        <f t="shared" si="11"/>
        <v>360979.5803</v>
      </c>
      <c r="AP18" s="657">
        <f t="shared" si="11"/>
        <v>371808.9677</v>
      </c>
    </row>
    <row r="19" ht="12.75" customHeight="1">
      <c r="A19" s="3" t="str">
        <f>'BY Proforma No Comm '!A40</f>
        <v>Payroll and Benefits</v>
      </c>
      <c r="B19" s="819">
        <v>0.03</v>
      </c>
      <c r="C19" s="657">
        <f>'BY Proforma No Comm '!C40</f>
        <v>205300</v>
      </c>
      <c r="D19" s="657">
        <f t="shared" ref="D19:AP19" si="12">C19*(1+$B19)</f>
        <v>211459</v>
      </c>
      <c r="E19" s="657">
        <f t="shared" si="12"/>
        <v>217802.77</v>
      </c>
      <c r="F19" s="657">
        <f t="shared" si="12"/>
        <v>224336.8531</v>
      </c>
      <c r="G19" s="657">
        <f t="shared" si="12"/>
        <v>231066.9587</v>
      </c>
      <c r="H19" s="657">
        <f t="shared" si="12"/>
        <v>237998.9675</v>
      </c>
      <c r="I19" s="657">
        <f t="shared" si="12"/>
        <v>245138.9365</v>
      </c>
      <c r="J19" s="657">
        <f t="shared" si="12"/>
        <v>252493.1046</v>
      </c>
      <c r="K19" s="657">
        <f t="shared" si="12"/>
        <v>260067.8977</v>
      </c>
      <c r="L19" s="657">
        <f t="shared" si="12"/>
        <v>267869.9346</v>
      </c>
      <c r="M19" s="657">
        <f t="shared" si="12"/>
        <v>275906.0327</v>
      </c>
      <c r="N19" s="657">
        <f t="shared" si="12"/>
        <v>284183.2137</v>
      </c>
      <c r="O19" s="657">
        <f t="shared" si="12"/>
        <v>292708.7101</v>
      </c>
      <c r="P19" s="657">
        <f t="shared" si="12"/>
        <v>301489.9714</v>
      </c>
      <c r="Q19" s="818">
        <f t="shared" si="12"/>
        <v>310534.6705</v>
      </c>
      <c r="R19" s="657">
        <f t="shared" si="12"/>
        <v>319850.7106</v>
      </c>
      <c r="S19" s="657">
        <f t="shared" si="12"/>
        <v>329446.2319</v>
      </c>
      <c r="T19" s="657">
        <f t="shared" si="12"/>
        <v>339329.6189</v>
      </c>
      <c r="U19" s="657">
        <f t="shared" si="12"/>
        <v>349509.5075</v>
      </c>
      <c r="V19" s="657">
        <f t="shared" si="12"/>
        <v>359994.7927</v>
      </c>
      <c r="W19" s="657">
        <f t="shared" si="12"/>
        <v>370794.6365</v>
      </c>
      <c r="X19" s="657">
        <f t="shared" si="12"/>
        <v>381918.4756</v>
      </c>
      <c r="Y19" s="657">
        <f t="shared" si="12"/>
        <v>393376.0298</v>
      </c>
      <c r="Z19" s="657">
        <f t="shared" si="12"/>
        <v>405177.3107</v>
      </c>
      <c r="AA19" s="657">
        <f t="shared" si="12"/>
        <v>417332.6301</v>
      </c>
      <c r="AB19" s="657">
        <f t="shared" si="12"/>
        <v>429852.609</v>
      </c>
      <c r="AC19" s="657">
        <f t="shared" si="12"/>
        <v>442748.1872</v>
      </c>
      <c r="AD19" s="657">
        <f t="shared" si="12"/>
        <v>456030.6328</v>
      </c>
      <c r="AE19" s="657">
        <f t="shared" si="12"/>
        <v>469711.5518</v>
      </c>
      <c r="AF19" s="657">
        <f t="shared" si="12"/>
        <v>483802.8984</v>
      </c>
      <c r="AG19" s="657">
        <f t="shared" si="12"/>
        <v>498316.9853</v>
      </c>
      <c r="AH19" s="657">
        <f t="shared" si="12"/>
        <v>513266.4949</v>
      </c>
      <c r="AI19" s="657">
        <f t="shared" si="12"/>
        <v>528664.4897</v>
      </c>
      <c r="AJ19" s="657">
        <f t="shared" si="12"/>
        <v>544524.4244</v>
      </c>
      <c r="AK19" s="657">
        <f t="shared" si="12"/>
        <v>560860.1572</v>
      </c>
      <c r="AL19" s="657">
        <f t="shared" si="12"/>
        <v>577685.9619</v>
      </c>
      <c r="AM19" s="657">
        <f t="shared" si="12"/>
        <v>595016.5407</v>
      </c>
      <c r="AN19" s="657">
        <f t="shared" si="12"/>
        <v>612867.037</v>
      </c>
      <c r="AO19" s="657">
        <f t="shared" si="12"/>
        <v>631253.0481</v>
      </c>
      <c r="AP19" s="657">
        <f t="shared" si="12"/>
        <v>650190.6395</v>
      </c>
    </row>
    <row r="20" ht="12.75" customHeight="1">
      <c r="A20" s="3" t="str">
        <f>'BY Proforma No Comm '!A47</f>
        <v>Total Utilities</v>
      </c>
      <c r="B20" s="819">
        <v>0.03</v>
      </c>
      <c r="C20" s="657">
        <f>'BY Proforma No Comm '!C47</f>
        <v>98125</v>
      </c>
      <c r="D20" s="657">
        <f t="shared" ref="D20:AP20" si="13">C20*(1+$B20)</f>
        <v>101068.75</v>
      </c>
      <c r="E20" s="657">
        <f t="shared" si="13"/>
        <v>104100.8125</v>
      </c>
      <c r="F20" s="657">
        <f t="shared" si="13"/>
        <v>107223.8369</v>
      </c>
      <c r="G20" s="657">
        <f t="shared" si="13"/>
        <v>110440.552</v>
      </c>
      <c r="H20" s="657">
        <f t="shared" si="13"/>
        <v>113753.7685</v>
      </c>
      <c r="I20" s="657">
        <f t="shared" si="13"/>
        <v>117166.3816</v>
      </c>
      <c r="J20" s="657">
        <f t="shared" si="13"/>
        <v>120681.373</v>
      </c>
      <c r="K20" s="657">
        <f t="shared" si="13"/>
        <v>124301.8142</v>
      </c>
      <c r="L20" s="657">
        <f t="shared" si="13"/>
        <v>128030.8687</v>
      </c>
      <c r="M20" s="657">
        <f t="shared" si="13"/>
        <v>131871.7947</v>
      </c>
      <c r="N20" s="657">
        <f t="shared" si="13"/>
        <v>135827.9486</v>
      </c>
      <c r="O20" s="657">
        <f t="shared" si="13"/>
        <v>139902.787</v>
      </c>
      <c r="P20" s="657">
        <f t="shared" si="13"/>
        <v>144099.8706</v>
      </c>
      <c r="Q20" s="818">
        <f t="shared" si="13"/>
        <v>148422.8668</v>
      </c>
      <c r="R20" s="657">
        <f t="shared" si="13"/>
        <v>152875.5528</v>
      </c>
      <c r="S20" s="657">
        <f t="shared" si="13"/>
        <v>157461.8193</v>
      </c>
      <c r="T20" s="657">
        <f t="shared" si="13"/>
        <v>162185.6739</v>
      </c>
      <c r="U20" s="657">
        <f t="shared" si="13"/>
        <v>167051.2441</v>
      </c>
      <c r="V20" s="657">
        <f t="shared" si="13"/>
        <v>172062.7815</v>
      </c>
      <c r="W20" s="657">
        <f t="shared" si="13"/>
        <v>177224.6649</v>
      </c>
      <c r="X20" s="657">
        <f t="shared" si="13"/>
        <v>182541.4048</v>
      </c>
      <c r="Y20" s="657">
        <f t="shared" si="13"/>
        <v>188017.647</v>
      </c>
      <c r="Z20" s="657">
        <f t="shared" si="13"/>
        <v>193658.1764</v>
      </c>
      <c r="AA20" s="657">
        <f t="shared" si="13"/>
        <v>199467.9217</v>
      </c>
      <c r="AB20" s="657">
        <f t="shared" si="13"/>
        <v>205451.9593</v>
      </c>
      <c r="AC20" s="657">
        <f t="shared" si="13"/>
        <v>211615.5181</v>
      </c>
      <c r="AD20" s="657">
        <f t="shared" si="13"/>
        <v>217963.9837</v>
      </c>
      <c r="AE20" s="657">
        <f t="shared" si="13"/>
        <v>224502.9032</v>
      </c>
      <c r="AF20" s="657">
        <f t="shared" si="13"/>
        <v>231237.9903</v>
      </c>
      <c r="AG20" s="657">
        <f t="shared" si="13"/>
        <v>238175.13</v>
      </c>
      <c r="AH20" s="657">
        <f t="shared" si="13"/>
        <v>245320.3839</v>
      </c>
      <c r="AI20" s="657">
        <f t="shared" si="13"/>
        <v>252679.9954</v>
      </c>
      <c r="AJ20" s="657">
        <f t="shared" si="13"/>
        <v>260260.3953</v>
      </c>
      <c r="AK20" s="657">
        <f t="shared" si="13"/>
        <v>268068.2071</v>
      </c>
      <c r="AL20" s="657">
        <f t="shared" si="13"/>
        <v>276110.2533</v>
      </c>
      <c r="AM20" s="657">
        <f t="shared" si="13"/>
        <v>284393.5609</v>
      </c>
      <c r="AN20" s="657">
        <f t="shared" si="13"/>
        <v>292925.3678</v>
      </c>
      <c r="AO20" s="657">
        <f t="shared" si="13"/>
        <v>301713.1288</v>
      </c>
      <c r="AP20" s="657">
        <f t="shared" si="13"/>
        <v>310764.5227</v>
      </c>
    </row>
    <row r="21" ht="12.75" customHeight="1">
      <c r="A21" s="3" t="str">
        <f>'BY Proforma No Comm '!A49</f>
        <v>Marketing</v>
      </c>
      <c r="B21" s="819">
        <v>0.03</v>
      </c>
      <c r="C21" s="657">
        <f>'BY Proforma No Comm '!C49</f>
        <v>0</v>
      </c>
      <c r="D21" s="657">
        <f t="shared" ref="D21:AP21" si="14">C21*(1+$B21)</f>
        <v>0</v>
      </c>
      <c r="E21" s="657">
        <f t="shared" si="14"/>
        <v>0</v>
      </c>
      <c r="F21" s="657">
        <f t="shared" si="14"/>
        <v>0</v>
      </c>
      <c r="G21" s="657">
        <f t="shared" si="14"/>
        <v>0</v>
      </c>
      <c r="H21" s="657">
        <f t="shared" si="14"/>
        <v>0</v>
      </c>
      <c r="I21" s="657">
        <f t="shared" si="14"/>
        <v>0</v>
      </c>
      <c r="J21" s="657">
        <f t="shared" si="14"/>
        <v>0</v>
      </c>
      <c r="K21" s="657">
        <f t="shared" si="14"/>
        <v>0</v>
      </c>
      <c r="L21" s="657">
        <f t="shared" si="14"/>
        <v>0</v>
      </c>
      <c r="M21" s="657">
        <f t="shared" si="14"/>
        <v>0</v>
      </c>
      <c r="N21" s="657">
        <f t="shared" si="14"/>
        <v>0</v>
      </c>
      <c r="O21" s="657">
        <f t="shared" si="14"/>
        <v>0</v>
      </c>
      <c r="P21" s="657">
        <f t="shared" si="14"/>
        <v>0</v>
      </c>
      <c r="Q21" s="818">
        <f t="shared" si="14"/>
        <v>0</v>
      </c>
      <c r="R21" s="657">
        <f t="shared" si="14"/>
        <v>0</v>
      </c>
      <c r="S21" s="657">
        <f t="shared" si="14"/>
        <v>0</v>
      </c>
      <c r="T21" s="657">
        <f t="shared" si="14"/>
        <v>0</v>
      </c>
      <c r="U21" s="657">
        <f t="shared" si="14"/>
        <v>0</v>
      </c>
      <c r="V21" s="657">
        <f t="shared" si="14"/>
        <v>0</v>
      </c>
      <c r="W21" s="657">
        <f t="shared" si="14"/>
        <v>0</v>
      </c>
      <c r="X21" s="657">
        <f t="shared" si="14"/>
        <v>0</v>
      </c>
      <c r="Y21" s="657">
        <f t="shared" si="14"/>
        <v>0</v>
      </c>
      <c r="Z21" s="657">
        <f t="shared" si="14"/>
        <v>0</v>
      </c>
      <c r="AA21" s="657">
        <f t="shared" si="14"/>
        <v>0</v>
      </c>
      <c r="AB21" s="657">
        <f t="shared" si="14"/>
        <v>0</v>
      </c>
      <c r="AC21" s="657">
        <f t="shared" si="14"/>
        <v>0</v>
      </c>
      <c r="AD21" s="657">
        <f t="shared" si="14"/>
        <v>0</v>
      </c>
      <c r="AE21" s="657">
        <f t="shared" si="14"/>
        <v>0</v>
      </c>
      <c r="AF21" s="657">
        <f t="shared" si="14"/>
        <v>0</v>
      </c>
      <c r="AG21" s="657">
        <f t="shared" si="14"/>
        <v>0</v>
      </c>
      <c r="AH21" s="657">
        <f t="shared" si="14"/>
        <v>0</v>
      </c>
      <c r="AI21" s="657">
        <f t="shared" si="14"/>
        <v>0</v>
      </c>
      <c r="AJ21" s="657">
        <f t="shared" si="14"/>
        <v>0</v>
      </c>
      <c r="AK21" s="657">
        <f t="shared" si="14"/>
        <v>0</v>
      </c>
      <c r="AL21" s="657">
        <f t="shared" si="14"/>
        <v>0</v>
      </c>
      <c r="AM21" s="657">
        <f t="shared" si="14"/>
        <v>0</v>
      </c>
      <c r="AN21" s="657">
        <f t="shared" si="14"/>
        <v>0</v>
      </c>
      <c r="AO21" s="657">
        <f t="shared" si="14"/>
        <v>0</v>
      </c>
      <c r="AP21" s="657">
        <f t="shared" si="14"/>
        <v>0</v>
      </c>
    </row>
    <row r="22" ht="12.75" customHeight="1">
      <c r="A22" s="3" t="str">
        <f>'BY Proforma No Comm '!A58</f>
        <v>Repairs and Maintenance</v>
      </c>
      <c r="B22" s="819">
        <v>0.03</v>
      </c>
      <c r="C22" s="657">
        <f>'BY Proforma No Comm '!C58</f>
        <v>158995</v>
      </c>
      <c r="D22" s="657">
        <f t="shared" ref="D22:AP22" si="15">C22*(1+$B22)</f>
        <v>163764.85</v>
      </c>
      <c r="E22" s="657">
        <f t="shared" si="15"/>
        <v>168677.7955</v>
      </c>
      <c r="F22" s="657">
        <f t="shared" si="15"/>
        <v>173738.1294</v>
      </c>
      <c r="G22" s="657">
        <f t="shared" si="15"/>
        <v>178950.2732</v>
      </c>
      <c r="H22" s="657">
        <f t="shared" si="15"/>
        <v>184318.7814</v>
      </c>
      <c r="I22" s="657">
        <f t="shared" si="15"/>
        <v>189848.3449</v>
      </c>
      <c r="J22" s="657">
        <f t="shared" si="15"/>
        <v>195543.7952</v>
      </c>
      <c r="K22" s="657">
        <f t="shared" si="15"/>
        <v>201410.1091</v>
      </c>
      <c r="L22" s="657">
        <f t="shared" si="15"/>
        <v>207452.4124</v>
      </c>
      <c r="M22" s="657">
        <f t="shared" si="15"/>
        <v>213675.9847</v>
      </c>
      <c r="N22" s="657">
        <f t="shared" si="15"/>
        <v>220086.2643</v>
      </c>
      <c r="O22" s="657">
        <f t="shared" si="15"/>
        <v>226688.8522</v>
      </c>
      <c r="P22" s="657">
        <f t="shared" si="15"/>
        <v>233489.5178</v>
      </c>
      <c r="Q22" s="818">
        <f t="shared" si="15"/>
        <v>240494.2033</v>
      </c>
      <c r="R22" s="657">
        <f t="shared" si="15"/>
        <v>247709.0294</v>
      </c>
      <c r="S22" s="657">
        <f t="shared" si="15"/>
        <v>255140.3003</v>
      </c>
      <c r="T22" s="657">
        <f t="shared" si="15"/>
        <v>262794.5093</v>
      </c>
      <c r="U22" s="657">
        <f t="shared" si="15"/>
        <v>270678.3446</v>
      </c>
      <c r="V22" s="657">
        <f t="shared" si="15"/>
        <v>278798.6949</v>
      </c>
      <c r="W22" s="657">
        <f t="shared" si="15"/>
        <v>287162.6558</v>
      </c>
      <c r="X22" s="657">
        <f t="shared" si="15"/>
        <v>295777.5354</v>
      </c>
      <c r="Y22" s="657">
        <f t="shared" si="15"/>
        <v>304650.8615</v>
      </c>
      <c r="Z22" s="657">
        <f t="shared" si="15"/>
        <v>313790.3873</v>
      </c>
      <c r="AA22" s="657">
        <f t="shared" si="15"/>
        <v>323204.099</v>
      </c>
      <c r="AB22" s="657">
        <f t="shared" si="15"/>
        <v>332900.2219</v>
      </c>
      <c r="AC22" s="657">
        <f t="shared" si="15"/>
        <v>342887.2286</v>
      </c>
      <c r="AD22" s="657">
        <f t="shared" si="15"/>
        <v>353173.8454</v>
      </c>
      <c r="AE22" s="657">
        <f t="shared" si="15"/>
        <v>363769.0608</v>
      </c>
      <c r="AF22" s="657">
        <f t="shared" si="15"/>
        <v>374682.1326</v>
      </c>
      <c r="AG22" s="657">
        <f t="shared" si="15"/>
        <v>385922.5966</v>
      </c>
      <c r="AH22" s="657">
        <f t="shared" si="15"/>
        <v>397500.2745</v>
      </c>
      <c r="AI22" s="657">
        <f t="shared" si="15"/>
        <v>409425.2827</v>
      </c>
      <c r="AJ22" s="657">
        <f t="shared" si="15"/>
        <v>421708.0412</v>
      </c>
      <c r="AK22" s="657">
        <f t="shared" si="15"/>
        <v>434359.2825</v>
      </c>
      <c r="AL22" s="657">
        <f t="shared" si="15"/>
        <v>447390.0609</v>
      </c>
      <c r="AM22" s="657">
        <f t="shared" si="15"/>
        <v>460811.7628</v>
      </c>
      <c r="AN22" s="657">
        <f t="shared" si="15"/>
        <v>474636.1156</v>
      </c>
      <c r="AO22" s="657">
        <f t="shared" si="15"/>
        <v>488875.1991</v>
      </c>
      <c r="AP22" s="657">
        <f t="shared" si="15"/>
        <v>503541.4551</v>
      </c>
    </row>
    <row r="23" ht="12.75" customHeight="1">
      <c r="A23" s="3" t="str">
        <f>'BY Proforma No Comm '!A60</f>
        <v>Miscellaneous</v>
      </c>
      <c r="B23" s="819">
        <v>0.03</v>
      </c>
      <c r="C23" s="657">
        <f>'BY Proforma No Comm '!C60</f>
        <v>0</v>
      </c>
      <c r="D23" s="657">
        <f t="shared" ref="D23:AP23" si="16">C23*(1+$B23)</f>
        <v>0</v>
      </c>
      <c r="E23" s="657">
        <f t="shared" si="16"/>
        <v>0</v>
      </c>
      <c r="F23" s="657">
        <f t="shared" si="16"/>
        <v>0</v>
      </c>
      <c r="G23" s="657">
        <f t="shared" si="16"/>
        <v>0</v>
      </c>
      <c r="H23" s="657">
        <f t="shared" si="16"/>
        <v>0</v>
      </c>
      <c r="I23" s="657">
        <f t="shared" si="16"/>
        <v>0</v>
      </c>
      <c r="J23" s="657">
        <f t="shared" si="16"/>
        <v>0</v>
      </c>
      <c r="K23" s="657">
        <f t="shared" si="16"/>
        <v>0</v>
      </c>
      <c r="L23" s="657">
        <f t="shared" si="16"/>
        <v>0</v>
      </c>
      <c r="M23" s="657">
        <f t="shared" si="16"/>
        <v>0</v>
      </c>
      <c r="N23" s="657">
        <f t="shared" si="16"/>
        <v>0</v>
      </c>
      <c r="O23" s="657">
        <f t="shared" si="16"/>
        <v>0</v>
      </c>
      <c r="P23" s="657">
        <f t="shared" si="16"/>
        <v>0</v>
      </c>
      <c r="Q23" s="818">
        <f t="shared" si="16"/>
        <v>0</v>
      </c>
      <c r="R23" s="657">
        <f t="shared" si="16"/>
        <v>0</v>
      </c>
      <c r="S23" s="657">
        <f t="shared" si="16"/>
        <v>0</v>
      </c>
      <c r="T23" s="657">
        <f t="shared" si="16"/>
        <v>0</v>
      </c>
      <c r="U23" s="657">
        <f t="shared" si="16"/>
        <v>0</v>
      </c>
      <c r="V23" s="657">
        <f t="shared" si="16"/>
        <v>0</v>
      </c>
      <c r="W23" s="657">
        <f t="shared" si="16"/>
        <v>0</v>
      </c>
      <c r="X23" s="657">
        <f t="shared" si="16"/>
        <v>0</v>
      </c>
      <c r="Y23" s="657">
        <f t="shared" si="16"/>
        <v>0</v>
      </c>
      <c r="Z23" s="657">
        <f t="shared" si="16"/>
        <v>0</v>
      </c>
      <c r="AA23" s="657">
        <f t="shared" si="16"/>
        <v>0</v>
      </c>
      <c r="AB23" s="657">
        <f t="shared" si="16"/>
        <v>0</v>
      </c>
      <c r="AC23" s="657">
        <f t="shared" si="16"/>
        <v>0</v>
      </c>
      <c r="AD23" s="657">
        <f t="shared" si="16"/>
        <v>0</v>
      </c>
      <c r="AE23" s="657">
        <f t="shared" si="16"/>
        <v>0</v>
      </c>
      <c r="AF23" s="657">
        <f t="shared" si="16"/>
        <v>0</v>
      </c>
      <c r="AG23" s="657">
        <f t="shared" si="16"/>
        <v>0</v>
      </c>
      <c r="AH23" s="657">
        <f t="shared" si="16"/>
        <v>0</v>
      </c>
      <c r="AI23" s="657">
        <f t="shared" si="16"/>
        <v>0</v>
      </c>
      <c r="AJ23" s="657">
        <f t="shared" si="16"/>
        <v>0</v>
      </c>
      <c r="AK23" s="657">
        <f t="shared" si="16"/>
        <v>0</v>
      </c>
      <c r="AL23" s="657">
        <f t="shared" si="16"/>
        <v>0</v>
      </c>
      <c r="AM23" s="657">
        <f t="shared" si="16"/>
        <v>0</v>
      </c>
      <c r="AN23" s="657">
        <f t="shared" si="16"/>
        <v>0</v>
      </c>
      <c r="AO23" s="657">
        <f t="shared" si="16"/>
        <v>0</v>
      </c>
      <c r="AP23" s="657">
        <f t="shared" si="16"/>
        <v>0</v>
      </c>
    </row>
    <row r="24" ht="12.75" customHeight="1">
      <c r="A24" s="3" t="str">
        <f>'BY Proforma No Comm '!A61</f>
        <v>Other Expenses</v>
      </c>
      <c r="B24" s="819">
        <v>0.03</v>
      </c>
      <c r="C24" s="657">
        <f>'BY Proforma No Comm '!C61</f>
        <v>0</v>
      </c>
      <c r="D24" s="657">
        <f t="shared" ref="D24:AP24" si="17">C24*(1+$B24)</f>
        <v>0</v>
      </c>
      <c r="E24" s="657">
        <f t="shared" si="17"/>
        <v>0</v>
      </c>
      <c r="F24" s="657">
        <f t="shared" si="17"/>
        <v>0</v>
      </c>
      <c r="G24" s="657">
        <f t="shared" si="17"/>
        <v>0</v>
      </c>
      <c r="H24" s="657">
        <f t="shared" si="17"/>
        <v>0</v>
      </c>
      <c r="I24" s="657">
        <f t="shared" si="17"/>
        <v>0</v>
      </c>
      <c r="J24" s="657">
        <f t="shared" si="17"/>
        <v>0</v>
      </c>
      <c r="K24" s="657">
        <f t="shared" si="17"/>
        <v>0</v>
      </c>
      <c r="L24" s="657">
        <f t="shared" si="17"/>
        <v>0</v>
      </c>
      <c r="M24" s="657">
        <f t="shared" si="17"/>
        <v>0</v>
      </c>
      <c r="N24" s="657">
        <f t="shared" si="17"/>
        <v>0</v>
      </c>
      <c r="O24" s="657">
        <f t="shared" si="17"/>
        <v>0</v>
      </c>
      <c r="P24" s="657">
        <f t="shared" si="17"/>
        <v>0</v>
      </c>
      <c r="Q24" s="818">
        <f t="shared" si="17"/>
        <v>0</v>
      </c>
      <c r="R24" s="657">
        <f t="shared" si="17"/>
        <v>0</v>
      </c>
      <c r="S24" s="657">
        <f t="shared" si="17"/>
        <v>0</v>
      </c>
      <c r="T24" s="657">
        <f t="shared" si="17"/>
        <v>0</v>
      </c>
      <c r="U24" s="657">
        <f t="shared" si="17"/>
        <v>0</v>
      </c>
      <c r="V24" s="657">
        <f t="shared" si="17"/>
        <v>0</v>
      </c>
      <c r="W24" s="657">
        <f t="shared" si="17"/>
        <v>0</v>
      </c>
      <c r="X24" s="657">
        <f t="shared" si="17"/>
        <v>0</v>
      </c>
      <c r="Y24" s="657">
        <f t="shared" si="17"/>
        <v>0</v>
      </c>
      <c r="Z24" s="657">
        <f t="shared" si="17"/>
        <v>0</v>
      </c>
      <c r="AA24" s="657">
        <f t="shared" si="17"/>
        <v>0</v>
      </c>
      <c r="AB24" s="657">
        <f t="shared" si="17"/>
        <v>0</v>
      </c>
      <c r="AC24" s="657">
        <f t="shared" si="17"/>
        <v>0</v>
      </c>
      <c r="AD24" s="657">
        <f t="shared" si="17"/>
        <v>0</v>
      </c>
      <c r="AE24" s="657">
        <f t="shared" si="17"/>
        <v>0</v>
      </c>
      <c r="AF24" s="657">
        <f t="shared" si="17"/>
        <v>0</v>
      </c>
      <c r="AG24" s="657">
        <f t="shared" si="17"/>
        <v>0</v>
      </c>
      <c r="AH24" s="657">
        <f t="shared" si="17"/>
        <v>0</v>
      </c>
      <c r="AI24" s="657">
        <f t="shared" si="17"/>
        <v>0</v>
      </c>
      <c r="AJ24" s="657">
        <f t="shared" si="17"/>
        <v>0</v>
      </c>
      <c r="AK24" s="657">
        <f t="shared" si="17"/>
        <v>0</v>
      </c>
      <c r="AL24" s="657">
        <f t="shared" si="17"/>
        <v>0</v>
      </c>
      <c r="AM24" s="657">
        <f t="shared" si="17"/>
        <v>0</v>
      </c>
      <c r="AN24" s="657">
        <f t="shared" si="17"/>
        <v>0</v>
      </c>
      <c r="AO24" s="657">
        <f t="shared" si="17"/>
        <v>0</v>
      </c>
      <c r="AP24" s="657">
        <f t="shared" si="17"/>
        <v>0</v>
      </c>
    </row>
    <row r="25" ht="12.75" customHeight="1">
      <c r="A25" s="39" t="str">
        <f>'BY Proforma No Comm '!A62</f>
        <v>Social Services</v>
      </c>
      <c r="B25" s="820">
        <v>0.03</v>
      </c>
      <c r="C25" s="743">
        <f>'BY Proforma No Comm '!C62</f>
        <v>0</v>
      </c>
      <c r="D25" s="743">
        <f t="shared" ref="D25:AP25" si="18">C25*(1+$B25)</f>
        <v>0</v>
      </c>
      <c r="E25" s="743">
        <f t="shared" si="18"/>
        <v>0</v>
      </c>
      <c r="F25" s="743">
        <f t="shared" si="18"/>
        <v>0</v>
      </c>
      <c r="G25" s="743">
        <f t="shared" si="18"/>
        <v>0</v>
      </c>
      <c r="H25" s="743">
        <f t="shared" si="18"/>
        <v>0</v>
      </c>
      <c r="I25" s="743">
        <f t="shared" si="18"/>
        <v>0</v>
      </c>
      <c r="J25" s="743">
        <f t="shared" si="18"/>
        <v>0</v>
      </c>
      <c r="K25" s="743">
        <f t="shared" si="18"/>
        <v>0</v>
      </c>
      <c r="L25" s="743">
        <f t="shared" si="18"/>
        <v>0</v>
      </c>
      <c r="M25" s="743">
        <f t="shared" si="18"/>
        <v>0</v>
      </c>
      <c r="N25" s="743">
        <f t="shared" si="18"/>
        <v>0</v>
      </c>
      <c r="O25" s="743">
        <f t="shared" si="18"/>
        <v>0</v>
      </c>
      <c r="P25" s="743">
        <f t="shared" si="18"/>
        <v>0</v>
      </c>
      <c r="Q25" s="821">
        <f t="shared" si="18"/>
        <v>0</v>
      </c>
      <c r="R25" s="743">
        <f t="shared" si="18"/>
        <v>0</v>
      </c>
      <c r="S25" s="743">
        <f t="shared" si="18"/>
        <v>0</v>
      </c>
      <c r="T25" s="743">
        <f t="shared" si="18"/>
        <v>0</v>
      </c>
      <c r="U25" s="743">
        <f t="shared" si="18"/>
        <v>0</v>
      </c>
      <c r="V25" s="743">
        <f t="shared" si="18"/>
        <v>0</v>
      </c>
      <c r="W25" s="743">
        <f t="shared" si="18"/>
        <v>0</v>
      </c>
      <c r="X25" s="743">
        <f t="shared" si="18"/>
        <v>0</v>
      </c>
      <c r="Y25" s="743">
        <f t="shared" si="18"/>
        <v>0</v>
      </c>
      <c r="Z25" s="743">
        <f t="shared" si="18"/>
        <v>0</v>
      </c>
      <c r="AA25" s="743">
        <f t="shared" si="18"/>
        <v>0</v>
      </c>
      <c r="AB25" s="743">
        <f t="shared" si="18"/>
        <v>0</v>
      </c>
      <c r="AC25" s="743">
        <f t="shared" si="18"/>
        <v>0</v>
      </c>
      <c r="AD25" s="743">
        <f t="shared" si="18"/>
        <v>0</v>
      </c>
      <c r="AE25" s="743">
        <f t="shared" si="18"/>
        <v>0</v>
      </c>
      <c r="AF25" s="743">
        <f t="shared" si="18"/>
        <v>0</v>
      </c>
      <c r="AG25" s="743">
        <f t="shared" si="18"/>
        <v>0</v>
      </c>
      <c r="AH25" s="743">
        <f t="shared" si="18"/>
        <v>0</v>
      </c>
      <c r="AI25" s="743">
        <f t="shared" si="18"/>
        <v>0</v>
      </c>
      <c r="AJ25" s="743">
        <f t="shared" si="18"/>
        <v>0</v>
      </c>
      <c r="AK25" s="743">
        <f t="shared" si="18"/>
        <v>0</v>
      </c>
      <c r="AL25" s="743">
        <f t="shared" si="18"/>
        <v>0</v>
      </c>
      <c r="AM25" s="743">
        <f t="shared" si="18"/>
        <v>0</v>
      </c>
      <c r="AN25" s="743">
        <f t="shared" si="18"/>
        <v>0</v>
      </c>
      <c r="AO25" s="743">
        <f t="shared" si="18"/>
        <v>0</v>
      </c>
      <c r="AP25" s="743">
        <f t="shared" si="18"/>
        <v>0</v>
      </c>
    </row>
    <row r="26" ht="12.75" customHeight="1">
      <c r="A26" s="666" t="str">
        <f>'BY Proforma No Comm '!A63</f>
        <v>Total Operating Expenses</v>
      </c>
      <c r="B26" s="822"/>
      <c r="C26" s="823">
        <f t="shared" ref="C26:AP26" si="19">SUM(C14:C25)</f>
        <v>790408.1519</v>
      </c>
      <c r="D26" s="823">
        <f t="shared" si="19"/>
        <v>813302.2353</v>
      </c>
      <c r="E26" s="823">
        <f t="shared" si="19"/>
        <v>836864.7326</v>
      </c>
      <c r="F26" s="823">
        <f t="shared" si="19"/>
        <v>861115.282</v>
      </c>
      <c r="G26" s="823">
        <f t="shared" si="19"/>
        <v>886074.1015</v>
      </c>
      <c r="H26" s="823">
        <f t="shared" si="19"/>
        <v>911762.0063</v>
      </c>
      <c r="I26" s="823">
        <f t="shared" si="19"/>
        <v>938200.426</v>
      </c>
      <c r="J26" s="823">
        <f t="shared" si="19"/>
        <v>965411.4234</v>
      </c>
      <c r="K26" s="823">
        <f t="shared" si="19"/>
        <v>993417.7129</v>
      </c>
      <c r="L26" s="823">
        <f t="shared" si="19"/>
        <v>1022242.68</v>
      </c>
      <c r="M26" s="823">
        <f t="shared" si="19"/>
        <v>1051910.401</v>
      </c>
      <c r="N26" s="823">
        <f t="shared" si="19"/>
        <v>1082445.663</v>
      </c>
      <c r="O26" s="823">
        <f t="shared" si="19"/>
        <v>1113873.987</v>
      </c>
      <c r="P26" s="823">
        <f t="shared" si="19"/>
        <v>1146221.647</v>
      </c>
      <c r="Q26" s="824">
        <f t="shared" si="19"/>
        <v>1179515.695</v>
      </c>
      <c r="R26" s="823">
        <f t="shared" si="19"/>
        <v>1213783.98</v>
      </c>
      <c r="S26" s="823">
        <f t="shared" si="19"/>
        <v>1249055.177</v>
      </c>
      <c r="T26" s="823">
        <f t="shared" si="19"/>
        <v>1285358.808</v>
      </c>
      <c r="U26" s="823">
        <f t="shared" si="19"/>
        <v>1322725.268</v>
      </c>
      <c r="V26" s="823">
        <f t="shared" si="19"/>
        <v>1361185.849</v>
      </c>
      <c r="W26" s="823">
        <f t="shared" si="19"/>
        <v>1400772.771</v>
      </c>
      <c r="X26" s="823">
        <f t="shared" si="19"/>
        <v>1441519.206</v>
      </c>
      <c r="Y26" s="823">
        <f t="shared" si="19"/>
        <v>1483459.308</v>
      </c>
      <c r="Z26" s="823">
        <f t="shared" si="19"/>
        <v>1526628.239</v>
      </c>
      <c r="AA26" s="823">
        <f t="shared" si="19"/>
        <v>1571062.204</v>
      </c>
      <c r="AB26" s="823">
        <f t="shared" si="19"/>
        <v>1616798.478</v>
      </c>
      <c r="AC26" s="823">
        <f t="shared" si="19"/>
        <v>1663875.44</v>
      </c>
      <c r="AD26" s="823">
        <f t="shared" si="19"/>
        <v>1712332.603</v>
      </c>
      <c r="AE26" s="823">
        <f t="shared" si="19"/>
        <v>1762210.651</v>
      </c>
      <c r="AF26" s="823">
        <f t="shared" si="19"/>
        <v>1813551.472</v>
      </c>
      <c r="AG26" s="823">
        <f t="shared" si="19"/>
        <v>1866398.195</v>
      </c>
      <c r="AH26" s="823">
        <f t="shared" si="19"/>
        <v>1920795.222</v>
      </c>
      <c r="AI26" s="823">
        <f t="shared" si="19"/>
        <v>1976788.276</v>
      </c>
      <c r="AJ26" s="823">
        <f t="shared" si="19"/>
        <v>2034424.427</v>
      </c>
      <c r="AK26" s="823">
        <f t="shared" si="19"/>
        <v>2093752.145</v>
      </c>
      <c r="AL26" s="823">
        <f t="shared" si="19"/>
        <v>2154821.331</v>
      </c>
      <c r="AM26" s="823">
        <f t="shared" si="19"/>
        <v>2217683.366</v>
      </c>
      <c r="AN26" s="823">
        <f t="shared" si="19"/>
        <v>2282391.155</v>
      </c>
      <c r="AO26" s="823">
        <f t="shared" si="19"/>
        <v>2348999.165</v>
      </c>
      <c r="AP26" s="823">
        <f t="shared" si="19"/>
        <v>2417563.483</v>
      </c>
    </row>
    <row r="27" ht="12.75" customHeight="1">
      <c r="A27" s="3" t="str">
        <f>'BY Proforma No Comm '!A65</f>
        <v>Operating Reserves</v>
      </c>
      <c r="B27" s="819">
        <v>0.0</v>
      </c>
      <c r="C27" s="657" t="str">
        <f>'BY Proforma No Comm '!C65</f>
        <v/>
      </c>
      <c r="D27" s="657">
        <f t="shared" ref="D27:AP27" si="20">C27*(1+$B27)</f>
        <v>0</v>
      </c>
      <c r="E27" s="657">
        <f t="shared" si="20"/>
        <v>0</v>
      </c>
      <c r="F27" s="657">
        <f t="shared" si="20"/>
        <v>0</v>
      </c>
      <c r="G27" s="657">
        <f t="shared" si="20"/>
        <v>0</v>
      </c>
      <c r="H27" s="657">
        <f t="shared" si="20"/>
        <v>0</v>
      </c>
      <c r="I27" s="657">
        <f t="shared" si="20"/>
        <v>0</v>
      </c>
      <c r="J27" s="657">
        <f t="shared" si="20"/>
        <v>0</v>
      </c>
      <c r="K27" s="657">
        <f t="shared" si="20"/>
        <v>0</v>
      </c>
      <c r="L27" s="657">
        <f t="shared" si="20"/>
        <v>0</v>
      </c>
      <c r="M27" s="657">
        <f t="shared" si="20"/>
        <v>0</v>
      </c>
      <c r="N27" s="657">
        <f t="shared" si="20"/>
        <v>0</v>
      </c>
      <c r="O27" s="657">
        <f t="shared" si="20"/>
        <v>0</v>
      </c>
      <c r="P27" s="657">
        <f t="shared" si="20"/>
        <v>0</v>
      </c>
      <c r="Q27" s="818">
        <f t="shared" si="20"/>
        <v>0</v>
      </c>
      <c r="R27" s="657">
        <f t="shared" si="20"/>
        <v>0</v>
      </c>
      <c r="S27" s="657">
        <f t="shared" si="20"/>
        <v>0</v>
      </c>
      <c r="T27" s="657">
        <f t="shared" si="20"/>
        <v>0</v>
      </c>
      <c r="U27" s="657">
        <f t="shared" si="20"/>
        <v>0</v>
      </c>
      <c r="V27" s="657">
        <f t="shared" si="20"/>
        <v>0</v>
      </c>
      <c r="W27" s="657">
        <f t="shared" si="20"/>
        <v>0</v>
      </c>
      <c r="X27" s="657">
        <f t="shared" si="20"/>
        <v>0</v>
      </c>
      <c r="Y27" s="657">
        <f t="shared" si="20"/>
        <v>0</v>
      </c>
      <c r="Z27" s="657">
        <f t="shared" si="20"/>
        <v>0</v>
      </c>
      <c r="AA27" s="657">
        <f t="shared" si="20"/>
        <v>0</v>
      </c>
      <c r="AB27" s="657">
        <f t="shared" si="20"/>
        <v>0</v>
      </c>
      <c r="AC27" s="657">
        <f t="shared" si="20"/>
        <v>0</v>
      </c>
      <c r="AD27" s="657">
        <f t="shared" si="20"/>
        <v>0</v>
      </c>
      <c r="AE27" s="657">
        <f t="shared" si="20"/>
        <v>0</v>
      </c>
      <c r="AF27" s="657">
        <f t="shared" si="20"/>
        <v>0</v>
      </c>
      <c r="AG27" s="657">
        <f t="shared" si="20"/>
        <v>0</v>
      </c>
      <c r="AH27" s="657">
        <f t="shared" si="20"/>
        <v>0</v>
      </c>
      <c r="AI27" s="657">
        <f t="shared" si="20"/>
        <v>0</v>
      </c>
      <c r="AJ27" s="657">
        <f t="shared" si="20"/>
        <v>0</v>
      </c>
      <c r="AK27" s="657">
        <f t="shared" si="20"/>
        <v>0</v>
      </c>
      <c r="AL27" s="657">
        <f t="shared" si="20"/>
        <v>0</v>
      </c>
      <c r="AM27" s="657">
        <f t="shared" si="20"/>
        <v>0</v>
      </c>
      <c r="AN27" s="657">
        <f t="shared" si="20"/>
        <v>0</v>
      </c>
      <c r="AO27" s="657">
        <f t="shared" si="20"/>
        <v>0</v>
      </c>
      <c r="AP27" s="657">
        <f t="shared" si="20"/>
        <v>0</v>
      </c>
    </row>
    <row r="28" ht="12.75" customHeight="1">
      <c r="A28" s="3" t="str">
        <f>'BY Proforma No Comm '!A66</f>
        <v>Replacement Reserves</v>
      </c>
      <c r="B28" s="819">
        <v>0.01</v>
      </c>
      <c r="C28" s="657">
        <f>'BY Proforma No Comm '!C66</f>
        <v>34800</v>
      </c>
      <c r="D28" s="657">
        <f t="shared" ref="D28:AP28" si="21">C28*(1+$B28)</f>
        <v>35148</v>
      </c>
      <c r="E28" s="657">
        <f t="shared" si="21"/>
        <v>35499.48</v>
      </c>
      <c r="F28" s="657">
        <f t="shared" si="21"/>
        <v>35854.4748</v>
      </c>
      <c r="G28" s="657">
        <f t="shared" si="21"/>
        <v>36213.01955</v>
      </c>
      <c r="H28" s="657">
        <f t="shared" si="21"/>
        <v>36575.14974</v>
      </c>
      <c r="I28" s="657">
        <f t="shared" si="21"/>
        <v>36940.90124</v>
      </c>
      <c r="J28" s="657">
        <f t="shared" si="21"/>
        <v>37310.31025</v>
      </c>
      <c r="K28" s="657">
        <f t="shared" si="21"/>
        <v>37683.41336</v>
      </c>
      <c r="L28" s="657">
        <f t="shared" si="21"/>
        <v>38060.24749</v>
      </c>
      <c r="M28" s="657">
        <f t="shared" si="21"/>
        <v>38440.84996</v>
      </c>
      <c r="N28" s="657">
        <f t="shared" si="21"/>
        <v>38825.25846</v>
      </c>
      <c r="O28" s="657">
        <f t="shared" si="21"/>
        <v>39213.51105</v>
      </c>
      <c r="P28" s="657">
        <f t="shared" si="21"/>
        <v>39605.64616</v>
      </c>
      <c r="Q28" s="818">
        <f t="shared" si="21"/>
        <v>40001.70262</v>
      </c>
      <c r="R28" s="657">
        <f t="shared" si="21"/>
        <v>40401.71965</v>
      </c>
      <c r="S28" s="657">
        <f t="shared" si="21"/>
        <v>40805.73684</v>
      </c>
      <c r="T28" s="657">
        <f t="shared" si="21"/>
        <v>41213.79421</v>
      </c>
      <c r="U28" s="657">
        <f t="shared" si="21"/>
        <v>41625.93215</v>
      </c>
      <c r="V28" s="657">
        <f t="shared" si="21"/>
        <v>42042.19148</v>
      </c>
      <c r="W28" s="657">
        <f t="shared" si="21"/>
        <v>42462.61339</v>
      </c>
      <c r="X28" s="657">
        <f t="shared" si="21"/>
        <v>42887.23952</v>
      </c>
      <c r="Y28" s="657">
        <f t="shared" si="21"/>
        <v>43316.11192</v>
      </c>
      <c r="Z28" s="657">
        <f t="shared" si="21"/>
        <v>43749.27304</v>
      </c>
      <c r="AA28" s="657">
        <f t="shared" si="21"/>
        <v>44186.76577</v>
      </c>
      <c r="AB28" s="657">
        <f t="shared" si="21"/>
        <v>44628.63343</v>
      </c>
      <c r="AC28" s="657">
        <f t="shared" si="21"/>
        <v>45074.91976</v>
      </c>
      <c r="AD28" s="657">
        <f t="shared" si="21"/>
        <v>45525.66896</v>
      </c>
      <c r="AE28" s="657">
        <f t="shared" si="21"/>
        <v>45980.92565</v>
      </c>
      <c r="AF28" s="657">
        <f t="shared" si="21"/>
        <v>46440.7349</v>
      </c>
      <c r="AG28" s="657">
        <f t="shared" si="21"/>
        <v>46905.14225</v>
      </c>
      <c r="AH28" s="657">
        <f t="shared" si="21"/>
        <v>47374.19368</v>
      </c>
      <c r="AI28" s="657">
        <f t="shared" si="21"/>
        <v>47847.93561</v>
      </c>
      <c r="AJ28" s="657">
        <f t="shared" si="21"/>
        <v>48326.41497</v>
      </c>
      <c r="AK28" s="657">
        <f t="shared" si="21"/>
        <v>48809.67912</v>
      </c>
      <c r="AL28" s="657">
        <f t="shared" si="21"/>
        <v>49297.77591</v>
      </c>
      <c r="AM28" s="657">
        <f t="shared" si="21"/>
        <v>49790.75367</v>
      </c>
      <c r="AN28" s="657">
        <f t="shared" si="21"/>
        <v>50288.66121</v>
      </c>
      <c r="AO28" s="657">
        <f t="shared" si="21"/>
        <v>50791.54782</v>
      </c>
      <c r="AP28" s="657">
        <f t="shared" si="21"/>
        <v>51299.4633</v>
      </c>
    </row>
    <row r="29" ht="12.75" customHeight="1">
      <c r="A29" s="825" t="str">
        <f>'BY Proforma No Comm '!A67</f>
        <v>Total Expenses &amp; Reserves</v>
      </c>
      <c r="B29" s="826"/>
      <c r="C29" s="827">
        <f t="shared" ref="C29:AP29" si="22">SUM(C26:C28)</f>
        <v>825208.1519</v>
      </c>
      <c r="D29" s="827">
        <f t="shared" si="22"/>
        <v>848450.2353</v>
      </c>
      <c r="E29" s="827">
        <f t="shared" si="22"/>
        <v>872364.2126</v>
      </c>
      <c r="F29" s="827">
        <f t="shared" si="22"/>
        <v>896969.7568</v>
      </c>
      <c r="G29" s="827">
        <f t="shared" si="22"/>
        <v>922287.1211</v>
      </c>
      <c r="H29" s="827">
        <f t="shared" si="22"/>
        <v>948337.156</v>
      </c>
      <c r="I29" s="827">
        <f t="shared" si="22"/>
        <v>975141.3273</v>
      </c>
      <c r="J29" s="827">
        <f t="shared" si="22"/>
        <v>1002721.734</v>
      </c>
      <c r="K29" s="827">
        <f t="shared" si="22"/>
        <v>1031101.126</v>
      </c>
      <c r="L29" s="827">
        <f t="shared" si="22"/>
        <v>1060302.927</v>
      </c>
      <c r="M29" s="827">
        <f t="shared" si="22"/>
        <v>1090351.251</v>
      </c>
      <c r="N29" s="827">
        <f t="shared" si="22"/>
        <v>1121270.921</v>
      </c>
      <c r="O29" s="827">
        <f t="shared" si="22"/>
        <v>1153087.498</v>
      </c>
      <c r="P29" s="827">
        <f t="shared" si="22"/>
        <v>1185827.294</v>
      </c>
      <c r="Q29" s="828">
        <f t="shared" si="22"/>
        <v>1219517.397</v>
      </c>
      <c r="R29" s="827">
        <f t="shared" si="22"/>
        <v>1254185.7</v>
      </c>
      <c r="S29" s="827">
        <f t="shared" si="22"/>
        <v>1289860.914</v>
      </c>
      <c r="T29" s="827">
        <f t="shared" si="22"/>
        <v>1326572.603</v>
      </c>
      <c r="U29" s="827">
        <f t="shared" si="22"/>
        <v>1364351.2</v>
      </c>
      <c r="V29" s="827">
        <f t="shared" si="22"/>
        <v>1403228.04</v>
      </c>
      <c r="W29" s="827">
        <f t="shared" si="22"/>
        <v>1443235.385</v>
      </c>
      <c r="X29" s="827">
        <f t="shared" si="22"/>
        <v>1484406.446</v>
      </c>
      <c r="Y29" s="827">
        <f t="shared" si="22"/>
        <v>1526775.42</v>
      </c>
      <c r="Z29" s="827">
        <f t="shared" si="22"/>
        <v>1570377.512</v>
      </c>
      <c r="AA29" s="827">
        <f t="shared" si="22"/>
        <v>1615248.97</v>
      </c>
      <c r="AB29" s="827">
        <f t="shared" si="22"/>
        <v>1661427.112</v>
      </c>
      <c r="AC29" s="827">
        <f t="shared" si="22"/>
        <v>1708950.36</v>
      </c>
      <c r="AD29" s="827">
        <f t="shared" si="22"/>
        <v>1757858.272</v>
      </c>
      <c r="AE29" s="827">
        <f t="shared" si="22"/>
        <v>1808191.577</v>
      </c>
      <c r="AF29" s="827">
        <f t="shared" si="22"/>
        <v>1859992.207</v>
      </c>
      <c r="AG29" s="827">
        <f t="shared" si="22"/>
        <v>1913303.337</v>
      </c>
      <c r="AH29" s="827">
        <f t="shared" si="22"/>
        <v>1968169.416</v>
      </c>
      <c r="AI29" s="827">
        <f t="shared" si="22"/>
        <v>2024636.211</v>
      </c>
      <c r="AJ29" s="827">
        <f t="shared" si="22"/>
        <v>2082750.842</v>
      </c>
      <c r="AK29" s="827">
        <f t="shared" si="22"/>
        <v>2142561.824</v>
      </c>
      <c r="AL29" s="827">
        <f t="shared" si="22"/>
        <v>2204119.107</v>
      </c>
      <c r="AM29" s="827">
        <f t="shared" si="22"/>
        <v>2267474.12</v>
      </c>
      <c r="AN29" s="827">
        <f t="shared" si="22"/>
        <v>2332679.816</v>
      </c>
      <c r="AO29" s="827">
        <f t="shared" si="22"/>
        <v>2399790.713</v>
      </c>
      <c r="AP29" s="827">
        <f t="shared" si="22"/>
        <v>2468862.946</v>
      </c>
    </row>
    <row r="30" ht="12.75" customHeight="1">
      <c r="A30" s="3"/>
      <c r="B30" s="805"/>
      <c r="C30" s="657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816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</row>
    <row r="31" ht="12.75" customHeight="1">
      <c r="A31" s="829" t="str">
        <f>'BY Proforma No Comm '!A69</f>
        <v>Net Operating Income (NOI)</v>
      </c>
      <c r="B31" s="830"/>
      <c r="C31" s="831">
        <f t="shared" ref="C31:AP31" si="23">C12-C29</f>
        <v>992927.713</v>
      </c>
      <c r="D31" s="831">
        <f t="shared" si="23"/>
        <v>1010593.687</v>
      </c>
      <c r="E31" s="831">
        <f t="shared" si="23"/>
        <v>1028508.197</v>
      </c>
      <c r="F31" s="831">
        <f t="shared" si="23"/>
        <v>1046672.283</v>
      </c>
      <c r="G31" s="831">
        <f t="shared" si="23"/>
        <v>1065086.864</v>
      </c>
      <c r="H31" s="831">
        <f t="shared" si="23"/>
        <v>1083752.744</v>
      </c>
      <c r="I31" s="831">
        <f t="shared" si="23"/>
        <v>1102670.595</v>
      </c>
      <c r="J31" s="831">
        <f t="shared" si="23"/>
        <v>1121840.957</v>
      </c>
      <c r="K31" s="831">
        <f t="shared" si="23"/>
        <v>1141264.225</v>
      </c>
      <c r="L31" s="831">
        <f t="shared" si="23"/>
        <v>1160940.644</v>
      </c>
      <c r="M31" s="831">
        <f t="shared" si="23"/>
        <v>1180870.302</v>
      </c>
      <c r="N31" s="831">
        <f t="shared" si="23"/>
        <v>1201053.116</v>
      </c>
      <c r="O31" s="831">
        <f t="shared" si="23"/>
        <v>1221488.83</v>
      </c>
      <c r="P31" s="831">
        <f t="shared" si="23"/>
        <v>1242177.002</v>
      </c>
      <c r="Q31" s="828">
        <f t="shared" si="23"/>
        <v>1263116.995</v>
      </c>
      <c r="R31" s="831">
        <f t="shared" si="23"/>
        <v>1284307.966</v>
      </c>
      <c r="S31" s="831">
        <f t="shared" si="23"/>
        <v>1305748.859</v>
      </c>
      <c r="T31" s="831">
        <f t="shared" si="23"/>
        <v>1327438.391</v>
      </c>
      <c r="U31" s="831">
        <f t="shared" si="23"/>
        <v>1349375.041</v>
      </c>
      <c r="V31" s="831">
        <f t="shared" si="23"/>
        <v>1371557.041</v>
      </c>
      <c r="W31" s="831">
        <f t="shared" si="23"/>
        <v>1393982.361</v>
      </c>
      <c r="X31" s="831">
        <f t="shared" si="23"/>
        <v>1416648.699</v>
      </c>
      <c r="Y31" s="831">
        <f t="shared" si="23"/>
        <v>1439553.466</v>
      </c>
      <c r="Z31" s="831">
        <f t="shared" si="23"/>
        <v>1462693.773</v>
      </c>
      <c r="AA31" s="831">
        <f t="shared" si="23"/>
        <v>1486066.419</v>
      </c>
      <c r="AB31" s="831">
        <f t="shared" si="23"/>
        <v>1509667.874</v>
      </c>
      <c r="AC31" s="831">
        <f t="shared" si="23"/>
        <v>1533494.263</v>
      </c>
      <c r="AD31" s="831">
        <f t="shared" si="23"/>
        <v>1557541.355</v>
      </c>
      <c r="AE31" s="831">
        <f t="shared" si="23"/>
        <v>1581804.541</v>
      </c>
      <c r="AF31" s="831">
        <f t="shared" si="23"/>
        <v>1606278.824</v>
      </c>
      <c r="AG31" s="831">
        <f t="shared" si="23"/>
        <v>1630958.792</v>
      </c>
      <c r="AH31" s="831">
        <f t="shared" si="23"/>
        <v>1655838.611</v>
      </c>
      <c r="AI31" s="831">
        <f t="shared" si="23"/>
        <v>1680911.996</v>
      </c>
      <c r="AJ31" s="831">
        <f t="shared" si="23"/>
        <v>1706172.2</v>
      </c>
      <c r="AK31" s="831">
        <f t="shared" si="23"/>
        <v>1731611.987</v>
      </c>
      <c r="AL31" s="831">
        <f t="shared" si="23"/>
        <v>1757223.615</v>
      </c>
      <c r="AM31" s="831">
        <f t="shared" si="23"/>
        <v>1782998.813</v>
      </c>
      <c r="AN31" s="831">
        <f t="shared" si="23"/>
        <v>1808928.758</v>
      </c>
      <c r="AO31" s="831">
        <f t="shared" si="23"/>
        <v>1835004.053</v>
      </c>
      <c r="AP31" s="831">
        <f t="shared" si="23"/>
        <v>1861214.703</v>
      </c>
    </row>
    <row r="32" ht="12.75" customHeight="1">
      <c r="A32" s="3"/>
      <c r="B32" s="805"/>
      <c r="C32" s="657"/>
      <c r="D32" s="657"/>
      <c r="E32" s="657"/>
      <c r="F32" s="657"/>
      <c r="G32" s="657"/>
      <c r="H32" s="657"/>
      <c r="I32" s="657"/>
      <c r="J32" s="657"/>
      <c r="K32" s="657"/>
      <c r="L32" s="657"/>
      <c r="M32" s="657"/>
      <c r="N32" s="657"/>
      <c r="O32" s="657"/>
      <c r="P32" s="657"/>
      <c r="Q32" s="818"/>
      <c r="R32" s="657"/>
      <c r="S32" s="657"/>
      <c r="T32" s="657"/>
      <c r="U32" s="657"/>
      <c r="V32" s="657"/>
      <c r="W32" s="657"/>
      <c r="X32" s="657"/>
      <c r="Y32" s="657"/>
      <c r="Z32" s="657"/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</row>
    <row r="33" ht="12.75" customHeight="1">
      <c r="A33" s="832" t="str">
        <f>Summary!B41</f>
        <v>Bank of America Senior Permanent Debt</v>
      </c>
      <c r="B33" s="833"/>
      <c r="C33" s="834">
        <f>'Debt &amp; Valuation'!E35</f>
        <v>475752.8748</v>
      </c>
      <c r="D33" s="834">
        <f t="shared" ref="D33:AP33" si="24">C33</f>
        <v>475752.8748</v>
      </c>
      <c r="E33" s="834">
        <f t="shared" si="24"/>
        <v>475752.8748</v>
      </c>
      <c r="F33" s="834">
        <f t="shared" si="24"/>
        <v>475752.8748</v>
      </c>
      <c r="G33" s="834">
        <f t="shared" si="24"/>
        <v>475752.8748</v>
      </c>
      <c r="H33" s="834">
        <f t="shared" si="24"/>
        <v>475752.8748</v>
      </c>
      <c r="I33" s="834">
        <f t="shared" si="24"/>
        <v>475752.8748</v>
      </c>
      <c r="J33" s="834">
        <f t="shared" si="24"/>
        <v>475752.8748</v>
      </c>
      <c r="K33" s="834">
        <f t="shared" si="24"/>
        <v>475752.8748</v>
      </c>
      <c r="L33" s="834">
        <f t="shared" si="24"/>
        <v>475752.8748</v>
      </c>
      <c r="M33" s="834">
        <f t="shared" si="24"/>
        <v>475752.8748</v>
      </c>
      <c r="N33" s="834">
        <f t="shared" si="24"/>
        <v>475752.8748</v>
      </c>
      <c r="O33" s="834">
        <f t="shared" si="24"/>
        <v>475752.8748</v>
      </c>
      <c r="P33" s="834">
        <f t="shared" si="24"/>
        <v>475752.8748</v>
      </c>
      <c r="Q33" s="835">
        <f t="shared" si="24"/>
        <v>475752.8748</v>
      </c>
      <c r="R33" s="834">
        <f t="shared" si="24"/>
        <v>475752.8748</v>
      </c>
      <c r="S33" s="834">
        <f t="shared" si="24"/>
        <v>475752.8748</v>
      </c>
      <c r="T33" s="834">
        <f t="shared" si="24"/>
        <v>475752.8748</v>
      </c>
      <c r="U33" s="834">
        <f t="shared" si="24"/>
        <v>475752.8748</v>
      </c>
      <c r="V33" s="834">
        <f t="shared" si="24"/>
        <v>475752.8748</v>
      </c>
      <c r="W33" s="834">
        <f t="shared" si="24"/>
        <v>475752.8748</v>
      </c>
      <c r="X33" s="834">
        <f t="shared" si="24"/>
        <v>475752.8748</v>
      </c>
      <c r="Y33" s="834">
        <f t="shared" si="24"/>
        <v>475752.8748</v>
      </c>
      <c r="Z33" s="834">
        <f t="shared" si="24"/>
        <v>475752.8748</v>
      </c>
      <c r="AA33" s="834">
        <f t="shared" si="24"/>
        <v>475752.8748</v>
      </c>
      <c r="AB33" s="834">
        <f t="shared" si="24"/>
        <v>475752.8748</v>
      </c>
      <c r="AC33" s="834">
        <f t="shared" si="24"/>
        <v>475752.8748</v>
      </c>
      <c r="AD33" s="834">
        <f t="shared" si="24"/>
        <v>475752.8748</v>
      </c>
      <c r="AE33" s="834">
        <f t="shared" si="24"/>
        <v>475752.8748</v>
      </c>
      <c r="AF33" s="834">
        <f t="shared" si="24"/>
        <v>475752.8748</v>
      </c>
      <c r="AG33" s="834">
        <f t="shared" si="24"/>
        <v>475752.8748</v>
      </c>
      <c r="AH33" s="834">
        <f t="shared" si="24"/>
        <v>475752.8748</v>
      </c>
      <c r="AI33" s="834">
        <f t="shared" si="24"/>
        <v>475752.8748</v>
      </c>
      <c r="AJ33" s="834">
        <f t="shared" si="24"/>
        <v>475752.8748</v>
      </c>
      <c r="AK33" s="834">
        <f t="shared" si="24"/>
        <v>475752.8748</v>
      </c>
      <c r="AL33" s="834">
        <f t="shared" si="24"/>
        <v>475752.8748</v>
      </c>
      <c r="AM33" s="834">
        <f t="shared" si="24"/>
        <v>475752.8748</v>
      </c>
      <c r="AN33" s="834">
        <f t="shared" si="24"/>
        <v>475752.8748</v>
      </c>
      <c r="AO33" s="834">
        <f t="shared" si="24"/>
        <v>475752.8748</v>
      </c>
      <c r="AP33" s="834">
        <f t="shared" si="24"/>
        <v>475752.8748</v>
      </c>
    </row>
    <row r="34" ht="12.75" customHeight="1">
      <c r="A34" s="836" t="str">
        <f>Summary!B43</f>
        <v>HPD ELLA Subsidy Program Loan</v>
      </c>
      <c r="B34" s="805"/>
      <c r="C34" s="657">
        <f t="shared" ref="C34:AP34" si="25">C57</f>
        <v>140679</v>
      </c>
      <c r="D34" s="657">
        <f t="shared" si="25"/>
        <v>145560.5613</v>
      </c>
      <c r="E34" s="657">
        <f t="shared" si="25"/>
        <v>150611.5128</v>
      </c>
      <c r="F34" s="657">
        <f t="shared" si="25"/>
        <v>155837.7323</v>
      </c>
      <c r="G34" s="657">
        <f t="shared" si="25"/>
        <v>161245.3016</v>
      </c>
      <c r="H34" s="657">
        <f t="shared" si="25"/>
        <v>166840.5135</v>
      </c>
      <c r="I34" s="657">
        <f t="shared" si="25"/>
        <v>172629.8794</v>
      </c>
      <c r="J34" s="657">
        <f t="shared" si="25"/>
        <v>178620.1362</v>
      </c>
      <c r="K34" s="657">
        <f t="shared" si="25"/>
        <v>184818.2549</v>
      </c>
      <c r="L34" s="657">
        <f t="shared" si="25"/>
        <v>191231.4483</v>
      </c>
      <c r="M34" s="657">
        <f t="shared" si="25"/>
        <v>197867.1796</v>
      </c>
      <c r="N34" s="657">
        <f t="shared" si="25"/>
        <v>204733.1707</v>
      </c>
      <c r="O34" s="657">
        <f t="shared" si="25"/>
        <v>211837.4118</v>
      </c>
      <c r="P34" s="657">
        <f t="shared" si="25"/>
        <v>219188.17</v>
      </c>
      <c r="Q34" s="818">
        <f t="shared" si="25"/>
        <v>226793.9995</v>
      </c>
      <c r="R34" s="657">
        <f t="shared" si="25"/>
        <v>234663.7512</v>
      </c>
      <c r="S34" s="657">
        <f t="shared" si="25"/>
        <v>242806.5834</v>
      </c>
      <c r="T34" s="657">
        <f t="shared" si="25"/>
        <v>251231.9718</v>
      </c>
      <c r="U34" s="657">
        <f t="shared" si="25"/>
        <v>259949.7213</v>
      </c>
      <c r="V34" s="657">
        <f t="shared" si="25"/>
        <v>268969.9766</v>
      </c>
      <c r="W34" s="657">
        <f t="shared" si="25"/>
        <v>278303.2348</v>
      </c>
      <c r="X34" s="657">
        <f t="shared" si="25"/>
        <v>287960.357</v>
      </c>
      <c r="Y34" s="657">
        <f t="shared" si="25"/>
        <v>297952.5814</v>
      </c>
      <c r="Z34" s="657">
        <f t="shared" si="25"/>
        <v>308291.536</v>
      </c>
      <c r="AA34" s="657">
        <f t="shared" si="25"/>
        <v>318989.2523</v>
      </c>
      <c r="AB34" s="657">
        <f t="shared" si="25"/>
        <v>330058.1793</v>
      </c>
      <c r="AC34" s="657">
        <f t="shared" si="25"/>
        <v>341511.1982</v>
      </c>
      <c r="AD34" s="657">
        <f t="shared" si="25"/>
        <v>353361.6367</v>
      </c>
      <c r="AE34" s="657">
        <f t="shared" si="25"/>
        <v>365623.2855</v>
      </c>
      <c r="AF34" s="657">
        <f t="shared" si="25"/>
        <v>378310.4135</v>
      </c>
      <c r="AG34" s="657">
        <f t="shared" si="25"/>
        <v>391437.7849</v>
      </c>
      <c r="AH34" s="657">
        <f t="shared" si="25"/>
        <v>405020.676</v>
      </c>
      <c r="AI34" s="657">
        <f t="shared" si="25"/>
        <v>419074.8935</v>
      </c>
      <c r="AJ34" s="657">
        <f t="shared" si="25"/>
        <v>433616.7923</v>
      </c>
      <c r="AK34" s="657">
        <f t="shared" si="25"/>
        <v>448663.295</v>
      </c>
      <c r="AL34" s="657">
        <f t="shared" si="25"/>
        <v>464231.9113</v>
      </c>
      <c r="AM34" s="657">
        <f t="shared" si="25"/>
        <v>480340.7586</v>
      </c>
      <c r="AN34" s="657">
        <f t="shared" si="25"/>
        <v>497008.583</v>
      </c>
      <c r="AO34" s="657">
        <f t="shared" si="25"/>
        <v>514254.7808</v>
      </c>
      <c r="AP34" s="657">
        <f t="shared" si="25"/>
        <v>532099.4217</v>
      </c>
    </row>
    <row r="35" ht="12.75" customHeight="1">
      <c r="A35" s="836" t="str">
        <f>Summary!B45</f>
        <v>HDC ELLA Subsidy Program Loan</v>
      </c>
      <c r="B35" s="805"/>
      <c r="C35" s="657">
        <f t="shared" ref="C35:AP35" si="26">C63</f>
        <v>74646</v>
      </c>
      <c r="D35" s="657">
        <f t="shared" si="26"/>
        <v>77236.2162</v>
      </c>
      <c r="E35" s="657">
        <f t="shared" si="26"/>
        <v>79916.3129</v>
      </c>
      <c r="F35" s="657">
        <f t="shared" si="26"/>
        <v>82689.40896</v>
      </c>
      <c r="G35" s="657">
        <f t="shared" si="26"/>
        <v>85558.73145</v>
      </c>
      <c r="H35" s="657">
        <f t="shared" si="26"/>
        <v>88527.61943</v>
      </c>
      <c r="I35" s="657">
        <f t="shared" si="26"/>
        <v>91599.52783</v>
      </c>
      <c r="J35" s="657">
        <f t="shared" si="26"/>
        <v>94778.03144</v>
      </c>
      <c r="K35" s="657">
        <f t="shared" si="26"/>
        <v>98066.82913</v>
      </c>
      <c r="L35" s="657">
        <f t="shared" si="26"/>
        <v>101469.7481</v>
      </c>
      <c r="M35" s="657">
        <f t="shared" si="26"/>
        <v>104990.7484</v>
      </c>
      <c r="N35" s="657">
        <f t="shared" si="26"/>
        <v>108633.9273</v>
      </c>
      <c r="O35" s="657">
        <f t="shared" si="26"/>
        <v>112403.5246</v>
      </c>
      <c r="P35" s="657">
        <f t="shared" si="26"/>
        <v>116303.9269</v>
      </c>
      <c r="Q35" s="818">
        <f t="shared" si="26"/>
        <v>120339.6732</v>
      </c>
      <c r="R35" s="657">
        <f t="shared" si="26"/>
        <v>124515.4598</v>
      </c>
      <c r="S35" s="657">
        <f t="shared" si="26"/>
        <v>128836.1463</v>
      </c>
      <c r="T35" s="657">
        <f t="shared" si="26"/>
        <v>133306.7606</v>
      </c>
      <c r="U35" s="657">
        <f t="shared" si="26"/>
        <v>137932.5052</v>
      </c>
      <c r="V35" s="657">
        <f t="shared" si="26"/>
        <v>142718.7631</v>
      </c>
      <c r="W35" s="657">
        <f t="shared" si="26"/>
        <v>147671.1042</v>
      </c>
      <c r="X35" s="657">
        <f t="shared" si="26"/>
        <v>152795.2915</v>
      </c>
      <c r="Y35" s="657">
        <f t="shared" si="26"/>
        <v>158097.2881</v>
      </c>
      <c r="Z35" s="657">
        <f t="shared" si="26"/>
        <v>163583.264</v>
      </c>
      <c r="AA35" s="657">
        <f t="shared" si="26"/>
        <v>169259.6033</v>
      </c>
      <c r="AB35" s="657">
        <f t="shared" si="26"/>
        <v>175132.9115</v>
      </c>
      <c r="AC35" s="657">
        <f t="shared" si="26"/>
        <v>181210.0235</v>
      </c>
      <c r="AD35" s="657">
        <f t="shared" si="26"/>
        <v>187498.0113</v>
      </c>
      <c r="AE35" s="657">
        <f t="shared" si="26"/>
        <v>194004.1923</v>
      </c>
      <c r="AF35" s="657">
        <f t="shared" si="26"/>
        <v>200736.1378</v>
      </c>
      <c r="AG35" s="657">
        <f t="shared" si="26"/>
        <v>207701.6818</v>
      </c>
      <c r="AH35" s="657">
        <f t="shared" si="26"/>
        <v>214908.9301</v>
      </c>
      <c r="AI35" s="657">
        <f t="shared" si="26"/>
        <v>222366.27</v>
      </c>
      <c r="AJ35" s="657">
        <f t="shared" si="26"/>
        <v>230082.3796</v>
      </c>
      <c r="AK35" s="657">
        <f t="shared" si="26"/>
        <v>238066.2382</v>
      </c>
      <c r="AL35" s="657">
        <f t="shared" si="26"/>
        <v>246327.1366</v>
      </c>
      <c r="AM35" s="657">
        <f t="shared" si="26"/>
        <v>254874.6883</v>
      </c>
      <c r="AN35" s="657">
        <f t="shared" si="26"/>
        <v>263718.8399</v>
      </c>
      <c r="AO35" s="657">
        <f t="shared" si="26"/>
        <v>272869.8837</v>
      </c>
      <c r="AP35" s="657">
        <f t="shared" si="26"/>
        <v>282338.4687</v>
      </c>
    </row>
    <row r="36" ht="12.75" customHeight="1">
      <c r="A36" s="825" t="s">
        <v>526</v>
      </c>
      <c r="B36" s="826"/>
      <c r="C36" s="827">
        <f t="shared" ref="C36:AP36" si="27">SUM(C33:C35)</f>
        <v>691077.8748</v>
      </c>
      <c r="D36" s="827">
        <f t="shared" si="27"/>
        <v>698549.6523</v>
      </c>
      <c r="E36" s="827">
        <f t="shared" si="27"/>
        <v>706280.7005</v>
      </c>
      <c r="F36" s="827">
        <f t="shared" si="27"/>
        <v>714280.016</v>
      </c>
      <c r="G36" s="827">
        <f t="shared" si="27"/>
        <v>722556.9078</v>
      </c>
      <c r="H36" s="827">
        <f t="shared" si="27"/>
        <v>731121.0078</v>
      </c>
      <c r="I36" s="827">
        <f t="shared" si="27"/>
        <v>739982.282</v>
      </c>
      <c r="J36" s="827">
        <f t="shared" si="27"/>
        <v>749151.0424</v>
      </c>
      <c r="K36" s="827">
        <f t="shared" si="27"/>
        <v>758637.9588</v>
      </c>
      <c r="L36" s="827">
        <f t="shared" si="27"/>
        <v>768454.0712</v>
      </c>
      <c r="M36" s="827">
        <f t="shared" si="27"/>
        <v>778610.8028</v>
      </c>
      <c r="N36" s="827">
        <f t="shared" si="27"/>
        <v>789119.9729</v>
      </c>
      <c r="O36" s="827">
        <f t="shared" si="27"/>
        <v>799993.8112</v>
      </c>
      <c r="P36" s="827">
        <f t="shared" si="27"/>
        <v>811244.9716</v>
      </c>
      <c r="Q36" s="828">
        <f t="shared" si="27"/>
        <v>822886.5474</v>
      </c>
      <c r="R36" s="827">
        <f t="shared" si="27"/>
        <v>834932.0859</v>
      </c>
      <c r="S36" s="827">
        <f t="shared" si="27"/>
        <v>847395.6045</v>
      </c>
      <c r="T36" s="827">
        <f t="shared" si="27"/>
        <v>860291.6072</v>
      </c>
      <c r="U36" s="827">
        <f t="shared" si="27"/>
        <v>873635.1012</v>
      </c>
      <c r="V36" s="827">
        <f t="shared" si="27"/>
        <v>887441.6145</v>
      </c>
      <c r="W36" s="827">
        <f t="shared" si="27"/>
        <v>901727.2137</v>
      </c>
      <c r="X36" s="827">
        <f t="shared" si="27"/>
        <v>916508.5233</v>
      </c>
      <c r="Y36" s="827">
        <f t="shared" si="27"/>
        <v>931802.7443</v>
      </c>
      <c r="Z36" s="827">
        <f t="shared" si="27"/>
        <v>947627.6748</v>
      </c>
      <c r="AA36" s="827">
        <f t="shared" si="27"/>
        <v>964001.7303</v>
      </c>
      <c r="AB36" s="827">
        <f t="shared" si="27"/>
        <v>980943.9656</v>
      </c>
      <c r="AC36" s="827">
        <f t="shared" si="27"/>
        <v>998474.0965</v>
      </c>
      <c r="AD36" s="827">
        <f t="shared" si="27"/>
        <v>1016612.523</v>
      </c>
      <c r="AE36" s="827">
        <f t="shared" si="27"/>
        <v>1035380.353</v>
      </c>
      <c r="AF36" s="827">
        <f t="shared" si="27"/>
        <v>1054799.426</v>
      </c>
      <c r="AG36" s="827">
        <f t="shared" si="27"/>
        <v>1074892.341</v>
      </c>
      <c r="AH36" s="827">
        <f t="shared" si="27"/>
        <v>1095682.481</v>
      </c>
      <c r="AI36" s="827">
        <f t="shared" si="27"/>
        <v>1117194.038</v>
      </c>
      <c r="AJ36" s="827">
        <f t="shared" si="27"/>
        <v>1139452.047</v>
      </c>
      <c r="AK36" s="827">
        <f t="shared" si="27"/>
        <v>1162482.408</v>
      </c>
      <c r="AL36" s="827">
        <f t="shared" si="27"/>
        <v>1186311.923</v>
      </c>
      <c r="AM36" s="827">
        <f t="shared" si="27"/>
        <v>1210968.322</v>
      </c>
      <c r="AN36" s="827">
        <f t="shared" si="27"/>
        <v>1236480.298</v>
      </c>
      <c r="AO36" s="827">
        <f t="shared" si="27"/>
        <v>1262877.539</v>
      </c>
      <c r="AP36" s="827">
        <f t="shared" si="27"/>
        <v>1290190.765</v>
      </c>
    </row>
    <row r="37" ht="12.75" customHeight="1">
      <c r="A37" s="3"/>
      <c r="B37" s="805"/>
      <c r="C37" s="657"/>
      <c r="D37" s="657"/>
      <c r="E37" s="657"/>
      <c r="F37" s="657"/>
      <c r="G37" s="657"/>
      <c r="H37" s="657"/>
      <c r="I37" s="657"/>
      <c r="J37" s="657"/>
      <c r="K37" s="657"/>
      <c r="L37" s="657"/>
      <c r="M37" s="657"/>
      <c r="N37" s="657"/>
      <c r="O37" s="657"/>
      <c r="P37" s="657"/>
      <c r="Q37" s="818"/>
      <c r="R37" s="657"/>
      <c r="S37" s="657"/>
      <c r="T37" s="657"/>
      <c r="U37" s="657"/>
      <c r="V37" s="657"/>
      <c r="W37" s="657"/>
      <c r="X37" s="657"/>
      <c r="Y37" s="657"/>
      <c r="Z37" s="657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</row>
    <row r="38" ht="12.75" customHeight="1">
      <c r="A38" s="837" t="s">
        <v>527</v>
      </c>
      <c r="B38" s="838"/>
      <c r="C38" s="839">
        <f t="shared" ref="C38:AP38" si="28">C31-C36</f>
        <v>301849.8382</v>
      </c>
      <c r="D38" s="839">
        <f t="shared" si="28"/>
        <v>312044.0343</v>
      </c>
      <c r="E38" s="839">
        <f t="shared" si="28"/>
        <v>322227.497</v>
      </c>
      <c r="F38" s="839">
        <f t="shared" si="28"/>
        <v>332392.2665</v>
      </c>
      <c r="G38" s="839">
        <f t="shared" si="28"/>
        <v>342529.9563</v>
      </c>
      <c r="H38" s="839">
        <f t="shared" si="28"/>
        <v>352631.7361</v>
      </c>
      <c r="I38" s="839">
        <f t="shared" si="28"/>
        <v>362688.3134</v>
      </c>
      <c r="J38" s="839">
        <f t="shared" si="28"/>
        <v>372689.9148</v>
      </c>
      <c r="K38" s="839">
        <f t="shared" si="28"/>
        <v>382626.2663</v>
      </c>
      <c r="L38" s="839">
        <f t="shared" si="28"/>
        <v>392486.5732</v>
      </c>
      <c r="M38" s="839">
        <f t="shared" si="28"/>
        <v>402259.4988</v>
      </c>
      <c r="N38" s="839">
        <f t="shared" si="28"/>
        <v>411933.1428</v>
      </c>
      <c r="O38" s="839">
        <f t="shared" si="28"/>
        <v>421495.0187</v>
      </c>
      <c r="P38" s="839">
        <f t="shared" si="28"/>
        <v>430932.0302</v>
      </c>
      <c r="Q38" s="828">
        <f t="shared" si="28"/>
        <v>440230.4471</v>
      </c>
      <c r="R38" s="839">
        <f t="shared" si="28"/>
        <v>449375.8801</v>
      </c>
      <c r="S38" s="839">
        <f t="shared" si="28"/>
        <v>458353.2545</v>
      </c>
      <c r="T38" s="839">
        <f t="shared" si="28"/>
        <v>467146.7834</v>
      </c>
      <c r="U38" s="839">
        <f t="shared" si="28"/>
        <v>475739.9395</v>
      </c>
      <c r="V38" s="839">
        <f t="shared" si="28"/>
        <v>484115.4261</v>
      </c>
      <c r="W38" s="839">
        <f t="shared" si="28"/>
        <v>492255.147</v>
      </c>
      <c r="X38" s="839">
        <f t="shared" si="28"/>
        <v>500140.1755</v>
      </c>
      <c r="Y38" s="839">
        <f t="shared" si="28"/>
        <v>507750.7214</v>
      </c>
      <c r="Z38" s="839">
        <f t="shared" si="28"/>
        <v>515066.0985</v>
      </c>
      <c r="AA38" s="839">
        <f t="shared" si="28"/>
        <v>522064.6891</v>
      </c>
      <c r="AB38" s="839">
        <f t="shared" si="28"/>
        <v>528723.9082</v>
      </c>
      <c r="AC38" s="839">
        <f t="shared" si="28"/>
        <v>535020.1666</v>
      </c>
      <c r="AD38" s="839">
        <f t="shared" si="28"/>
        <v>540928.8319</v>
      </c>
      <c r="AE38" s="839">
        <f t="shared" si="28"/>
        <v>546424.1887</v>
      </c>
      <c r="AF38" s="839">
        <f t="shared" si="28"/>
        <v>551479.3974</v>
      </c>
      <c r="AG38" s="839">
        <f t="shared" si="28"/>
        <v>556066.4507</v>
      </c>
      <c r="AH38" s="839">
        <f t="shared" si="28"/>
        <v>560156.1298</v>
      </c>
      <c r="AI38" s="839">
        <f t="shared" si="28"/>
        <v>563717.9581</v>
      </c>
      <c r="AJ38" s="839">
        <f t="shared" si="28"/>
        <v>566720.1534</v>
      </c>
      <c r="AK38" s="839">
        <f t="shared" si="28"/>
        <v>569129.579</v>
      </c>
      <c r="AL38" s="839">
        <f t="shared" si="28"/>
        <v>570911.692</v>
      </c>
      <c r="AM38" s="839">
        <f t="shared" si="28"/>
        <v>572030.4909</v>
      </c>
      <c r="AN38" s="839">
        <f t="shared" si="28"/>
        <v>572448.4601</v>
      </c>
      <c r="AO38" s="839">
        <f t="shared" si="28"/>
        <v>572126.5141</v>
      </c>
      <c r="AP38" s="839">
        <f t="shared" si="28"/>
        <v>571023.9377</v>
      </c>
    </row>
    <row r="39" ht="12.75" customHeight="1">
      <c r="A39" s="805" t="s">
        <v>528</v>
      </c>
      <c r="B39" s="805"/>
      <c r="C39" s="840">
        <f t="shared" ref="C39:AP39" si="29">C31/C36</f>
        <v>1.436781221</v>
      </c>
      <c r="D39" s="840">
        <f t="shared" si="29"/>
        <v>1.446702726</v>
      </c>
      <c r="E39" s="840">
        <f t="shared" si="29"/>
        <v>1.456231491</v>
      </c>
      <c r="F39" s="840">
        <f t="shared" si="29"/>
        <v>1.465352886</v>
      </c>
      <c r="G39" s="840">
        <f t="shared" si="29"/>
        <v>1.474052566</v>
      </c>
      <c r="H39" s="840">
        <f t="shared" si="29"/>
        <v>1.482316514</v>
      </c>
      <c r="I39" s="840">
        <f t="shared" si="29"/>
        <v>1.490131078</v>
      </c>
      <c r="J39" s="840">
        <f t="shared" si="29"/>
        <v>1.497483009</v>
      </c>
      <c r="K39" s="840">
        <f t="shared" si="29"/>
        <v>1.504359506</v>
      </c>
      <c r="L39" s="840">
        <f t="shared" si="29"/>
        <v>1.510748251</v>
      </c>
      <c r="M39" s="840">
        <f t="shared" si="29"/>
        <v>1.516637449</v>
      </c>
      <c r="N39" s="840">
        <f t="shared" si="29"/>
        <v>1.522015862</v>
      </c>
      <c r="O39" s="840">
        <f t="shared" si="29"/>
        <v>1.526872849</v>
      </c>
      <c r="P39" s="840">
        <f t="shared" si="29"/>
        <v>1.531198399</v>
      </c>
      <c r="Q39" s="841">
        <f t="shared" si="29"/>
        <v>1.534983162</v>
      </c>
      <c r="R39" s="840">
        <f t="shared" si="29"/>
        <v>1.538218482</v>
      </c>
      <c r="S39" s="840">
        <f t="shared" si="29"/>
        <v>1.540896427</v>
      </c>
      <c r="T39" s="840">
        <f t="shared" si="29"/>
        <v>1.543009811</v>
      </c>
      <c r="U39" s="840">
        <f t="shared" si="29"/>
        <v>1.544552226</v>
      </c>
      <c r="V39" s="840">
        <f t="shared" si="29"/>
        <v>1.545518058</v>
      </c>
      <c r="W39" s="840">
        <f t="shared" si="29"/>
        <v>1.545902507</v>
      </c>
      <c r="X39" s="840">
        <f t="shared" si="29"/>
        <v>1.545701609</v>
      </c>
      <c r="Y39" s="840">
        <f t="shared" si="29"/>
        <v>1.544912241</v>
      </c>
      <c r="Z39" s="840">
        <f t="shared" si="29"/>
        <v>1.543532141</v>
      </c>
      <c r="AA39" s="840">
        <f t="shared" si="29"/>
        <v>1.541559909</v>
      </c>
      <c r="AB39" s="840">
        <f t="shared" si="29"/>
        <v>1.538995016</v>
      </c>
      <c r="AC39" s="840">
        <f t="shared" si="29"/>
        <v>1.535837803</v>
      </c>
      <c r="AD39" s="840">
        <f t="shared" si="29"/>
        <v>1.532089483</v>
      </c>
      <c r="AE39" s="840">
        <f t="shared" si="29"/>
        <v>1.527752132</v>
      </c>
      <c r="AF39" s="840">
        <f t="shared" si="29"/>
        <v>1.522828685</v>
      </c>
      <c r="AG39" s="840">
        <f t="shared" si="29"/>
        <v>1.517322925</v>
      </c>
      <c r="AH39" s="840">
        <f t="shared" si="29"/>
        <v>1.511239469</v>
      </c>
      <c r="AI39" s="840">
        <f t="shared" si="29"/>
        <v>1.504583751</v>
      </c>
      <c r="AJ39" s="840">
        <f t="shared" si="29"/>
        <v>1.497362004</v>
      </c>
      <c r="AK39" s="840">
        <f t="shared" si="29"/>
        <v>1.48958124</v>
      </c>
      <c r="AL39" s="840">
        <f t="shared" si="29"/>
        <v>1.481249224</v>
      </c>
      <c r="AM39" s="840">
        <f t="shared" si="29"/>
        <v>1.472374447</v>
      </c>
      <c r="AN39" s="840">
        <f t="shared" si="29"/>
        <v>1.462966099</v>
      </c>
      <c r="AO39" s="840">
        <f t="shared" si="29"/>
        <v>1.45303404</v>
      </c>
      <c r="AP39" s="840">
        <f t="shared" si="29"/>
        <v>1.442588765</v>
      </c>
    </row>
    <row r="40" ht="12.75" customHeight="1">
      <c r="A40" s="3"/>
      <c r="B40" s="805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816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</row>
    <row r="41" ht="12.75" customHeight="1">
      <c r="A41" s="385" t="s">
        <v>596</v>
      </c>
      <c r="B41" s="889"/>
      <c r="C41" s="680"/>
      <c r="D41" s="680"/>
      <c r="E41" s="680"/>
      <c r="F41" s="680"/>
      <c r="G41" s="680"/>
      <c r="H41" s="680"/>
      <c r="I41" s="680"/>
      <c r="J41" s="680"/>
      <c r="K41" s="680"/>
      <c r="L41" s="680"/>
      <c r="M41" s="680"/>
      <c r="N41" s="680"/>
      <c r="O41" s="680"/>
      <c r="P41" s="680"/>
      <c r="Q41" s="890"/>
      <c r="R41" s="680"/>
      <c r="S41" s="680"/>
      <c r="T41" s="680"/>
      <c r="U41" s="680"/>
      <c r="V41" s="680"/>
      <c r="W41" s="680"/>
      <c r="X41" s="680"/>
      <c r="Y41" s="680"/>
      <c r="Z41" s="680"/>
      <c r="AA41" s="680"/>
      <c r="AB41" s="680"/>
      <c r="AC41" s="680"/>
      <c r="AD41" s="680"/>
      <c r="AE41" s="680"/>
      <c r="AF41" s="680"/>
      <c r="AG41" s="680"/>
      <c r="AH41" s="680"/>
      <c r="AI41" s="680"/>
      <c r="AJ41" s="680"/>
      <c r="AK41" s="680"/>
      <c r="AL41" s="680"/>
      <c r="AM41" s="680"/>
      <c r="AN41" s="680"/>
      <c r="AO41" s="680"/>
      <c r="AP41" s="891"/>
    </row>
    <row r="42" ht="12.75" customHeight="1">
      <c r="A42" s="15" t="s">
        <v>597</v>
      </c>
      <c r="B42" s="892">
        <v>0.0</v>
      </c>
      <c r="C42" s="893">
        <f t="shared" ref="C42:AP42" si="30">C38*$B$42</f>
        <v>0</v>
      </c>
      <c r="D42" s="893">
        <f t="shared" si="30"/>
        <v>0</v>
      </c>
      <c r="E42" s="893">
        <f t="shared" si="30"/>
        <v>0</v>
      </c>
      <c r="F42" s="893">
        <f t="shared" si="30"/>
        <v>0</v>
      </c>
      <c r="G42" s="893">
        <f t="shared" si="30"/>
        <v>0</v>
      </c>
      <c r="H42" s="893">
        <f t="shared" si="30"/>
        <v>0</v>
      </c>
      <c r="I42" s="893">
        <f t="shared" si="30"/>
        <v>0</v>
      </c>
      <c r="J42" s="893">
        <f t="shared" si="30"/>
        <v>0</v>
      </c>
      <c r="K42" s="893">
        <f t="shared" si="30"/>
        <v>0</v>
      </c>
      <c r="L42" s="893">
        <f t="shared" si="30"/>
        <v>0</v>
      </c>
      <c r="M42" s="893">
        <f t="shared" si="30"/>
        <v>0</v>
      </c>
      <c r="N42" s="893">
        <f t="shared" si="30"/>
        <v>0</v>
      </c>
      <c r="O42" s="893">
        <f t="shared" si="30"/>
        <v>0</v>
      </c>
      <c r="P42" s="893">
        <f t="shared" si="30"/>
        <v>0</v>
      </c>
      <c r="Q42" s="894">
        <f t="shared" si="30"/>
        <v>0</v>
      </c>
      <c r="R42" s="893">
        <f t="shared" si="30"/>
        <v>0</v>
      </c>
      <c r="S42" s="893">
        <f t="shared" si="30"/>
        <v>0</v>
      </c>
      <c r="T42" s="893">
        <f t="shared" si="30"/>
        <v>0</v>
      </c>
      <c r="U42" s="893">
        <f t="shared" si="30"/>
        <v>0</v>
      </c>
      <c r="V42" s="893">
        <f t="shared" si="30"/>
        <v>0</v>
      </c>
      <c r="W42" s="893">
        <f t="shared" si="30"/>
        <v>0</v>
      </c>
      <c r="X42" s="893">
        <f t="shared" si="30"/>
        <v>0</v>
      </c>
      <c r="Y42" s="893">
        <f t="shared" si="30"/>
        <v>0</v>
      </c>
      <c r="Z42" s="893">
        <f t="shared" si="30"/>
        <v>0</v>
      </c>
      <c r="AA42" s="893">
        <f t="shared" si="30"/>
        <v>0</v>
      </c>
      <c r="AB42" s="893">
        <f t="shared" si="30"/>
        <v>0</v>
      </c>
      <c r="AC42" s="893">
        <f t="shared" si="30"/>
        <v>0</v>
      </c>
      <c r="AD42" s="893">
        <f t="shared" si="30"/>
        <v>0</v>
      </c>
      <c r="AE42" s="893">
        <f t="shared" si="30"/>
        <v>0</v>
      </c>
      <c r="AF42" s="893">
        <f t="shared" si="30"/>
        <v>0</v>
      </c>
      <c r="AG42" s="893">
        <f t="shared" si="30"/>
        <v>0</v>
      </c>
      <c r="AH42" s="893">
        <f t="shared" si="30"/>
        <v>0</v>
      </c>
      <c r="AI42" s="893">
        <f t="shared" si="30"/>
        <v>0</v>
      </c>
      <c r="AJ42" s="893">
        <f t="shared" si="30"/>
        <v>0</v>
      </c>
      <c r="AK42" s="893">
        <f t="shared" si="30"/>
        <v>0</v>
      </c>
      <c r="AL42" s="893">
        <f t="shared" si="30"/>
        <v>0</v>
      </c>
      <c r="AM42" s="893">
        <f t="shared" si="30"/>
        <v>0</v>
      </c>
      <c r="AN42" s="893">
        <f t="shared" si="30"/>
        <v>0</v>
      </c>
      <c r="AO42" s="893">
        <f t="shared" si="30"/>
        <v>0</v>
      </c>
      <c r="AP42" s="895">
        <f t="shared" si="30"/>
        <v>0</v>
      </c>
    </row>
    <row r="43" ht="12.75" customHeight="1">
      <c r="A43" s="15" t="s">
        <v>598</v>
      </c>
      <c r="B43" s="805"/>
      <c r="C43" s="705">
        <v>5000.0</v>
      </c>
      <c r="D43" s="705">
        <v>5000.0</v>
      </c>
      <c r="E43" s="705">
        <v>5000.0</v>
      </c>
      <c r="F43" s="705">
        <v>5000.0</v>
      </c>
      <c r="G43" s="705">
        <v>5000.0</v>
      </c>
      <c r="H43" s="705">
        <v>5000.0</v>
      </c>
      <c r="I43" s="705">
        <v>5000.0</v>
      </c>
      <c r="J43" s="705">
        <v>5000.0</v>
      </c>
      <c r="K43" s="705">
        <v>5000.0</v>
      </c>
      <c r="L43" s="705">
        <v>5000.0</v>
      </c>
      <c r="M43" s="705">
        <v>5000.0</v>
      </c>
      <c r="N43" s="705">
        <v>5000.0</v>
      </c>
      <c r="O43" s="705">
        <v>5000.0</v>
      </c>
      <c r="P43" s="705">
        <v>5000.0</v>
      </c>
      <c r="Q43" s="809">
        <v>5000.0</v>
      </c>
      <c r="R43" s="705">
        <v>5000.0</v>
      </c>
      <c r="S43" s="705">
        <v>5000.0</v>
      </c>
      <c r="T43" s="705">
        <v>5000.0</v>
      </c>
      <c r="U43" s="705">
        <v>5000.0</v>
      </c>
      <c r="V43" s="705">
        <v>5000.0</v>
      </c>
      <c r="W43" s="705">
        <v>5000.0</v>
      </c>
      <c r="X43" s="705">
        <v>5000.0</v>
      </c>
      <c r="Y43" s="705">
        <v>5000.0</v>
      </c>
      <c r="Z43" s="705">
        <v>5000.0</v>
      </c>
      <c r="AA43" s="705">
        <v>5000.0</v>
      </c>
      <c r="AB43" s="705">
        <v>5000.0</v>
      </c>
      <c r="AC43" s="705">
        <v>5000.0</v>
      </c>
      <c r="AD43" s="705">
        <v>5000.0</v>
      </c>
      <c r="AE43" s="705">
        <v>5000.0</v>
      </c>
      <c r="AF43" s="705">
        <v>5000.0</v>
      </c>
      <c r="AG43" s="705">
        <v>5000.0</v>
      </c>
      <c r="AH43" s="705">
        <v>5000.0</v>
      </c>
      <c r="AI43" s="705">
        <v>5000.0</v>
      </c>
      <c r="AJ43" s="705">
        <v>5000.0</v>
      </c>
      <c r="AK43" s="705">
        <v>5000.0</v>
      </c>
      <c r="AL43" s="705">
        <v>5000.0</v>
      </c>
      <c r="AM43" s="705">
        <v>5000.0</v>
      </c>
      <c r="AN43" s="705">
        <v>5000.0</v>
      </c>
      <c r="AO43" s="705">
        <v>5000.0</v>
      </c>
      <c r="AP43" s="896">
        <v>5000.0</v>
      </c>
    </row>
    <row r="44" ht="12.75" customHeight="1">
      <c r="A44" s="15" t="s">
        <v>599</v>
      </c>
      <c r="B44" s="805"/>
      <c r="C44" s="3">
        <v>0.0</v>
      </c>
      <c r="D44" s="3">
        <v>0.0</v>
      </c>
      <c r="E44" s="3">
        <v>0.0</v>
      </c>
      <c r="F44" s="3">
        <v>0.0</v>
      </c>
      <c r="G44" s="3">
        <v>0.0</v>
      </c>
      <c r="H44" s="3">
        <v>0.0</v>
      </c>
      <c r="I44" s="3">
        <v>0.0</v>
      </c>
      <c r="J44" s="3">
        <v>0.0</v>
      </c>
      <c r="K44" s="3">
        <v>0.0</v>
      </c>
      <c r="L44" s="3">
        <v>0.0</v>
      </c>
      <c r="M44" s="3">
        <v>0.0</v>
      </c>
      <c r="N44" s="3">
        <v>0.0</v>
      </c>
      <c r="O44" s="3">
        <v>0.0</v>
      </c>
      <c r="P44" s="3">
        <v>0.0</v>
      </c>
      <c r="Q44" s="816">
        <v>0.0</v>
      </c>
      <c r="R44" s="3">
        <v>0.0</v>
      </c>
      <c r="S44" s="3">
        <v>0.0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  <c r="Y44" s="3">
        <v>0.0</v>
      </c>
      <c r="Z44" s="3">
        <v>0.0</v>
      </c>
      <c r="AA44" s="3">
        <v>0.0</v>
      </c>
      <c r="AB44" s="3">
        <v>0.0</v>
      </c>
      <c r="AC44" s="3">
        <v>0.0</v>
      </c>
      <c r="AD44" s="3">
        <v>0.0</v>
      </c>
      <c r="AE44" s="3">
        <v>0.0</v>
      </c>
      <c r="AF44" s="3">
        <v>0.0</v>
      </c>
      <c r="AG44" s="3">
        <v>0.0</v>
      </c>
      <c r="AH44" s="3">
        <v>0.0</v>
      </c>
      <c r="AI44" s="3">
        <v>0.0</v>
      </c>
      <c r="AJ44" s="3">
        <v>0.0</v>
      </c>
      <c r="AK44" s="3">
        <v>0.0</v>
      </c>
      <c r="AL44" s="3">
        <v>0.0</v>
      </c>
      <c r="AM44" s="3">
        <v>0.0</v>
      </c>
      <c r="AN44" s="3">
        <v>0.0</v>
      </c>
      <c r="AO44" s="3">
        <v>0.0</v>
      </c>
      <c r="AP44" s="69">
        <v>0.0</v>
      </c>
    </row>
    <row r="45" ht="12.75" customHeight="1">
      <c r="A45" s="15"/>
      <c r="B45" s="892">
        <v>0.0</v>
      </c>
      <c r="C45" s="893">
        <f t="shared" ref="C45:AP45" si="31">$B$45*C38</f>
        <v>0</v>
      </c>
      <c r="D45" s="705">
        <f t="shared" si="31"/>
        <v>0</v>
      </c>
      <c r="E45" s="705">
        <f t="shared" si="31"/>
        <v>0</v>
      </c>
      <c r="F45" s="705">
        <f t="shared" si="31"/>
        <v>0</v>
      </c>
      <c r="G45" s="705">
        <f t="shared" si="31"/>
        <v>0</v>
      </c>
      <c r="H45" s="705">
        <f t="shared" si="31"/>
        <v>0</v>
      </c>
      <c r="I45" s="705">
        <f t="shared" si="31"/>
        <v>0</v>
      </c>
      <c r="J45" s="705">
        <f t="shared" si="31"/>
        <v>0</v>
      </c>
      <c r="K45" s="705">
        <f t="shared" si="31"/>
        <v>0</v>
      </c>
      <c r="L45" s="705">
        <f t="shared" si="31"/>
        <v>0</v>
      </c>
      <c r="M45" s="705">
        <f t="shared" si="31"/>
        <v>0</v>
      </c>
      <c r="N45" s="705">
        <f t="shared" si="31"/>
        <v>0</v>
      </c>
      <c r="O45" s="705">
        <f t="shared" si="31"/>
        <v>0</v>
      </c>
      <c r="P45" s="705">
        <f t="shared" si="31"/>
        <v>0</v>
      </c>
      <c r="Q45" s="809">
        <f t="shared" si="31"/>
        <v>0</v>
      </c>
      <c r="R45" s="705">
        <f t="shared" si="31"/>
        <v>0</v>
      </c>
      <c r="S45" s="705">
        <f t="shared" si="31"/>
        <v>0</v>
      </c>
      <c r="T45" s="705">
        <f t="shared" si="31"/>
        <v>0</v>
      </c>
      <c r="U45" s="705">
        <f t="shared" si="31"/>
        <v>0</v>
      </c>
      <c r="V45" s="705">
        <f t="shared" si="31"/>
        <v>0</v>
      </c>
      <c r="W45" s="705">
        <f t="shared" si="31"/>
        <v>0</v>
      </c>
      <c r="X45" s="705">
        <f t="shared" si="31"/>
        <v>0</v>
      </c>
      <c r="Y45" s="705">
        <f t="shared" si="31"/>
        <v>0</v>
      </c>
      <c r="Z45" s="705">
        <f t="shared" si="31"/>
        <v>0</v>
      </c>
      <c r="AA45" s="705">
        <f t="shared" si="31"/>
        <v>0</v>
      </c>
      <c r="AB45" s="705">
        <f t="shared" si="31"/>
        <v>0</v>
      </c>
      <c r="AC45" s="705">
        <f t="shared" si="31"/>
        <v>0</v>
      </c>
      <c r="AD45" s="705">
        <f t="shared" si="31"/>
        <v>0</v>
      </c>
      <c r="AE45" s="705">
        <f t="shared" si="31"/>
        <v>0</v>
      </c>
      <c r="AF45" s="705">
        <f t="shared" si="31"/>
        <v>0</v>
      </c>
      <c r="AG45" s="705">
        <f t="shared" si="31"/>
        <v>0</v>
      </c>
      <c r="AH45" s="705">
        <f t="shared" si="31"/>
        <v>0</v>
      </c>
      <c r="AI45" s="705">
        <f t="shared" si="31"/>
        <v>0</v>
      </c>
      <c r="AJ45" s="705">
        <f t="shared" si="31"/>
        <v>0</v>
      </c>
      <c r="AK45" s="705">
        <f t="shared" si="31"/>
        <v>0</v>
      </c>
      <c r="AL45" s="705">
        <f t="shared" si="31"/>
        <v>0</v>
      </c>
      <c r="AM45" s="705">
        <f t="shared" si="31"/>
        <v>0</v>
      </c>
      <c r="AN45" s="705">
        <f t="shared" si="31"/>
        <v>0</v>
      </c>
      <c r="AO45" s="705">
        <f t="shared" si="31"/>
        <v>0</v>
      </c>
      <c r="AP45" s="896">
        <f t="shared" si="31"/>
        <v>0</v>
      </c>
    </row>
    <row r="46" ht="12.75" customHeight="1">
      <c r="A46" s="45" t="s">
        <v>600</v>
      </c>
      <c r="B46" s="897"/>
      <c r="C46" s="39">
        <v>0.0</v>
      </c>
      <c r="D46" s="39">
        <v>0.0</v>
      </c>
      <c r="E46" s="39">
        <v>0.0</v>
      </c>
      <c r="F46" s="39">
        <v>0.0</v>
      </c>
      <c r="G46" s="39">
        <v>0.0</v>
      </c>
      <c r="H46" s="39">
        <v>0.0</v>
      </c>
      <c r="I46" s="39">
        <v>0.0</v>
      </c>
      <c r="J46" s="39">
        <v>0.0</v>
      </c>
      <c r="K46" s="39">
        <v>0.0</v>
      </c>
      <c r="L46" s="39">
        <v>0.0</v>
      </c>
      <c r="M46" s="39">
        <v>0.0</v>
      </c>
      <c r="N46" s="39">
        <v>0.0</v>
      </c>
      <c r="O46" s="39">
        <v>0.0</v>
      </c>
      <c r="P46" s="39">
        <v>0.0</v>
      </c>
      <c r="Q46" s="846">
        <v>0.0</v>
      </c>
      <c r="R46" s="39">
        <v>0.0</v>
      </c>
      <c r="S46" s="39">
        <v>0.0</v>
      </c>
      <c r="T46" s="39">
        <v>0.0</v>
      </c>
      <c r="U46" s="39">
        <v>0.0</v>
      </c>
      <c r="V46" s="39">
        <v>0.0</v>
      </c>
      <c r="W46" s="39">
        <v>0.0</v>
      </c>
      <c r="X46" s="39">
        <v>0.0</v>
      </c>
      <c r="Y46" s="39">
        <v>0.0</v>
      </c>
      <c r="Z46" s="39">
        <v>0.0</v>
      </c>
      <c r="AA46" s="39">
        <v>0.0</v>
      </c>
      <c r="AB46" s="39">
        <v>0.0</v>
      </c>
      <c r="AC46" s="39">
        <v>0.0</v>
      </c>
      <c r="AD46" s="39">
        <v>0.0</v>
      </c>
      <c r="AE46" s="39">
        <v>0.0</v>
      </c>
      <c r="AF46" s="39">
        <v>0.0</v>
      </c>
      <c r="AG46" s="39">
        <v>0.0</v>
      </c>
      <c r="AH46" s="39">
        <v>0.0</v>
      </c>
      <c r="AI46" s="39">
        <v>0.0</v>
      </c>
      <c r="AJ46" s="39">
        <v>0.0</v>
      </c>
      <c r="AK46" s="39">
        <v>0.0</v>
      </c>
      <c r="AL46" s="39">
        <v>0.0</v>
      </c>
      <c r="AM46" s="39">
        <v>0.0</v>
      </c>
      <c r="AN46" s="39">
        <v>0.0</v>
      </c>
      <c r="AO46" s="39">
        <v>0.0</v>
      </c>
      <c r="AP46" s="74">
        <v>0.0</v>
      </c>
    </row>
    <row r="47" ht="12.75" customHeight="1">
      <c r="A47" s="39"/>
      <c r="B47" s="897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846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</row>
    <row r="48" ht="12.75" customHeight="1">
      <c r="A48" s="666" t="s">
        <v>601</v>
      </c>
      <c r="B48" s="897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846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</row>
    <row r="49" ht="12.75" customHeight="1">
      <c r="A49" s="3" t="s">
        <v>602</v>
      </c>
      <c r="B49" s="3"/>
      <c r="C49" s="705">
        <f t="shared" ref="C49:AP49" si="32">+C38-C42-C43-C44-C45</f>
        <v>296849.8382</v>
      </c>
      <c r="D49" s="705">
        <f t="shared" si="32"/>
        <v>307044.0343</v>
      </c>
      <c r="E49" s="705">
        <f t="shared" si="32"/>
        <v>317227.497</v>
      </c>
      <c r="F49" s="705">
        <f t="shared" si="32"/>
        <v>327392.2665</v>
      </c>
      <c r="G49" s="705">
        <f t="shared" si="32"/>
        <v>337529.9563</v>
      </c>
      <c r="H49" s="705">
        <f t="shared" si="32"/>
        <v>347631.7361</v>
      </c>
      <c r="I49" s="705">
        <f t="shared" si="32"/>
        <v>357688.3134</v>
      </c>
      <c r="J49" s="705">
        <f t="shared" si="32"/>
        <v>367689.9148</v>
      </c>
      <c r="K49" s="705">
        <f t="shared" si="32"/>
        <v>377626.2663</v>
      </c>
      <c r="L49" s="705">
        <f t="shared" si="32"/>
        <v>387486.5732</v>
      </c>
      <c r="M49" s="705">
        <f t="shared" si="32"/>
        <v>397259.4988</v>
      </c>
      <c r="N49" s="705">
        <f t="shared" si="32"/>
        <v>406933.1428</v>
      </c>
      <c r="O49" s="705">
        <f t="shared" si="32"/>
        <v>416495.0187</v>
      </c>
      <c r="P49" s="705">
        <f t="shared" si="32"/>
        <v>425932.0302</v>
      </c>
      <c r="Q49" s="809">
        <f t="shared" si="32"/>
        <v>435230.4471</v>
      </c>
      <c r="R49" s="705">
        <f t="shared" si="32"/>
        <v>444375.8801</v>
      </c>
      <c r="S49" s="705">
        <f t="shared" si="32"/>
        <v>453353.2545</v>
      </c>
      <c r="T49" s="705">
        <f t="shared" si="32"/>
        <v>462146.7834</v>
      </c>
      <c r="U49" s="705">
        <f t="shared" si="32"/>
        <v>470739.9395</v>
      </c>
      <c r="V49" s="705">
        <f t="shared" si="32"/>
        <v>479115.4261</v>
      </c>
      <c r="W49" s="705">
        <f t="shared" si="32"/>
        <v>487255.147</v>
      </c>
      <c r="X49" s="705">
        <f t="shared" si="32"/>
        <v>495140.1755</v>
      </c>
      <c r="Y49" s="705">
        <f t="shared" si="32"/>
        <v>502750.7214</v>
      </c>
      <c r="Z49" s="705">
        <f t="shared" si="32"/>
        <v>510066.0985</v>
      </c>
      <c r="AA49" s="705">
        <f t="shared" si="32"/>
        <v>517064.6891</v>
      </c>
      <c r="AB49" s="705">
        <f t="shared" si="32"/>
        <v>523723.9082</v>
      </c>
      <c r="AC49" s="705">
        <f t="shared" si="32"/>
        <v>530020.1666</v>
      </c>
      <c r="AD49" s="705">
        <f t="shared" si="32"/>
        <v>535928.8319</v>
      </c>
      <c r="AE49" s="705">
        <f t="shared" si="32"/>
        <v>541424.1887</v>
      </c>
      <c r="AF49" s="705">
        <f t="shared" si="32"/>
        <v>546479.3974</v>
      </c>
      <c r="AG49" s="705">
        <f t="shared" si="32"/>
        <v>551066.4507</v>
      </c>
      <c r="AH49" s="705">
        <f t="shared" si="32"/>
        <v>555156.1298</v>
      </c>
      <c r="AI49" s="705">
        <f t="shared" si="32"/>
        <v>558717.9581</v>
      </c>
      <c r="AJ49" s="705">
        <f t="shared" si="32"/>
        <v>561720.1534</v>
      </c>
      <c r="AK49" s="705">
        <f t="shared" si="32"/>
        <v>564129.579</v>
      </c>
      <c r="AL49" s="705">
        <f t="shared" si="32"/>
        <v>565911.692</v>
      </c>
      <c r="AM49" s="705">
        <f t="shared" si="32"/>
        <v>567030.4909</v>
      </c>
      <c r="AN49" s="705">
        <f t="shared" si="32"/>
        <v>567448.4601</v>
      </c>
      <c r="AO49" s="705">
        <f t="shared" si="32"/>
        <v>567126.5141</v>
      </c>
      <c r="AP49" s="705">
        <f t="shared" si="32"/>
        <v>566023.9377</v>
      </c>
    </row>
    <row r="50" ht="12.75" customHeight="1">
      <c r="A50" s="3" t="s">
        <v>603</v>
      </c>
      <c r="B50" s="3"/>
      <c r="C50" s="705">
        <f>'Sources and Uses'!G90</f>
        <v>5599709.871</v>
      </c>
      <c r="D50" s="705">
        <f t="shared" ref="D50:AP50" si="33">MAX(C50-C51,0)</f>
        <v>5302860.033</v>
      </c>
      <c r="E50" s="705">
        <f t="shared" si="33"/>
        <v>4995815.999</v>
      </c>
      <c r="F50" s="705">
        <f t="shared" si="33"/>
        <v>4678588.502</v>
      </c>
      <c r="G50" s="705">
        <f t="shared" si="33"/>
        <v>4351196.235</v>
      </c>
      <c r="H50" s="705">
        <f t="shared" si="33"/>
        <v>4013666.279</v>
      </c>
      <c r="I50" s="705">
        <f t="shared" si="33"/>
        <v>3666034.543</v>
      </c>
      <c r="J50" s="705">
        <f t="shared" si="33"/>
        <v>3308346.229</v>
      </c>
      <c r="K50" s="705">
        <f t="shared" si="33"/>
        <v>2940656.315</v>
      </c>
      <c r="L50" s="705">
        <f t="shared" si="33"/>
        <v>2563030.048</v>
      </c>
      <c r="M50" s="705">
        <f t="shared" si="33"/>
        <v>2175543.475</v>
      </c>
      <c r="N50" s="705">
        <f t="shared" si="33"/>
        <v>1778283.976</v>
      </c>
      <c r="O50" s="705">
        <f t="shared" si="33"/>
        <v>1371350.834</v>
      </c>
      <c r="P50" s="705">
        <f t="shared" si="33"/>
        <v>954855.8149</v>
      </c>
      <c r="Q50" s="809">
        <f t="shared" si="33"/>
        <v>528923.7847</v>
      </c>
      <c r="R50" s="705">
        <f t="shared" si="33"/>
        <v>93693.33759</v>
      </c>
      <c r="S50" s="705">
        <f t="shared" si="33"/>
        <v>0</v>
      </c>
      <c r="T50" s="705">
        <f t="shared" si="33"/>
        <v>0</v>
      </c>
      <c r="U50" s="705">
        <f t="shared" si="33"/>
        <v>0</v>
      </c>
      <c r="V50" s="705">
        <f t="shared" si="33"/>
        <v>0</v>
      </c>
      <c r="W50" s="705">
        <f t="shared" si="33"/>
        <v>0</v>
      </c>
      <c r="X50" s="705">
        <f t="shared" si="33"/>
        <v>0</v>
      </c>
      <c r="Y50" s="705">
        <f t="shared" si="33"/>
        <v>0</v>
      </c>
      <c r="Z50" s="705">
        <f t="shared" si="33"/>
        <v>0</v>
      </c>
      <c r="AA50" s="705">
        <f t="shared" si="33"/>
        <v>0</v>
      </c>
      <c r="AB50" s="705">
        <f t="shared" si="33"/>
        <v>0</v>
      </c>
      <c r="AC50" s="705">
        <f t="shared" si="33"/>
        <v>0</v>
      </c>
      <c r="AD50" s="705">
        <f t="shared" si="33"/>
        <v>0</v>
      </c>
      <c r="AE50" s="705">
        <f t="shared" si="33"/>
        <v>0</v>
      </c>
      <c r="AF50" s="705">
        <f t="shared" si="33"/>
        <v>0</v>
      </c>
      <c r="AG50" s="705">
        <f t="shared" si="33"/>
        <v>0</v>
      </c>
      <c r="AH50" s="705">
        <f t="shared" si="33"/>
        <v>0</v>
      </c>
      <c r="AI50" s="705">
        <f t="shared" si="33"/>
        <v>0</v>
      </c>
      <c r="AJ50" s="705">
        <f t="shared" si="33"/>
        <v>0</v>
      </c>
      <c r="AK50" s="705">
        <f t="shared" si="33"/>
        <v>0</v>
      </c>
      <c r="AL50" s="705">
        <f t="shared" si="33"/>
        <v>0</v>
      </c>
      <c r="AM50" s="705">
        <f t="shared" si="33"/>
        <v>0</v>
      </c>
      <c r="AN50" s="705">
        <f t="shared" si="33"/>
        <v>0</v>
      </c>
      <c r="AO50" s="705">
        <f t="shared" si="33"/>
        <v>0</v>
      </c>
      <c r="AP50" s="705">
        <f t="shared" si="33"/>
        <v>0</v>
      </c>
    </row>
    <row r="51" ht="12.75" customHeight="1">
      <c r="A51" s="3" t="s">
        <v>604</v>
      </c>
      <c r="B51" s="3"/>
      <c r="C51" s="705">
        <f t="shared" ref="C51:AP51" si="34">IF(C50&gt;C49,C49,C50)</f>
        <v>296849.8382</v>
      </c>
      <c r="D51" s="705">
        <f t="shared" si="34"/>
        <v>307044.0343</v>
      </c>
      <c r="E51" s="705">
        <f t="shared" si="34"/>
        <v>317227.497</v>
      </c>
      <c r="F51" s="705">
        <f t="shared" si="34"/>
        <v>327392.2665</v>
      </c>
      <c r="G51" s="705">
        <f t="shared" si="34"/>
        <v>337529.9563</v>
      </c>
      <c r="H51" s="705">
        <f t="shared" si="34"/>
        <v>347631.7361</v>
      </c>
      <c r="I51" s="705">
        <f t="shared" si="34"/>
        <v>357688.3134</v>
      </c>
      <c r="J51" s="705">
        <f t="shared" si="34"/>
        <v>367689.9148</v>
      </c>
      <c r="K51" s="705">
        <f t="shared" si="34"/>
        <v>377626.2663</v>
      </c>
      <c r="L51" s="705">
        <f t="shared" si="34"/>
        <v>387486.5732</v>
      </c>
      <c r="M51" s="705">
        <f t="shared" si="34"/>
        <v>397259.4988</v>
      </c>
      <c r="N51" s="705">
        <f t="shared" si="34"/>
        <v>406933.1428</v>
      </c>
      <c r="O51" s="705">
        <f t="shared" si="34"/>
        <v>416495.0187</v>
      </c>
      <c r="P51" s="705">
        <f t="shared" si="34"/>
        <v>425932.0302</v>
      </c>
      <c r="Q51" s="809">
        <f t="shared" si="34"/>
        <v>435230.4471</v>
      </c>
      <c r="R51" s="705">
        <f t="shared" si="34"/>
        <v>93693.33759</v>
      </c>
      <c r="S51" s="705">
        <f t="shared" si="34"/>
        <v>0</v>
      </c>
      <c r="T51" s="705">
        <f t="shared" si="34"/>
        <v>0</v>
      </c>
      <c r="U51" s="705">
        <f t="shared" si="34"/>
        <v>0</v>
      </c>
      <c r="V51" s="705">
        <f t="shared" si="34"/>
        <v>0</v>
      </c>
      <c r="W51" s="705">
        <f t="shared" si="34"/>
        <v>0</v>
      </c>
      <c r="X51" s="705">
        <f t="shared" si="34"/>
        <v>0</v>
      </c>
      <c r="Y51" s="705">
        <f t="shared" si="34"/>
        <v>0</v>
      </c>
      <c r="Z51" s="705">
        <f t="shared" si="34"/>
        <v>0</v>
      </c>
      <c r="AA51" s="705">
        <f t="shared" si="34"/>
        <v>0</v>
      </c>
      <c r="AB51" s="705">
        <f t="shared" si="34"/>
        <v>0</v>
      </c>
      <c r="AC51" s="705">
        <f t="shared" si="34"/>
        <v>0</v>
      </c>
      <c r="AD51" s="705">
        <f t="shared" si="34"/>
        <v>0</v>
      </c>
      <c r="AE51" s="705">
        <f t="shared" si="34"/>
        <v>0</v>
      </c>
      <c r="AF51" s="705">
        <f t="shared" si="34"/>
        <v>0</v>
      </c>
      <c r="AG51" s="705">
        <f t="shared" si="34"/>
        <v>0</v>
      </c>
      <c r="AH51" s="705">
        <f t="shared" si="34"/>
        <v>0</v>
      </c>
      <c r="AI51" s="705">
        <f t="shared" si="34"/>
        <v>0</v>
      </c>
      <c r="AJ51" s="705">
        <f t="shared" si="34"/>
        <v>0</v>
      </c>
      <c r="AK51" s="705">
        <f t="shared" si="34"/>
        <v>0</v>
      </c>
      <c r="AL51" s="705">
        <f t="shared" si="34"/>
        <v>0</v>
      </c>
      <c r="AM51" s="705">
        <f t="shared" si="34"/>
        <v>0</v>
      </c>
      <c r="AN51" s="705">
        <f t="shared" si="34"/>
        <v>0</v>
      </c>
      <c r="AO51" s="705">
        <f t="shared" si="34"/>
        <v>0</v>
      </c>
      <c r="AP51" s="705">
        <f t="shared" si="34"/>
        <v>0</v>
      </c>
    </row>
    <row r="52" ht="12.75" customHeight="1">
      <c r="A52" s="898" t="s">
        <v>605</v>
      </c>
      <c r="B52" s="898"/>
      <c r="C52" s="899">
        <f t="shared" ref="C52:AP52" si="35">C49-C51</f>
        <v>0</v>
      </c>
      <c r="D52" s="899">
        <f t="shared" si="35"/>
        <v>0</v>
      </c>
      <c r="E52" s="899">
        <f t="shared" si="35"/>
        <v>0</v>
      </c>
      <c r="F52" s="899">
        <f t="shared" si="35"/>
        <v>0</v>
      </c>
      <c r="G52" s="899">
        <f t="shared" si="35"/>
        <v>0</v>
      </c>
      <c r="H52" s="899">
        <f t="shared" si="35"/>
        <v>0</v>
      </c>
      <c r="I52" s="899">
        <f t="shared" si="35"/>
        <v>0</v>
      </c>
      <c r="J52" s="899">
        <f t="shared" si="35"/>
        <v>0</v>
      </c>
      <c r="K52" s="899">
        <f t="shared" si="35"/>
        <v>0</v>
      </c>
      <c r="L52" s="899">
        <f t="shared" si="35"/>
        <v>0</v>
      </c>
      <c r="M52" s="899">
        <f t="shared" si="35"/>
        <v>0</v>
      </c>
      <c r="N52" s="899">
        <f t="shared" si="35"/>
        <v>0</v>
      </c>
      <c r="O52" s="899">
        <f t="shared" si="35"/>
        <v>0</v>
      </c>
      <c r="P52" s="899">
        <f t="shared" si="35"/>
        <v>0</v>
      </c>
      <c r="Q52" s="900">
        <f t="shared" si="35"/>
        <v>0</v>
      </c>
      <c r="R52" s="899">
        <f t="shared" si="35"/>
        <v>350682.5425</v>
      </c>
      <c r="S52" s="899">
        <f t="shared" si="35"/>
        <v>453353.2545</v>
      </c>
      <c r="T52" s="899">
        <f t="shared" si="35"/>
        <v>462146.7834</v>
      </c>
      <c r="U52" s="899">
        <f t="shared" si="35"/>
        <v>470739.9395</v>
      </c>
      <c r="V52" s="899">
        <f t="shared" si="35"/>
        <v>479115.4261</v>
      </c>
      <c r="W52" s="899">
        <f t="shared" si="35"/>
        <v>487255.147</v>
      </c>
      <c r="X52" s="899">
        <f t="shared" si="35"/>
        <v>495140.1755</v>
      </c>
      <c r="Y52" s="899">
        <f t="shared" si="35"/>
        <v>502750.7214</v>
      </c>
      <c r="Z52" s="899">
        <f t="shared" si="35"/>
        <v>510066.0985</v>
      </c>
      <c r="AA52" s="899">
        <f t="shared" si="35"/>
        <v>517064.6891</v>
      </c>
      <c r="AB52" s="899">
        <f t="shared" si="35"/>
        <v>523723.9082</v>
      </c>
      <c r="AC52" s="899">
        <f t="shared" si="35"/>
        <v>530020.1666</v>
      </c>
      <c r="AD52" s="899">
        <f t="shared" si="35"/>
        <v>535928.8319</v>
      </c>
      <c r="AE52" s="899">
        <f t="shared" si="35"/>
        <v>541424.1887</v>
      </c>
      <c r="AF52" s="899">
        <f t="shared" si="35"/>
        <v>546479.3974</v>
      </c>
      <c r="AG52" s="899">
        <f t="shared" si="35"/>
        <v>551066.4507</v>
      </c>
      <c r="AH52" s="899">
        <f t="shared" si="35"/>
        <v>555156.1298</v>
      </c>
      <c r="AI52" s="899">
        <f t="shared" si="35"/>
        <v>558717.9581</v>
      </c>
      <c r="AJ52" s="899">
        <f t="shared" si="35"/>
        <v>561720.1534</v>
      </c>
      <c r="AK52" s="899">
        <f t="shared" si="35"/>
        <v>564129.579</v>
      </c>
      <c r="AL52" s="899">
        <f t="shared" si="35"/>
        <v>565911.692</v>
      </c>
      <c r="AM52" s="899">
        <f t="shared" si="35"/>
        <v>567030.4909</v>
      </c>
      <c r="AN52" s="899">
        <f t="shared" si="35"/>
        <v>567448.4601</v>
      </c>
      <c r="AO52" s="899">
        <f t="shared" si="35"/>
        <v>567126.5141</v>
      </c>
      <c r="AP52" s="899">
        <f t="shared" si="35"/>
        <v>566023.9377</v>
      </c>
    </row>
    <row r="53" ht="12.75" customHeight="1">
      <c r="A53" s="3"/>
      <c r="B53" s="3"/>
      <c r="C53" s="705"/>
      <c r="D53" s="705"/>
      <c r="E53" s="705"/>
      <c r="F53" s="705"/>
      <c r="G53" s="705"/>
      <c r="H53" s="705"/>
      <c r="I53" s="705"/>
      <c r="J53" s="705"/>
      <c r="K53" s="705"/>
      <c r="L53" s="705"/>
      <c r="M53" s="705"/>
      <c r="N53" s="705"/>
      <c r="O53" s="705"/>
      <c r="P53" s="705"/>
      <c r="Q53" s="809"/>
      <c r="R53" s="705"/>
      <c r="S53" s="705"/>
      <c r="T53" s="705"/>
      <c r="U53" s="705"/>
      <c r="V53" s="705"/>
      <c r="W53" s="705"/>
      <c r="X53" s="705"/>
      <c r="Y53" s="705"/>
      <c r="Z53" s="705"/>
      <c r="AA53" s="705"/>
      <c r="AB53" s="705"/>
      <c r="AC53" s="705"/>
      <c r="AD53" s="705"/>
      <c r="AE53" s="705"/>
      <c r="AF53" s="705"/>
      <c r="AG53" s="705"/>
      <c r="AH53" s="705"/>
      <c r="AI53" s="705"/>
      <c r="AJ53" s="705"/>
      <c r="AK53" s="705"/>
      <c r="AL53" s="705"/>
      <c r="AM53" s="705"/>
      <c r="AN53" s="705"/>
      <c r="AO53" s="705"/>
      <c r="AP53" s="705"/>
    </row>
    <row r="54" ht="12.75" customHeight="1">
      <c r="A54" s="847" t="str">
        <f>A34</f>
        <v>HPD ELLA Subsidy Program Loan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816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</row>
    <row r="55" ht="12.75" customHeight="1">
      <c r="A55" s="17" t="s">
        <v>531</v>
      </c>
      <c r="B55" s="448"/>
      <c r="C55" s="705">
        <f>'Debt &amp; Valuation'!G24</f>
        <v>14067900</v>
      </c>
      <c r="D55" s="705">
        <f t="shared" ref="D55:AP55" si="36">C58</f>
        <v>14556056.13</v>
      </c>
      <c r="E55" s="705">
        <f t="shared" si="36"/>
        <v>15061151.28</v>
      </c>
      <c r="F55" s="705">
        <f t="shared" si="36"/>
        <v>15583773.23</v>
      </c>
      <c r="G55" s="705">
        <f t="shared" si="36"/>
        <v>16124530.16</v>
      </c>
      <c r="H55" s="705">
        <f t="shared" si="36"/>
        <v>16684051.35</v>
      </c>
      <c r="I55" s="705">
        <f t="shared" si="36"/>
        <v>17262987.94</v>
      </c>
      <c r="J55" s="705">
        <f t="shared" si="36"/>
        <v>17862013.62</v>
      </c>
      <c r="K55" s="705">
        <f t="shared" si="36"/>
        <v>18481825.49</v>
      </c>
      <c r="L55" s="705">
        <f t="shared" si="36"/>
        <v>19123144.83</v>
      </c>
      <c r="M55" s="705">
        <f t="shared" si="36"/>
        <v>19786717.96</v>
      </c>
      <c r="N55" s="705">
        <f t="shared" si="36"/>
        <v>20473317.07</v>
      </c>
      <c r="O55" s="705">
        <f t="shared" si="36"/>
        <v>21183741.18</v>
      </c>
      <c r="P55" s="705">
        <f t="shared" si="36"/>
        <v>21918817</v>
      </c>
      <c r="Q55" s="809">
        <f t="shared" si="36"/>
        <v>22679399.95</v>
      </c>
      <c r="R55" s="705">
        <f t="shared" si="36"/>
        <v>23466375.12</v>
      </c>
      <c r="S55" s="705">
        <f t="shared" si="36"/>
        <v>24280658.34</v>
      </c>
      <c r="T55" s="705">
        <f t="shared" si="36"/>
        <v>25123197.18</v>
      </c>
      <c r="U55" s="705">
        <f t="shared" si="36"/>
        <v>25994972.13</v>
      </c>
      <c r="V55" s="705">
        <f t="shared" si="36"/>
        <v>26896997.66</v>
      </c>
      <c r="W55" s="705">
        <f t="shared" si="36"/>
        <v>27830323.48</v>
      </c>
      <c r="X55" s="705">
        <f t="shared" si="36"/>
        <v>28796035.7</v>
      </c>
      <c r="Y55" s="705">
        <f t="shared" si="36"/>
        <v>29795258.14</v>
      </c>
      <c r="Z55" s="705">
        <f t="shared" si="36"/>
        <v>30829153.6</v>
      </c>
      <c r="AA55" s="705">
        <f t="shared" si="36"/>
        <v>31898925.23</v>
      </c>
      <c r="AB55" s="705">
        <f t="shared" si="36"/>
        <v>33005817.93</v>
      </c>
      <c r="AC55" s="705">
        <f t="shared" si="36"/>
        <v>34151119.82</v>
      </c>
      <c r="AD55" s="705">
        <f t="shared" si="36"/>
        <v>35336163.67</v>
      </c>
      <c r="AE55" s="705">
        <f t="shared" si="36"/>
        <v>36562328.55</v>
      </c>
      <c r="AF55" s="705">
        <f t="shared" si="36"/>
        <v>37831041.35</v>
      </c>
      <c r="AG55" s="705">
        <f t="shared" si="36"/>
        <v>39143778.49</v>
      </c>
      <c r="AH55" s="705">
        <f t="shared" si="36"/>
        <v>40502067.6</v>
      </c>
      <c r="AI55" s="705">
        <f t="shared" si="36"/>
        <v>41907489.35</v>
      </c>
      <c r="AJ55" s="705">
        <f t="shared" si="36"/>
        <v>43361679.23</v>
      </c>
      <c r="AK55" s="705">
        <f t="shared" si="36"/>
        <v>44866329.5</v>
      </c>
      <c r="AL55" s="705">
        <f t="shared" si="36"/>
        <v>46423191.13</v>
      </c>
      <c r="AM55" s="705">
        <f t="shared" si="36"/>
        <v>48034075.86</v>
      </c>
      <c r="AN55" s="705">
        <f t="shared" si="36"/>
        <v>49700858.3</v>
      </c>
      <c r="AO55" s="705">
        <f t="shared" si="36"/>
        <v>51425478.08</v>
      </c>
      <c r="AP55" s="705">
        <f t="shared" si="36"/>
        <v>53209942.17</v>
      </c>
    </row>
    <row r="56" ht="12.75" customHeight="1">
      <c r="A56" s="17" t="s">
        <v>532</v>
      </c>
      <c r="B56" s="448"/>
      <c r="C56" s="705">
        <f>C55*'Debt &amp; Valuation'!$G$26</f>
        <v>628835.13</v>
      </c>
      <c r="D56" s="705">
        <f>D55*'Debt &amp; Valuation'!$G$26</f>
        <v>650655.709</v>
      </c>
      <c r="E56" s="705">
        <f>E55*'Debt &amp; Valuation'!$G$26</f>
        <v>673233.4621</v>
      </c>
      <c r="F56" s="705">
        <f>F55*'Debt &amp; Valuation'!$G$26</f>
        <v>696594.6632</v>
      </c>
      <c r="G56" s="705">
        <f>G55*'Debt &amp; Valuation'!$G$26</f>
        <v>720766.4981</v>
      </c>
      <c r="H56" s="705">
        <f>H55*'Debt &amp; Valuation'!$G$26</f>
        <v>745777.0955</v>
      </c>
      <c r="I56" s="705">
        <f>I55*'Debt &amp; Valuation'!$G$26</f>
        <v>771655.5608</v>
      </c>
      <c r="J56" s="705">
        <f>J55*'Debt &amp; Valuation'!$G$26</f>
        <v>798432.0087</v>
      </c>
      <c r="K56" s="705">
        <f>K55*'Debt &amp; Valuation'!$G$26</f>
        <v>826137.5994</v>
      </c>
      <c r="L56" s="705">
        <f>L55*'Debt &amp; Valuation'!$G$26</f>
        <v>854804.5741</v>
      </c>
      <c r="M56" s="705">
        <f>M55*'Debt &amp; Valuation'!$G$26</f>
        <v>884466.2928</v>
      </c>
      <c r="N56" s="705">
        <f>N55*'Debt &amp; Valuation'!$G$26</f>
        <v>915157.2732</v>
      </c>
      <c r="O56" s="705">
        <f>O55*'Debt &amp; Valuation'!$G$26</f>
        <v>946913.2306</v>
      </c>
      <c r="P56" s="705">
        <f>P55*'Debt &amp; Valuation'!$G$26</f>
        <v>979771.1197</v>
      </c>
      <c r="Q56" s="809">
        <f>Q55*'Debt &amp; Valuation'!$G$26</f>
        <v>1013769.178</v>
      </c>
      <c r="R56" s="705">
        <f>R55*'Debt &amp; Valuation'!$G$26</f>
        <v>1048946.968</v>
      </c>
      <c r="S56" s="705">
        <f>S55*'Debt &amp; Valuation'!$G$26</f>
        <v>1085345.428</v>
      </c>
      <c r="T56" s="705">
        <f>T55*'Debt &amp; Valuation'!$G$26</f>
        <v>1123006.914</v>
      </c>
      <c r="U56" s="705">
        <f>U55*'Debt &amp; Valuation'!$G$26</f>
        <v>1161975.254</v>
      </c>
      <c r="V56" s="705">
        <f>V55*'Debt &amp; Valuation'!$G$26</f>
        <v>1202295.795</v>
      </c>
      <c r="W56" s="705">
        <f>W55*'Debt &amp; Valuation'!$G$26</f>
        <v>1244015.459</v>
      </c>
      <c r="X56" s="705">
        <f>X55*'Debt &amp; Valuation'!$G$26</f>
        <v>1287182.796</v>
      </c>
      <c r="Y56" s="705">
        <f>Y55*'Debt &amp; Valuation'!$G$26</f>
        <v>1331848.039</v>
      </c>
      <c r="Z56" s="705">
        <f>Z55*'Debt &amp; Valuation'!$G$26</f>
        <v>1378063.166</v>
      </c>
      <c r="AA56" s="705">
        <f>AA55*'Debt &amp; Valuation'!$G$26</f>
        <v>1425881.958</v>
      </c>
      <c r="AB56" s="705">
        <f>AB55*'Debt &amp; Valuation'!$G$26</f>
        <v>1475360.062</v>
      </c>
      <c r="AC56" s="705">
        <f>AC55*'Debt &amp; Valuation'!$G$26</f>
        <v>1526555.056</v>
      </c>
      <c r="AD56" s="705">
        <f>AD55*'Debt &amp; Valuation'!$G$26</f>
        <v>1579526.516</v>
      </c>
      <c r="AE56" s="705">
        <f>AE55*'Debt &amp; Valuation'!$G$26</f>
        <v>1634336.086</v>
      </c>
      <c r="AF56" s="705">
        <f>AF55*'Debt &amp; Valuation'!$G$26</f>
        <v>1691047.549</v>
      </c>
      <c r="AG56" s="705">
        <f>AG55*'Debt &amp; Valuation'!$G$26</f>
        <v>1749726.898</v>
      </c>
      <c r="AH56" s="705">
        <f>AH55*'Debt &amp; Valuation'!$G$26</f>
        <v>1810442.422</v>
      </c>
      <c r="AI56" s="705">
        <f>AI55*'Debt &amp; Valuation'!$G$26</f>
        <v>1873264.774</v>
      </c>
      <c r="AJ56" s="705">
        <f>AJ55*'Debt &amp; Valuation'!$G$26</f>
        <v>1938267.062</v>
      </c>
      <c r="AK56" s="705">
        <f>AK55*'Debt &amp; Valuation'!$G$26</f>
        <v>2005524.929</v>
      </c>
      <c r="AL56" s="705">
        <f>AL55*'Debt &amp; Valuation'!$G$26</f>
        <v>2075116.644</v>
      </c>
      <c r="AM56" s="705">
        <f>AM55*'Debt &amp; Valuation'!$G$26</f>
        <v>2147123.191</v>
      </c>
      <c r="AN56" s="705">
        <f>AN55*'Debt &amp; Valuation'!$G$26</f>
        <v>2221628.366</v>
      </c>
      <c r="AO56" s="705">
        <f>AO55*'Debt &amp; Valuation'!$G$26</f>
        <v>2298718.87</v>
      </c>
      <c r="AP56" s="705">
        <f>AP55*'Debt &amp; Valuation'!$G$26</f>
        <v>2378484.415</v>
      </c>
    </row>
    <row r="57" ht="12.75" customHeight="1">
      <c r="A57" s="17" t="s">
        <v>533</v>
      </c>
      <c r="B57" s="448"/>
      <c r="C57" s="705">
        <f>'Debt &amp; Valuation'!$G$27*C55</f>
        <v>140679</v>
      </c>
      <c r="D57" s="705">
        <f>'Debt &amp; Valuation'!$G$27*D55</f>
        <v>145560.5613</v>
      </c>
      <c r="E57" s="705">
        <f>'Debt &amp; Valuation'!$G$27*E55</f>
        <v>150611.5128</v>
      </c>
      <c r="F57" s="705">
        <f>'Debt &amp; Valuation'!$G$27*F55</f>
        <v>155837.7323</v>
      </c>
      <c r="G57" s="705">
        <f>'Debt &amp; Valuation'!$G$27*G55</f>
        <v>161245.3016</v>
      </c>
      <c r="H57" s="705">
        <f>'Debt &amp; Valuation'!$G$27*H55</f>
        <v>166840.5135</v>
      </c>
      <c r="I57" s="705">
        <f>'Debt &amp; Valuation'!$G$27*I55</f>
        <v>172629.8794</v>
      </c>
      <c r="J57" s="705">
        <f>'Debt &amp; Valuation'!$G$27*J55</f>
        <v>178620.1362</v>
      </c>
      <c r="K57" s="705">
        <f>'Debt &amp; Valuation'!$G$27*K55</f>
        <v>184818.2549</v>
      </c>
      <c r="L57" s="705">
        <f>'Debt &amp; Valuation'!$G$27*L55</f>
        <v>191231.4483</v>
      </c>
      <c r="M57" s="705">
        <f>'Debt &amp; Valuation'!$G$27*M55</f>
        <v>197867.1796</v>
      </c>
      <c r="N57" s="705">
        <f>'Debt &amp; Valuation'!$G$27*N55</f>
        <v>204733.1707</v>
      </c>
      <c r="O57" s="705">
        <f>'Debt &amp; Valuation'!$G$27*O55</f>
        <v>211837.4118</v>
      </c>
      <c r="P57" s="705">
        <f>'Debt &amp; Valuation'!$G$27*P55</f>
        <v>219188.17</v>
      </c>
      <c r="Q57" s="809">
        <f>'Debt &amp; Valuation'!$G$27*Q55</f>
        <v>226793.9995</v>
      </c>
      <c r="R57" s="705">
        <f>'Debt &amp; Valuation'!$G$27*R55</f>
        <v>234663.7512</v>
      </c>
      <c r="S57" s="705">
        <f>'Debt &amp; Valuation'!$G$27*S55</f>
        <v>242806.5834</v>
      </c>
      <c r="T57" s="705">
        <f>'Debt &amp; Valuation'!$G$27*T55</f>
        <v>251231.9718</v>
      </c>
      <c r="U57" s="705">
        <f>'Debt &amp; Valuation'!$G$27*U55</f>
        <v>259949.7213</v>
      </c>
      <c r="V57" s="705">
        <f>'Debt &amp; Valuation'!$G$27*V55</f>
        <v>268969.9766</v>
      </c>
      <c r="W57" s="705">
        <f>'Debt &amp; Valuation'!$G$27*W55</f>
        <v>278303.2348</v>
      </c>
      <c r="X57" s="705">
        <f>'Debt &amp; Valuation'!$G$27*X55</f>
        <v>287960.357</v>
      </c>
      <c r="Y57" s="705">
        <f>'Debt &amp; Valuation'!$G$27*Y55</f>
        <v>297952.5814</v>
      </c>
      <c r="Z57" s="705">
        <f>'Debt &amp; Valuation'!$G$27*Z55</f>
        <v>308291.536</v>
      </c>
      <c r="AA57" s="705">
        <f>'Debt &amp; Valuation'!$G$27*AA55</f>
        <v>318989.2523</v>
      </c>
      <c r="AB57" s="705">
        <f>'Debt &amp; Valuation'!$G$27*AB55</f>
        <v>330058.1793</v>
      </c>
      <c r="AC57" s="705">
        <f>'Debt &amp; Valuation'!$G$27*AC55</f>
        <v>341511.1982</v>
      </c>
      <c r="AD57" s="705">
        <f>'Debt &amp; Valuation'!$G$27*AD55</f>
        <v>353361.6367</v>
      </c>
      <c r="AE57" s="705">
        <f>'Debt &amp; Valuation'!$G$27*AE55</f>
        <v>365623.2855</v>
      </c>
      <c r="AF57" s="705">
        <f>'Debt &amp; Valuation'!$G$27*AF55</f>
        <v>378310.4135</v>
      </c>
      <c r="AG57" s="705">
        <f>'Debt &amp; Valuation'!$G$27*AG55</f>
        <v>391437.7849</v>
      </c>
      <c r="AH57" s="705">
        <f>'Debt &amp; Valuation'!$G$27*AH55</f>
        <v>405020.676</v>
      </c>
      <c r="AI57" s="705">
        <f>'Debt &amp; Valuation'!$G$27*AI55</f>
        <v>419074.8935</v>
      </c>
      <c r="AJ57" s="705">
        <f>'Debt &amp; Valuation'!$G$27*AJ55</f>
        <v>433616.7923</v>
      </c>
      <c r="AK57" s="705">
        <f>'Debt &amp; Valuation'!$G$27*AK55</f>
        <v>448663.295</v>
      </c>
      <c r="AL57" s="705">
        <f>'Debt &amp; Valuation'!$G$27*AL55</f>
        <v>464231.9113</v>
      </c>
      <c r="AM57" s="705">
        <f>'Debt &amp; Valuation'!$G$27*AM55</f>
        <v>480340.7586</v>
      </c>
      <c r="AN57" s="705">
        <f>'Debt &amp; Valuation'!$G$27*AN55</f>
        <v>497008.583</v>
      </c>
      <c r="AO57" s="705">
        <f>'Debt &amp; Valuation'!$G$27*AO55</f>
        <v>514254.7808</v>
      </c>
      <c r="AP57" s="705">
        <f>'Debt &amp; Valuation'!$G$27*AP55</f>
        <v>532099.4217</v>
      </c>
    </row>
    <row r="58" ht="12.75" customHeight="1">
      <c r="A58" s="17" t="s">
        <v>534</v>
      </c>
      <c r="C58" s="705">
        <f t="shared" ref="C58:AP58" si="37">C55+(C56-C57)</f>
        <v>14556056.13</v>
      </c>
      <c r="D58" s="705">
        <f t="shared" si="37"/>
        <v>15061151.28</v>
      </c>
      <c r="E58" s="705">
        <f t="shared" si="37"/>
        <v>15583773.23</v>
      </c>
      <c r="F58" s="705">
        <f t="shared" si="37"/>
        <v>16124530.16</v>
      </c>
      <c r="G58" s="705">
        <f t="shared" si="37"/>
        <v>16684051.35</v>
      </c>
      <c r="H58" s="705">
        <f t="shared" si="37"/>
        <v>17262987.94</v>
      </c>
      <c r="I58" s="705">
        <f t="shared" si="37"/>
        <v>17862013.62</v>
      </c>
      <c r="J58" s="705">
        <f t="shared" si="37"/>
        <v>18481825.49</v>
      </c>
      <c r="K58" s="705">
        <f t="shared" si="37"/>
        <v>19123144.83</v>
      </c>
      <c r="L58" s="705">
        <f t="shared" si="37"/>
        <v>19786717.96</v>
      </c>
      <c r="M58" s="705">
        <f t="shared" si="37"/>
        <v>20473317.07</v>
      </c>
      <c r="N58" s="705">
        <f t="shared" si="37"/>
        <v>21183741.18</v>
      </c>
      <c r="O58" s="705">
        <f t="shared" si="37"/>
        <v>21918817</v>
      </c>
      <c r="P58" s="705">
        <f t="shared" si="37"/>
        <v>22679399.95</v>
      </c>
      <c r="Q58" s="809">
        <f t="shared" si="37"/>
        <v>23466375.12</v>
      </c>
      <c r="R58" s="705">
        <f t="shared" si="37"/>
        <v>24280658.34</v>
      </c>
      <c r="S58" s="705">
        <f t="shared" si="37"/>
        <v>25123197.18</v>
      </c>
      <c r="T58" s="705">
        <f t="shared" si="37"/>
        <v>25994972.13</v>
      </c>
      <c r="U58" s="705">
        <f t="shared" si="37"/>
        <v>26896997.66</v>
      </c>
      <c r="V58" s="705">
        <f t="shared" si="37"/>
        <v>27830323.48</v>
      </c>
      <c r="W58" s="705">
        <f t="shared" si="37"/>
        <v>28796035.7</v>
      </c>
      <c r="X58" s="705">
        <f t="shared" si="37"/>
        <v>29795258.14</v>
      </c>
      <c r="Y58" s="705">
        <f t="shared" si="37"/>
        <v>30829153.6</v>
      </c>
      <c r="Z58" s="705">
        <f t="shared" si="37"/>
        <v>31898925.23</v>
      </c>
      <c r="AA58" s="705">
        <f t="shared" si="37"/>
        <v>33005817.93</v>
      </c>
      <c r="AB58" s="705">
        <f t="shared" si="37"/>
        <v>34151119.82</v>
      </c>
      <c r="AC58" s="705">
        <f t="shared" si="37"/>
        <v>35336163.67</v>
      </c>
      <c r="AD58" s="705">
        <f t="shared" si="37"/>
        <v>36562328.55</v>
      </c>
      <c r="AE58" s="705">
        <f t="shared" si="37"/>
        <v>37831041.35</v>
      </c>
      <c r="AF58" s="705">
        <f t="shared" si="37"/>
        <v>39143778.49</v>
      </c>
      <c r="AG58" s="705">
        <f t="shared" si="37"/>
        <v>40502067.6</v>
      </c>
      <c r="AH58" s="705">
        <f t="shared" si="37"/>
        <v>41907489.35</v>
      </c>
      <c r="AI58" s="705">
        <f t="shared" si="37"/>
        <v>43361679.23</v>
      </c>
      <c r="AJ58" s="705">
        <f t="shared" si="37"/>
        <v>44866329.5</v>
      </c>
      <c r="AK58" s="705">
        <f t="shared" si="37"/>
        <v>46423191.13</v>
      </c>
      <c r="AL58" s="705">
        <f t="shared" si="37"/>
        <v>48034075.86</v>
      </c>
      <c r="AM58" s="705">
        <f t="shared" si="37"/>
        <v>49700858.3</v>
      </c>
      <c r="AN58" s="705">
        <f t="shared" si="37"/>
        <v>51425478.08</v>
      </c>
      <c r="AO58" s="705">
        <f t="shared" si="37"/>
        <v>53209942.17</v>
      </c>
      <c r="AP58" s="705">
        <f t="shared" si="37"/>
        <v>55056327.16</v>
      </c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816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</row>
    <row r="60" ht="12.75" customHeight="1">
      <c r="A60" s="847" t="str">
        <f>A35</f>
        <v>HDC ELLA Subsidy Program Loan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816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</row>
    <row r="61" ht="12.75" customHeight="1">
      <c r="A61" s="17" t="s">
        <v>535</v>
      </c>
      <c r="B61" s="3"/>
      <c r="C61" s="705">
        <f>'Debt &amp; Valuation'!I24</f>
        <v>7464600</v>
      </c>
      <c r="D61" s="705">
        <f t="shared" ref="D61:AP61" si="38">C64</f>
        <v>7723621.62</v>
      </c>
      <c r="E61" s="705">
        <f t="shared" si="38"/>
        <v>7991631.29</v>
      </c>
      <c r="F61" s="705">
        <f t="shared" si="38"/>
        <v>8268940.896</v>
      </c>
      <c r="G61" s="705">
        <f t="shared" si="38"/>
        <v>8555873.145</v>
      </c>
      <c r="H61" s="705">
        <f t="shared" si="38"/>
        <v>8852761.943</v>
      </c>
      <c r="I61" s="705">
        <f t="shared" si="38"/>
        <v>9159952.783</v>
      </c>
      <c r="J61" s="705">
        <f t="shared" si="38"/>
        <v>9477803.144</v>
      </c>
      <c r="K61" s="705">
        <f t="shared" si="38"/>
        <v>9806682.913</v>
      </c>
      <c r="L61" s="705">
        <f t="shared" si="38"/>
        <v>10146974.81</v>
      </c>
      <c r="M61" s="705">
        <f t="shared" si="38"/>
        <v>10499074.84</v>
      </c>
      <c r="N61" s="705">
        <f t="shared" si="38"/>
        <v>10863392.73</v>
      </c>
      <c r="O61" s="705">
        <f t="shared" si="38"/>
        <v>11240352.46</v>
      </c>
      <c r="P61" s="705">
        <f t="shared" si="38"/>
        <v>11630392.69</v>
      </c>
      <c r="Q61" s="809">
        <f t="shared" si="38"/>
        <v>12033967.32</v>
      </c>
      <c r="R61" s="705">
        <f t="shared" si="38"/>
        <v>12451545.98</v>
      </c>
      <c r="S61" s="705">
        <f t="shared" si="38"/>
        <v>12883614.63</v>
      </c>
      <c r="T61" s="705">
        <f t="shared" si="38"/>
        <v>13330676.06</v>
      </c>
      <c r="U61" s="705">
        <f t="shared" si="38"/>
        <v>13793250.52</v>
      </c>
      <c r="V61" s="705">
        <f t="shared" si="38"/>
        <v>14271876.31</v>
      </c>
      <c r="W61" s="705">
        <f t="shared" si="38"/>
        <v>14767110.42</v>
      </c>
      <c r="X61" s="705">
        <f t="shared" si="38"/>
        <v>15279529.15</v>
      </c>
      <c r="Y61" s="705">
        <f t="shared" si="38"/>
        <v>15809728.81</v>
      </c>
      <c r="Z61" s="705">
        <f t="shared" si="38"/>
        <v>16358326.4</v>
      </c>
      <c r="AA61" s="705">
        <f t="shared" si="38"/>
        <v>16925960.33</v>
      </c>
      <c r="AB61" s="705">
        <f t="shared" si="38"/>
        <v>17513291.15</v>
      </c>
      <c r="AC61" s="705">
        <f t="shared" si="38"/>
        <v>18121002.35</v>
      </c>
      <c r="AD61" s="705">
        <f t="shared" si="38"/>
        <v>18749801.13</v>
      </c>
      <c r="AE61" s="705">
        <f t="shared" si="38"/>
        <v>19400419.23</v>
      </c>
      <c r="AF61" s="705">
        <f t="shared" si="38"/>
        <v>20073613.78</v>
      </c>
      <c r="AG61" s="705">
        <f t="shared" si="38"/>
        <v>20770168.18</v>
      </c>
      <c r="AH61" s="705">
        <f t="shared" si="38"/>
        <v>21490893.01</v>
      </c>
      <c r="AI61" s="705">
        <f t="shared" si="38"/>
        <v>22236627</v>
      </c>
      <c r="AJ61" s="705">
        <f t="shared" si="38"/>
        <v>23008237.96</v>
      </c>
      <c r="AK61" s="705">
        <f t="shared" si="38"/>
        <v>23806623.82</v>
      </c>
      <c r="AL61" s="705">
        <f t="shared" si="38"/>
        <v>24632713.66</v>
      </c>
      <c r="AM61" s="705">
        <f t="shared" si="38"/>
        <v>25487468.83</v>
      </c>
      <c r="AN61" s="705">
        <f t="shared" si="38"/>
        <v>26371883.99</v>
      </c>
      <c r="AO61" s="705">
        <f t="shared" si="38"/>
        <v>27286988.37</v>
      </c>
      <c r="AP61" s="705">
        <f t="shared" si="38"/>
        <v>28233846.87</v>
      </c>
    </row>
    <row r="62" ht="12.75" customHeight="1">
      <c r="A62" s="17" t="s">
        <v>532</v>
      </c>
      <c r="B62" s="3"/>
      <c r="C62" s="705">
        <f>C61*'Debt &amp; Valuation'!$I$26</f>
        <v>333667.62</v>
      </c>
      <c r="D62" s="705">
        <f>D61*'Debt &amp; Valuation'!$I$26</f>
        <v>345245.8864</v>
      </c>
      <c r="E62" s="705">
        <f>E61*'Debt &amp; Valuation'!$I$26</f>
        <v>357225.9187</v>
      </c>
      <c r="F62" s="705">
        <f>F61*'Debt &amp; Valuation'!$I$26</f>
        <v>369621.6581</v>
      </c>
      <c r="G62" s="705">
        <f>G61*'Debt &amp; Valuation'!$I$26</f>
        <v>382447.5296</v>
      </c>
      <c r="H62" s="705">
        <f>H61*'Debt &amp; Valuation'!$I$26</f>
        <v>395718.4589</v>
      </c>
      <c r="I62" s="705">
        <f>I61*'Debt &amp; Valuation'!$I$26</f>
        <v>409449.8894</v>
      </c>
      <c r="J62" s="705">
        <f>J61*'Debt &amp; Valuation'!$I$26</f>
        <v>423657.8005</v>
      </c>
      <c r="K62" s="705">
        <f>K61*'Debt &amp; Valuation'!$I$26</f>
        <v>438358.7262</v>
      </c>
      <c r="L62" s="705">
        <f>L61*'Debt &amp; Valuation'!$I$26</f>
        <v>453569.774</v>
      </c>
      <c r="M62" s="705">
        <f>M61*'Debt &amp; Valuation'!$I$26</f>
        <v>469308.6452</v>
      </c>
      <c r="N62" s="705">
        <f>N61*'Debt &amp; Valuation'!$I$26</f>
        <v>485593.6552</v>
      </c>
      <c r="O62" s="705">
        <f>O61*'Debt &amp; Valuation'!$I$26</f>
        <v>502443.755</v>
      </c>
      <c r="P62" s="705">
        <f>P61*'Debt &amp; Valuation'!$I$26</f>
        <v>519878.5533</v>
      </c>
      <c r="Q62" s="809">
        <f>Q61*'Debt &amp; Valuation'!$I$26</f>
        <v>537918.3391</v>
      </c>
      <c r="R62" s="705">
        <f>R61*'Debt &amp; Valuation'!$I$26</f>
        <v>556584.1055</v>
      </c>
      <c r="S62" s="705">
        <f>S61*'Debt &amp; Valuation'!$I$26</f>
        <v>575897.5739</v>
      </c>
      <c r="T62" s="705">
        <f>T61*'Debt &amp; Valuation'!$I$26</f>
        <v>595881.2197</v>
      </c>
      <c r="U62" s="705">
        <f>U61*'Debt &amp; Valuation'!$I$26</f>
        <v>616558.2981</v>
      </c>
      <c r="V62" s="705">
        <f>V61*'Debt &amp; Valuation'!$I$26</f>
        <v>637952.871</v>
      </c>
      <c r="W62" s="705">
        <f>W61*'Debt &amp; Valuation'!$I$26</f>
        <v>660089.8356</v>
      </c>
      <c r="X62" s="705">
        <f>X61*'Debt &amp; Valuation'!$I$26</f>
        <v>682994.9529</v>
      </c>
      <c r="Y62" s="705">
        <f>Y61*'Debt &amp; Valuation'!$I$26</f>
        <v>706694.8778</v>
      </c>
      <c r="Z62" s="705">
        <f>Z61*'Debt &amp; Valuation'!$I$26</f>
        <v>731217.1901</v>
      </c>
      <c r="AA62" s="705">
        <f>AA61*'Debt &amp; Valuation'!$I$26</f>
        <v>756590.4266</v>
      </c>
      <c r="AB62" s="705">
        <f>AB61*'Debt &amp; Valuation'!$I$26</f>
        <v>782844.1144</v>
      </c>
      <c r="AC62" s="705">
        <f>AC61*'Debt &amp; Valuation'!$I$26</f>
        <v>810008.8051</v>
      </c>
      <c r="AD62" s="705">
        <f>AD61*'Debt &amp; Valuation'!$I$26</f>
        <v>838116.1107</v>
      </c>
      <c r="AE62" s="705">
        <f>AE61*'Debt &amp; Valuation'!$I$26</f>
        <v>867198.7397</v>
      </c>
      <c r="AF62" s="705">
        <f>AF61*'Debt &amp; Valuation'!$I$26</f>
        <v>897290.536</v>
      </c>
      <c r="AG62" s="705">
        <f>AG61*'Debt &amp; Valuation'!$I$26</f>
        <v>928426.5176</v>
      </c>
      <c r="AH62" s="705">
        <f>AH61*'Debt &amp; Valuation'!$I$26</f>
        <v>960642.9177</v>
      </c>
      <c r="AI62" s="705">
        <f>AI61*'Debt &amp; Valuation'!$I$26</f>
        <v>993977.227</v>
      </c>
      <c r="AJ62" s="705">
        <f>AJ61*'Debt &amp; Valuation'!$I$26</f>
        <v>1028468.237</v>
      </c>
      <c r="AK62" s="705">
        <f>AK61*'Debt &amp; Valuation'!$I$26</f>
        <v>1064156.085</v>
      </c>
      <c r="AL62" s="705">
        <f>AL61*'Debt &amp; Valuation'!$I$26</f>
        <v>1101082.301</v>
      </c>
      <c r="AM62" s="705">
        <f>AM61*'Debt &amp; Valuation'!$I$26</f>
        <v>1139289.857</v>
      </c>
      <c r="AN62" s="705">
        <f>AN61*'Debt &amp; Valuation'!$I$26</f>
        <v>1178823.215</v>
      </c>
      <c r="AO62" s="705">
        <f>AO61*'Debt &amp; Valuation'!$I$26</f>
        <v>1219728.38</v>
      </c>
      <c r="AP62" s="705">
        <f>AP61*'Debt &amp; Valuation'!$I$26</f>
        <v>1262052.955</v>
      </c>
    </row>
    <row r="63" ht="12.75" customHeight="1">
      <c r="A63" s="17" t="s">
        <v>533</v>
      </c>
      <c r="B63" s="3"/>
      <c r="C63" s="705">
        <f>'Debt &amp; Valuation'!$I$27*C61</f>
        <v>74646</v>
      </c>
      <c r="D63" s="705">
        <f>'Debt &amp; Valuation'!$I$27*D61</f>
        <v>77236.2162</v>
      </c>
      <c r="E63" s="705">
        <f>'Debt &amp; Valuation'!$I$27*E61</f>
        <v>79916.3129</v>
      </c>
      <c r="F63" s="705">
        <f>'Debt &amp; Valuation'!$I$27*F61</f>
        <v>82689.40896</v>
      </c>
      <c r="G63" s="705">
        <f>'Debt &amp; Valuation'!$I$27*G61</f>
        <v>85558.73145</v>
      </c>
      <c r="H63" s="705">
        <f>'Debt &amp; Valuation'!$I$27*H61</f>
        <v>88527.61943</v>
      </c>
      <c r="I63" s="705">
        <f>'Debt &amp; Valuation'!$I$27*I61</f>
        <v>91599.52783</v>
      </c>
      <c r="J63" s="705">
        <f>'Debt &amp; Valuation'!$I$27*J61</f>
        <v>94778.03144</v>
      </c>
      <c r="K63" s="705">
        <f>'Debt &amp; Valuation'!$I$27*K61</f>
        <v>98066.82913</v>
      </c>
      <c r="L63" s="705">
        <f>'Debt &amp; Valuation'!$I$27*L61</f>
        <v>101469.7481</v>
      </c>
      <c r="M63" s="705">
        <f>'Debt &amp; Valuation'!$I$27*M61</f>
        <v>104990.7484</v>
      </c>
      <c r="N63" s="705">
        <f>'Debt &amp; Valuation'!$I$27*N61</f>
        <v>108633.9273</v>
      </c>
      <c r="O63" s="705">
        <f>'Debt &amp; Valuation'!$I$27*O61</f>
        <v>112403.5246</v>
      </c>
      <c r="P63" s="705">
        <f>'Debt &amp; Valuation'!$I$27*P61</f>
        <v>116303.9269</v>
      </c>
      <c r="Q63" s="809">
        <f>'Debt &amp; Valuation'!$I$27*Q61</f>
        <v>120339.6732</v>
      </c>
      <c r="R63" s="705">
        <f>'Debt &amp; Valuation'!$I$27*R61</f>
        <v>124515.4598</v>
      </c>
      <c r="S63" s="705">
        <f>'Debt &amp; Valuation'!$I$27*S61</f>
        <v>128836.1463</v>
      </c>
      <c r="T63" s="705">
        <f>'Debt &amp; Valuation'!$I$27*T61</f>
        <v>133306.7606</v>
      </c>
      <c r="U63" s="705">
        <f>'Debt &amp; Valuation'!$I$27*U61</f>
        <v>137932.5052</v>
      </c>
      <c r="V63" s="705">
        <f>'Debt &amp; Valuation'!$I$27*V61</f>
        <v>142718.7631</v>
      </c>
      <c r="W63" s="705">
        <f>'Debt &amp; Valuation'!$I$27*W61</f>
        <v>147671.1042</v>
      </c>
      <c r="X63" s="705">
        <f>'Debt &amp; Valuation'!$I$27*X61</f>
        <v>152795.2915</v>
      </c>
      <c r="Y63" s="705">
        <f>'Debt &amp; Valuation'!$I$27*Y61</f>
        <v>158097.2881</v>
      </c>
      <c r="Z63" s="705">
        <f>'Debt &amp; Valuation'!$I$27*Z61</f>
        <v>163583.264</v>
      </c>
      <c r="AA63" s="705">
        <f>'Debt &amp; Valuation'!$I$27*AA61</f>
        <v>169259.6033</v>
      </c>
      <c r="AB63" s="705">
        <f>'Debt &amp; Valuation'!$I$27*AB61</f>
        <v>175132.9115</v>
      </c>
      <c r="AC63" s="705">
        <f>'Debt &amp; Valuation'!$I$27*AC61</f>
        <v>181210.0235</v>
      </c>
      <c r="AD63" s="705">
        <f>'Debt &amp; Valuation'!$I$27*AD61</f>
        <v>187498.0113</v>
      </c>
      <c r="AE63" s="705">
        <f>'Debt &amp; Valuation'!$I$27*AE61</f>
        <v>194004.1923</v>
      </c>
      <c r="AF63" s="705">
        <f>'Debt &amp; Valuation'!$I$27*AF61</f>
        <v>200736.1378</v>
      </c>
      <c r="AG63" s="705">
        <f>'Debt &amp; Valuation'!$I$27*AG61</f>
        <v>207701.6818</v>
      </c>
      <c r="AH63" s="705">
        <f>'Debt &amp; Valuation'!$I$27*AH61</f>
        <v>214908.9301</v>
      </c>
      <c r="AI63" s="705">
        <f>'Debt &amp; Valuation'!$I$27*AI61</f>
        <v>222366.27</v>
      </c>
      <c r="AJ63" s="705">
        <f>'Debt &amp; Valuation'!$I$27*AJ61</f>
        <v>230082.3796</v>
      </c>
      <c r="AK63" s="705">
        <f>'Debt &amp; Valuation'!$I$27*AK61</f>
        <v>238066.2382</v>
      </c>
      <c r="AL63" s="705">
        <f>'Debt &amp; Valuation'!$I$27*AL61</f>
        <v>246327.1366</v>
      </c>
      <c r="AM63" s="705">
        <f>'Debt &amp; Valuation'!$I$27*AM61</f>
        <v>254874.6883</v>
      </c>
      <c r="AN63" s="705">
        <f>'Debt &amp; Valuation'!$I$27*AN61</f>
        <v>263718.8399</v>
      </c>
      <c r="AO63" s="705">
        <f>'Debt &amp; Valuation'!$I$27*AO61</f>
        <v>272869.8837</v>
      </c>
      <c r="AP63" s="705">
        <f>'Debt &amp; Valuation'!$I$27*AP61</f>
        <v>282338.4687</v>
      </c>
    </row>
    <row r="64" ht="12.75" customHeight="1">
      <c r="A64" s="17" t="s">
        <v>534</v>
      </c>
      <c r="B64" s="3"/>
      <c r="C64" s="705">
        <f>C61+(C62-C63)</f>
        <v>7723621.62</v>
      </c>
      <c r="D64" s="705">
        <f t="shared" ref="D64:AP64" si="39">C64+(D62-D63)</f>
        <v>7991631.29</v>
      </c>
      <c r="E64" s="705">
        <f t="shared" si="39"/>
        <v>8268940.896</v>
      </c>
      <c r="F64" s="705">
        <f t="shared" si="39"/>
        <v>8555873.145</v>
      </c>
      <c r="G64" s="705">
        <f t="shared" si="39"/>
        <v>8852761.943</v>
      </c>
      <c r="H64" s="705">
        <f t="shared" si="39"/>
        <v>9159952.783</v>
      </c>
      <c r="I64" s="705">
        <f t="shared" si="39"/>
        <v>9477803.144</v>
      </c>
      <c r="J64" s="705">
        <f t="shared" si="39"/>
        <v>9806682.913</v>
      </c>
      <c r="K64" s="705">
        <f t="shared" si="39"/>
        <v>10146974.81</v>
      </c>
      <c r="L64" s="705">
        <f t="shared" si="39"/>
        <v>10499074.84</v>
      </c>
      <c r="M64" s="705">
        <f t="shared" si="39"/>
        <v>10863392.73</v>
      </c>
      <c r="N64" s="705">
        <f t="shared" si="39"/>
        <v>11240352.46</v>
      </c>
      <c r="O64" s="705">
        <f t="shared" si="39"/>
        <v>11630392.69</v>
      </c>
      <c r="P64" s="705">
        <f t="shared" si="39"/>
        <v>12033967.32</v>
      </c>
      <c r="Q64" s="809">
        <f t="shared" si="39"/>
        <v>12451545.98</v>
      </c>
      <c r="R64" s="705">
        <f t="shared" si="39"/>
        <v>12883614.63</v>
      </c>
      <c r="S64" s="705">
        <f t="shared" si="39"/>
        <v>13330676.06</v>
      </c>
      <c r="T64" s="705">
        <f t="shared" si="39"/>
        <v>13793250.52</v>
      </c>
      <c r="U64" s="705">
        <f t="shared" si="39"/>
        <v>14271876.31</v>
      </c>
      <c r="V64" s="705">
        <f t="shared" si="39"/>
        <v>14767110.42</v>
      </c>
      <c r="W64" s="705">
        <f t="shared" si="39"/>
        <v>15279529.15</v>
      </c>
      <c r="X64" s="705">
        <f t="shared" si="39"/>
        <v>15809728.81</v>
      </c>
      <c r="Y64" s="705">
        <f t="shared" si="39"/>
        <v>16358326.4</v>
      </c>
      <c r="Z64" s="705">
        <f t="shared" si="39"/>
        <v>16925960.33</v>
      </c>
      <c r="AA64" s="705">
        <f t="shared" si="39"/>
        <v>17513291.15</v>
      </c>
      <c r="AB64" s="705">
        <f t="shared" si="39"/>
        <v>18121002.35</v>
      </c>
      <c r="AC64" s="705">
        <f t="shared" si="39"/>
        <v>18749801.13</v>
      </c>
      <c r="AD64" s="705">
        <f t="shared" si="39"/>
        <v>19400419.23</v>
      </c>
      <c r="AE64" s="705">
        <f t="shared" si="39"/>
        <v>20073613.78</v>
      </c>
      <c r="AF64" s="705">
        <f t="shared" si="39"/>
        <v>20770168.18</v>
      </c>
      <c r="AG64" s="705">
        <f t="shared" si="39"/>
        <v>21490893.01</v>
      </c>
      <c r="AH64" s="705">
        <f t="shared" si="39"/>
        <v>22236627</v>
      </c>
      <c r="AI64" s="705">
        <f t="shared" si="39"/>
        <v>23008237.96</v>
      </c>
      <c r="AJ64" s="705">
        <f t="shared" si="39"/>
        <v>23806623.82</v>
      </c>
      <c r="AK64" s="705">
        <f t="shared" si="39"/>
        <v>24632713.66</v>
      </c>
      <c r="AL64" s="705">
        <f t="shared" si="39"/>
        <v>25487468.83</v>
      </c>
      <c r="AM64" s="705">
        <f t="shared" si="39"/>
        <v>26371883.99</v>
      </c>
      <c r="AN64" s="705">
        <f t="shared" si="39"/>
        <v>27286988.37</v>
      </c>
      <c r="AO64" s="705">
        <f t="shared" si="39"/>
        <v>28233846.87</v>
      </c>
      <c r="AP64" s="705">
        <f t="shared" si="39"/>
        <v>29213561.35</v>
      </c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816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</row>
    <row r="83" ht="12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</row>
    <row r="84" ht="12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</row>
    <row r="85" ht="12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</row>
    <row r="86" ht="12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</row>
    <row r="87" ht="12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</row>
    <row r="88" ht="12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</row>
    <row r="89" ht="12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</row>
    <row r="90" ht="12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</row>
    <row r="91" ht="12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</row>
    <row r="92" ht="12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</row>
    <row r="93" ht="12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</row>
    <row r="94" ht="12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</row>
    <row r="95" ht="12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</row>
    <row r="96" ht="12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</row>
    <row r="97" ht="12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</row>
    <row r="98" ht="12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</row>
    <row r="99" ht="12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</row>
    <row r="100" ht="12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</row>
    <row r="101" ht="12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</row>
    <row r="102" ht="12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</row>
    <row r="103" ht="12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</row>
    <row r="104" ht="12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</row>
    <row r="105" ht="12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</row>
    <row r="106" ht="12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</row>
    <row r="107" ht="12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</row>
    <row r="108" ht="12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</row>
    <row r="109" ht="12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</row>
    <row r="110" ht="12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</row>
    <row r="111" ht="12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</row>
    <row r="112" ht="12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</row>
    <row r="113" ht="12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</row>
    <row r="114" ht="12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</row>
    <row r="115" ht="12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</row>
    <row r="116" ht="12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</row>
    <row r="117" ht="12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</row>
    <row r="118" ht="12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</row>
    <row r="119" ht="12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</row>
    <row r="120" ht="12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</row>
    <row r="121" ht="12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</row>
    <row r="122" ht="12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</row>
    <row r="123" ht="12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</row>
    <row r="124" ht="12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</row>
    <row r="125" ht="12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</row>
    <row r="126" ht="12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</row>
    <row r="127" ht="12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</row>
    <row r="128" ht="12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</row>
    <row r="129" ht="12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</row>
    <row r="130" ht="12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</row>
    <row r="131" ht="12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</row>
    <row r="132" ht="12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</row>
    <row r="133" ht="12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</row>
    <row r="134" ht="12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</row>
    <row r="135" ht="12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</row>
    <row r="136" ht="12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</row>
    <row r="137" ht="12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</row>
    <row r="138" ht="12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</row>
    <row r="139" ht="12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</row>
    <row r="140" ht="12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</row>
    <row r="141" ht="12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</row>
    <row r="142" ht="12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</row>
    <row r="143" ht="12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</row>
    <row r="144" ht="12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</row>
    <row r="145" ht="12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</row>
    <row r="146" ht="12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</row>
    <row r="147" ht="12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</row>
    <row r="148" ht="12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</row>
    <row r="149" ht="12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</row>
    <row r="150" ht="12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</row>
    <row r="151" ht="12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</row>
    <row r="152" ht="12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</row>
    <row r="153" ht="12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</row>
    <row r="154" ht="12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</row>
    <row r="155" ht="12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</row>
    <row r="156" ht="12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</row>
    <row r="157" ht="12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</row>
    <row r="158" ht="12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</row>
    <row r="159" ht="12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</row>
    <row r="160" ht="12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</row>
    <row r="161" ht="12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</row>
    <row r="162" ht="12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</row>
    <row r="163" ht="12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</row>
    <row r="164" ht="12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</row>
    <row r="165" ht="12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</row>
    <row r="166" ht="12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</row>
    <row r="167" ht="12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</row>
    <row r="168" ht="12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</row>
    <row r="169" ht="12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</row>
    <row r="170" ht="12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</row>
    <row r="171" ht="12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</row>
    <row r="172" ht="12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</row>
    <row r="173" ht="12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</row>
    <row r="174" ht="12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</row>
    <row r="175" ht="12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</row>
    <row r="176" ht="12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</row>
    <row r="177" ht="12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</row>
    <row r="178" ht="12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</row>
    <row r="179" ht="12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</row>
    <row r="180" ht="12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</row>
    <row r="181" ht="12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</row>
    <row r="182" ht="12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</row>
    <row r="183" ht="12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</row>
    <row r="184" ht="12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</row>
    <row r="185" ht="12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</row>
    <row r="186" ht="12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</row>
    <row r="187" ht="12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</row>
    <row r="188" ht="12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</row>
    <row r="189" ht="12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</row>
    <row r="190" ht="12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</row>
    <row r="191" ht="12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</row>
    <row r="192" ht="12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</row>
    <row r="193" ht="12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</row>
    <row r="194" ht="12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</row>
    <row r="195" ht="12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</row>
    <row r="196" ht="12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</row>
    <row r="197" ht="12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</row>
    <row r="198" ht="12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</row>
    <row r="199" ht="12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</row>
    <row r="200" ht="12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</row>
    <row r="201" ht="12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</row>
    <row r="202" ht="12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</row>
    <row r="203" ht="12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</row>
    <row r="204" ht="12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</row>
    <row r="205" ht="12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</row>
    <row r="206" ht="12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</row>
    <row r="207" ht="12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</row>
    <row r="208" ht="12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</row>
    <row r="209" ht="12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</row>
    <row r="210" ht="12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</row>
    <row r="211" ht="12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</row>
    <row r="212" ht="12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</row>
    <row r="213" ht="12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</row>
    <row r="214" ht="12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</row>
    <row r="215" ht="12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</row>
    <row r="216" ht="12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</row>
    <row r="217" ht="12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</row>
    <row r="218" ht="12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</row>
    <row r="219" ht="12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</row>
    <row r="220" ht="12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</row>
    <row r="221" ht="12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</row>
    <row r="222" ht="12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</row>
    <row r="223" ht="12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</row>
    <row r="224" ht="12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</row>
    <row r="225" ht="12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</row>
    <row r="226" ht="12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</row>
    <row r="227" ht="12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</row>
    <row r="228" ht="12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</row>
    <row r="229" ht="12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</row>
    <row r="230" ht="12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</row>
    <row r="231" ht="12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</row>
    <row r="232" ht="12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</row>
    <row r="233" ht="12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</row>
    <row r="234" ht="12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</row>
    <row r="235" ht="12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</row>
    <row r="236" ht="12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</row>
    <row r="237" ht="12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</row>
    <row r="238" ht="12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</row>
    <row r="239" ht="12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</row>
    <row r="240" ht="12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</row>
    <row r="241" ht="12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</row>
    <row r="242" ht="12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</row>
    <row r="243" ht="12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</row>
    <row r="244" ht="12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</row>
    <row r="245" ht="12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</row>
    <row r="246" ht="12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</row>
    <row r="247" ht="12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</row>
    <row r="248" ht="12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</row>
    <row r="249" ht="12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</row>
    <row r="250" ht="12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</row>
    <row r="251" ht="12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</row>
    <row r="252" ht="12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63"/>
    <col customWidth="1" min="2" max="2" width="33.75"/>
    <col customWidth="1" min="3" max="3" width="8.63"/>
    <col customWidth="1" min="4" max="4" width="22.25"/>
    <col customWidth="1" min="5" max="5" width="8.63"/>
    <col customWidth="1" min="6" max="6" width="15.38"/>
    <col customWidth="1" min="7" max="8" width="8.63"/>
  </cols>
  <sheetData>
    <row r="1" ht="12.75" customHeight="1">
      <c r="B1" s="901"/>
    </row>
    <row r="2" ht="12.75" customHeight="1">
      <c r="B2" s="902" t="s">
        <v>606</v>
      </c>
      <c r="D2" s="903" t="s">
        <v>607</v>
      </c>
      <c r="F2" s="903" t="s">
        <v>608</v>
      </c>
    </row>
    <row r="3" ht="15.0" customHeight="1">
      <c r="B3" s="904" t="s">
        <v>609</v>
      </c>
      <c r="D3" s="905" t="s">
        <v>307</v>
      </c>
      <c r="F3" s="593" t="s">
        <v>424</v>
      </c>
    </row>
    <row r="4" ht="15.0" customHeight="1">
      <c r="B4" s="906" t="s">
        <v>191</v>
      </c>
      <c r="D4" s="907" t="s">
        <v>244</v>
      </c>
      <c r="F4" s="908">
        <v>0.04</v>
      </c>
    </row>
    <row r="5" ht="15.0" customHeight="1">
      <c r="B5" s="906" t="s">
        <v>57</v>
      </c>
      <c r="D5" s="907" t="s">
        <v>245</v>
      </c>
      <c r="F5" s="908">
        <v>0.09</v>
      </c>
    </row>
    <row r="6" ht="15.0" customHeight="1">
      <c r="B6" s="906"/>
      <c r="D6" s="907" t="s">
        <v>325</v>
      </c>
    </row>
    <row r="7" ht="15.0" customHeight="1">
      <c r="B7" s="904" t="s">
        <v>610</v>
      </c>
      <c r="D7" s="907" t="s">
        <v>247</v>
      </c>
    </row>
    <row r="8" ht="15.0" customHeight="1">
      <c r="B8" s="906" t="s">
        <v>195</v>
      </c>
      <c r="D8" s="907" t="s">
        <v>611</v>
      </c>
      <c r="F8" s="17" t="s">
        <v>458</v>
      </c>
      <c r="H8" s="17">
        <f>MATCH("Studio",D4:D8,0)</f>
        <v>1</v>
      </c>
    </row>
    <row r="9" ht="15.0" customHeight="1">
      <c r="B9" s="906" t="s">
        <v>49</v>
      </c>
      <c r="D9" s="907" t="s">
        <v>289</v>
      </c>
      <c r="F9" s="17" t="s">
        <v>612</v>
      </c>
    </row>
    <row r="10" ht="15.0" customHeight="1">
      <c r="B10" s="906">
        <v>8609.0</v>
      </c>
      <c r="D10" s="909" t="s">
        <v>324</v>
      </c>
      <c r="F10" s="593"/>
    </row>
    <row r="11" ht="15.0" customHeight="1">
      <c r="B11" s="906" t="s">
        <v>198</v>
      </c>
      <c r="D11" s="907"/>
    </row>
    <row r="12" ht="15.0" customHeight="1">
      <c r="B12" s="906"/>
      <c r="D12" s="593" t="s">
        <v>309</v>
      </c>
    </row>
    <row r="13" ht="15.0" customHeight="1">
      <c r="B13" s="904" t="s">
        <v>613</v>
      </c>
      <c r="D13" s="907" t="s">
        <v>323</v>
      </c>
    </row>
    <row r="14" ht="15.0" customHeight="1">
      <c r="B14" s="906" t="s">
        <v>191</v>
      </c>
      <c r="D14" s="907" t="s">
        <v>614</v>
      </c>
    </row>
    <row r="15" ht="15.0" customHeight="1">
      <c r="B15" s="906" t="s">
        <v>57</v>
      </c>
      <c r="D15" s="907" t="s">
        <v>615</v>
      </c>
    </row>
    <row r="16" ht="15.0" customHeight="1">
      <c r="B16" s="906" t="s">
        <v>195</v>
      </c>
      <c r="D16" s="907" t="s">
        <v>289</v>
      </c>
    </row>
    <row r="17" ht="15.0" customHeight="1">
      <c r="B17" s="906" t="s">
        <v>616</v>
      </c>
      <c r="D17" s="907" t="s">
        <v>617</v>
      </c>
    </row>
    <row r="18" ht="15.0" customHeight="1">
      <c r="B18" s="906" t="s">
        <v>49</v>
      </c>
      <c r="D18" s="909" t="s">
        <v>324</v>
      </c>
    </row>
    <row r="19" ht="15.0" customHeight="1">
      <c r="B19" s="906">
        <v>8609.0</v>
      </c>
    </row>
    <row r="20" ht="15.0" customHeight="1">
      <c r="B20" s="906" t="s">
        <v>198</v>
      </c>
    </row>
    <row r="21" ht="12.75" customHeight="1">
      <c r="B21" s="906"/>
    </row>
    <row r="22" ht="12.75" customHeight="1">
      <c r="B22" s="901"/>
    </row>
    <row r="23" ht="12.75" customHeight="1">
      <c r="B23" s="901"/>
    </row>
    <row r="24" ht="12.75" customHeight="1">
      <c r="B24" s="901"/>
    </row>
    <row r="25" ht="12.75" customHeight="1">
      <c r="B25" s="901"/>
    </row>
    <row r="26" ht="12.75" customHeight="1">
      <c r="B26" s="901"/>
    </row>
    <row r="27" ht="12.75" customHeight="1">
      <c r="B27" s="901"/>
    </row>
    <row r="28" ht="12.75" customHeight="1">
      <c r="B28" s="901"/>
    </row>
    <row r="29" ht="12.75" customHeight="1">
      <c r="B29" s="901"/>
    </row>
    <row r="30" ht="12.75" customHeight="1">
      <c r="B30" s="901"/>
    </row>
    <row r="31" ht="12.75" customHeight="1">
      <c r="B31" s="901"/>
    </row>
    <row r="32" ht="12.75" customHeight="1">
      <c r="B32" s="901"/>
    </row>
    <row r="33" ht="12.75" customHeight="1">
      <c r="B33" s="901"/>
    </row>
    <row r="34" ht="12.75" customHeight="1">
      <c r="B34" s="901"/>
    </row>
    <row r="35" ht="12.75" customHeight="1">
      <c r="B35" s="901"/>
    </row>
    <row r="36" ht="12.75" customHeight="1">
      <c r="B36" s="901"/>
    </row>
    <row r="37" ht="12.75" customHeight="1">
      <c r="B37" s="901"/>
    </row>
    <row r="38" ht="12.75" customHeight="1">
      <c r="B38" s="901"/>
    </row>
    <row r="39" ht="12.75" customHeight="1">
      <c r="B39" s="901"/>
    </row>
    <row r="40" ht="12.75" customHeight="1">
      <c r="B40" s="901"/>
    </row>
    <row r="41" ht="12.75" customHeight="1">
      <c r="B41" s="901"/>
    </row>
    <row r="42" ht="12.75" customHeight="1">
      <c r="B42" s="901"/>
    </row>
    <row r="43" ht="12.75" customHeight="1">
      <c r="B43" s="901"/>
    </row>
    <row r="44" ht="12.75" customHeight="1">
      <c r="B44" s="901"/>
    </row>
    <row r="45" ht="12.75" customHeight="1">
      <c r="B45" s="901"/>
    </row>
    <row r="46" ht="12.75" customHeight="1">
      <c r="B46" s="901"/>
    </row>
    <row r="47" ht="12.75" customHeight="1">
      <c r="B47" s="901"/>
    </row>
    <row r="48" ht="12.75" customHeight="1">
      <c r="B48" s="901"/>
    </row>
    <row r="49" ht="12.75" customHeight="1">
      <c r="B49" s="901"/>
    </row>
    <row r="50" ht="12.75" customHeight="1">
      <c r="B50" s="901"/>
    </row>
    <row r="51" ht="12.75" customHeight="1">
      <c r="B51" s="901"/>
    </row>
    <row r="52" ht="12.75" customHeight="1">
      <c r="B52" s="901"/>
    </row>
    <row r="53" ht="12.75" customHeight="1">
      <c r="B53" s="901"/>
    </row>
    <row r="54" ht="12.75" customHeight="1">
      <c r="B54" s="901"/>
    </row>
    <row r="55" ht="12.75" customHeight="1">
      <c r="B55" s="901"/>
    </row>
    <row r="56" ht="12.75" customHeight="1">
      <c r="B56" s="901"/>
    </row>
    <row r="57" ht="12.75" customHeight="1">
      <c r="B57" s="901"/>
    </row>
    <row r="58" ht="12.75" customHeight="1">
      <c r="B58" s="901"/>
    </row>
    <row r="59" ht="12.75" customHeight="1">
      <c r="B59" s="901"/>
    </row>
    <row r="60" ht="12.75" customHeight="1">
      <c r="B60" s="901"/>
    </row>
    <row r="61" ht="12.75" customHeight="1">
      <c r="B61" s="901"/>
    </row>
    <row r="62" ht="12.75" customHeight="1">
      <c r="B62" s="901"/>
    </row>
    <row r="63" ht="12.75" customHeight="1">
      <c r="B63" s="901"/>
    </row>
    <row r="64" ht="12.75" customHeight="1">
      <c r="B64" s="901"/>
    </row>
    <row r="65" ht="12.75" customHeight="1">
      <c r="B65" s="901"/>
    </row>
    <row r="66" ht="12.75" customHeight="1">
      <c r="B66" s="901"/>
    </row>
    <row r="67" ht="12.75" customHeight="1">
      <c r="B67" s="901"/>
    </row>
    <row r="68" ht="12.75" customHeight="1">
      <c r="B68" s="901"/>
    </row>
    <row r="69" ht="12.75" customHeight="1">
      <c r="B69" s="901"/>
    </row>
    <row r="70" ht="12.75" customHeight="1">
      <c r="B70" s="901"/>
    </row>
    <row r="71" ht="12.75" customHeight="1">
      <c r="B71" s="901"/>
    </row>
    <row r="72" ht="12.75" customHeight="1">
      <c r="B72" s="901"/>
    </row>
    <row r="73" ht="12.75" customHeight="1">
      <c r="B73" s="901"/>
    </row>
    <row r="74" ht="12.75" customHeight="1">
      <c r="B74" s="901"/>
    </row>
    <row r="75" ht="12.75" customHeight="1">
      <c r="B75" s="901"/>
    </row>
    <row r="76" ht="12.75" customHeight="1">
      <c r="B76" s="901"/>
    </row>
    <row r="77" ht="12.75" customHeight="1">
      <c r="B77" s="901"/>
    </row>
    <row r="78" ht="12.75" customHeight="1">
      <c r="B78" s="901"/>
    </row>
    <row r="79" ht="12.75" customHeight="1">
      <c r="B79" s="901"/>
    </row>
    <row r="80" ht="12.75" customHeight="1">
      <c r="B80" s="901"/>
    </row>
    <row r="81" ht="12.75" customHeight="1">
      <c r="B81" s="901"/>
    </row>
    <row r="82" ht="12.75" customHeight="1">
      <c r="B82" s="901"/>
    </row>
    <row r="83" ht="12.75" customHeight="1">
      <c r="B83" s="901"/>
    </row>
    <row r="84" ht="12.75" customHeight="1">
      <c r="B84" s="901"/>
    </row>
    <row r="85" ht="12.75" customHeight="1">
      <c r="B85" s="901"/>
    </row>
    <row r="86" ht="12.75" customHeight="1">
      <c r="B86" s="901"/>
    </row>
    <row r="87" ht="12.75" customHeight="1">
      <c r="B87" s="901"/>
    </row>
    <row r="88" ht="12.75" customHeight="1">
      <c r="B88" s="901"/>
    </row>
    <row r="89" ht="12.75" customHeight="1">
      <c r="B89" s="901"/>
    </row>
    <row r="90" ht="12.75" customHeight="1">
      <c r="B90" s="901"/>
    </row>
    <row r="91" ht="12.75" customHeight="1">
      <c r="B91" s="901"/>
    </row>
    <row r="92" ht="12.75" customHeight="1">
      <c r="B92" s="901"/>
    </row>
    <row r="93" ht="12.75" customHeight="1">
      <c r="B93" s="901"/>
    </row>
    <row r="94" ht="12.75" customHeight="1">
      <c r="B94" s="901"/>
    </row>
    <row r="95" ht="12.75" customHeight="1">
      <c r="B95" s="901"/>
    </row>
    <row r="96" ht="12.75" customHeight="1">
      <c r="B96" s="901"/>
    </row>
    <row r="97" ht="12.75" customHeight="1">
      <c r="B97" s="901"/>
    </row>
    <row r="98" ht="12.75" customHeight="1">
      <c r="B98" s="901"/>
    </row>
    <row r="99" ht="12.75" customHeight="1">
      <c r="B99" s="901"/>
    </row>
    <row r="100" ht="12.75" customHeight="1">
      <c r="B100" s="901"/>
    </row>
    <row r="101" ht="12.75" customHeight="1">
      <c r="B101" s="901"/>
    </row>
    <row r="102" ht="12.75" customHeight="1">
      <c r="B102" s="901"/>
    </row>
    <row r="103" ht="12.75" customHeight="1">
      <c r="B103" s="901"/>
    </row>
    <row r="104" ht="12.75" customHeight="1">
      <c r="B104" s="901"/>
    </row>
    <row r="105" ht="12.75" customHeight="1">
      <c r="B105" s="901"/>
    </row>
    <row r="106" ht="12.75" customHeight="1">
      <c r="B106" s="901"/>
    </row>
    <row r="107" ht="12.75" customHeight="1">
      <c r="B107" s="901"/>
    </row>
    <row r="108" ht="12.75" customHeight="1">
      <c r="B108" s="901"/>
    </row>
    <row r="109" ht="12.75" customHeight="1">
      <c r="B109" s="901"/>
    </row>
    <row r="110" ht="12.75" customHeight="1">
      <c r="B110" s="901"/>
    </row>
    <row r="111" ht="12.75" customHeight="1">
      <c r="B111" s="901"/>
    </row>
    <row r="112" ht="12.75" customHeight="1">
      <c r="B112" s="901"/>
    </row>
    <row r="113" ht="12.75" customHeight="1">
      <c r="B113" s="901"/>
    </row>
    <row r="114" ht="12.75" customHeight="1">
      <c r="B114" s="901"/>
    </row>
    <row r="115" ht="12.75" customHeight="1">
      <c r="B115" s="901"/>
    </row>
    <row r="116" ht="12.75" customHeight="1">
      <c r="B116" s="901"/>
    </row>
    <row r="117" ht="12.75" customHeight="1">
      <c r="B117" s="901"/>
    </row>
    <row r="118" ht="12.75" customHeight="1">
      <c r="B118" s="901"/>
    </row>
    <row r="119" ht="12.75" customHeight="1">
      <c r="B119" s="901"/>
    </row>
    <row r="120" ht="12.75" customHeight="1">
      <c r="B120" s="901"/>
    </row>
    <row r="121" ht="12.75" customHeight="1">
      <c r="B121" s="901"/>
    </row>
    <row r="122" ht="12.75" customHeight="1">
      <c r="B122" s="901"/>
    </row>
    <row r="123" ht="12.75" customHeight="1">
      <c r="B123" s="901"/>
    </row>
    <row r="124" ht="12.75" customHeight="1">
      <c r="B124" s="901"/>
    </row>
    <row r="125" ht="12.75" customHeight="1">
      <c r="B125" s="901"/>
    </row>
    <row r="126" ht="12.75" customHeight="1">
      <c r="B126" s="901"/>
    </row>
    <row r="127" ht="12.75" customHeight="1">
      <c r="B127" s="901"/>
    </row>
    <row r="128" ht="12.75" customHeight="1">
      <c r="B128" s="901"/>
    </row>
    <row r="129" ht="12.75" customHeight="1">
      <c r="B129" s="901"/>
    </row>
    <row r="130" ht="12.75" customHeight="1">
      <c r="B130" s="901"/>
    </row>
    <row r="131" ht="12.75" customHeight="1">
      <c r="B131" s="901"/>
    </row>
    <row r="132" ht="12.75" customHeight="1">
      <c r="B132" s="901"/>
    </row>
    <row r="133" ht="12.75" customHeight="1">
      <c r="B133" s="901"/>
    </row>
    <row r="134" ht="12.75" customHeight="1">
      <c r="B134" s="901"/>
    </row>
    <row r="135" ht="12.75" customHeight="1">
      <c r="B135" s="901"/>
    </row>
    <row r="136" ht="12.75" customHeight="1">
      <c r="B136" s="901"/>
    </row>
    <row r="137" ht="12.75" customHeight="1">
      <c r="B137" s="901"/>
    </row>
    <row r="138" ht="12.75" customHeight="1">
      <c r="B138" s="901"/>
    </row>
    <row r="139" ht="12.75" customHeight="1">
      <c r="B139" s="901"/>
    </row>
    <row r="140" ht="12.75" customHeight="1">
      <c r="B140" s="901"/>
    </row>
    <row r="141" ht="12.75" customHeight="1">
      <c r="B141" s="901"/>
    </row>
    <row r="142" ht="12.75" customHeight="1">
      <c r="B142" s="901"/>
    </row>
    <row r="143" ht="12.75" customHeight="1">
      <c r="B143" s="901"/>
    </row>
    <row r="144" ht="12.75" customHeight="1">
      <c r="B144" s="901"/>
    </row>
    <row r="145" ht="12.75" customHeight="1">
      <c r="B145" s="901"/>
    </row>
    <row r="146" ht="12.75" customHeight="1">
      <c r="B146" s="901"/>
    </row>
    <row r="147" ht="12.75" customHeight="1">
      <c r="B147" s="901"/>
    </row>
    <row r="148" ht="12.75" customHeight="1">
      <c r="B148" s="901"/>
    </row>
    <row r="149" ht="12.75" customHeight="1">
      <c r="B149" s="901"/>
    </row>
    <row r="150" ht="12.75" customHeight="1">
      <c r="B150" s="901"/>
    </row>
    <row r="151" ht="12.75" customHeight="1">
      <c r="B151" s="901"/>
    </row>
    <row r="152" ht="12.75" customHeight="1">
      <c r="B152" s="901"/>
    </row>
    <row r="153" ht="12.75" customHeight="1">
      <c r="B153" s="901"/>
    </row>
    <row r="154" ht="12.75" customHeight="1">
      <c r="B154" s="901"/>
    </row>
    <row r="155" ht="12.75" customHeight="1">
      <c r="B155" s="901"/>
    </row>
    <row r="156" ht="12.75" customHeight="1">
      <c r="B156" s="901"/>
    </row>
    <row r="157" ht="12.75" customHeight="1">
      <c r="B157" s="901"/>
    </row>
    <row r="158" ht="12.75" customHeight="1">
      <c r="B158" s="901"/>
    </row>
    <row r="159" ht="12.75" customHeight="1">
      <c r="B159" s="901"/>
    </row>
    <row r="160" ht="12.75" customHeight="1">
      <c r="B160" s="901"/>
    </row>
    <row r="161" ht="12.75" customHeight="1">
      <c r="B161" s="901"/>
    </row>
    <row r="162" ht="12.75" customHeight="1">
      <c r="B162" s="901"/>
    </row>
    <row r="163" ht="12.75" customHeight="1">
      <c r="B163" s="901"/>
    </row>
    <row r="164" ht="12.75" customHeight="1">
      <c r="B164" s="901"/>
    </row>
    <row r="165" ht="12.75" customHeight="1">
      <c r="B165" s="901"/>
    </row>
    <row r="166" ht="12.75" customHeight="1">
      <c r="B166" s="901"/>
    </row>
    <row r="167" ht="12.75" customHeight="1">
      <c r="B167" s="901"/>
    </row>
    <row r="168" ht="12.75" customHeight="1">
      <c r="B168" s="901"/>
    </row>
    <row r="169" ht="12.75" customHeight="1">
      <c r="B169" s="901"/>
    </row>
    <row r="170" ht="12.75" customHeight="1">
      <c r="B170" s="901"/>
    </row>
    <row r="171" ht="12.75" customHeight="1">
      <c r="B171" s="901"/>
    </row>
    <row r="172" ht="12.75" customHeight="1">
      <c r="B172" s="901"/>
    </row>
    <row r="173" ht="12.75" customHeight="1">
      <c r="B173" s="901"/>
    </row>
    <row r="174" ht="12.75" customHeight="1">
      <c r="B174" s="901"/>
    </row>
    <row r="175" ht="12.75" customHeight="1">
      <c r="B175" s="901"/>
    </row>
    <row r="176" ht="12.75" customHeight="1">
      <c r="B176" s="901"/>
    </row>
    <row r="177" ht="12.75" customHeight="1">
      <c r="B177" s="901"/>
    </row>
    <row r="178" ht="12.75" customHeight="1">
      <c r="B178" s="901"/>
    </row>
    <row r="179" ht="12.75" customHeight="1">
      <c r="B179" s="901"/>
    </row>
    <row r="180" ht="12.75" customHeight="1">
      <c r="B180" s="901"/>
    </row>
    <row r="181" ht="12.75" customHeight="1">
      <c r="B181" s="901"/>
    </row>
    <row r="182" ht="12.75" customHeight="1">
      <c r="B182" s="901"/>
    </row>
    <row r="183" ht="12.75" customHeight="1">
      <c r="B183" s="901"/>
    </row>
    <row r="184" ht="12.75" customHeight="1">
      <c r="B184" s="901"/>
    </row>
    <row r="185" ht="12.75" customHeight="1">
      <c r="B185" s="901"/>
    </row>
    <row r="186" ht="12.75" customHeight="1">
      <c r="B186" s="901"/>
    </row>
    <row r="187" ht="12.75" customHeight="1">
      <c r="B187" s="901"/>
    </row>
    <row r="188" ht="12.75" customHeight="1">
      <c r="B188" s="901"/>
    </row>
    <row r="189" ht="12.75" customHeight="1">
      <c r="B189" s="901"/>
    </row>
    <row r="190" ht="12.75" customHeight="1">
      <c r="B190" s="901"/>
    </row>
    <row r="191" ht="12.75" customHeight="1">
      <c r="B191" s="901"/>
    </row>
    <row r="192" ht="12.75" customHeight="1">
      <c r="B192" s="901"/>
    </row>
    <row r="193" ht="12.75" customHeight="1">
      <c r="B193" s="901"/>
    </row>
    <row r="194" ht="12.75" customHeight="1">
      <c r="B194" s="901"/>
    </row>
    <row r="195" ht="12.75" customHeight="1">
      <c r="B195" s="901"/>
    </row>
    <row r="196" ht="12.75" customHeight="1">
      <c r="B196" s="901"/>
    </row>
    <row r="197" ht="12.75" customHeight="1">
      <c r="B197" s="901"/>
    </row>
    <row r="198" ht="12.75" customHeight="1">
      <c r="B198" s="901"/>
    </row>
    <row r="199" ht="12.75" customHeight="1">
      <c r="B199" s="901"/>
    </row>
    <row r="200" ht="12.75" customHeight="1">
      <c r="B200" s="901"/>
    </row>
    <row r="201" ht="12.75" customHeight="1">
      <c r="B201" s="901"/>
    </row>
    <row r="202" ht="12.75" customHeight="1">
      <c r="B202" s="901"/>
    </row>
    <row r="203" ht="12.75" customHeight="1">
      <c r="B203" s="901"/>
    </row>
    <row r="204" ht="12.75" customHeight="1">
      <c r="B204" s="901"/>
    </row>
    <row r="205" ht="12.75" customHeight="1">
      <c r="B205" s="901"/>
    </row>
    <row r="206" ht="12.75" customHeight="1">
      <c r="B206" s="901"/>
    </row>
    <row r="207" ht="12.75" customHeight="1">
      <c r="B207" s="901"/>
    </row>
    <row r="208" ht="12.75" customHeight="1">
      <c r="B208" s="901"/>
    </row>
    <row r="209" ht="12.75" customHeight="1">
      <c r="B209" s="901"/>
    </row>
    <row r="210" ht="12.75" customHeight="1">
      <c r="B210" s="901"/>
    </row>
    <row r="211" ht="12.75" customHeight="1">
      <c r="B211" s="901"/>
    </row>
    <row r="212" ht="12.75" customHeight="1">
      <c r="B212" s="901"/>
    </row>
    <row r="213" ht="12.75" customHeight="1">
      <c r="B213" s="901"/>
    </row>
    <row r="214" ht="12.75" customHeight="1">
      <c r="B214" s="901"/>
    </row>
    <row r="215" ht="12.75" customHeight="1">
      <c r="B215" s="901"/>
    </row>
    <row r="216" ht="12.75" customHeight="1">
      <c r="B216" s="901"/>
    </row>
    <row r="217" ht="12.75" customHeight="1">
      <c r="B217" s="901"/>
    </row>
    <row r="218" ht="12.75" customHeight="1">
      <c r="B218" s="901"/>
    </row>
    <row r="219" ht="12.75" customHeight="1">
      <c r="B219" s="901"/>
    </row>
    <row r="220" ht="12.75" customHeight="1">
      <c r="B220" s="90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25"/>
    <col customWidth="1" min="2" max="2" width="2.75"/>
    <col customWidth="1" min="3" max="3" width="3.25"/>
    <col customWidth="1" min="4" max="10" width="8.63"/>
  </cols>
  <sheetData>
    <row r="1" ht="12.75" customHeight="1">
      <c r="A1" s="578" t="s">
        <v>618</v>
      </c>
      <c r="J1" s="17" t="s">
        <v>11</v>
      </c>
    </row>
    <row r="2" ht="12.75" customHeight="1">
      <c r="B2" s="910" t="s">
        <v>619</v>
      </c>
    </row>
    <row r="3" ht="12.75" customHeight="1">
      <c r="B3" s="910"/>
      <c r="C3" s="17" t="s">
        <v>620</v>
      </c>
    </row>
    <row r="4" ht="12.75" customHeight="1">
      <c r="B4" s="910"/>
      <c r="D4" s="17" t="s">
        <v>621</v>
      </c>
    </row>
    <row r="5" ht="12.75" customHeight="1">
      <c r="B5" s="910"/>
      <c r="C5" s="17" t="s">
        <v>622</v>
      </c>
    </row>
    <row r="6" ht="12.75" customHeight="1">
      <c r="B6" s="910"/>
      <c r="D6" s="17" t="s">
        <v>623</v>
      </c>
    </row>
    <row r="7" ht="12.75" customHeight="1">
      <c r="B7" s="910"/>
      <c r="D7" s="17" t="s">
        <v>624</v>
      </c>
    </row>
    <row r="8" ht="12.75" customHeight="1">
      <c r="B8" s="910" t="s">
        <v>625</v>
      </c>
    </row>
    <row r="9" ht="12.75" customHeight="1">
      <c r="B9" s="910"/>
      <c r="C9" s="17" t="s">
        <v>626</v>
      </c>
    </row>
    <row r="10" ht="12.75" customHeight="1">
      <c r="B10" s="910"/>
      <c r="C10" s="17" t="s">
        <v>627</v>
      </c>
    </row>
    <row r="11" ht="12.75" customHeight="1">
      <c r="B11" s="910"/>
    </row>
    <row r="12" ht="12.75" customHeight="1">
      <c r="B12" s="910" t="s">
        <v>628</v>
      </c>
    </row>
    <row r="13" ht="12.75" customHeight="1">
      <c r="C13" s="17" t="s">
        <v>629</v>
      </c>
    </row>
    <row r="14" ht="12.75" customHeight="1">
      <c r="D14" s="17" t="s">
        <v>630</v>
      </c>
    </row>
    <row r="15" ht="12.75" customHeight="1">
      <c r="D15" s="17" t="s">
        <v>631</v>
      </c>
    </row>
    <row r="16" ht="12.75" customHeight="1">
      <c r="D16" s="17" t="s">
        <v>632</v>
      </c>
    </row>
    <row r="17" ht="12.75" customHeight="1">
      <c r="C17" s="17" t="s">
        <v>633</v>
      </c>
    </row>
    <row r="18" ht="12.75" customHeight="1">
      <c r="D18" s="17" t="s">
        <v>268</v>
      </c>
    </row>
    <row r="19" ht="12.75" customHeight="1">
      <c r="D19" s="17" t="s">
        <v>634</v>
      </c>
    </row>
    <row r="20" ht="12.75" customHeight="1">
      <c r="D20" s="17" t="s">
        <v>635</v>
      </c>
    </row>
    <row r="21" ht="12.75" customHeight="1">
      <c r="C21" s="17" t="s">
        <v>636</v>
      </c>
    </row>
    <row r="22" ht="12.75" customHeight="1">
      <c r="D22" s="17" t="s">
        <v>637</v>
      </c>
    </row>
    <row r="23" ht="12.75" customHeight="1">
      <c r="D23" s="17" t="s">
        <v>638</v>
      </c>
    </row>
    <row r="24" ht="12.75" customHeight="1">
      <c r="D24" s="17" t="s">
        <v>639</v>
      </c>
    </row>
    <row r="25" ht="12.75" customHeight="1">
      <c r="D25" s="17" t="s">
        <v>640</v>
      </c>
    </row>
    <row r="26" ht="12.75" customHeight="1"/>
    <row r="27" ht="12.75" customHeight="1">
      <c r="A27" s="578" t="s">
        <v>641</v>
      </c>
    </row>
    <row r="28" ht="12.75" customHeight="1">
      <c r="B28" s="911" t="s">
        <v>642</v>
      </c>
    </row>
    <row r="29" ht="12.75" customHeight="1">
      <c r="B29" s="911" t="s">
        <v>643</v>
      </c>
    </row>
    <row r="30" ht="12.75" customHeight="1">
      <c r="C30" s="912" t="s">
        <v>644</v>
      </c>
    </row>
    <row r="31" ht="12.75" customHeight="1">
      <c r="C31" s="912"/>
      <c r="D31" s="913" t="s">
        <v>645</v>
      </c>
    </row>
    <row r="32" ht="12.75" customHeight="1">
      <c r="C32" s="912"/>
      <c r="E32" s="17" t="s">
        <v>646</v>
      </c>
    </row>
    <row r="33" ht="12.75" customHeight="1">
      <c r="C33" s="912"/>
      <c r="E33" s="17" t="s">
        <v>647</v>
      </c>
    </row>
    <row r="34" ht="12.75" customHeight="1">
      <c r="C34" s="912"/>
      <c r="E34" s="17" t="s">
        <v>648</v>
      </c>
    </row>
    <row r="35" ht="12.75" customHeight="1">
      <c r="C35" s="912"/>
      <c r="D35" s="913" t="s">
        <v>649</v>
      </c>
    </row>
    <row r="36" ht="12.75" customHeight="1">
      <c r="C36" s="912"/>
      <c r="D36" s="913" t="s">
        <v>650</v>
      </c>
    </row>
    <row r="37" ht="12.75" customHeight="1">
      <c r="C37" s="912" t="s">
        <v>651</v>
      </c>
    </row>
    <row r="38" ht="12.75" customHeight="1">
      <c r="C38" s="912"/>
      <c r="D38" s="913" t="s">
        <v>652</v>
      </c>
    </row>
    <row r="39" ht="12.75" customHeight="1">
      <c r="C39" s="912"/>
      <c r="E39" s="17" t="s">
        <v>653</v>
      </c>
    </row>
    <row r="40" ht="12.75" customHeight="1">
      <c r="C40" s="912"/>
      <c r="E40" s="17" t="s">
        <v>654</v>
      </c>
    </row>
    <row r="41" ht="12.75" customHeight="1">
      <c r="C41" s="912"/>
      <c r="D41" s="913" t="s">
        <v>655</v>
      </c>
    </row>
    <row r="42" ht="12.75" customHeight="1">
      <c r="C42" s="912" t="s">
        <v>656</v>
      </c>
    </row>
    <row r="43" ht="12.75" customHeight="1">
      <c r="C43" s="911"/>
      <c r="D43" s="913" t="s">
        <v>657</v>
      </c>
    </row>
    <row r="44" ht="12.75" customHeight="1">
      <c r="C44" s="911"/>
      <c r="D44" s="913"/>
      <c r="E44" s="17" t="s">
        <v>658</v>
      </c>
    </row>
    <row r="45" ht="12.75" customHeight="1">
      <c r="C45" s="911"/>
      <c r="D45" s="913"/>
      <c r="E45" s="17" t="s">
        <v>659</v>
      </c>
    </row>
    <row r="46" ht="12.75" customHeight="1">
      <c r="C46" s="911"/>
      <c r="D46" s="913" t="s">
        <v>660</v>
      </c>
    </row>
    <row r="47" ht="12.75" customHeight="1">
      <c r="C47" s="911"/>
      <c r="E47" s="17" t="s">
        <v>661</v>
      </c>
    </row>
    <row r="48" ht="12.75" customHeight="1">
      <c r="C48" s="911"/>
      <c r="D48" s="913" t="s">
        <v>662</v>
      </c>
    </row>
    <row r="49" ht="12.75" customHeight="1">
      <c r="B49" s="911" t="s">
        <v>663</v>
      </c>
    </row>
    <row r="50" ht="12.75" customHeight="1">
      <c r="B50" s="912"/>
      <c r="C50" s="17" t="s">
        <v>664</v>
      </c>
    </row>
    <row r="51" ht="12.75" customHeight="1">
      <c r="B51" s="912"/>
      <c r="C51" s="17" t="s">
        <v>665</v>
      </c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2023-04-12T20:44:38Z</dcterms:created>
  <dc:creator>Alex Wang</dc:creator>
</cp:coreProperties>
</file>