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C:\Users\ConnorTaub\Desktop\"/>
    </mc:Choice>
  </mc:AlternateContent>
  <xr:revisionPtr revIDLastSave="0" documentId="8_{31CD14A9-5267-4DF4-B693-F64CE0AD0F26}" xr6:coauthVersionLast="47" xr6:coauthVersionMax="47" xr10:uidLastSave="{00000000-0000-0000-0000-000000000000}"/>
  <bookViews>
    <workbookView xWindow="28680" yWindow="-120" windowWidth="29040" windowHeight="15840" xr2:uid="{00000000-000D-0000-FFFF-FFFF00000000}"/>
  </bookViews>
  <sheets>
    <sheet name="Annual CF" sheetId="6" r:id="rId1"/>
    <sheet name="YoC Analysis" sheetId="9" r:id="rId2"/>
    <sheet name="Condo Alternative" sheetId="5" r:id="rId3"/>
    <sheet name="Rents" sheetId="7" r:id="rId4"/>
    <sheet name="Monthly CF" sheetId="8" r:id="rId5"/>
    <sheet name="Alternative Use Analysis" sheetId="1" r:id="rId6"/>
    <sheet name="Boston Sales" sheetId="3" r:id="rId7"/>
    <sheet name="CT" sheetId="4"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7" l="1"/>
  <c r="J13" i="7"/>
  <c r="CI55" i="8"/>
  <c r="CH55" i="8"/>
  <c r="CG55" i="8"/>
  <c r="CF55" i="8"/>
  <c r="CE55" i="8"/>
  <c r="CD55" i="8"/>
  <c r="CC55" i="8"/>
  <c r="CB55" i="8"/>
  <c r="CA55" i="8"/>
  <c r="BZ55" i="8"/>
  <c r="BY55" i="8"/>
  <c r="BX55" i="8"/>
  <c r="E18" i="6"/>
  <c r="C42" i="6"/>
  <c r="D21" i="9"/>
  <c r="D25" i="9" s="1"/>
  <c r="C8" i="9"/>
  <c r="E5" i="9"/>
  <c r="E4" i="9"/>
  <c r="D4" i="9" s="1"/>
  <c r="D11" i="9" s="1"/>
  <c r="CK16" i="8"/>
  <c r="CL16" i="8"/>
  <c r="CM16" i="8"/>
  <c r="CN16" i="8"/>
  <c r="CO16" i="8"/>
  <c r="CP16" i="8"/>
  <c r="CQ16" i="8"/>
  <c r="CR16" i="8"/>
  <c r="CS16" i="8"/>
  <c r="CT16" i="8"/>
  <c r="CU16" i="8"/>
  <c r="CV16" i="8"/>
  <c r="CW16" i="8"/>
  <c r="CX16" i="8"/>
  <c r="CY16" i="8"/>
  <c r="CZ16" i="8"/>
  <c r="DA16" i="8"/>
  <c r="DB16" i="8"/>
  <c r="DC16" i="8"/>
  <c r="DD16" i="8"/>
  <c r="DE16" i="8"/>
  <c r="DF16" i="8"/>
  <c r="DG16" i="8"/>
  <c r="DH16" i="8"/>
  <c r="DI16" i="8"/>
  <c r="DJ16" i="8"/>
  <c r="DK16" i="8"/>
  <c r="DL16" i="8"/>
  <c r="DM16" i="8"/>
  <c r="DN16" i="8"/>
  <c r="DO16" i="8"/>
  <c r="DP16" i="8"/>
  <c r="DQ16" i="8"/>
  <c r="DR16" i="8"/>
  <c r="DS16" i="8"/>
  <c r="DT16" i="8"/>
  <c r="N10" i="5"/>
  <c r="M10" i="5"/>
  <c r="L10" i="5"/>
  <c r="G9" i="5"/>
  <c r="C14" i="5"/>
  <c r="C15" i="5"/>
  <c r="D17" i="6"/>
  <c r="C53" i="6" s="1"/>
  <c r="L11" i="6"/>
  <c r="M11" i="6"/>
  <c r="N11" i="6"/>
  <c r="O11" i="6"/>
  <c r="L54" i="6"/>
  <c r="M54" i="6"/>
  <c r="N54" i="6"/>
  <c r="E59" i="8"/>
  <c r="F59" i="8"/>
  <c r="G59" i="8"/>
  <c r="H59" i="8"/>
  <c r="I59" i="8"/>
  <c r="J59" i="8"/>
  <c r="K59" i="8"/>
  <c r="L59" i="8"/>
  <c r="M59" i="8"/>
  <c r="N59" i="8"/>
  <c r="O59" i="8"/>
  <c r="P59" i="8"/>
  <c r="Q59" i="8"/>
  <c r="R59" i="8"/>
  <c r="S59" i="8"/>
  <c r="T59" i="8"/>
  <c r="U59" i="8"/>
  <c r="V59" i="8"/>
  <c r="W59" i="8"/>
  <c r="X59" i="8"/>
  <c r="Y59" i="8"/>
  <c r="Z59" i="8"/>
  <c r="AA59" i="8"/>
  <c r="AB59" i="8"/>
  <c r="D59" i="8"/>
  <c r="AC55" i="8"/>
  <c r="AD55" i="8"/>
  <c r="AE55" i="8"/>
  <c r="AF55" i="8"/>
  <c r="AG55" i="8"/>
  <c r="AH55" i="8"/>
  <c r="AI55" i="8"/>
  <c r="AJ55" i="8"/>
  <c r="AK55" i="8"/>
  <c r="AL55" i="8"/>
  <c r="AM55" i="8"/>
  <c r="AN55" i="8"/>
  <c r="AO55" i="8"/>
  <c r="AP55" i="8"/>
  <c r="AQ55" i="8"/>
  <c r="AR55" i="8"/>
  <c r="AS55" i="8"/>
  <c r="AT55" i="8"/>
  <c r="AU55" i="8"/>
  <c r="AV55" i="8"/>
  <c r="AW55" i="8"/>
  <c r="AX55" i="8"/>
  <c r="AY55" i="8"/>
  <c r="AZ55" i="8"/>
  <c r="BA55" i="8"/>
  <c r="BB55" i="8"/>
  <c r="BC55" i="8"/>
  <c r="BD55" i="8"/>
  <c r="BE55" i="8"/>
  <c r="BF55" i="8"/>
  <c r="BG55" i="8"/>
  <c r="BH55" i="8"/>
  <c r="BI55" i="8"/>
  <c r="BJ55" i="8"/>
  <c r="BK55" i="8"/>
  <c r="BL55" i="8"/>
  <c r="BM55" i="8"/>
  <c r="BN55" i="8"/>
  <c r="BO55" i="8"/>
  <c r="BP55" i="8"/>
  <c r="BQ55" i="8"/>
  <c r="BR55" i="8"/>
  <c r="BS55" i="8"/>
  <c r="BT55" i="8"/>
  <c r="BU55" i="8"/>
  <c r="BV55" i="8"/>
  <c r="BW55" i="8"/>
  <c r="D22" i="8"/>
  <c r="E22" i="8"/>
  <c r="E25" i="8" s="1"/>
  <c r="E28" i="8" s="1"/>
  <c r="F22" i="8"/>
  <c r="F25" i="8" s="1"/>
  <c r="F28" i="8" s="1"/>
  <c r="G22" i="8"/>
  <c r="G25" i="8" s="1"/>
  <c r="G28" i="8" s="1"/>
  <c r="H22" i="8"/>
  <c r="H25" i="8" s="1"/>
  <c r="H28" i="8" s="1"/>
  <c r="I22" i="8"/>
  <c r="I25" i="8" s="1"/>
  <c r="I28" i="8" s="1"/>
  <c r="J22" i="8"/>
  <c r="J25" i="8" s="1"/>
  <c r="K22" i="8"/>
  <c r="K25" i="8" s="1"/>
  <c r="K28" i="8" s="1"/>
  <c r="L22" i="8"/>
  <c r="L25" i="8" s="1"/>
  <c r="L28" i="8" s="1"/>
  <c r="M22" i="8"/>
  <c r="M25" i="8" s="1"/>
  <c r="M28" i="8" s="1"/>
  <c r="N22" i="8"/>
  <c r="N25" i="8" s="1"/>
  <c r="N28" i="8" s="1"/>
  <c r="O22" i="8"/>
  <c r="O25" i="8" s="1"/>
  <c r="O28" i="8" s="1"/>
  <c r="P22" i="8"/>
  <c r="P25" i="8" s="1"/>
  <c r="P28" i="8" s="1"/>
  <c r="Q22" i="8"/>
  <c r="Q25" i="8" s="1"/>
  <c r="Q28" i="8" s="1"/>
  <c r="R22" i="8"/>
  <c r="R25" i="8" s="1"/>
  <c r="R28" i="8" s="1"/>
  <c r="S22" i="8"/>
  <c r="S25" i="8" s="1"/>
  <c r="S28" i="8" s="1"/>
  <c r="T22" i="8"/>
  <c r="T25" i="8" s="1"/>
  <c r="T28" i="8" s="1"/>
  <c r="U22" i="8"/>
  <c r="U25" i="8" s="1"/>
  <c r="U28" i="8" s="1"/>
  <c r="V22" i="8"/>
  <c r="V25" i="8" s="1"/>
  <c r="V28" i="8" s="1"/>
  <c r="W22" i="8"/>
  <c r="W25" i="8" s="1"/>
  <c r="W28" i="8" s="1"/>
  <c r="X22" i="8"/>
  <c r="X25" i="8" s="1"/>
  <c r="X28" i="8" s="1"/>
  <c r="Y22" i="8"/>
  <c r="Y25" i="8" s="1"/>
  <c r="Y28" i="8" s="1"/>
  <c r="Z22" i="8"/>
  <c r="Z25" i="8" s="1"/>
  <c r="Z28" i="8" s="1"/>
  <c r="AA22" i="8"/>
  <c r="AA25" i="8" s="1"/>
  <c r="AA28" i="8" s="1"/>
  <c r="AB22" i="8"/>
  <c r="AB25" i="8" s="1"/>
  <c r="AB28" i="8" s="1"/>
  <c r="J28" i="8"/>
  <c r="E42" i="8"/>
  <c r="F42" i="8"/>
  <c r="G42" i="8"/>
  <c r="H42" i="8"/>
  <c r="I42" i="8"/>
  <c r="J42" i="8"/>
  <c r="K42" i="8"/>
  <c r="L42" i="8"/>
  <c r="M42" i="8"/>
  <c r="N42" i="8"/>
  <c r="O42" i="8"/>
  <c r="P42" i="8"/>
  <c r="Q42" i="8"/>
  <c r="R42" i="8"/>
  <c r="S42" i="8"/>
  <c r="T42" i="8"/>
  <c r="U42" i="8"/>
  <c r="V42" i="8"/>
  <c r="W42" i="8"/>
  <c r="X42" i="8"/>
  <c r="Y42" i="8"/>
  <c r="AA42" i="8"/>
  <c r="AB42" i="8"/>
  <c r="J37" i="6"/>
  <c r="I37" i="6"/>
  <c r="D42" i="8"/>
  <c r="D49" i="8"/>
  <c r="Z41" i="8"/>
  <c r="C41" i="8" s="1"/>
  <c r="Z40" i="8"/>
  <c r="CJ16" i="8"/>
  <c r="CI16" i="8"/>
  <c r="CH16" i="8"/>
  <c r="CG16" i="8"/>
  <c r="CF16" i="8"/>
  <c r="CE16" i="8"/>
  <c r="CD16" i="8"/>
  <c r="CC16" i="8"/>
  <c r="CB16" i="8"/>
  <c r="CA16" i="8"/>
  <c r="BZ16" i="8"/>
  <c r="BY16" i="8"/>
  <c r="BX16" i="8"/>
  <c r="BW16" i="8"/>
  <c r="BV16" i="8"/>
  <c r="BU16" i="8"/>
  <c r="BT16" i="8"/>
  <c r="BS16" i="8"/>
  <c r="BR16" i="8"/>
  <c r="BQ16" i="8"/>
  <c r="BP16" i="8"/>
  <c r="BO16" i="8"/>
  <c r="BN16" i="8"/>
  <c r="BM16" i="8"/>
  <c r="BL16" i="8"/>
  <c r="BK16" i="8"/>
  <c r="BJ16" i="8"/>
  <c r="BI16" i="8"/>
  <c r="BH16" i="8"/>
  <c r="BG16" i="8"/>
  <c r="BF16" i="8"/>
  <c r="BE16" i="8"/>
  <c r="BD16" i="8"/>
  <c r="BC16" i="8"/>
  <c r="BB16" i="8"/>
  <c r="BA16" i="8"/>
  <c r="AZ16" i="8"/>
  <c r="AY16" i="8"/>
  <c r="AX16" i="8"/>
  <c r="AW16" i="8"/>
  <c r="AV16" i="8"/>
  <c r="AU16" i="8"/>
  <c r="AT16" i="8"/>
  <c r="AS16" i="8"/>
  <c r="AR16" i="8"/>
  <c r="AQ16" i="8"/>
  <c r="AP16" i="8"/>
  <c r="AO16" i="8"/>
  <c r="AN16" i="8"/>
  <c r="AM16" i="8"/>
  <c r="AL16" i="8"/>
  <c r="AK16" i="8"/>
  <c r="AJ16" i="8"/>
  <c r="AI16" i="8"/>
  <c r="AH16" i="8"/>
  <c r="AG16" i="8"/>
  <c r="AF16" i="8"/>
  <c r="AE16" i="8"/>
  <c r="AD16" i="8"/>
  <c r="AC16" i="8"/>
  <c r="D42" i="6" l="1"/>
  <c r="D12" i="9"/>
  <c r="D14" i="9"/>
  <c r="D15" i="5"/>
  <c r="D25" i="8"/>
  <c r="AC7" i="8"/>
  <c r="AC8" i="8"/>
  <c r="R3" i="8"/>
  <c r="AD3" i="8" s="1"/>
  <c r="AP3" i="8" s="1"/>
  <c r="BB3" i="8" s="1"/>
  <c r="BN3" i="8" s="1"/>
  <c r="BZ3" i="8" s="1"/>
  <c r="CL3" i="8" s="1"/>
  <c r="CX3" i="8" s="1"/>
  <c r="DJ3" i="8" s="1"/>
  <c r="S3" i="8"/>
  <c r="AE3" i="8" s="1"/>
  <c r="AQ3" i="8" s="1"/>
  <c r="BC3" i="8" s="1"/>
  <c r="BO3" i="8" s="1"/>
  <c r="CA3" i="8" s="1"/>
  <c r="CM3" i="8" s="1"/>
  <c r="CY3" i="8" s="1"/>
  <c r="DK3" i="8" s="1"/>
  <c r="T3" i="8"/>
  <c r="AF3" i="8" s="1"/>
  <c r="AR3" i="8" s="1"/>
  <c r="BD3" i="8" s="1"/>
  <c r="BP3" i="8" s="1"/>
  <c r="CB3" i="8" s="1"/>
  <c r="CN3" i="8" s="1"/>
  <c r="CZ3" i="8" s="1"/>
  <c r="DL3" i="8" s="1"/>
  <c r="U3" i="8"/>
  <c r="AG3" i="8" s="1"/>
  <c r="AS3" i="8" s="1"/>
  <c r="BE3" i="8" s="1"/>
  <c r="BQ3" i="8" s="1"/>
  <c r="CC3" i="8" s="1"/>
  <c r="CO3" i="8" s="1"/>
  <c r="DA3" i="8" s="1"/>
  <c r="DM3" i="8" s="1"/>
  <c r="V3" i="8"/>
  <c r="AH3" i="8" s="1"/>
  <c r="AT3" i="8" s="1"/>
  <c r="BF3" i="8" s="1"/>
  <c r="BR3" i="8" s="1"/>
  <c r="CD3" i="8" s="1"/>
  <c r="CP3" i="8" s="1"/>
  <c r="DB3" i="8" s="1"/>
  <c r="DN3" i="8" s="1"/>
  <c r="W3" i="8"/>
  <c r="AI3" i="8" s="1"/>
  <c r="AU3" i="8" s="1"/>
  <c r="BG3" i="8" s="1"/>
  <c r="BS3" i="8" s="1"/>
  <c r="CE3" i="8" s="1"/>
  <c r="CQ3" i="8" s="1"/>
  <c r="DC3" i="8" s="1"/>
  <c r="DO3" i="8" s="1"/>
  <c r="X3" i="8"/>
  <c r="AJ3" i="8" s="1"/>
  <c r="AV3" i="8" s="1"/>
  <c r="BH3" i="8" s="1"/>
  <c r="BT3" i="8" s="1"/>
  <c r="CF3" i="8" s="1"/>
  <c r="CR3" i="8" s="1"/>
  <c r="DD3" i="8" s="1"/>
  <c r="DP3" i="8" s="1"/>
  <c r="Y3" i="8"/>
  <c r="AK3" i="8" s="1"/>
  <c r="AW3" i="8" s="1"/>
  <c r="BI3" i="8" s="1"/>
  <c r="BU3" i="8" s="1"/>
  <c r="CG3" i="8" s="1"/>
  <c r="CS3" i="8" s="1"/>
  <c r="DE3" i="8" s="1"/>
  <c r="DQ3" i="8" s="1"/>
  <c r="Z3" i="8"/>
  <c r="AL3" i="8" s="1"/>
  <c r="AX3" i="8" s="1"/>
  <c r="BJ3" i="8" s="1"/>
  <c r="BV3" i="8" s="1"/>
  <c r="CH3" i="8" s="1"/>
  <c r="CT3" i="8" s="1"/>
  <c r="DF3" i="8" s="1"/>
  <c r="DR3" i="8" s="1"/>
  <c r="AA3" i="8"/>
  <c r="AM3" i="8" s="1"/>
  <c r="AY3" i="8" s="1"/>
  <c r="BK3" i="8" s="1"/>
  <c r="BW3" i="8" s="1"/>
  <c r="CI3" i="8" s="1"/>
  <c r="CU3" i="8" s="1"/>
  <c r="DG3" i="8" s="1"/>
  <c r="DS3" i="8" s="1"/>
  <c r="AB3" i="8"/>
  <c r="AN3" i="8" s="1"/>
  <c r="AZ3" i="8" s="1"/>
  <c r="BL3" i="8" s="1"/>
  <c r="BX3" i="8" s="1"/>
  <c r="CJ3" i="8" s="1"/>
  <c r="CV3" i="8" s="1"/>
  <c r="DH3" i="8" s="1"/>
  <c r="DT3" i="8" s="1"/>
  <c r="Q3" i="8"/>
  <c r="E4" i="8"/>
  <c r="D12" i="8"/>
  <c r="K9" i="5" l="1"/>
  <c r="H45" i="5"/>
  <c r="AC3" i="8"/>
  <c r="AO3" i="8" s="1"/>
  <c r="BA3" i="8" s="1"/>
  <c r="BM3" i="8" s="1"/>
  <c r="BY3" i="8" s="1"/>
  <c r="CK3" i="8" s="1"/>
  <c r="CW3" i="8" s="1"/>
  <c r="DI3" i="8" s="1"/>
  <c r="J9" i="5"/>
  <c r="D13" i="8"/>
  <c r="D16" i="8" s="1"/>
  <c r="C12" i="8"/>
  <c r="D28" i="8"/>
  <c r="AC18" i="8"/>
  <c r="F4" i="8"/>
  <c r="D18" i="6"/>
  <c r="C54" i="6" s="1"/>
  <c r="E14" i="6"/>
  <c r="H9" i="5" l="1"/>
  <c r="E16" i="6"/>
  <c r="E11" i="9"/>
  <c r="E14" i="9"/>
  <c r="E12" i="9"/>
  <c r="I57" i="6"/>
  <c r="I7" i="6"/>
  <c r="H7" i="6" s="1"/>
  <c r="I48" i="6"/>
  <c r="I56" i="6"/>
  <c r="I8" i="6"/>
  <c r="C13" i="8"/>
  <c r="G4" i="8"/>
  <c r="G19" i="6"/>
  <c r="G20" i="6"/>
  <c r="G22" i="6"/>
  <c r="G23" i="6"/>
  <c r="G25" i="6"/>
  <c r="G27" i="6"/>
  <c r="G28" i="6"/>
  <c r="G29" i="6"/>
  <c r="G9" i="6"/>
  <c r="G10" i="6"/>
  <c r="I58" i="6" l="1"/>
  <c r="H8" i="6"/>
  <c r="I11" i="6"/>
  <c r="H4" i="8"/>
  <c r="F1" i="3"/>
  <c r="E1" i="3"/>
  <c r="F143" i="3"/>
  <c r="F135" i="3"/>
  <c r="C4" i="3"/>
  <c r="E19" i="6"/>
  <c r="D19" i="6" s="1"/>
  <c r="C55" i="6" s="1"/>
  <c r="C52" i="6"/>
  <c r="G7" i="6"/>
  <c r="D3" i="6"/>
  <c r="D5" i="8" s="1"/>
  <c r="J3" i="6"/>
  <c r="D14" i="5"/>
  <c r="D34" i="5"/>
  <c r="H43" i="5"/>
  <c r="K15" i="5"/>
  <c r="J15" i="5"/>
  <c r="I15" i="5"/>
  <c r="N13" i="5"/>
  <c r="M13" i="5"/>
  <c r="L13" i="5"/>
  <c r="G8" i="5"/>
  <c r="D5" i="5"/>
  <c r="I4" i="5" s="1"/>
  <c r="I5" i="5" s="1"/>
  <c r="I7" i="5"/>
  <c r="I10" i="5" s="1"/>
  <c r="G7" i="5"/>
  <c r="J3" i="5"/>
  <c r="I17" i="5" l="1"/>
  <c r="D16" i="5"/>
  <c r="J8" i="5"/>
  <c r="J10" i="5" s="1"/>
  <c r="J17" i="5" s="1"/>
  <c r="J4" i="5"/>
  <c r="J5" i="5" s="1"/>
  <c r="K4" i="5" s="1"/>
  <c r="K5" i="5" s="1"/>
  <c r="L4" i="5" s="1"/>
  <c r="L5" i="5" s="1"/>
  <c r="M4" i="5" s="1"/>
  <c r="M5" i="5" s="1"/>
  <c r="N4" i="5" s="1"/>
  <c r="N5" i="5" s="1"/>
  <c r="D11" i="5"/>
  <c r="D24" i="5" s="1"/>
  <c r="D25" i="5" s="1"/>
  <c r="K26" i="5" s="1"/>
  <c r="H13" i="5"/>
  <c r="J56" i="6"/>
  <c r="J57" i="6"/>
  <c r="K3" i="6"/>
  <c r="I4" i="8"/>
  <c r="X15" i="8"/>
  <c r="H15" i="8"/>
  <c r="V15" i="8"/>
  <c r="AB15" i="8"/>
  <c r="AA15" i="8"/>
  <c r="Z15" i="8"/>
  <c r="Y15" i="8"/>
  <c r="I15" i="8"/>
  <c r="W15" i="8"/>
  <c r="G15" i="8"/>
  <c r="F15" i="8"/>
  <c r="R15" i="8"/>
  <c r="Q15" i="8"/>
  <c r="U15" i="8"/>
  <c r="E15" i="8"/>
  <c r="T15" i="8"/>
  <c r="S15" i="8"/>
  <c r="P15" i="8"/>
  <c r="O15" i="8"/>
  <c r="N15" i="8"/>
  <c r="M15" i="8"/>
  <c r="L15" i="8"/>
  <c r="K15" i="8"/>
  <c r="J15" i="8"/>
  <c r="I4" i="6"/>
  <c r="I5" i="6" s="1"/>
  <c r="D6" i="8"/>
  <c r="E5" i="8" s="1"/>
  <c r="E6" i="8" s="1"/>
  <c r="F5" i="8" s="1"/>
  <c r="F6" i="8" s="1"/>
  <c r="G5" i="8" s="1"/>
  <c r="G6" i="8" s="1"/>
  <c r="H5" i="8" s="1"/>
  <c r="H6" i="8" s="1"/>
  <c r="I5" i="8" s="1"/>
  <c r="I6" i="8" s="1"/>
  <c r="J5" i="8" s="1"/>
  <c r="J6" i="8" s="1"/>
  <c r="K5" i="8" s="1"/>
  <c r="K6" i="8" s="1"/>
  <c r="L5" i="8" s="1"/>
  <c r="L6" i="8" s="1"/>
  <c r="M5" i="8" s="1"/>
  <c r="M6" i="8" s="1"/>
  <c r="N5" i="8" s="1"/>
  <c r="N6" i="8" s="1"/>
  <c r="O5" i="8" s="1"/>
  <c r="O6" i="8" s="1"/>
  <c r="P5" i="8" s="1"/>
  <c r="P6" i="8" s="1"/>
  <c r="Q5" i="8" s="1"/>
  <c r="Q6" i="8" s="1"/>
  <c r="R5" i="8" s="1"/>
  <c r="R6" i="8" s="1"/>
  <c r="S5" i="8" s="1"/>
  <c r="S6" i="8" s="1"/>
  <c r="T5" i="8" s="1"/>
  <c r="T6" i="8" s="1"/>
  <c r="U5" i="8" s="1"/>
  <c r="U6" i="8" s="1"/>
  <c r="V5" i="8" s="1"/>
  <c r="V6" i="8" s="1"/>
  <c r="W5" i="8" s="1"/>
  <c r="W6" i="8" s="1"/>
  <c r="X5" i="8" s="1"/>
  <c r="X6" i="8" s="1"/>
  <c r="Y5" i="8" s="1"/>
  <c r="Y6" i="8" s="1"/>
  <c r="Z5" i="8" s="1"/>
  <c r="Z6" i="8" s="1"/>
  <c r="AA5" i="8" s="1"/>
  <c r="AA6" i="8" s="1"/>
  <c r="AB5" i="8" s="1"/>
  <c r="AB6" i="8" s="1"/>
  <c r="AC5" i="8" s="1"/>
  <c r="AC6" i="8" s="1"/>
  <c r="AD5" i="8" s="1"/>
  <c r="AD6" i="8" s="1"/>
  <c r="AE5" i="8" s="1"/>
  <c r="AE6" i="8" s="1"/>
  <c r="AF5" i="8" s="1"/>
  <c r="AF6" i="8" s="1"/>
  <c r="AG5" i="8" s="1"/>
  <c r="AG6" i="8" s="1"/>
  <c r="AH5" i="8" s="1"/>
  <c r="AH6" i="8" s="1"/>
  <c r="AI5" i="8" s="1"/>
  <c r="AI6" i="8" s="1"/>
  <c r="AJ5" i="8" s="1"/>
  <c r="AJ6" i="8" s="1"/>
  <c r="AK5" i="8" s="1"/>
  <c r="AK6" i="8" s="1"/>
  <c r="AL5" i="8" s="1"/>
  <c r="AL6" i="8" s="1"/>
  <c r="AM5" i="8" s="1"/>
  <c r="AM6" i="8" s="1"/>
  <c r="AN5" i="8" s="1"/>
  <c r="AN6" i="8" s="1"/>
  <c r="AO5" i="8" s="1"/>
  <c r="AO6" i="8" s="1"/>
  <c r="AP5" i="8" s="1"/>
  <c r="AP6" i="8" s="1"/>
  <c r="AQ5" i="8" s="1"/>
  <c r="AQ6" i="8" s="1"/>
  <c r="AR5" i="8" s="1"/>
  <c r="AR6" i="8" s="1"/>
  <c r="AS5" i="8" s="1"/>
  <c r="AS6" i="8" s="1"/>
  <c r="AT5" i="8" s="1"/>
  <c r="AT6" i="8" s="1"/>
  <c r="AU5" i="8" s="1"/>
  <c r="AU6" i="8" s="1"/>
  <c r="AV5" i="8" s="1"/>
  <c r="AV6" i="8" s="1"/>
  <c r="AW5" i="8" s="1"/>
  <c r="AW6" i="8" s="1"/>
  <c r="AX5" i="8" s="1"/>
  <c r="AX6" i="8" s="1"/>
  <c r="AY5" i="8" s="1"/>
  <c r="AY6" i="8" s="1"/>
  <c r="AZ5" i="8" s="1"/>
  <c r="AZ6" i="8" s="1"/>
  <c r="BA5" i="8" s="1"/>
  <c r="BA6" i="8" s="1"/>
  <c r="BB5" i="8" s="1"/>
  <c r="BB6" i="8" s="1"/>
  <c r="BC5" i="8" s="1"/>
  <c r="BC6" i="8" s="1"/>
  <c r="BD5" i="8" s="1"/>
  <c r="BD6" i="8" s="1"/>
  <c r="BE5" i="8" s="1"/>
  <c r="BE6" i="8" s="1"/>
  <c r="BF5" i="8" s="1"/>
  <c r="BF6" i="8" s="1"/>
  <c r="BG5" i="8" s="1"/>
  <c r="BG6" i="8" s="1"/>
  <c r="BH5" i="8" s="1"/>
  <c r="BH6" i="8" s="1"/>
  <c r="BI5" i="8" s="1"/>
  <c r="BI6" i="8" s="1"/>
  <c r="BJ5" i="8" s="1"/>
  <c r="BJ6" i="8" s="1"/>
  <c r="BK5" i="8" s="1"/>
  <c r="BK6" i="8" s="1"/>
  <c r="BL5" i="8" s="1"/>
  <c r="BL6" i="8" s="1"/>
  <c r="BM5" i="8" s="1"/>
  <c r="BM6" i="8" s="1"/>
  <c r="BN5" i="8" s="1"/>
  <c r="BN6" i="8" s="1"/>
  <c r="BO5" i="8" s="1"/>
  <c r="BO6" i="8" s="1"/>
  <c r="BP5" i="8" s="1"/>
  <c r="BP6" i="8" s="1"/>
  <c r="BQ5" i="8" s="1"/>
  <c r="BQ6" i="8" s="1"/>
  <c r="BR5" i="8" s="1"/>
  <c r="BR6" i="8" s="1"/>
  <c r="BS5" i="8" s="1"/>
  <c r="BS6" i="8" s="1"/>
  <c r="BT5" i="8" s="1"/>
  <c r="BT6" i="8" s="1"/>
  <c r="BU5" i="8" s="1"/>
  <c r="BU6" i="8" s="1"/>
  <c r="BV5" i="8" s="1"/>
  <c r="BV6" i="8" s="1"/>
  <c r="BW5" i="8" s="1"/>
  <c r="BW6" i="8" s="1"/>
  <c r="BX5" i="8" s="1"/>
  <c r="BX6" i="8" s="1"/>
  <c r="BY5" i="8" s="1"/>
  <c r="BY6" i="8" s="1"/>
  <c r="BZ5" i="8" s="1"/>
  <c r="BZ6" i="8" s="1"/>
  <c r="CA5" i="8" s="1"/>
  <c r="CA6" i="8" s="1"/>
  <c r="CB5" i="8" s="1"/>
  <c r="CB6" i="8" s="1"/>
  <c r="CC5" i="8" s="1"/>
  <c r="CC6" i="8" s="1"/>
  <c r="CD5" i="8" s="1"/>
  <c r="CD6" i="8" s="1"/>
  <c r="CE5" i="8" s="1"/>
  <c r="CE6" i="8" s="1"/>
  <c r="CF5" i="8" s="1"/>
  <c r="CF6" i="8" s="1"/>
  <c r="CG5" i="8" s="1"/>
  <c r="CG6" i="8" s="1"/>
  <c r="CH5" i="8" s="1"/>
  <c r="CH6" i="8" s="1"/>
  <c r="CI5" i="8" s="1"/>
  <c r="CI6" i="8" s="1"/>
  <c r="CJ5" i="8" s="1"/>
  <c r="CJ6" i="8" s="1"/>
  <c r="CK5" i="8" s="1"/>
  <c r="CK6" i="8" s="1"/>
  <c r="CL5" i="8" s="1"/>
  <c r="CL6" i="8" s="1"/>
  <c r="CM5" i="8" s="1"/>
  <c r="CM6" i="8" s="1"/>
  <c r="CN5" i="8" s="1"/>
  <c r="CN6" i="8" s="1"/>
  <c r="CO5" i="8" s="1"/>
  <c r="CO6" i="8" s="1"/>
  <c r="CP5" i="8" s="1"/>
  <c r="CP6" i="8" s="1"/>
  <c r="CQ5" i="8" s="1"/>
  <c r="CQ6" i="8" s="1"/>
  <c r="CR5" i="8" s="1"/>
  <c r="CR6" i="8" s="1"/>
  <c r="CS5" i="8" s="1"/>
  <c r="CS6" i="8" s="1"/>
  <c r="CT5" i="8" s="1"/>
  <c r="CT6" i="8" s="1"/>
  <c r="CU5" i="8" s="1"/>
  <c r="CU6" i="8" s="1"/>
  <c r="CV5" i="8" s="1"/>
  <c r="CV6" i="8" s="1"/>
  <c r="CW5" i="8" s="1"/>
  <c r="CW6" i="8" s="1"/>
  <c r="CX5" i="8" s="1"/>
  <c r="CX6" i="8" s="1"/>
  <c r="CY5" i="8" s="1"/>
  <c r="CY6" i="8" s="1"/>
  <c r="CZ5" i="8" s="1"/>
  <c r="CZ6" i="8" s="1"/>
  <c r="DA5" i="8" s="1"/>
  <c r="DA6" i="8" s="1"/>
  <c r="DB5" i="8" s="1"/>
  <c r="DB6" i="8" s="1"/>
  <c r="DC5" i="8" s="1"/>
  <c r="DC6" i="8" s="1"/>
  <c r="DD5" i="8" s="1"/>
  <c r="DD6" i="8" s="1"/>
  <c r="DE5" i="8" s="1"/>
  <c r="DE6" i="8" s="1"/>
  <c r="DF5" i="8" s="1"/>
  <c r="DF6" i="8" s="1"/>
  <c r="DG5" i="8" s="1"/>
  <c r="DG6" i="8" s="1"/>
  <c r="DH5" i="8" s="1"/>
  <c r="DH6" i="8" s="1"/>
  <c r="DI5" i="8" s="1"/>
  <c r="DI6" i="8" s="1"/>
  <c r="DJ5" i="8" s="1"/>
  <c r="DJ6" i="8" s="1"/>
  <c r="DK5" i="8" s="1"/>
  <c r="DK6" i="8" s="1"/>
  <c r="DL5" i="8" s="1"/>
  <c r="DL6" i="8" s="1"/>
  <c r="DM5" i="8" s="1"/>
  <c r="DM6" i="8" s="1"/>
  <c r="DN5" i="8" s="1"/>
  <c r="DN6" i="8" s="1"/>
  <c r="DO5" i="8" s="1"/>
  <c r="DO6" i="8" s="1"/>
  <c r="DP5" i="8" s="1"/>
  <c r="DP6" i="8" s="1"/>
  <c r="DQ5" i="8" s="1"/>
  <c r="DQ6" i="8" s="1"/>
  <c r="DR5" i="8" s="1"/>
  <c r="DR6" i="8" s="1"/>
  <c r="DS5" i="8" s="1"/>
  <c r="DS6" i="8" s="1"/>
  <c r="DT5" i="8" s="1"/>
  <c r="DT6" i="8" s="1"/>
  <c r="K3" i="5"/>
  <c r="H7" i="5"/>
  <c r="J4" i="6" l="1"/>
  <c r="J5" i="6" s="1"/>
  <c r="M12" i="5"/>
  <c r="M14" i="5" s="1"/>
  <c r="M15" i="5" s="1"/>
  <c r="M17" i="5" s="1"/>
  <c r="L12" i="5"/>
  <c r="N12" i="5"/>
  <c r="N14" i="5" s="1"/>
  <c r="N15" i="5" s="1"/>
  <c r="N17" i="5" s="1"/>
  <c r="L14" i="5"/>
  <c r="L27" i="5"/>
  <c r="H26" i="5"/>
  <c r="K56" i="6"/>
  <c r="K57" i="6"/>
  <c r="J58" i="6"/>
  <c r="C15" i="8"/>
  <c r="J10" i="6"/>
  <c r="L3" i="6"/>
  <c r="K10" i="6"/>
  <c r="K36" i="6"/>
  <c r="H36" i="6" s="1"/>
  <c r="K35" i="6"/>
  <c r="K33" i="6"/>
  <c r="J4" i="8"/>
  <c r="P14" i="8"/>
  <c r="P16" i="8" s="1"/>
  <c r="N14" i="8"/>
  <c r="N16" i="8" s="1"/>
  <c r="K14" i="8"/>
  <c r="K16" i="8" s="1"/>
  <c r="J14" i="8"/>
  <c r="J16" i="8" s="1"/>
  <c r="H14" i="8"/>
  <c r="H16" i="8" s="1"/>
  <c r="G14" i="8"/>
  <c r="G16" i="8" s="1"/>
  <c r="F14" i="8"/>
  <c r="F16" i="8" s="1"/>
  <c r="E14" i="8"/>
  <c r="S14" i="8"/>
  <c r="S16" i="8" s="1"/>
  <c r="R14" i="8"/>
  <c r="R16" i="8" s="1"/>
  <c r="O14" i="8"/>
  <c r="O16" i="8" s="1"/>
  <c r="AA14" i="8"/>
  <c r="AA16" i="8" s="1"/>
  <c r="X14" i="8"/>
  <c r="X16" i="8" s="1"/>
  <c r="W14" i="8"/>
  <c r="W16" i="8" s="1"/>
  <c r="V14" i="8"/>
  <c r="V16" i="8" s="1"/>
  <c r="U14" i="8"/>
  <c r="U16" i="8" s="1"/>
  <c r="T14" i="8"/>
  <c r="T16" i="8" s="1"/>
  <c r="M14" i="8"/>
  <c r="M16" i="8" s="1"/>
  <c r="AB14" i="8"/>
  <c r="AB16" i="8" s="1"/>
  <c r="L14" i="8"/>
  <c r="L16" i="8" s="1"/>
  <c r="Z14" i="8"/>
  <c r="Z16" i="8" s="1"/>
  <c r="Y14" i="8"/>
  <c r="Y16" i="8" s="1"/>
  <c r="I14" i="8"/>
  <c r="I16" i="8" s="1"/>
  <c r="Q14" i="8"/>
  <c r="E17" i="6"/>
  <c r="L3" i="5"/>
  <c r="H44" i="5"/>
  <c r="K8" i="5"/>
  <c r="K10" i="5" s="1"/>
  <c r="K17" i="5" s="1"/>
  <c r="K4" i="6" l="1"/>
  <c r="K5" i="6" s="1"/>
  <c r="L15" i="5"/>
  <c r="L17" i="5" s="1"/>
  <c r="H17" i="5"/>
  <c r="H19" i="5"/>
  <c r="H12" i="5"/>
  <c r="H14" i="5"/>
  <c r="H10" i="6"/>
  <c r="K58" i="6"/>
  <c r="C14" i="8"/>
  <c r="Q16" i="8"/>
  <c r="K9" i="6"/>
  <c r="K11" i="6" s="1"/>
  <c r="E16" i="8"/>
  <c r="J9" i="6"/>
  <c r="M3" i="6"/>
  <c r="K4" i="8"/>
  <c r="C9" i="7"/>
  <c r="F4" i="7"/>
  <c r="N4" i="7" s="1"/>
  <c r="Z39" i="8" s="1"/>
  <c r="K29" i="6"/>
  <c r="K31" i="6" s="1"/>
  <c r="M3" i="5"/>
  <c r="H8" i="5"/>
  <c r="L4" i="6" l="1"/>
  <c r="L5" i="6" s="1"/>
  <c r="D5" i="9"/>
  <c r="C5" i="7"/>
  <c r="BC9" i="8"/>
  <c r="CN9" i="8"/>
  <c r="DD9" i="8"/>
  <c r="DT9" i="8"/>
  <c r="DH9" i="8"/>
  <c r="DK9" i="8"/>
  <c r="CL9" i="8"/>
  <c r="DC9" i="8"/>
  <c r="CO9" i="8"/>
  <c r="DE9" i="8"/>
  <c r="CU9" i="8"/>
  <c r="CY9" i="8"/>
  <c r="DP9" i="8"/>
  <c r="CP9" i="8"/>
  <c r="DF9" i="8"/>
  <c r="DO9" i="8"/>
  <c r="CQ9" i="8"/>
  <c r="DG9" i="8"/>
  <c r="CT9" i="8"/>
  <c r="DM9" i="8"/>
  <c r="CX9" i="8"/>
  <c r="DN9" i="8"/>
  <c r="CR9" i="8"/>
  <c r="DL9" i="8"/>
  <c r="CM9" i="8"/>
  <c r="CS9" i="8"/>
  <c r="DI9" i="8"/>
  <c r="DJ9" i="8"/>
  <c r="CW9" i="8"/>
  <c r="CZ9" i="8"/>
  <c r="CV9" i="8"/>
  <c r="DR9" i="8"/>
  <c r="DS9" i="8"/>
  <c r="CK9" i="8"/>
  <c r="DA9" i="8"/>
  <c r="DQ9" i="8"/>
  <c r="DB9" i="8"/>
  <c r="C16" i="8"/>
  <c r="H20" i="5"/>
  <c r="H21" i="5"/>
  <c r="H18" i="5"/>
  <c r="H15" i="5"/>
  <c r="BE9" i="8"/>
  <c r="AO9" i="8"/>
  <c r="AX9" i="8"/>
  <c r="BU9" i="8"/>
  <c r="CJ9" i="8"/>
  <c r="BD9" i="8"/>
  <c r="J11" i="6"/>
  <c r="H11" i="6" s="1"/>
  <c r="H9" i="6"/>
  <c r="Z42" i="8"/>
  <c r="K34" i="6"/>
  <c r="K37" i="6" s="1"/>
  <c r="D30" i="8"/>
  <c r="E30" i="8"/>
  <c r="F30" i="8"/>
  <c r="G30" i="8"/>
  <c r="H30" i="8"/>
  <c r="I30" i="8"/>
  <c r="J30" i="8"/>
  <c r="K30" i="8"/>
  <c r="L30" i="8"/>
  <c r="M30" i="8"/>
  <c r="N30" i="8"/>
  <c r="O30" i="8"/>
  <c r="P30" i="8"/>
  <c r="Q30" i="8"/>
  <c r="R30" i="8"/>
  <c r="S30" i="8"/>
  <c r="T30" i="8"/>
  <c r="U30" i="8"/>
  <c r="V30" i="8"/>
  <c r="W30" i="8"/>
  <c r="X30" i="8"/>
  <c r="Y30" i="8"/>
  <c r="Z30" i="8"/>
  <c r="AA30" i="8"/>
  <c r="AB30" i="8"/>
  <c r="D31" i="8"/>
  <c r="E31" i="8"/>
  <c r="F31" i="8"/>
  <c r="G31" i="8"/>
  <c r="H31" i="8"/>
  <c r="I31" i="8"/>
  <c r="J31" i="8"/>
  <c r="K31" i="8"/>
  <c r="L31" i="8"/>
  <c r="M31" i="8"/>
  <c r="N31" i="8"/>
  <c r="O31" i="8"/>
  <c r="P31" i="8"/>
  <c r="Q31" i="8"/>
  <c r="R31" i="8"/>
  <c r="S31" i="8"/>
  <c r="T31" i="8"/>
  <c r="U31" i="8"/>
  <c r="V31" i="8"/>
  <c r="W31" i="8"/>
  <c r="X31" i="8"/>
  <c r="Y31" i="8"/>
  <c r="Z31" i="8"/>
  <c r="AA31" i="8"/>
  <c r="AB31" i="8"/>
  <c r="N3" i="6"/>
  <c r="AD40" i="8"/>
  <c r="AE40" i="8"/>
  <c r="AF40" i="8"/>
  <c r="AG40" i="8"/>
  <c r="AH40" i="8"/>
  <c r="AI40" i="8"/>
  <c r="AJ40" i="8"/>
  <c r="AK40" i="8"/>
  <c r="AL40" i="8"/>
  <c r="AM40" i="8"/>
  <c r="AN40" i="8"/>
  <c r="AO40" i="8"/>
  <c r="AP40" i="8"/>
  <c r="AQ40" i="8"/>
  <c r="AR40" i="8"/>
  <c r="AS40" i="8"/>
  <c r="AT40" i="8"/>
  <c r="AC40" i="8"/>
  <c r="AD9" i="8"/>
  <c r="L4" i="8"/>
  <c r="BG9" i="8"/>
  <c r="AC30" i="8"/>
  <c r="AC31" i="8"/>
  <c r="CI9" i="8"/>
  <c r="BT9" i="8"/>
  <c r="AP9" i="8"/>
  <c r="CG9" i="8"/>
  <c r="BI9" i="8"/>
  <c r="BS9" i="8"/>
  <c r="BN9" i="8"/>
  <c r="BQ9" i="8"/>
  <c r="AS9" i="8"/>
  <c r="BA9" i="8"/>
  <c r="AC9" i="8"/>
  <c r="AK9" i="8"/>
  <c r="J29" i="6"/>
  <c r="CC9" i="8"/>
  <c r="CD9" i="8"/>
  <c r="CF9" i="8"/>
  <c r="AH9" i="8"/>
  <c r="AG9" i="8"/>
  <c r="AZ9" i="8"/>
  <c r="CB9" i="8"/>
  <c r="AF9" i="8"/>
  <c r="F9" i="7"/>
  <c r="AC20" i="8"/>
  <c r="BL9" i="8"/>
  <c r="BM9" i="8"/>
  <c r="BP9" i="8"/>
  <c r="BW9" i="8"/>
  <c r="AJ9" i="8"/>
  <c r="AM9" i="8"/>
  <c r="BO9" i="8"/>
  <c r="CA9" i="8"/>
  <c r="AW9" i="8"/>
  <c r="AN9" i="8"/>
  <c r="AV9" i="8"/>
  <c r="AQ9" i="8"/>
  <c r="BZ9" i="8"/>
  <c r="AU9" i="8"/>
  <c r="CH9" i="8"/>
  <c r="CE9" i="8"/>
  <c r="BJ9" i="8"/>
  <c r="BK9" i="8"/>
  <c r="BR9" i="8"/>
  <c r="AT9" i="8"/>
  <c r="AE9" i="8"/>
  <c r="BX9" i="8"/>
  <c r="BB9" i="8"/>
  <c r="AY9" i="8"/>
  <c r="BH9" i="8"/>
  <c r="BV9" i="8"/>
  <c r="AL9" i="8"/>
  <c r="AI9" i="8"/>
  <c r="BY9" i="8"/>
  <c r="AR9" i="8"/>
  <c r="BF9" i="8"/>
  <c r="I29" i="6"/>
  <c r="E4" i="7"/>
  <c r="D20" i="5"/>
  <c r="N3" i="5"/>
  <c r="N28" i="5" s="1"/>
  <c r="M4" i="6" l="1"/>
  <c r="M5" i="6" s="1"/>
  <c r="N4" i="6" s="1"/>
  <c r="N5" i="6" s="1"/>
  <c r="O4" i="6" s="1"/>
  <c r="O5" i="6" s="1"/>
  <c r="I31" i="6"/>
  <c r="J31" i="6"/>
  <c r="J42" i="6" s="1"/>
  <c r="L35" i="6"/>
  <c r="C40" i="8"/>
  <c r="AB34" i="8"/>
  <c r="AB36" i="8" s="1"/>
  <c r="AB47" i="8" s="1"/>
  <c r="AA34" i="8"/>
  <c r="AA36" i="8" s="1"/>
  <c r="AA47" i="8" s="1"/>
  <c r="Z34" i="8"/>
  <c r="Z36" i="8" s="1"/>
  <c r="Z47" i="8" s="1"/>
  <c r="Y34" i="8"/>
  <c r="Y36" i="8" s="1"/>
  <c r="Y47" i="8" s="1"/>
  <c r="X34" i="8"/>
  <c r="X36" i="8" s="1"/>
  <c r="X47" i="8" s="1"/>
  <c r="W34" i="8"/>
  <c r="W36" i="8" s="1"/>
  <c r="W47" i="8" s="1"/>
  <c r="V34" i="8"/>
  <c r="V36" i="8" s="1"/>
  <c r="V47" i="8" s="1"/>
  <c r="U34" i="8"/>
  <c r="U36" i="8" s="1"/>
  <c r="U47" i="8" s="1"/>
  <c r="T34" i="8"/>
  <c r="T36" i="8" s="1"/>
  <c r="T47" i="8" s="1"/>
  <c r="S34" i="8"/>
  <c r="S36" i="8" s="1"/>
  <c r="S47" i="8" s="1"/>
  <c r="R34" i="8"/>
  <c r="R36" i="8" s="1"/>
  <c r="R47" i="8" s="1"/>
  <c r="Q34" i="8"/>
  <c r="Q36" i="8" s="1"/>
  <c r="Q47" i="8" s="1"/>
  <c r="P34" i="8"/>
  <c r="P36" i="8" s="1"/>
  <c r="P47" i="8" s="1"/>
  <c r="O34" i="8"/>
  <c r="O36" i="8" s="1"/>
  <c r="O47" i="8" s="1"/>
  <c r="N34" i="8"/>
  <c r="N36" i="8" s="1"/>
  <c r="N47" i="8" s="1"/>
  <c r="M34" i="8"/>
  <c r="M36" i="8" s="1"/>
  <c r="M47" i="8" s="1"/>
  <c r="L34" i="8"/>
  <c r="L36" i="8" s="1"/>
  <c r="L47" i="8" s="1"/>
  <c r="K34" i="8"/>
  <c r="K36" i="8" s="1"/>
  <c r="K47" i="8" s="1"/>
  <c r="J34" i="8"/>
  <c r="J36" i="8" s="1"/>
  <c r="J47" i="8" s="1"/>
  <c r="I34" i="8"/>
  <c r="I36" i="8" s="1"/>
  <c r="I47" i="8" s="1"/>
  <c r="H34" i="8"/>
  <c r="H36" i="8" s="1"/>
  <c r="H47" i="8" s="1"/>
  <c r="G34" i="8"/>
  <c r="G36" i="8" s="1"/>
  <c r="G47" i="8" s="1"/>
  <c r="F34" i="8"/>
  <c r="F36" i="8" s="1"/>
  <c r="F47" i="8" s="1"/>
  <c r="E34" i="8"/>
  <c r="E36" i="8" s="1"/>
  <c r="E47" i="8" s="1"/>
  <c r="D34" i="8"/>
  <c r="AC21" i="8"/>
  <c r="AD30" i="8"/>
  <c r="M35" i="6"/>
  <c r="K42" i="6"/>
  <c r="O3" i="6"/>
  <c r="E9" i="7"/>
  <c r="N9" i="7"/>
  <c r="D20" i="6" s="1"/>
  <c r="AD8" i="8"/>
  <c r="AD7" i="8"/>
  <c r="AD18" i="8" s="1"/>
  <c r="M4" i="8"/>
  <c r="D37" i="5"/>
  <c r="M28" i="5"/>
  <c r="M27" i="5" s="1"/>
  <c r="L28" i="5"/>
  <c r="H10" i="5"/>
  <c r="P4" i="6" l="1"/>
  <c r="P5" i="6" s="1"/>
  <c r="Q4" i="6" s="1"/>
  <c r="Q5" i="6" s="1"/>
  <c r="R4" i="6" s="1"/>
  <c r="R5" i="6" s="1"/>
  <c r="S4" i="6" s="1"/>
  <c r="S5" i="6" s="1"/>
  <c r="C56" i="6"/>
  <c r="D21" i="6"/>
  <c r="M29" i="5"/>
  <c r="M31" i="5" s="1"/>
  <c r="H35" i="6"/>
  <c r="I42" i="6"/>
  <c r="AD31" i="8"/>
  <c r="D36" i="8"/>
  <c r="D47" i="8" s="1"/>
  <c r="P3" i="6"/>
  <c r="Q3" i="6" s="1"/>
  <c r="R3" i="6" s="1"/>
  <c r="S3" i="6" s="1"/>
  <c r="E20" i="6"/>
  <c r="AD39" i="8"/>
  <c r="AE39" i="8"/>
  <c r="AF39" i="8"/>
  <c r="AG39" i="8"/>
  <c r="AH39" i="8"/>
  <c r="AI39" i="8"/>
  <c r="AJ39" i="8"/>
  <c r="AK39" i="8"/>
  <c r="AL39" i="8"/>
  <c r="AM39" i="8"/>
  <c r="AN39" i="8"/>
  <c r="AO39" i="8"/>
  <c r="AP39" i="8"/>
  <c r="AQ39" i="8"/>
  <c r="AR39" i="8"/>
  <c r="AS39" i="8"/>
  <c r="AT39" i="8"/>
  <c r="AC39" i="8"/>
  <c r="N4" i="8"/>
  <c r="H38" i="5"/>
  <c r="D21" i="5"/>
  <c r="I24" i="5" s="1"/>
  <c r="N27" i="5"/>
  <c r="N29" i="5" s="1"/>
  <c r="N31" i="5" s="1"/>
  <c r="D22" i="5"/>
  <c r="K25" i="5" s="1"/>
  <c r="H25" i="5" s="1"/>
  <c r="J23" i="5"/>
  <c r="J29" i="5" s="1"/>
  <c r="J31" i="5" s="1"/>
  <c r="K23" i="5"/>
  <c r="L29" i="5"/>
  <c r="L31" i="5" s="1"/>
  <c r="H28" i="5"/>
  <c r="CJ38" i="8" l="1"/>
  <c r="CJ42" i="8" s="1"/>
  <c r="BY38" i="8"/>
  <c r="BZ38" i="8"/>
  <c r="BZ42" i="8" s="1"/>
  <c r="CA38" i="8"/>
  <c r="CA42" i="8" s="1"/>
  <c r="CB38" i="8"/>
  <c r="CB42" i="8" s="1"/>
  <c r="CC38" i="8"/>
  <c r="CC42" i="8" s="1"/>
  <c r="CD38" i="8"/>
  <c r="CD42" i="8" s="1"/>
  <c r="CE38" i="8"/>
  <c r="CE42" i="8" s="1"/>
  <c r="CF38" i="8"/>
  <c r="CF42" i="8" s="1"/>
  <c r="CG38" i="8"/>
  <c r="CG42" i="8" s="1"/>
  <c r="CH38" i="8"/>
  <c r="CH42" i="8" s="1"/>
  <c r="CI38" i="8"/>
  <c r="CI42" i="8" s="1"/>
  <c r="I19" i="9"/>
  <c r="D19" i="9"/>
  <c r="H27" i="5"/>
  <c r="L34" i="6"/>
  <c r="C39" i="8"/>
  <c r="M34" i="6"/>
  <c r="O4" i="8"/>
  <c r="H23" i="5"/>
  <c r="H46" i="5"/>
  <c r="H47" i="5" s="1"/>
  <c r="K29" i="5"/>
  <c r="K31" i="5" s="1"/>
  <c r="D38" i="5"/>
  <c r="D39" i="5" s="1"/>
  <c r="D40" i="5" s="1"/>
  <c r="I29" i="5"/>
  <c r="I31" i="5" s="1"/>
  <c r="H32" i="5" s="1"/>
  <c r="H24" i="5"/>
  <c r="BY42" i="8" l="1"/>
  <c r="P33" i="6"/>
  <c r="P37" i="6" s="1"/>
  <c r="H31" i="5"/>
  <c r="H34" i="6"/>
  <c r="P4" i="8"/>
  <c r="H29" i="5"/>
  <c r="H39" i="5"/>
  <c r="H40" i="5" s="1"/>
  <c r="H33" i="5"/>
  <c r="H35" i="5"/>
  <c r="H34" i="5"/>
  <c r="Q4" i="8" l="1"/>
  <c r="R4" i="8" l="1"/>
  <c r="S4" i="8" l="1"/>
  <c r="T4" i="8" l="1"/>
  <c r="U4" i="8" l="1"/>
  <c r="V4" i="8" l="1"/>
  <c r="W4" i="8" l="1"/>
  <c r="X4" i="8" l="1"/>
  <c r="Y4" i="8" l="1"/>
  <c r="E143" i="3"/>
  <c r="E133" i="3"/>
  <c r="D127" i="3"/>
  <c r="E125" i="3"/>
  <c r="F119" i="3"/>
  <c r="E117" i="3"/>
  <c r="E109" i="3"/>
  <c r="D103" i="3"/>
  <c r="E102" i="3"/>
  <c r="D95" i="3"/>
  <c r="E94" i="3"/>
  <c r="F88" i="3"/>
  <c r="E86" i="3"/>
  <c r="E78" i="3"/>
  <c r="D71" i="3"/>
  <c r="E71" i="3"/>
  <c r="F65" i="3"/>
  <c r="E63" i="3"/>
  <c r="F55" i="3"/>
  <c r="E55" i="3"/>
  <c r="F47" i="3"/>
  <c r="E45" i="3"/>
  <c r="E37" i="3"/>
  <c r="F29" i="3"/>
  <c r="E29" i="3"/>
  <c r="E21" i="3"/>
  <c r="E13" i="3"/>
  <c r="F5" i="3"/>
  <c r="Z4" i="8" l="1"/>
  <c r="AA4" i="8" l="1"/>
  <c r="AB4" i="8" l="1"/>
  <c r="AC4" i="8" l="1"/>
  <c r="AC19" i="8" s="1"/>
  <c r="AC22" i="8" l="1"/>
  <c r="AD4" i="8"/>
  <c r="AC32" i="8" l="1"/>
  <c r="AD19" i="8"/>
  <c r="AD21" i="8"/>
  <c r="AD20" i="8"/>
  <c r="AE4" i="8"/>
  <c r="AD22" i="8" l="1"/>
  <c r="AF4" i="8"/>
  <c r="AF19" i="8" s="1"/>
  <c r="AE21" i="8"/>
  <c r="AD32" i="8" l="1"/>
  <c r="AG4" i="8"/>
  <c r="AG19" i="8" s="1"/>
  <c r="AF21" i="8"/>
  <c r="AH4" i="8" l="1"/>
  <c r="AH19" i="8" s="1"/>
  <c r="AG21" i="8"/>
  <c r="AI4" i="8" l="1"/>
  <c r="AI19" i="8" s="1"/>
  <c r="AH21" i="8"/>
  <c r="AJ4" i="8" l="1"/>
  <c r="AJ19" i="8" s="1"/>
  <c r="AI21" i="8"/>
  <c r="AE30" i="8" l="1"/>
  <c r="AK4" i="8"/>
  <c r="AK19" i="8" s="1"/>
  <c r="AJ21" i="8"/>
  <c r="AE8" i="8"/>
  <c r="AE20" i="8" s="1"/>
  <c r="AE7" i="8"/>
  <c r="AL4" i="8" l="1"/>
  <c r="AL19" i="8" s="1"/>
  <c r="AK21" i="8"/>
  <c r="AE31" i="8"/>
  <c r="AF30" i="8"/>
  <c r="AF7" i="8"/>
  <c r="AE18" i="8"/>
  <c r="AF8" i="8"/>
  <c r="AF20" i="8" s="1"/>
  <c r="AE19" i="8" l="1"/>
  <c r="AF31" i="8"/>
  <c r="AG30" i="8"/>
  <c r="AM4" i="8"/>
  <c r="AM19" i="8" s="1"/>
  <c r="AL21" i="8"/>
  <c r="AG7" i="8"/>
  <c r="AF18" i="8"/>
  <c r="AG8" i="8"/>
  <c r="AG20" i="8" s="1"/>
  <c r="AE22" i="8" l="1"/>
  <c r="AE32" i="8" s="1"/>
  <c r="AN4" i="8"/>
  <c r="AN19" i="8" s="1"/>
  <c r="AM21" i="8"/>
  <c r="AG31" i="8"/>
  <c r="AH30" i="8"/>
  <c r="AF22" i="8"/>
  <c r="AH8" i="8"/>
  <c r="AH20" i="8" s="1"/>
  <c r="AH7" i="8"/>
  <c r="AG18" i="8"/>
  <c r="AH31" i="8" l="1"/>
  <c r="AI30" i="8"/>
  <c r="AO4" i="8"/>
  <c r="AO19" i="8" s="1"/>
  <c r="AN21" i="8"/>
  <c r="AG22" i="8"/>
  <c r="AF32" i="8"/>
  <c r="AI8" i="8"/>
  <c r="AI20" i="8" s="1"/>
  <c r="AI7" i="8"/>
  <c r="AH18" i="8"/>
  <c r="AP4" i="8" l="1"/>
  <c r="AP19" i="8" s="1"/>
  <c r="AO21" i="8"/>
  <c r="AI31" i="8"/>
  <c r="AJ30" i="8"/>
  <c r="AH22" i="8"/>
  <c r="AH32" i="8" s="1"/>
  <c r="AG32" i="8"/>
  <c r="AJ7" i="8"/>
  <c r="AI18" i="8"/>
  <c r="AJ8" i="8"/>
  <c r="AJ20" i="8" s="1"/>
  <c r="AJ31" i="8" l="1"/>
  <c r="AK30" i="8"/>
  <c r="AQ4" i="8"/>
  <c r="AQ19" i="8" s="1"/>
  <c r="AP21" i="8"/>
  <c r="AI22" i="8"/>
  <c r="AK8" i="8"/>
  <c r="AK20" i="8" s="1"/>
  <c r="AK7" i="8"/>
  <c r="AJ18" i="8"/>
  <c r="AR4" i="8" l="1"/>
  <c r="AR19" i="8" s="1"/>
  <c r="AQ21" i="8"/>
  <c r="AK31" i="8"/>
  <c r="AL30" i="8"/>
  <c r="AI32" i="8"/>
  <c r="AJ22" i="8"/>
  <c r="AL7" i="8"/>
  <c r="AK18" i="8"/>
  <c r="AL8" i="8"/>
  <c r="AL20" i="8" s="1"/>
  <c r="AL31" i="8" l="1"/>
  <c r="AM30" i="8"/>
  <c r="AS4" i="8"/>
  <c r="AS19" i="8" s="1"/>
  <c r="AR21" i="8"/>
  <c r="AJ32" i="8"/>
  <c r="AK22" i="8"/>
  <c r="AM8" i="8"/>
  <c r="AM20" i="8" s="1"/>
  <c r="AM7" i="8"/>
  <c r="AL18" i="8"/>
  <c r="AL22" i="8" l="1"/>
  <c r="AL32" i="8" s="1"/>
  <c r="AT4" i="8"/>
  <c r="AT19" i="8" s="1"/>
  <c r="AS21" i="8"/>
  <c r="AM31" i="8"/>
  <c r="AN30" i="8"/>
  <c r="AK32" i="8"/>
  <c r="AN8" i="8"/>
  <c r="AN20" i="8" s="1"/>
  <c r="AN7" i="8"/>
  <c r="AM18" i="8"/>
  <c r="AN31" i="8" l="1"/>
  <c r="AO30" i="8"/>
  <c r="AU4" i="8"/>
  <c r="AU19" i="8" s="1"/>
  <c r="AT21" i="8"/>
  <c r="AM22" i="8"/>
  <c r="AO8" i="8"/>
  <c r="AO20" i="8" s="1"/>
  <c r="AO7" i="8"/>
  <c r="AN18" i="8"/>
  <c r="AV4" i="8" l="1"/>
  <c r="AV19" i="8" s="1"/>
  <c r="AU21" i="8"/>
  <c r="AO31" i="8"/>
  <c r="AP30" i="8"/>
  <c r="AM32" i="8"/>
  <c r="AN22" i="8"/>
  <c r="AP7" i="8"/>
  <c r="AO18" i="8"/>
  <c r="AP8" i="8"/>
  <c r="AP20" i="8" s="1"/>
  <c r="AO22" i="8" l="1"/>
  <c r="AO32" i="8" s="1"/>
  <c r="AP31" i="8"/>
  <c r="AQ30" i="8"/>
  <c r="AW4" i="8"/>
  <c r="AW19" i="8" s="1"/>
  <c r="AV21" i="8"/>
  <c r="AN32" i="8"/>
  <c r="AQ8" i="8"/>
  <c r="AQ20" i="8" s="1"/>
  <c r="AQ7" i="8"/>
  <c r="AP18" i="8"/>
  <c r="AX4" i="8" l="1"/>
  <c r="AX19" i="8" s="1"/>
  <c r="AW21" i="8"/>
  <c r="AQ31" i="8"/>
  <c r="AR30" i="8"/>
  <c r="AP22" i="8"/>
  <c r="AR7" i="8"/>
  <c r="AQ18" i="8"/>
  <c r="AR8" i="8"/>
  <c r="AR20" i="8" s="1"/>
  <c r="AR31" i="8" l="1"/>
  <c r="AS30" i="8"/>
  <c r="AY4" i="8"/>
  <c r="AY19" i="8" s="1"/>
  <c r="AX21" i="8"/>
  <c r="AP32" i="8"/>
  <c r="AQ22" i="8"/>
  <c r="AS7" i="8"/>
  <c r="AR18" i="8"/>
  <c r="AS8" i="8"/>
  <c r="AS20" i="8" s="1"/>
  <c r="AR22" i="8"/>
  <c r="AZ4" i="8" l="1"/>
  <c r="AZ19" i="8" s="1"/>
  <c r="AY21" i="8"/>
  <c r="AS31" i="8"/>
  <c r="AT30" i="8"/>
  <c r="AQ32" i="8"/>
  <c r="AR32" i="8"/>
  <c r="AT8" i="8"/>
  <c r="AT20" i="8" s="1"/>
  <c r="AT7" i="8"/>
  <c r="AS18" i="8"/>
  <c r="AT31" i="8" l="1"/>
  <c r="AU30" i="8"/>
  <c r="BA4" i="8"/>
  <c r="BA19" i="8" s="1"/>
  <c r="AZ21" i="8"/>
  <c r="AS22" i="8"/>
  <c r="AU7" i="8"/>
  <c r="AT18" i="8"/>
  <c r="AU8" i="8"/>
  <c r="AU20" i="8" s="1"/>
  <c r="AT22" i="8"/>
  <c r="BB4" i="8" l="1"/>
  <c r="BB19" i="8" s="1"/>
  <c r="BA21" i="8"/>
  <c r="AU31" i="8"/>
  <c r="AV30" i="8"/>
  <c r="AT32" i="8"/>
  <c r="AS32" i="8"/>
  <c r="AV8" i="8"/>
  <c r="AV20" i="8" s="1"/>
  <c r="AV7" i="8"/>
  <c r="AU18" i="8"/>
  <c r="AV31" i="8" l="1"/>
  <c r="AW30" i="8"/>
  <c r="BC4" i="8"/>
  <c r="BC19" i="8" s="1"/>
  <c r="BB21" i="8"/>
  <c r="AU22" i="8"/>
  <c r="AW7" i="8"/>
  <c r="AV18" i="8"/>
  <c r="AW8" i="8"/>
  <c r="AW20" i="8" s="1"/>
  <c r="BD4" i="8" l="1"/>
  <c r="BD19" i="8" s="1"/>
  <c r="BC21" i="8"/>
  <c r="AW31" i="8"/>
  <c r="AX30" i="8"/>
  <c r="AU32" i="8"/>
  <c r="AV22" i="8"/>
  <c r="AX8" i="8"/>
  <c r="AX20" i="8" s="1"/>
  <c r="AX7" i="8"/>
  <c r="AW18" i="8"/>
  <c r="AX31" i="8" l="1"/>
  <c r="AY30" i="8"/>
  <c r="BE4" i="8"/>
  <c r="BE19" i="8" s="1"/>
  <c r="BD21" i="8"/>
  <c r="AW22" i="8"/>
  <c r="AW32" i="8" s="1"/>
  <c r="AV32" i="8"/>
  <c r="AY7" i="8"/>
  <c r="AX18" i="8"/>
  <c r="AY8" i="8"/>
  <c r="AY20" i="8" s="1"/>
  <c r="BF4" i="8" l="1"/>
  <c r="BF19" i="8" s="1"/>
  <c r="BE21" i="8"/>
  <c r="AY31" i="8"/>
  <c r="AZ30" i="8"/>
  <c r="AX22" i="8"/>
  <c r="AZ8" i="8"/>
  <c r="AZ20" i="8" s="1"/>
  <c r="AZ7" i="8"/>
  <c r="AY18" i="8"/>
  <c r="AY22" i="8" l="1"/>
  <c r="AY32" i="8" s="1"/>
  <c r="AZ31" i="8"/>
  <c r="BA30" i="8"/>
  <c r="BG4" i="8"/>
  <c r="BG19" i="8" s="1"/>
  <c r="BF21" i="8"/>
  <c r="AX32" i="8"/>
  <c r="BA7" i="8"/>
  <c r="AZ18" i="8"/>
  <c r="BA8" i="8"/>
  <c r="BA20" i="8" s="1"/>
  <c r="BH4" i="8" l="1"/>
  <c r="BH19" i="8" s="1"/>
  <c r="BG21" i="8"/>
  <c r="BA31" i="8"/>
  <c r="BB30" i="8"/>
  <c r="AZ22" i="8"/>
  <c r="BB8" i="8"/>
  <c r="BB20" i="8" s="1"/>
  <c r="BB7" i="8"/>
  <c r="BA18" i="8"/>
  <c r="BB31" i="8" l="1"/>
  <c r="BC30" i="8"/>
  <c r="BI4" i="8"/>
  <c r="BI19" i="8" s="1"/>
  <c r="BH21" i="8"/>
  <c r="BA22" i="8"/>
  <c r="AZ32" i="8"/>
  <c r="BC7" i="8"/>
  <c r="BB18" i="8"/>
  <c r="BC8" i="8"/>
  <c r="BC20" i="8" s="1"/>
  <c r="BJ4" i="8" l="1"/>
  <c r="BJ19" i="8" s="1"/>
  <c r="BI21" i="8"/>
  <c r="BC31" i="8"/>
  <c r="BD30" i="8"/>
  <c r="BA32" i="8"/>
  <c r="BB22" i="8"/>
  <c r="BD8" i="8"/>
  <c r="BD20" i="8" s="1"/>
  <c r="BD7" i="8"/>
  <c r="BC18" i="8"/>
  <c r="BD31" i="8" l="1"/>
  <c r="BE30" i="8"/>
  <c r="BK4" i="8"/>
  <c r="BK19" i="8" s="1"/>
  <c r="BJ21" i="8"/>
  <c r="BC22" i="8"/>
  <c r="BB32" i="8"/>
  <c r="BE8" i="8"/>
  <c r="BE20" i="8" s="1"/>
  <c r="BE7" i="8"/>
  <c r="BD18" i="8"/>
  <c r="BC32" i="8" l="1"/>
  <c r="BL4" i="8"/>
  <c r="BL19" i="8" s="1"/>
  <c r="BK21" i="8"/>
  <c r="BE31" i="8"/>
  <c r="BF30" i="8"/>
  <c r="BD22" i="8"/>
  <c r="BF7" i="8"/>
  <c r="BE18" i="8"/>
  <c r="BE22" i="8" s="1"/>
  <c r="BF8" i="8"/>
  <c r="BF20" i="8" s="1"/>
  <c r="BD32" i="8" l="1"/>
  <c r="BF31" i="8"/>
  <c r="BG30" i="8"/>
  <c r="BM4" i="8"/>
  <c r="BM19" i="8" s="1"/>
  <c r="BL21" i="8"/>
  <c r="BE32" i="8"/>
  <c r="BG8" i="8"/>
  <c r="BG20" i="8" s="1"/>
  <c r="BG7" i="8"/>
  <c r="BF18" i="8"/>
  <c r="BN4" i="8" l="1"/>
  <c r="BN19" i="8" s="1"/>
  <c r="BM21" i="8"/>
  <c r="BG31" i="8"/>
  <c r="BH30" i="8"/>
  <c r="BF22" i="8"/>
  <c r="BH8" i="8"/>
  <c r="BH20" i="8" s="1"/>
  <c r="BH7" i="8"/>
  <c r="BG18" i="8"/>
  <c r="BH31" i="8" l="1"/>
  <c r="BI30" i="8"/>
  <c r="BO4" i="8"/>
  <c r="BO19" i="8" s="1"/>
  <c r="BN21" i="8"/>
  <c r="BF32" i="8"/>
  <c r="BG22" i="8"/>
  <c r="BI8" i="8"/>
  <c r="BI20" i="8" s="1"/>
  <c r="BI7" i="8"/>
  <c r="BH18" i="8"/>
  <c r="BP4" i="8" l="1"/>
  <c r="BP19" i="8" s="1"/>
  <c r="BO21" i="8"/>
  <c r="BI31" i="8"/>
  <c r="BJ30" i="8"/>
  <c r="BH22" i="8"/>
  <c r="BG32" i="8"/>
  <c r="BJ7" i="8"/>
  <c r="BI18" i="8"/>
  <c r="BJ8" i="8"/>
  <c r="BJ20" i="8" s="1"/>
  <c r="BH32" i="8" l="1"/>
  <c r="BJ31" i="8"/>
  <c r="BK30" i="8"/>
  <c r="BQ4" i="8"/>
  <c r="BQ19" i="8" s="1"/>
  <c r="BP21" i="8"/>
  <c r="BI22" i="8"/>
  <c r="BK8" i="8"/>
  <c r="BK20" i="8" s="1"/>
  <c r="BK7" i="8"/>
  <c r="BJ18" i="8"/>
  <c r="BR4" i="8" l="1"/>
  <c r="BR19" i="8" s="1"/>
  <c r="BQ21" i="8"/>
  <c r="BK31" i="8"/>
  <c r="BL30" i="8"/>
  <c r="BJ22" i="8"/>
  <c r="BI32" i="8"/>
  <c r="BL7" i="8"/>
  <c r="BK18" i="8"/>
  <c r="BL8" i="8"/>
  <c r="BL20" i="8" s="1"/>
  <c r="BJ32" i="8" l="1"/>
  <c r="BL31" i="8"/>
  <c r="BM30" i="8"/>
  <c r="BS4" i="8"/>
  <c r="BS19" i="8" s="1"/>
  <c r="BR21" i="8"/>
  <c r="BK22" i="8"/>
  <c r="BM7" i="8"/>
  <c r="BL18" i="8"/>
  <c r="BM8" i="8"/>
  <c r="BM20" i="8" s="1"/>
  <c r="BT4" i="8" l="1"/>
  <c r="BT19" i="8" s="1"/>
  <c r="BS21" i="8"/>
  <c r="BM31" i="8"/>
  <c r="BN30" i="8"/>
  <c r="BK32" i="8"/>
  <c r="BL22" i="8"/>
  <c r="BN8" i="8"/>
  <c r="BN20" i="8" s="1"/>
  <c r="BN7" i="8"/>
  <c r="BM18" i="8"/>
  <c r="BN31" i="8" l="1"/>
  <c r="BO30" i="8"/>
  <c r="BU4" i="8"/>
  <c r="BU19" i="8" s="1"/>
  <c r="BT21" i="8"/>
  <c r="BL32" i="8"/>
  <c r="BM22" i="8"/>
  <c r="BO8" i="8"/>
  <c r="BO20" i="8" s="1"/>
  <c r="BO7" i="8"/>
  <c r="BN18" i="8"/>
  <c r="BV4" i="8" l="1"/>
  <c r="BV19" i="8" s="1"/>
  <c r="BU21" i="8"/>
  <c r="BO31" i="8"/>
  <c r="BP30" i="8"/>
  <c r="BN22" i="8"/>
  <c r="BM32" i="8"/>
  <c r="BP7" i="8"/>
  <c r="BO18" i="8"/>
  <c r="BP8" i="8"/>
  <c r="BP20" i="8" s="1"/>
  <c r="BP31" i="8" l="1"/>
  <c r="BQ30" i="8"/>
  <c r="BW4" i="8"/>
  <c r="BW19" i="8" s="1"/>
  <c r="BV21" i="8"/>
  <c r="BN32" i="8"/>
  <c r="BO22" i="8"/>
  <c r="BQ7" i="8"/>
  <c r="BP18" i="8"/>
  <c r="BQ8" i="8"/>
  <c r="BQ20" i="8" s="1"/>
  <c r="BX4" i="8" l="1"/>
  <c r="BX19" i="8" s="1"/>
  <c r="BW21" i="8"/>
  <c r="BQ31" i="8"/>
  <c r="BR30" i="8"/>
  <c r="BO32" i="8"/>
  <c r="BP22" i="8"/>
  <c r="BR8" i="8"/>
  <c r="BR20" i="8" s="1"/>
  <c r="BR7" i="8"/>
  <c r="BQ18" i="8"/>
  <c r="BQ22" i="8" l="1"/>
  <c r="BQ32" i="8" s="1"/>
  <c r="BR31" i="8"/>
  <c r="BS30" i="8"/>
  <c r="BY4" i="8"/>
  <c r="BY19" i="8" s="1"/>
  <c r="BX21" i="8"/>
  <c r="BP32" i="8"/>
  <c r="BS7" i="8"/>
  <c r="BR18" i="8"/>
  <c r="BS8" i="8"/>
  <c r="BS20" i="8" s="1"/>
  <c r="BZ4" i="8" l="1"/>
  <c r="BZ19" i="8" s="1"/>
  <c r="BY21" i="8"/>
  <c r="BS31" i="8"/>
  <c r="BT30" i="8"/>
  <c r="BR22" i="8"/>
  <c r="BT8" i="8"/>
  <c r="BT20" i="8" s="1"/>
  <c r="BT7" i="8"/>
  <c r="BS18" i="8"/>
  <c r="BT31" i="8" l="1"/>
  <c r="BU30" i="8"/>
  <c r="CA4" i="8"/>
  <c r="CA19" i="8" s="1"/>
  <c r="BZ21" i="8"/>
  <c r="BS22" i="8"/>
  <c r="BS32" i="8" s="1"/>
  <c r="BR32" i="8"/>
  <c r="BU7" i="8"/>
  <c r="BT18" i="8"/>
  <c r="BU8" i="8"/>
  <c r="BU20" i="8" s="1"/>
  <c r="CB4" i="8" l="1"/>
  <c r="CB19" i="8" s="1"/>
  <c r="CA21" i="8"/>
  <c r="BU31" i="8"/>
  <c r="BV30" i="8"/>
  <c r="BT22" i="8"/>
  <c r="BV8" i="8"/>
  <c r="BV20" i="8" s="1"/>
  <c r="BV7" i="8"/>
  <c r="BU18" i="8"/>
  <c r="BV31" i="8" l="1"/>
  <c r="BW30" i="8"/>
  <c r="CC4" i="8"/>
  <c r="CC19" i="8" s="1"/>
  <c r="CB21" i="8"/>
  <c r="BT32" i="8"/>
  <c r="BU22" i="8"/>
  <c r="BW7" i="8"/>
  <c r="BV18" i="8"/>
  <c r="BV22" i="8" s="1"/>
  <c r="BW8" i="8"/>
  <c r="BW20" i="8" s="1"/>
  <c r="CD4" i="8" l="1"/>
  <c r="CD19" i="8" s="1"/>
  <c r="CC21" i="8"/>
  <c r="BW31" i="8"/>
  <c r="BX30" i="8"/>
  <c r="BV32" i="8"/>
  <c r="BU32" i="8"/>
  <c r="BX7" i="8"/>
  <c r="BW18" i="8"/>
  <c r="BX8" i="8"/>
  <c r="BX20" i="8" s="1"/>
  <c r="BW22" i="8"/>
  <c r="BX31" i="8" l="1"/>
  <c r="BY30" i="8"/>
  <c r="CE4" i="8"/>
  <c r="CE19" i="8" s="1"/>
  <c r="CD21" i="8"/>
  <c r="BW32" i="8"/>
  <c r="BY8" i="8"/>
  <c r="BY20" i="8" s="1"/>
  <c r="BY7" i="8"/>
  <c r="BX18" i="8"/>
  <c r="CF4" i="8" l="1"/>
  <c r="CF19" i="8" s="1"/>
  <c r="CE21" i="8"/>
  <c r="BY31" i="8"/>
  <c r="BZ30" i="8"/>
  <c r="BX22" i="8"/>
  <c r="BZ7" i="8"/>
  <c r="BY18" i="8"/>
  <c r="BZ8" i="8"/>
  <c r="BZ20" i="8" s="1"/>
  <c r="BY22" i="8" l="1"/>
  <c r="BY32" i="8" s="1"/>
  <c r="BZ31" i="8"/>
  <c r="CA30" i="8"/>
  <c r="CG4" i="8"/>
  <c r="CG19" i="8" s="1"/>
  <c r="CF21" i="8"/>
  <c r="BX32" i="8"/>
  <c r="CA8" i="8"/>
  <c r="CA20" i="8" s="1"/>
  <c r="CA7" i="8"/>
  <c r="BZ18" i="8"/>
  <c r="CH4" i="8" l="1"/>
  <c r="CH19" i="8" s="1"/>
  <c r="CG21" i="8"/>
  <c r="CA31" i="8"/>
  <c r="CB30" i="8"/>
  <c r="BZ22" i="8"/>
  <c r="CB7" i="8"/>
  <c r="CA18" i="8"/>
  <c r="CA22" i="8" s="1"/>
  <c r="CB8" i="8"/>
  <c r="CB20" i="8" s="1"/>
  <c r="CB31" i="8" l="1"/>
  <c r="CC30" i="8"/>
  <c r="CI4" i="8"/>
  <c r="CI19" i="8" s="1"/>
  <c r="CH21" i="8"/>
  <c r="CA32" i="8"/>
  <c r="BZ32" i="8"/>
  <c r="CC8" i="8"/>
  <c r="CC20" i="8" s="1"/>
  <c r="CC7" i="8"/>
  <c r="CB18" i="8"/>
  <c r="CJ4" i="8" l="1"/>
  <c r="CI21" i="8"/>
  <c r="CC31" i="8"/>
  <c r="CD30" i="8"/>
  <c r="CB22" i="8"/>
  <c r="CD8" i="8"/>
  <c r="CD20" i="8" s="1"/>
  <c r="CD7" i="8"/>
  <c r="CC18" i="8"/>
  <c r="CJ19" i="8" l="1"/>
  <c r="CK4" i="8"/>
  <c r="L14" i="6"/>
  <c r="M14" i="6"/>
  <c r="N14" i="6"/>
  <c r="O14" i="6"/>
  <c r="P14" i="6"/>
  <c r="C19" i="8"/>
  <c r="CD31" i="8"/>
  <c r="CE30" i="8"/>
  <c r="CJ21" i="8"/>
  <c r="CC22" i="8"/>
  <c r="CB32" i="8"/>
  <c r="CE7" i="8"/>
  <c r="CD18" i="8"/>
  <c r="CE8" i="8"/>
  <c r="CE20" i="8" s="1"/>
  <c r="CK19" i="8" l="1"/>
  <c r="CK21" i="8"/>
  <c r="CL4" i="8"/>
  <c r="H14" i="6"/>
  <c r="L16" i="6"/>
  <c r="M16" i="6"/>
  <c r="N16" i="6"/>
  <c r="O16" i="6"/>
  <c r="P16" i="6"/>
  <c r="CC32" i="8"/>
  <c r="C21" i="8"/>
  <c r="CE31" i="8"/>
  <c r="CF30" i="8"/>
  <c r="CD22" i="8"/>
  <c r="CF8" i="8"/>
  <c r="CF20" i="8" s="1"/>
  <c r="CF7" i="8"/>
  <c r="CE18" i="8"/>
  <c r="CM4" i="8" l="1"/>
  <c r="CL21" i="8"/>
  <c r="CL19" i="8"/>
  <c r="H16" i="6"/>
  <c r="CF31" i="8"/>
  <c r="CG30" i="8"/>
  <c r="CE22" i="8"/>
  <c r="CD32" i="8"/>
  <c r="CG7" i="8"/>
  <c r="CF18" i="8"/>
  <c r="CG8" i="8"/>
  <c r="CG20" i="8" s="1"/>
  <c r="CM21" i="8" l="1"/>
  <c r="CN4" i="8"/>
  <c r="CM19" i="8"/>
  <c r="CE32" i="8"/>
  <c r="CG31" i="8"/>
  <c r="CH30" i="8"/>
  <c r="CF22" i="8"/>
  <c r="CH7" i="8"/>
  <c r="CG18" i="8"/>
  <c r="CH8" i="8"/>
  <c r="CH20" i="8" s="1"/>
  <c r="CN21" i="8" l="1"/>
  <c r="CO4" i="8"/>
  <c r="CN19" i="8"/>
  <c r="CH31" i="8"/>
  <c r="CI30" i="8"/>
  <c r="CF32" i="8"/>
  <c r="CG22" i="8"/>
  <c r="CI7" i="8"/>
  <c r="CH18" i="8"/>
  <c r="CI8" i="8"/>
  <c r="CI20" i="8" s="1"/>
  <c r="CP4" i="8" l="1"/>
  <c r="CO21" i="8"/>
  <c r="CO19" i="8"/>
  <c r="CI31" i="8"/>
  <c r="CJ30" i="8"/>
  <c r="CG32" i="8"/>
  <c r="CH22" i="8"/>
  <c r="CJ8" i="8"/>
  <c r="CJ7" i="8"/>
  <c r="CI18" i="8"/>
  <c r="AC33" i="8"/>
  <c r="CQ4" i="8" l="1"/>
  <c r="CP19" i="8"/>
  <c r="CP21" i="8"/>
  <c r="CJ18" i="8"/>
  <c r="CK7" i="8"/>
  <c r="C30" i="8"/>
  <c r="CK30" i="8"/>
  <c r="CJ20" i="8"/>
  <c r="CJ22" i="8" s="1"/>
  <c r="CJ32" i="8" s="1"/>
  <c r="CK8" i="8"/>
  <c r="C18" i="8"/>
  <c r="C20" i="8"/>
  <c r="AD33" i="8"/>
  <c r="CJ31" i="8"/>
  <c r="C31" i="8" s="1"/>
  <c r="CI22" i="8"/>
  <c r="AC34" i="8"/>
  <c r="CH32" i="8"/>
  <c r="CR4" i="8" l="1"/>
  <c r="CQ21" i="8"/>
  <c r="CQ19" i="8"/>
  <c r="C22" i="8"/>
  <c r="CL7" i="8"/>
  <c r="CK18" i="8"/>
  <c r="CL8" i="8"/>
  <c r="CK20" i="8"/>
  <c r="CK31" i="8"/>
  <c r="CL30" i="8"/>
  <c r="CI32" i="8"/>
  <c r="C32" i="8" s="1"/>
  <c r="AC24" i="8"/>
  <c r="AC25" i="8" s="1"/>
  <c r="AD34" i="8"/>
  <c r="CR21" i="8" l="1"/>
  <c r="CR19" i="8"/>
  <c r="CS4" i="8"/>
  <c r="CM30" i="8"/>
  <c r="CL31" i="8"/>
  <c r="CK22" i="8"/>
  <c r="CM7" i="8"/>
  <c r="CL18" i="8"/>
  <c r="CM8" i="8"/>
  <c r="CL20" i="8"/>
  <c r="AC27" i="8"/>
  <c r="AD24" i="8"/>
  <c r="AD25" i="8" s="1"/>
  <c r="CS21" i="8" l="1"/>
  <c r="CT4" i="8"/>
  <c r="CS19" i="8"/>
  <c r="CL22" i="8"/>
  <c r="CL32" i="8" s="1"/>
  <c r="AC28" i="8"/>
  <c r="AC36" i="8" s="1"/>
  <c r="CN8" i="8"/>
  <c r="CM20" i="8"/>
  <c r="CN7" i="8"/>
  <c r="CM18" i="8"/>
  <c r="CK32" i="8"/>
  <c r="CN30" i="8"/>
  <c r="CM31" i="8"/>
  <c r="AD27" i="8"/>
  <c r="AD28" i="8" s="1"/>
  <c r="AE33" i="8"/>
  <c r="CT21" i="8" l="1"/>
  <c r="CT19" i="8"/>
  <c r="CU4" i="8"/>
  <c r="CM22" i="8"/>
  <c r="CO7" i="8"/>
  <c r="CN18" i="8"/>
  <c r="CO30" i="8"/>
  <c r="CN31" i="8"/>
  <c r="CM32" i="8"/>
  <c r="CO8" i="8"/>
  <c r="CN20" i="8"/>
  <c r="AD36" i="8"/>
  <c r="AF33" i="8"/>
  <c r="AE34" i="8"/>
  <c r="CU21" i="8" l="1"/>
  <c r="CU19" i="8"/>
  <c r="CV4" i="8"/>
  <c r="CP8" i="8"/>
  <c r="CO20" i="8"/>
  <c r="CO31" i="8"/>
  <c r="CP30" i="8"/>
  <c r="CN22" i="8"/>
  <c r="CO18" i="8"/>
  <c r="CP7" i="8"/>
  <c r="AE24" i="8"/>
  <c r="AE25" i="8" s="1"/>
  <c r="AE27" i="8" s="1"/>
  <c r="AG33" i="8"/>
  <c r="AF34" i="8"/>
  <c r="CW4" i="8" l="1"/>
  <c r="CV19" i="8"/>
  <c r="CV21" i="8"/>
  <c r="CO22" i="8"/>
  <c r="CO32" i="8" s="1"/>
  <c r="AE28" i="8"/>
  <c r="AE36" i="8" s="1"/>
  <c r="CP20" i="8"/>
  <c r="CQ8" i="8"/>
  <c r="CQ7" i="8"/>
  <c r="CP18" i="8"/>
  <c r="CP22" i="8" s="1"/>
  <c r="CP32" i="8" s="1"/>
  <c r="CN32" i="8"/>
  <c r="CQ30" i="8"/>
  <c r="CP31" i="8"/>
  <c r="AF24" i="8"/>
  <c r="AF25" i="8" s="1"/>
  <c r="AF27" i="8" s="1"/>
  <c r="AH33" i="8"/>
  <c r="AG34" i="8"/>
  <c r="CW19" i="8" l="1"/>
  <c r="CX4" i="8"/>
  <c r="CW21" i="8"/>
  <c r="CQ31" i="8"/>
  <c r="CR30" i="8"/>
  <c r="CR8" i="8"/>
  <c r="CQ20" i="8"/>
  <c r="CR7" i="8"/>
  <c r="CQ18" i="8"/>
  <c r="AG24" i="8"/>
  <c r="AG25" i="8" s="1"/>
  <c r="AG27" i="8" s="1"/>
  <c r="AF28" i="8"/>
  <c r="AI33" i="8"/>
  <c r="AH34" i="8"/>
  <c r="CY4" i="8" l="1"/>
  <c r="CX19" i="8"/>
  <c r="CX21" i="8"/>
  <c r="CS7" i="8"/>
  <c r="CR18" i="8"/>
  <c r="CQ22" i="8"/>
  <c r="CS8" i="8"/>
  <c r="CR20" i="8"/>
  <c r="CS30" i="8"/>
  <c r="CR31" i="8"/>
  <c r="AH24" i="8"/>
  <c r="AH25" i="8" s="1"/>
  <c r="AH27" i="8" s="1"/>
  <c r="AF36" i="8"/>
  <c r="AG28" i="8"/>
  <c r="AJ33" i="8"/>
  <c r="AI34" i="8"/>
  <c r="CY19" i="8" l="1"/>
  <c r="CZ4" i="8"/>
  <c r="CY21" i="8"/>
  <c r="CS31" i="8"/>
  <c r="CT30" i="8"/>
  <c r="CS20" i="8"/>
  <c r="CT8" i="8"/>
  <c r="CR22" i="8"/>
  <c r="CR32" i="8" s="1"/>
  <c r="CQ32" i="8"/>
  <c r="CT7" i="8"/>
  <c r="CS18" i="8"/>
  <c r="CS22" i="8" s="1"/>
  <c r="CS32" i="8" s="1"/>
  <c r="AI24" i="8"/>
  <c r="AI25" i="8" s="1"/>
  <c r="AI27" i="8" s="1"/>
  <c r="AI28" i="8" s="1"/>
  <c r="AI36" i="8" s="1"/>
  <c r="AG36" i="8"/>
  <c r="AH28" i="8"/>
  <c r="AK33" i="8"/>
  <c r="AJ34" i="8"/>
  <c r="CZ19" i="8" l="1"/>
  <c r="DA4" i="8"/>
  <c r="CZ21" i="8"/>
  <c r="CT18" i="8"/>
  <c r="CU7" i="8"/>
  <c r="CT20" i="8"/>
  <c r="CU8" i="8"/>
  <c r="CT31" i="8"/>
  <c r="CU30" i="8"/>
  <c r="AJ24" i="8"/>
  <c r="AJ25" i="8" s="1"/>
  <c r="AJ27" i="8" s="1"/>
  <c r="AH36" i="8"/>
  <c r="AL33" i="8"/>
  <c r="AK34" i="8"/>
  <c r="DA19" i="8" l="1"/>
  <c r="DB4" i="8"/>
  <c r="DA21" i="8"/>
  <c r="CV8" i="8"/>
  <c r="CU20" i="8"/>
  <c r="CT22" i="8"/>
  <c r="CT32" i="8" s="1"/>
  <c r="CV30" i="8"/>
  <c r="CU31" i="8"/>
  <c r="CU18" i="8"/>
  <c r="CU22" i="8" s="1"/>
  <c r="CU32" i="8" s="1"/>
  <c r="CV7" i="8"/>
  <c r="AK24" i="8"/>
  <c r="AK25" i="8" s="1"/>
  <c r="AK27" i="8" s="1"/>
  <c r="AJ28" i="8"/>
  <c r="AM33" i="8"/>
  <c r="AL34" i="8"/>
  <c r="DC4" i="8" l="1"/>
  <c r="DB19" i="8"/>
  <c r="DB21" i="8"/>
  <c r="CV18" i="8"/>
  <c r="CW7" i="8"/>
  <c r="CW30" i="8"/>
  <c r="CV31" i="8"/>
  <c r="CW8" i="8"/>
  <c r="CV20" i="8"/>
  <c r="AL24" i="8"/>
  <c r="AL25" i="8" s="1"/>
  <c r="AL27" i="8" s="1"/>
  <c r="AJ36" i="8"/>
  <c r="AK28" i="8"/>
  <c r="AN33" i="8"/>
  <c r="AM34" i="8"/>
  <c r="DD4" i="8" l="1"/>
  <c r="DC19" i="8"/>
  <c r="DC21" i="8"/>
  <c r="CW18" i="8"/>
  <c r="CX7" i="8"/>
  <c r="CW20" i="8"/>
  <c r="CX8" i="8"/>
  <c r="CW31" i="8"/>
  <c r="CX30" i="8"/>
  <c r="CV22" i="8"/>
  <c r="CV32" i="8" s="1"/>
  <c r="AM24" i="8"/>
  <c r="AM25" i="8" s="1"/>
  <c r="AM27" i="8" s="1"/>
  <c r="AK36" i="8"/>
  <c r="AL28" i="8"/>
  <c r="AO33" i="8"/>
  <c r="AN34" i="8"/>
  <c r="DD21" i="8" l="1"/>
  <c r="DE4" i="8"/>
  <c r="DD19" i="8"/>
  <c r="CY30" i="8"/>
  <c r="CX31" i="8"/>
  <c r="CY8" i="8"/>
  <c r="CX20" i="8"/>
  <c r="CX18" i="8"/>
  <c r="CY7" i="8"/>
  <c r="Q27" i="6"/>
  <c r="I13" i="9" s="1"/>
  <c r="CW22" i="8"/>
  <c r="CW32" i="8" s="1"/>
  <c r="AN24" i="8"/>
  <c r="AN25" i="8" s="1"/>
  <c r="AN27" i="8" s="1"/>
  <c r="AL36" i="8"/>
  <c r="AM28" i="8"/>
  <c r="AP33" i="8"/>
  <c r="AO34" i="8"/>
  <c r="DF4" i="8" l="1"/>
  <c r="DE19" i="8"/>
  <c r="DE21" i="8"/>
  <c r="CX22" i="8"/>
  <c r="CX32" i="8" s="1"/>
  <c r="CY18" i="8"/>
  <c r="CZ7" i="8"/>
  <c r="CY20" i="8"/>
  <c r="CZ8" i="8"/>
  <c r="CY31" i="8"/>
  <c r="CZ30" i="8"/>
  <c r="AO24" i="8"/>
  <c r="AO25" i="8" s="1"/>
  <c r="AM36" i="8"/>
  <c r="AN28" i="8"/>
  <c r="AQ33" i="8"/>
  <c r="AP34" i="8"/>
  <c r="DG4" i="8" l="1"/>
  <c r="DF19" i="8"/>
  <c r="DF21" i="8"/>
  <c r="DA8" i="8"/>
  <c r="CZ20" i="8"/>
  <c r="CZ31" i="8"/>
  <c r="DA30" i="8"/>
  <c r="DA7" i="8"/>
  <c r="CZ18" i="8"/>
  <c r="CY22" i="8"/>
  <c r="CY32" i="8" s="1"/>
  <c r="AP24" i="8"/>
  <c r="AP25" i="8" s="1"/>
  <c r="AO27" i="8"/>
  <c r="AN36" i="8"/>
  <c r="AR33" i="8"/>
  <c r="AQ34" i="8"/>
  <c r="DH4" i="8" l="1"/>
  <c r="DG19" i="8"/>
  <c r="DG21" i="8"/>
  <c r="CZ22" i="8"/>
  <c r="CZ32" i="8" s="1"/>
  <c r="DB8" i="8"/>
  <c r="DA20" i="8"/>
  <c r="AO28" i="8"/>
  <c r="AO36" i="8" s="1"/>
  <c r="DA18" i="8"/>
  <c r="DB7" i="8"/>
  <c r="DA31" i="8"/>
  <c r="DB30" i="8"/>
  <c r="AQ24" i="8"/>
  <c r="AQ25" i="8" s="1"/>
  <c r="AP27" i="8"/>
  <c r="AP28" i="8" s="1"/>
  <c r="AS33" i="8"/>
  <c r="AR34" i="8"/>
  <c r="DH21" i="8" l="1"/>
  <c r="DI4" i="8"/>
  <c r="DH19" i="8"/>
  <c r="DC7" i="8"/>
  <c r="DB18" i="8"/>
  <c r="DC8" i="8"/>
  <c r="DB20" i="8"/>
  <c r="DC30" i="8"/>
  <c r="DB31" i="8"/>
  <c r="DA22" i="8"/>
  <c r="DA32" i="8" s="1"/>
  <c r="AR24" i="8"/>
  <c r="AR25" i="8" s="1"/>
  <c r="AQ27" i="8"/>
  <c r="AQ28" i="8" s="1"/>
  <c r="AP36" i="8"/>
  <c r="AT33" i="8"/>
  <c r="AS34" i="8"/>
  <c r="DI21" i="8" l="1"/>
  <c r="DI19" i="8"/>
  <c r="DJ4" i="8"/>
  <c r="DC20" i="8"/>
  <c r="DD8" i="8"/>
  <c r="DC31" i="8"/>
  <c r="DD30" i="8"/>
  <c r="DB22" i="8"/>
  <c r="DB32" i="8" s="1"/>
  <c r="DC18" i="8"/>
  <c r="DD7" i="8"/>
  <c r="AS24" i="8"/>
  <c r="AS25" i="8" s="1"/>
  <c r="AS27" i="8" s="1"/>
  <c r="AQ36" i="8"/>
  <c r="AR27" i="8"/>
  <c r="AR28" i="8" s="1"/>
  <c r="AU33" i="8"/>
  <c r="AT34" i="8"/>
  <c r="DJ21" i="8" l="1"/>
  <c r="DJ19" i="8"/>
  <c r="DK4" i="8"/>
  <c r="DD18" i="8"/>
  <c r="DE7" i="8"/>
  <c r="DE30" i="8"/>
  <c r="DD31" i="8"/>
  <c r="DC22" i="8"/>
  <c r="DC32" i="8" s="1"/>
  <c r="DD20" i="8"/>
  <c r="DE8" i="8"/>
  <c r="AT24" i="8"/>
  <c r="AT25" i="8" s="1"/>
  <c r="AT27" i="8" s="1"/>
  <c r="AR36" i="8"/>
  <c r="AS28" i="8"/>
  <c r="AV33" i="8"/>
  <c r="AU34" i="8"/>
  <c r="DK21" i="8" l="1"/>
  <c r="DK19" i="8"/>
  <c r="DL4" i="8"/>
  <c r="DE20" i="8"/>
  <c r="DF8" i="8"/>
  <c r="DF7" i="8"/>
  <c r="DE18" i="8"/>
  <c r="DF30" i="8"/>
  <c r="DE31" i="8"/>
  <c r="DD22" i="8"/>
  <c r="DD32" i="8" s="1"/>
  <c r="AU24" i="8"/>
  <c r="AU25" i="8" s="1"/>
  <c r="AU27" i="8" s="1"/>
  <c r="AS36" i="8"/>
  <c r="AT28" i="8"/>
  <c r="AW33" i="8"/>
  <c r="AV34" i="8"/>
  <c r="DM4" i="8" l="1"/>
  <c r="DL21" i="8"/>
  <c r="DL19" i="8"/>
  <c r="DG30" i="8"/>
  <c r="DF31" i="8"/>
  <c r="DE22" i="8"/>
  <c r="DF20" i="8"/>
  <c r="DG8" i="8"/>
  <c r="DG7" i="8"/>
  <c r="DF18" i="8"/>
  <c r="AV24" i="8"/>
  <c r="AV25" i="8" s="1"/>
  <c r="AV27" i="8" s="1"/>
  <c r="AT36" i="8"/>
  <c r="AU28" i="8"/>
  <c r="AX33" i="8"/>
  <c r="AW34" i="8"/>
  <c r="DN4" i="8" l="1"/>
  <c r="DM21" i="8"/>
  <c r="DM19" i="8"/>
  <c r="DF22" i="8"/>
  <c r="DF32" i="8" s="1"/>
  <c r="DG18" i="8"/>
  <c r="DH7" i="8"/>
  <c r="DH8" i="8"/>
  <c r="DG20" i="8"/>
  <c r="DE32" i="8"/>
  <c r="DH30" i="8"/>
  <c r="DG31" i="8"/>
  <c r="AW24" i="8"/>
  <c r="AW25" i="8" s="1"/>
  <c r="AW27" i="8" s="1"/>
  <c r="AW28" i="8" s="1"/>
  <c r="AW36" i="8" s="1"/>
  <c r="AU36" i="8"/>
  <c r="AV28" i="8"/>
  <c r="AY33" i="8"/>
  <c r="AX34" i="8"/>
  <c r="DO4" i="8" l="1"/>
  <c r="DN19" i="8"/>
  <c r="DN21" i="8"/>
  <c r="DG22" i="8"/>
  <c r="DG32" i="8" s="1"/>
  <c r="DH31" i="8"/>
  <c r="DI30" i="8"/>
  <c r="DI8" i="8"/>
  <c r="DH20" i="8"/>
  <c r="DH18" i="8"/>
  <c r="DI7" i="8"/>
  <c r="AX24" i="8"/>
  <c r="AX25" i="8" s="1"/>
  <c r="AX27" i="8" s="1"/>
  <c r="AV36" i="8"/>
  <c r="AZ33" i="8"/>
  <c r="AY34" i="8"/>
  <c r="DO19" i="8" l="1"/>
  <c r="DP4" i="8"/>
  <c r="DO21" i="8"/>
  <c r="DH22" i="8"/>
  <c r="DI18" i="8"/>
  <c r="DJ7" i="8"/>
  <c r="DH32" i="8"/>
  <c r="DI20" i="8"/>
  <c r="DJ8" i="8"/>
  <c r="DJ30" i="8"/>
  <c r="DI31" i="8"/>
  <c r="AY24" i="8"/>
  <c r="AY25" i="8" s="1"/>
  <c r="AY27" i="8" s="1"/>
  <c r="AX28" i="8"/>
  <c r="BA33" i="8"/>
  <c r="AZ34" i="8"/>
  <c r="DP19" i="8" l="1"/>
  <c r="DQ4" i="8"/>
  <c r="DP21" i="8"/>
  <c r="DJ31" i="8"/>
  <c r="DK30" i="8"/>
  <c r="DJ20" i="8"/>
  <c r="DK8" i="8"/>
  <c r="DJ18" i="8"/>
  <c r="DJ22" i="8" s="1"/>
  <c r="DJ32" i="8" s="1"/>
  <c r="DK7" i="8"/>
  <c r="DI22" i="8"/>
  <c r="DI32" i="8" s="1"/>
  <c r="AZ24" i="8"/>
  <c r="AZ25" i="8" s="1"/>
  <c r="AZ27" i="8" s="1"/>
  <c r="AZ28" i="8" s="1"/>
  <c r="AZ36" i="8" s="1"/>
  <c r="AX36" i="8"/>
  <c r="AY28" i="8"/>
  <c r="BB33" i="8"/>
  <c r="BA34" i="8"/>
  <c r="DQ19" i="8" l="1"/>
  <c r="DR4" i="8"/>
  <c r="DQ21" i="8"/>
  <c r="DK20" i="8"/>
  <c r="DL8" i="8"/>
  <c r="DK31" i="8"/>
  <c r="DL30" i="8"/>
  <c r="DL7" i="8"/>
  <c r="DK18" i="8"/>
  <c r="BA24" i="8"/>
  <c r="AY36" i="8"/>
  <c r="BC33" i="8"/>
  <c r="BB34" i="8"/>
  <c r="DR19" i="8" l="1"/>
  <c r="DS4" i="8"/>
  <c r="DR21" i="8"/>
  <c r="BA25" i="8"/>
  <c r="BA27" i="8" s="1"/>
  <c r="DL31" i="8"/>
  <c r="DM30" i="8"/>
  <c r="DK22" i="8"/>
  <c r="DK32" i="8" s="1"/>
  <c r="DL18" i="8"/>
  <c r="DM7" i="8"/>
  <c r="DM8" i="8"/>
  <c r="DL20" i="8"/>
  <c r="BB24" i="8"/>
  <c r="BB25" i="8" s="1"/>
  <c r="BB27" i="8" s="1"/>
  <c r="BD33" i="8"/>
  <c r="BC34" i="8"/>
  <c r="DS19" i="8" l="1"/>
  <c r="DT4" i="8"/>
  <c r="DS21" i="8"/>
  <c r="BA28" i="8"/>
  <c r="BA36" i="8" s="1"/>
  <c r="DN30" i="8"/>
  <c r="DM31" i="8"/>
  <c r="DN8" i="8"/>
  <c r="DM20" i="8"/>
  <c r="DL22" i="8"/>
  <c r="DL32" i="8" s="1"/>
  <c r="DN7" i="8"/>
  <c r="DM18" i="8"/>
  <c r="DM22" i="8" s="1"/>
  <c r="DM32" i="8" s="1"/>
  <c r="BC24" i="8"/>
  <c r="BC25" i="8" s="1"/>
  <c r="BC27" i="8" s="1"/>
  <c r="BB28" i="8"/>
  <c r="BE33" i="8"/>
  <c r="BD34" i="8"/>
  <c r="DT21" i="8" l="1"/>
  <c r="DT19" i="8"/>
  <c r="DO7" i="8"/>
  <c r="DN18" i="8"/>
  <c r="DO8" i="8"/>
  <c r="DN20" i="8"/>
  <c r="DO30" i="8"/>
  <c r="DN31" i="8"/>
  <c r="BD24" i="8"/>
  <c r="BD25" i="8" s="1"/>
  <c r="BD27" i="8" s="1"/>
  <c r="BB36" i="8"/>
  <c r="BC28" i="8"/>
  <c r="BF33" i="8"/>
  <c r="BE34" i="8"/>
  <c r="Q14" i="6" l="1"/>
  <c r="R14" i="6"/>
  <c r="S14" i="6"/>
  <c r="Q16" i="6"/>
  <c r="R16" i="6"/>
  <c r="S16" i="6"/>
  <c r="BD28" i="8"/>
  <c r="BD36" i="8" s="1"/>
  <c r="DP30" i="8"/>
  <c r="DO31" i="8"/>
  <c r="DO20" i="8"/>
  <c r="DP8" i="8"/>
  <c r="DN22" i="8"/>
  <c r="DN32" i="8" s="1"/>
  <c r="DO18" i="8"/>
  <c r="DP7" i="8"/>
  <c r="BE24" i="8"/>
  <c r="BE25" i="8" s="1"/>
  <c r="BC36" i="8"/>
  <c r="BG33" i="8"/>
  <c r="BF34" i="8"/>
  <c r="DO22" i="8" l="1"/>
  <c r="DO32" i="8" s="1"/>
  <c r="DQ7" i="8"/>
  <c r="DP18" i="8"/>
  <c r="DQ8" i="8"/>
  <c r="DP20" i="8"/>
  <c r="DP31" i="8"/>
  <c r="DQ30" i="8"/>
  <c r="BF24" i="8"/>
  <c r="BE27" i="8"/>
  <c r="BF25" i="8"/>
  <c r="BH33" i="8"/>
  <c r="BG34" i="8"/>
  <c r="DP22" i="8" l="1"/>
  <c r="DR30" i="8"/>
  <c r="DQ31" i="8"/>
  <c r="DR8" i="8"/>
  <c r="DQ20" i="8"/>
  <c r="DQ18" i="8"/>
  <c r="DR7" i="8"/>
  <c r="BG24" i="8"/>
  <c r="BG25" i="8" s="1"/>
  <c r="BF27" i="8"/>
  <c r="BF28" i="8" s="1"/>
  <c r="BF36" i="8" s="1"/>
  <c r="BE28" i="8"/>
  <c r="BI33" i="8"/>
  <c r="BH34" i="8"/>
  <c r="DQ22" i="8" l="1"/>
  <c r="DR18" i="8"/>
  <c r="DS7" i="8"/>
  <c r="DQ32" i="8"/>
  <c r="DS8" i="8"/>
  <c r="DR20" i="8"/>
  <c r="DS30" i="8"/>
  <c r="DR31" i="8"/>
  <c r="DP32" i="8"/>
  <c r="BH24" i="8"/>
  <c r="BH25" i="8" s="1"/>
  <c r="BG27" i="8"/>
  <c r="BE36" i="8"/>
  <c r="BJ33" i="8"/>
  <c r="BI34" i="8"/>
  <c r="DT30" i="8" l="1"/>
  <c r="DS31" i="8"/>
  <c r="DT8" i="8"/>
  <c r="DT20" i="8" s="1"/>
  <c r="DS20" i="8"/>
  <c r="DS18" i="8"/>
  <c r="DT7" i="8"/>
  <c r="DT18" i="8" s="1"/>
  <c r="DR22" i="8"/>
  <c r="BI24" i="8"/>
  <c r="BI25" i="8" s="1"/>
  <c r="BI27" i="8" s="1"/>
  <c r="BI28" i="8" s="1"/>
  <c r="BI36" i="8" s="1"/>
  <c r="BH27" i="8"/>
  <c r="BH28" i="8" s="1"/>
  <c r="BH36" i="8" s="1"/>
  <c r="BG28" i="8"/>
  <c r="BK33" i="8"/>
  <c r="BJ34" i="8"/>
  <c r="DS22" i="8" l="1"/>
  <c r="DR32" i="8"/>
  <c r="DT22" i="8"/>
  <c r="L13" i="6"/>
  <c r="M13" i="6"/>
  <c r="N13" i="6"/>
  <c r="O13" i="6"/>
  <c r="P13" i="6"/>
  <c r="Q13" i="6"/>
  <c r="I4" i="9" s="1"/>
  <c r="R13" i="6"/>
  <c r="S13" i="6"/>
  <c r="DS32" i="8"/>
  <c r="L15" i="6"/>
  <c r="M15" i="6"/>
  <c r="N15" i="6"/>
  <c r="O15" i="6"/>
  <c r="P15" i="6"/>
  <c r="Q15" i="6"/>
  <c r="I5" i="9" s="1"/>
  <c r="R15" i="6"/>
  <c r="S15" i="6"/>
  <c r="DT31" i="8"/>
  <c r="L25" i="6"/>
  <c r="M25" i="6"/>
  <c r="N25" i="6"/>
  <c r="O25" i="6"/>
  <c r="P25" i="6"/>
  <c r="Q25" i="6"/>
  <c r="I11" i="9" s="1"/>
  <c r="R25" i="6"/>
  <c r="S25" i="6"/>
  <c r="BJ24" i="8"/>
  <c r="BJ25" i="8" s="1"/>
  <c r="BJ27" i="8" s="1"/>
  <c r="BJ28" i="8" s="1"/>
  <c r="BG36" i="8"/>
  <c r="BL33" i="8"/>
  <c r="BK34" i="8"/>
  <c r="J5" i="9" l="1"/>
  <c r="S17" i="6"/>
  <c r="R17" i="6"/>
  <c r="Q17" i="6"/>
  <c r="J4" i="9"/>
  <c r="J11" i="9"/>
  <c r="O17" i="6"/>
  <c r="P17" i="6"/>
  <c r="H25" i="6"/>
  <c r="H15" i="6"/>
  <c r="N17" i="6"/>
  <c r="DT32" i="8"/>
  <c r="S27" i="6" s="1"/>
  <c r="L26" i="6"/>
  <c r="M26" i="6"/>
  <c r="N26" i="6"/>
  <c r="O26" i="6"/>
  <c r="P26" i="6"/>
  <c r="Q26" i="6"/>
  <c r="I12" i="9" s="1"/>
  <c r="R26" i="6"/>
  <c r="S26" i="6"/>
  <c r="L17" i="6"/>
  <c r="H13" i="6"/>
  <c r="M17" i="6"/>
  <c r="BK24" i="8"/>
  <c r="BK25" i="8" s="1"/>
  <c r="BJ36" i="8"/>
  <c r="BM33" i="8"/>
  <c r="BL34" i="8"/>
  <c r="J12" i="9" l="1"/>
  <c r="H26" i="6"/>
  <c r="H17" i="6"/>
  <c r="L27" i="6"/>
  <c r="M27" i="6"/>
  <c r="N27" i="6"/>
  <c r="O27" i="6"/>
  <c r="P27" i="6"/>
  <c r="J13" i="9" s="1"/>
  <c r="R27" i="6"/>
  <c r="BK27" i="8"/>
  <c r="BK28" i="8" s="1"/>
  <c r="BK36" i="8" s="1"/>
  <c r="BL24" i="8"/>
  <c r="BL25" i="8" s="1"/>
  <c r="BN33" i="8"/>
  <c r="BM34" i="8"/>
  <c r="BL27" i="8" l="1"/>
  <c r="BL28" i="8" s="1"/>
  <c r="BL36" i="8" s="1"/>
  <c r="BM24" i="8"/>
  <c r="BM25" i="8" s="1"/>
  <c r="BM27" i="8" s="1"/>
  <c r="BO33" i="8"/>
  <c r="BN34" i="8"/>
  <c r="BM28" i="8" l="1"/>
  <c r="BM36" i="8" s="1"/>
  <c r="BN24" i="8"/>
  <c r="BN25" i="8" s="1"/>
  <c r="BN27" i="8" s="1"/>
  <c r="BN28" i="8" s="1"/>
  <c r="BP33" i="8"/>
  <c r="BO34" i="8"/>
  <c r="BO24" i="8" l="1"/>
  <c r="BN36" i="8"/>
  <c r="BO25" i="8"/>
  <c r="BO27" i="8" s="1"/>
  <c r="BO28" i="8" s="1"/>
  <c r="BQ33" i="8"/>
  <c r="BP34" i="8"/>
  <c r="BP24" i="8" l="1"/>
  <c r="BP25" i="8" s="1"/>
  <c r="BP27" i="8" s="1"/>
  <c r="BO36" i="8"/>
  <c r="BR33" i="8"/>
  <c r="BQ34" i="8"/>
  <c r="BP28" i="8" l="1"/>
  <c r="BQ24" i="8"/>
  <c r="BP36" i="8"/>
  <c r="BQ25" i="8"/>
  <c r="BQ27" i="8"/>
  <c r="BQ28" i="8" s="1"/>
  <c r="BS33" i="8"/>
  <c r="BR34" i="8"/>
  <c r="BR24" i="8" l="1"/>
  <c r="BR25" i="8" s="1"/>
  <c r="BQ36" i="8"/>
  <c r="BT33" i="8"/>
  <c r="BS34" i="8"/>
  <c r="BR27" i="8" l="1"/>
  <c r="BR28" i="8" s="1"/>
  <c r="BR36" i="8" s="1"/>
  <c r="BS24" i="8"/>
  <c r="BS25" i="8" s="1"/>
  <c r="BS27" i="8" s="1"/>
  <c r="BS28" i="8" s="1"/>
  <c r="BU33" i="8"/>
  <c r="BT34" i="8"/>
  <c r="BT24" i="8" l="1"/>
  <c r="BS36" i="8"/>
  <c r="BT25" i="8"/>
  <c r="BT27" i="8" s="1"/>
  <c r="BV33" i="8"/>
  <c r="BU34" i="8"/>
  <c r="BU24" i="8" l="1"/>
  <c r="BU25" i="8" s="1"/>
  <c r="BT28" i="8"/>
  <c r="BW33" i="8"/>
  <c r="BV34" i="8"/>
  <c r="BV24" i="8" l="1"/>
  <c r="BV25" i="8" s="1"/>
  <c r="BU27" i="8"/>
  <c r="BU28" i="8" s="1"/>
  <c r="BT36" i="8"/>
  <c r="BX33" i="8"/>
  <c r="BW34" i="8"/>
  <c r="BW24" i="8" l="1"/>
  <c r="BW25" i="8" s="1"/>
  <c r="BU36" i="8"/>
  <c r="BV27" i="8"/>
  <c r="BV28" i="8" s="1"/>
  <c r="BY33" i="8"/>
  <c r="BX34" i="8"/>
  <c r="BX24" i="8" l="1"/>
  <c r="BW27" i="8"/>
  <c r="BW28" i="8" s="1"/>
  <c r="BV36" i="8"/>
  <c r="BX25" i="8"/>
  <c r="BZ33" i="8"/>
  <c r="BY34" i="8"/>
  <c r="BY24" i="8" l="1"/>
  <c r="BW36" i="8"/>
  <c r="BX27" i="8"/>
  <c r="CA33" i="8"/>
  <c r="BZ34" i="8"/>
  <c r="BY25" i="8" l="1"/>
  <c r="BY27" i="8" s="1"/>
  <c r="BZ24" i="8"/>
  <c r="BZ25" i="8" s="1"/>
  <c r="BZ27" i="8" s="1"/>
  <c r="BX28" i="8"/>
  <c r="CB33" i="8"/>
  <c r="CA34" i="8"/>
  <c r="BY28" i="8" l="1"/>
  <c r="BY36" i="8" s="1"/>
  <c r="BY47" i="8" s="1"/>
  <c r="CA24" i="8"/>
  <c r="BX36" i="8"/>
  <c r="CA25" i="8"/>
  <c r="CA27" i="8" s="1"/>
  <c r="CA28" i="8" s="1"/>
  <c r="CA36" i="8" s="1"/>
  <c r="CA47" i="8" s="1"/>
  <c r="BZ28" i="8"/>
  <c r="CC33" i="8"/>
  <c r="CB34" i="8"/>
  <c r="CB24" i="8" l="1"/>
  <c r="BZ36" i="8"/>
  <c r="BZ47" i="8" s="1"/>
  <c r="CD33" i="8"/>
  <c r="CC34" i="8"/>
  <c r="CB25" i="8" l="1"/>
  <c r="CB27" i="8" s="1"/>
  <c r="CC24" i="8"/>
  <c r="CC25" i="8"/>
  <c r="CC27" i="8" s="1"/>
  <c r="CC28" i="8" s="1"/>
  <c r="CC36" i="8" s="1"/>
  <c r="CC47" i="8" s="1"/>
  <c r="CB28" i="8"/>
  <c r="CE33" i="8"/>
  <c r="CD34" i="8"/>
  <c r="CD24" i="8" l="1"/>
  <c r="CB36" i="8"/>
  <c r="CB47" i="8" s="1"/>
  <c r="CF33" i="8"/>
  <c r="CE34" i="8"/>
  <c r="CD25" i="8" l="1"/>
  <c r="CD27" i="8" s="1"/>
  <c r="CE24" i="8"/>
  <c r="CE25" i="8" s="1"/>
  <c r="CE27" i="8" s="1"/>
  <c r="CE28" i="8" s="1"/>
  <c r="CG33" i="8"/>
  <c r="CF34" i="8"/>
  <c r="CD28" i="8" l="1"/>
  <c r="CD36" i="8" s="1"/>
  <c r="CD47" i="8" s="1"/>
  <c r="CF24" i="8"/>
  <c r="CF25" i="8" s="1"/>
  <c r="CF27" i="8" s="1"/>
  <c r="CF28" i="8" s="1"/>
  <c r="CE36" i="8"/>
  <c r="CE47" i="8" s="1"/>
  <c r="CH33" i="8"/>
  <c r="CG34" i="8"/>
  <c r="CG24" i="8" l="1"/>
  <c r="CF36" i="8"/>
  <c r="CF47" i="8" s="1"/>
  <c r="CG25" i="8"/>
  <c r="CG27" i="8" s="1"/>
  <c r="CI33" i="8"/>
  <c r="CH34" i="8"/>
  <c r="CH24" i="8" l="1"/>
  <c r="CH25" i="8" s="1"/>
  <c r="CH27" i="8" s="1"/>
  <c r="CG28" i="8"/>
  <c r="CJ33" i="8"/>
  <c r="CI34" i="8"/>
  <c r="C33" i="8" l="1"/>
  <c r="CK33" i="8"/>
  <c r="CI24" i="8"/>
  <c r="CI25" i="8" s="1"/>
  <c r="CI27" i="8" s="1"/>
  <c r="CG36" i="8"/>
  <c r="CG47" i="8" s="1"/>
  <c r="CJ34" i="8"/>
  <c r="CH28" i="8"/>
  <c r="CL33" i="8" l="1"/>
  <c r="CK34" i="8"/>
  <c r="CK24" i="8" s="1"/>
  <c r="CH36" i="8"/>
  <c r="CH47" i="8" s="1"/>
  <c r="CJ24" i="8"/>
  <c r="C24" i="8" s="1"/>
  <c r="C34" i="8"/>
  <c r="CI28" i="8"/>
  <c r="H27" i="6"/>
  <c r="CK25" i="8" l="1"/>
  <c r="CK27" i="8" s="1"/>
  <c r="CM33" i="8"/>
  <c r="CL34" i="8"/>
  <c r="CL24" i="8" s="1"/>
  <c r="CL25" i="8" s="1"/>
  <c r="CL27" i="8" s="1"/>
  <c r="CL28" i="8" s="1"/>
  <c r="CL36" i="8" s="1"/>
  <c r="CJ25" i="8"/>
  <c r="CJ27" i="8" s="1"/>
  <c r="CI36" i="8"/>
  <c r="CI47" i="8" s="1"/>
  <c r="CN33" i="8" l="1"/>
  <c r="CM34" i="8"/>
  <c r="CM24" i="8" s="1"/>
  <c r="CM25" i="8" s="1"/>
  <c r="CM27" i="8" s="1"/>
  <c r="CM28" i="8" s="1"/>
  <c r="CM36" i="8" s="1"/>
  <c r="CK28" i="8"/>
  <c r="CK36" i="8" s="1"/>
  <c r="C27" i="8"/>
  <c r="C25" i="8"/>
  <c r="CJ28" i="8"/>
  <c r="C28" i="8" s="1"/>
  <c r="CO33" i="8" l="1"/>
  <c r="CN34" i="8"/>
  <c r="CN24" i="8" s="1"/>
  <c r="CJ36" i="8"/>
  <c r="C36" i="8" s="1"/>
  <c r="CN25" i="8" l="1"/>
  <c r="CN27" i="8" s="1"/>
  <c r="CP33" i="8"/>
  <c r="CO34" i="8"/>
  <c r="CO24" i="8" s="1"/>
  <c r="CO25" i="8" s="1"/>
  <c r="CO27" i="8" l="1"/>
  <c r="CO28" i="8"/>
  <c r="CO36" i="8" s="1"/>
  <c r="CQ33" i="8"/>
  <c r="CP34" i="8"/>
  <c r="CP24" i="8" s="1"/>
  <c r="CN28" i="8"/>
  <c r="CN36" i="8" s="1"/>
  <c r="E21" i="6"/>
  <c r="AC38" i="8"/>
  <c r="AC42" i="8" s="1"/>
  <c r="AC47" i="8" s="1"/>
  <c r="AD38" i="8"/>
  <c r="AD42" i="8" s="1"/>
  <c r="AD47" i="8" s="1"/>
  <c r="AE38" i="8"/>
  <c r="AE42" i="8" s="1"/>
  <c r="AE47" i="8" s="1"/>
  <c r="AF38" i="8"/>
  <c r="AF42" i="8" s="1"/>
  <c r="AF47" i="8" s="1"/>
  <c r="AG38" i="8"/>
  <c r="AG42" i="8" s="1"/>
  <c r="AG47" i="8" s="1"/>
  <c r="AH38" i="8"/>
  <c r="AH42" i="8" s="1"/>
  <c r="AH47" i="8" s="1"/>
  <c r="AI38" i="8"/>
  <c r="AI42" i="8" s="1"/>
  <c r="AI47" i="8" s="1"/>
  <c r="AJ38" i="8"/>
  <c r="AJ42" i="8" s="1"/>
  <c r="AJ47" i="8" s="1"/>
  <c r="AK38" i="8"/>
  <c r="AK42" i="8" s="1"/>
  <c r="AK47" i="8" s="1"/>
  <c r="AL38" i="8"/>
  <c r="AL42" i="8" s="1"/>
  <c r="AL47" i="8" s="1"/>
  <c r="AM38" i="8"/>
  <c r="AM42" i="8" s="1"/>
  <c r="AM47" i="8" s="1"/>
  <c r="AN38" i="8"/>
  <c r="AN42" i="8" s="1"/>
  <c r="AN47" i="8" s="1"/>
  <c r="AO38" i="8"/>
  <c r="AO42" i="8" s="1"/>
  <c r="AO47" i="8" s="1"/>
  <c r="AP38" i="8"/>
  <c r="AP42" i="8" s="1"/>
  <c r="AP47" i="8" s="1"/>
  <c r="AQ38" i="8"/>
  <c r="AQ42" i="8" s="1"/>
  <c r="AQ47" i="8" s="1"/>
  <c r="AR38" i="8"/>
  <c r="AR42" i="8" s="1"/>
  <c r="AR47" i="8" s="1"/>
  <c r="AS38" i="8"/>
  <c r="AS42" i="8" s="1"/>
  <c r="AS47" i="8" s="1"/>
  <c r="AT38" i="8"/>
  <c r="AT42" i="8" s="1"/>
  <c r="AT47" i="8" s="1"/>
  <c r="AU38" i="8"/>
  <c r="AU42" i="8" s="1"/>
  <c r="AU47" i="8" s="1"/>
  <c r="AV38" i="8"/>
  <c r="AV42" i="8" s="1"/>
  <c r="AV47" i="8" s="1"/>
  <c r="AW38" i="8"/>
  <c r="AW42" i="8" s="1"/>
  <c r="AW47" i="8" s="1"/>
  <c r="AX38" i="8"/>
  <c r="AX42" i="8" s="1"/>
  <c r="AX47" i="8" s="1"/>
  <c r="AY38" i="8"/>
  <c r="AY42" i="8" s="1"/>
  <c r="AY47" i="8" s="1"/>
  <c r="AZ38" i="8"/>
  <c r="AZ42" i="8" s="1"/>
  <c r="AZ47" i="8" s="1"/>
  <c r="BA38" i="8"/>
  <c r="BA42" i="8" s="1"/>
  <c r="BA47" i="8" s="1"/>
  <c r="BB38" i="8"/>
  <c r="BB42" i="8" s="1"/>
  <c r="BB47" i="8" s="1"/>
  <c r="BC38" i="8"/>
  <c r="BC42" i="8" s="1"/>
  <c r="BC47" i="8" s="1"/>
  <c r="BD38" i="8"/>
  <c r="BD42" i="8" s="1"/>
  <c r="BD47" i="8" s="1"/>
  <c r="BE38" i="8"/>
  <c r="BE42" i="8" s="1"/>
  <c r="BE47" i="8" s="1"/>
  <c r="BF38" i="8"/>
  <c r="BF42" i="8" s="1"/>
  <c r="BF47" i="8" s="1"/>
  <c r="BG38" i="8"/>
  <c r="BG42" i="8" s="1"/>
  <c r="BG47" i="8" s="1"/>
  <c r="BH38" i="8"/>
  <c r="BI38" i="8"/>
  <c r="BI42" i="8" s="1"/>
  <c r="BI47" i="8" s="1"/>
  <c r="BJ38" i="8"/>
  <c r="BJ42" i="8" s="1"/>
  <c r="BJ47" i="8" s="1"/>
  <c r="BK38" i="8"/>
  <c r="BK42" i="8" s="1"/>
  <c r="BK47" i="8" s="1"/>
  <c r="BL38" i="8"/>
  <c r="BL42" i="8" s="1"/>
  <c r="BL47" i="8" s="1"/>
  <c r="BM38" i="8"/>
  <c r="BM42" i="8" s="1"/>
  <c r="BM47" i="8" s="1"/>
  <c r="BN38" i="8"/>
  <c r="BN42" i="8" s="1"/>
  <c r="BN47" i="8" s="1"/>
  <c r="BO38" i="8"/>
  <c r="BO42" i="8" s="1"/>
  <c r="BO47" i="8" s="1"/>
  <c r="BP38" i="8"/>
  <c r="BP42" i="8" s="1"/>
  <c r="BP47" i="8" s="1"/>
  <c r="BQ38" i="8"/>
  <c r="BQ42" i="8" s="1"/>
  <c r="BQ47" i="8" s="1"/>
  <c r="BR38" i="8"/>
  <c r="BR42" i="8" s="1"/>
  <c r="BR47" i="8" s="1"/>
  <c r="BS38" i="8"/>
  <c r="BS42" i="8" s="1"/>
  <c r="BS47" i="8" s="1"/>
  <c r="BT38" i="8"/>
  <c r="BT42" i="8" s="1"/>
  <c r="BT47" i="8" s="1"/>
  <c r="BU38" i="8"/>
  <c r="BU42" i="8" s="1"/>
  <c r="BU47" i="8" s="1"/>
  <c r="BV38" i="8"/>
  <c r="BV42" i="8" s="1"/>
  <c r="BV47" i="8" s="1"/>
  <c r="BW38" i="8"/>
  <c r="BW42" i="8" s="1"/>
  <c r="BW47" i="8" s="1"/>
  <c r="BX38" i="8"/>
  <c r="BX42" i="8" s="1"/>
  <c r="BH42" i="8"/>
  <c r="BH47" i="8" s="1"/>
  <c r="CP25" i="8" l="1"/>
  <c r="CR33" i="8"/>
  <c r="CQ34" i="8"/>
  <c r="CQ24" i="8" s="1"/>
  <c r="CQ25" i="8" s="1"/>
  <c r="CQ27" i="8" s="1"/>
  <c r="CQ28" i="8" s="1"/>
  <c r="CQ36" i="8" s="1"/>
  <c r="C42" i="8"/>
  <c r="C38" i="8"/>
  <c r="O33" i="6"/>
  <c r="O37" i="6" s="1"/>
  <c r="N33" i="6"/>
  <c r="N37" i="6" s="1"/>
  <c r="M33" i="6"/>
  <c r="M37" i="6" s="1"/>
  <c r="L33" i="6"/>
  <c r="CS33" i="8" l="1"/>
  <c r="CR34" i="8"/>
  <c r="CR24" i="8" s="1"/>
  <c r="CP27" i="8"/>
  <c r="H33" i="6"/>
  <c r="L37" i="6"/>
  <c r="CR25" i="8" l="1"/>
  <c r="CP28" i="8"/>
  <c r="CP36" i="8" s="1"/>
  <c r="CT33" i="8"/>
  <c r="CS34" i="8"/>
  <c r="CS24" i="8" s="1"/>
  <c r="CS25" i="8" s="1"/>
  <c r="H37" i="6"/>
  <c r="CU33" i="8" l="1"/>
  <c r="CT34" i="8"/>
  <c r="CT24" i="8" s="1"/>
  <c r="CT25" i="8" s="1"/>
  <c r="CS27" i="8"/>
  <c r="CS28" i="8" s="1"/>
  <c r="CS36" i="8" s="1"/>
  <c r="CR27" i="8"/>
  <c r="CR28" i="8" s="1"/>
  <c r="CR36" i="8" s="1"/>
  <c r="CT27" i="8" l="1"/>
  <c r="CT28" i="8" s="1"/>
  <c r="CT36" i="8" s="1"/>
  <c r="CV33" i="8"/>
  <c r="CU34" i="8"/>
  <c r="CU24" i="8" s="1"/>
  <c r="CU25" i="8" s="1"/>
  <c r="CU27" i="8" l="1"/>
  <c r="CU28" i="8" s="1"/>
  <c r="CU36" i="8" s="1"/>
  <c r="CW33" i="8"/>
  <c r="CV34" i="8"/>
  <c r="CV24" i="8" s="1"/>
  <c r="CV25" i="8" s="1"/>
  <c r="CV27" i="8" l="1"/>
  <c r="CV28" i="8"/>
  <c r="CV36" i="8" s="1"/>
  <c r="CX33" i="8"/>
  <c r="CW34" i="8"/>
  <c r="CW24" i="8" s="1"/>
  <c r="CW25" i="8" l="1"/>
  <c r="CY33" i="8"/>
  <c r="CX34" i="8"/>
  <c r="CX24" i="8" s="1"/>
  <c r="CX25" i="8" s="1"/>
  <c r="CX27" i="8" l="1"/>
  <c r="CX28" i="8"/>
  <c r="CX36" i="8" s="1"/>
  <c r="CZ33" i="8"/>
  <c r="CY34" i="8"/>
  <c r="CY24" i="8" s="1"/>
  <c r="CW27" i="8"/>
  <c r="CW28" i="8" s="1"/>
  <c r="CW36" i="8" s="1"/>
  <c r="CY25" i="8" l="1"/>
  <c r="CY27" i="8" s="1"/>
  <c r="CY28" i="8" s="1"/>
  <c r="CY36" i="8" s="1"/>
  <c r="DA33" i="8"/>
  <c r="CZ34" i="8"/>
  <c r="CZ24" i="8" s="1"/>
  <c r="CZ25" i="8" s="1"/>
  <c r="CZ27" i="8" l="1"/>
  <c r="CZ28" i="8" s="1"/>
  <c r="CZ36" i="8" s="1"/>
  <c r="DB33" i="8"/>
  <c r="DA34" i="8"/>
  <c r="DA24" i="8" s="1"/>
  <c r="DA25" i="8" l="1"/>
  <c r="DA27" i="8" s="1"/>
  <c r="DC33" i="8"/>
  <c r="DB34" i="8"/>
  <c r="DB24" i="8" s="1"/>
  <c r="DB25" i="8" s="1"/>
  <c r="DB27" i="8" s="1"/>
  <c r="DB28" i="8" s="1"/>
  <c r="DB36" i="8" s="1"/>
  <c r="DD33" i="8" l="1"/>
  <c r="DC34" i="8"/>
  <c r="DC24" i="8" s="1"/>
  <c r="DA28" i="8"/>
  <c r="DA36" i="8" s="1"/>
  <c r="DC25" i="8" l="1"/>
  <c r="DC27" i="8" s="1"/>
  <c r="DE33" i="8"/>
  <c r="DD34" i="8"/>
  <c r="DD24" i="8" s="1"/>
  <c r="DD25" i="8" s="1"/>
  <c r="DD27" i="8" s="1"/>
  <c r="DD28" i="8" s="1"/>
  <c r="DD36" i="8" s="1"/>
  <c r="DF33" i="8" l="1"/>
  <c r="DE34" i="8"/>
  <c r="DE24" i="8" s="1"/>
  <c r="DC28" i="8"/>
  <c r="DC36" i="8" s="1"/>
  <c r="DE25" i="8" l="1"/>
  <c r="DE27" i="8" s="1"/>
  <c r="DE28" i="8" s="1"/>
  <c r="DE36" i="8" s="1"/>
  <c r="DG33" i="8"/>
  <c r="DF34" i="8"/>
  <c r="DF24" i="8" s="1"/>
  <c r="DF25" i="8" s="1"/>
  <c r="DF27" i="8" l="1"/>
  <c r="DF28" i="8"/>
  <c r="DF36" i="8" s="1"/>
  <c r="DH33" i="8"/>
  <c r="DG34" i="8"/>
  <c r="DG24" i="8" s="1"/>
  <c r="DG25" i="8" s="1"/>
  <c r="DG27" i="8" l="1"/>
  <c r="DG28" i="8"/>
  <c r="DG36" i="8" s="1"/>
  <c r="DI33" i="8"/>
  <c r="DH34" i="8"/>
  <c r="DH24" i="8" s="1"/>
  <c r="DH25" i="8" s="1"/>
  <c r="DH27" i="8" l="1"/>
  <c r="DH28" i="8" s="1"/>
  <c r="DH36" i="8" s="1"/>
  <c r="DJ33" i="8"/>
  <c r="DI34" i="8"/>
  <c r="DI24" i="8" s="1"/>
  <c r="DI25" i="8" l="1"/>
  <c r="DK33" i="8"/>
  <c r="DJ34" i="8"/>
  <c r="DJ24" i="8" s="1"/>
  <c r="DJ25" i="8" s="1"/>
  <c r="DJ27" i="8" l="1"/>
  <c r="DJ28" i="8" s="1"/>
  <c r="DJ36" i="8" s="1"/>
  <c r="DL33" i="8"/>
  <c r="DK34" i="8"/>
  <c r="DK24" i="8" s="1"/>
  <c r="DI27" i="8"/>
  <c r="DI28" i="8" l="1"/>
  <c r="DI36" i="8" s="1"/>
  <c r="DM33" i="8"/>
  <c r="DL34" i="8"/>
  <c r="DL24" i="8" s="1"/>
  <c r="DL25" i="8" s="1"/>
  <c r="DK25" i="8"/>
  <c r="DK27" i="8" l="1"/>
  <c r="DK28" i="8" s="1"/>
  <c r="DK36" i="8" s="1"/>
  <c r="DL27" i="8"/>
  <c r="DL28" i="8" s="1"/>
  <c r="DL36" i="8" s="1"/>
  <c r="DN33" i="8"/>
  <c r="DM34" i="8"/>
  <c r="DM24" i="8" s="1"/>
  <c r="DM25" i="8" l="1"/>
  <c r="DM27" i="8" s="1"/>
  <c r="DM28" i="8" s="1"/>
  <c r="DM36" i="8" s="1"/>
  <c r="DO33" i="8"/>
  <c r="DN34" i="8"/>
  <c r="DN24" i="8" s="1"/>
  <c r="DN25" i="8" s="1"/>
  <c r="DN27" i="8" s="1"/>
  <c r="DN28" i="8" s="1"/>
  <c r="DN36" i="8" s="1"/>
  <c r="DP33" i="8" l="1"/>
  <c r="DO34" i="8"/>
  <c r="DO24" i="8" s="1"/>
  <c r="DO25" i="8" l="1"/>
  <c r="DO27" i="8" s="1"/>
  <c r="DQ33" i="8"/>
  <c r="DP34" i="8"/>
  <c r="DP24" i="8" s="1"/>
  <c r="DP25" i="8" s="1"/>
  <c r="DP27" i="8" s="1"/>
  <c r="DP28" i="8" s="1"/>
  <c r="DP36" i="8" s="1"/>
  <c r="DR33" i="8" l="1"/>
  <c r="DQ34" i="8"/>
  <c r="DQ24" i="8" s="1"/>
  <c r="DO28" i="8"/>
  <c r="DO36" i="8" s="1"/>
  <c r="DQ25" i="8" l="1"/>
  <c r="DQ27" i="8" s="1"/>
  <c r="DQ28" i="8" s="1"/>
  <c r="DQ36" i="8" s="1"/>
  <c r="DS33" i="8"/>
  <c r="DR34" i="8"/>
  <c r="DR24" i="8" s="1"/>
  <c r="DR25" i="8" s="1"/>
  <c r="DR27" i="8" s="1"/>
  <c r="DR28" i="8" s="1"/>
  <c r="DR36" i="8" s="1"/>
  <c r="DT33" i="8" l="1"/>
  <c r="DS34" i="8"/>
  <c r="DS24" i="8" s="1"/>
  <c r="DS25" i="8" s="1"/>
  <c r="DS27" i="8" s="1"/>
  <c r="DS28" i="8" s="1"/>
  <c r="DS36" i="8" s="1"/>
  <c r="L28" i="6" l="1"/>
  <c r="M28" i="6"/>
  <c r="M29" i="6" s="1"/>
  <c r="N28" i="6"/>
  <c r="N29" i="6" s="1"/>
  <c r="DT34" i="8"/>
  <c r="DT24" i="8" s="1"/>
  <c r="O28" i="6"/>
  <c r="O29" i="6" s="1"/>
  <c r="P28" i="6"/>
  <c r="Q28" i="6"/>
  <c r="R28" i="6"/>
  <c r="R29" i="6" s="1"/>
  <c r="S28" i="6"/>
  <c r="S29" i="6" s="1"/>
  <c r="Q29" i="6" l="1"/>
  <c r="I14" i="9"/>
  <c r="J14" i="9"/>
  <c r="I15" i="9"/>
  <c r="J15" i="9" s="1"/>
  <c r="L19" i="6"/>
  <c r="M19" i="6"/>
  <c r="M20" i="6" s="1"/>
  <c r="N19" i="6"/>
  <c r="N20" i="6" s="1"/>
  <c r="DT25" i="8"/>
  <c r="DT27" i="8" s="1"/>
  <c r="O19" i="6"/>
  <c r="O20" i="6" s="1"/>
  <c r="P19" i="6"/>
  <c r="Q19" i="6"/>
  <c r="R19" i="6"/>
  <c r="R20" i="6" s="1"/>
  <c r="S19" i="6"/>
  <c r="S20" i="6" s="1"/>
  <c r="P29" i="6"/>
  <c r="L29" i="6"/>
  <c r="H28" i="6"/>
  <c r="Q20" i="6" l="1"/>
  <c r="I6" i="9"/>
  <c r="H29" i="6"/>
  <c r="J6" i="9"/>
  <c r="I7" i="9"/>
  <c r="P20" i="6"/>
  <c r="DT28" i="8"/>
  <c r="DT36" i="8" s="1"/>
  <c r="L22" i="6"/>
  <c r="M22" i="6"/>
  <c r="M23" i="6" s="1"/>
  <c r="M31" i="6" s="1"/>
  <c r="M42" i="6" s="1"/>
  <c r="N22" i="6"/>
  <c r="N23" i="6" s="1"/>
  <c r="N31" i="6" s="1"/>
  <c r="N42" i="6" s="1"/>
  <c r="O22" i="6"/>
  <c r="O23" i="6" s="1"/>
  <c r="O31" i="6" s="1"/>
  <c r="P22" i="6"/>
  <c r="Q22" i="6"/>
  <c r="R22" i="6"/>
  <c r="R23" i="6" s="1"/>
  <c r="R31" i="6" s="1"/>
  <c r="S22" i="6"/>
  <c r="S23" i="6" s="1"/>
  <c r="S31" i="6" s="1"/>
  <c r="L20" i="6"/>
  <c r="H19" i="6"/>
  <c r="Q23" i="6" l="1"/>
  <c r="Q31" i="6" s="1"/>
  <c r="I8" i="9"/>
  <c r="J8" i="9"/>
  <c r="I9" i="9"/>
  <c r="I17" i="9" s="1"/>
  <c r="J7" i="9"/>
  <c r="H22" i="6"/>
  <c r="P23" i="6"/>
  <c r="P31" i="6" s="1"/>
  <c r="L23" i="6"/>
  <c r="H20" i="6"/>
  <c r="J9" i="9" l="1"/>
  <c r="D43" i="6"/>
  <c r="L31" i="6"/>
  <c r="L42" i="6" s="1"/>
  <c r="H23" i="6"/>
  <c r="E43" i="6" l="1"/>
  <c r="D44" i="6"/>
  <c r="E44" i="6" s="1"/>
  <c r="H31" i="6"/>
  <c r="J17" i="9"/>
  <c r="CJ44" i="8"/>
  <c r="P39" i="6" s="1"/>
  <c r="C44" i="8" l="1"/>
  <c r="O39" i="6"/>
  <c r="CJ45" i="8"/>
  <c r="CJ47" i="8" l="1"/>
  <c r="P40" i="6"/>
  <c r="P42" i="6" s="1"/>
  <c r="O40" i="6"/>
  <c r="H40" i="6" s="1"/>
  <c r="C45" i="8"/>
  <c r="BX47" i="8"/>
  <c r="H39" i="6"/>
  <c r="O42" i="6" l="1"/>
  <c r="C47" i="8"/>
  <c r="H45" i="6" l="1"/>
  <c r="H44" i="6"/>
  <c r="H46" i="6"/>
  <c r="H43" i="6"/>
  <c r="H42" i="6"/>
  <c r="E19" i="9" l="1"/>
  <c r="J19" i="9"/>
  <c r="I21" i="9"/>
  <c r="I22" i="9" s="1"/>
  <c r="O54" i="6" l="1"/>
  <c r="BY61" i="8"/>
  <c r="BY59" i="8"/>
  <c r="AM61" i="8"/>
  <c r="AM59" i="8"/>
  <c r="AM57" i="8"/>
  <c r="C58" i="6"/>
  <c r="C57" i="6"/>
  <c r="U61" i="8"/>
  <c r="U55" i="8"/>
  <c r="U49" i="8"/>
  <c r="BT61" i="8"/>
  <c r="BT59" i="8"/>
  <c r="BT57" i="8"/>
  <c r="AF61" i="8"/>
  <c r="AF59" i="8"/>
  <c r="AF57" i="8"/>
  <c r="E6" i="9"/>
  <c r="AZ61" i="8"/>
  <c r="AZ59" i="8"/>
  <c r="AZ57" i="8"/>
  <c r="AI61" i="8"/>
  <c r="AI59" i="8"/>
  <c r="AI57" i="8"/>
  <c r="CA61" i="8"/>
  <c r="CA59" i="8"/>
  <c r="CA57" i="8"/>
  <c r="CH61" i="8"/>
  <c r="CH59" i="8"/>
  <c r="CH57" i="8"/>
  <c r="L61" i="8"/>
  <c r="L55" i="8"/>
  <c r="L49" i="8"/>
  <c r="AS61" i="8"/>
  <c r="AS59" i="8"/>
  <c r="AS57" i="8"/>
  <c r="AX61" i="8"/>
  <c r="AX59" i="8"/>
  <c r="AX57" i="8"/>
  <c r="AG61" i="8"/>
  <c r="AG59" i="8"/>
  <c r="AG57" i="8"/>
  <c r="BD61" i="8"/>
  <c r="BD59" i="8"/>
  <c r="BD57" i="8"/>
  <c r="BO61" i="8"/>
  <c r="BO59" i="8"/>
  <c r="BO57" i="8"/>
  <c r="P58" i="6"/>
  <c r="BY57" i="8"/>
  <c r="P56" i="6"/>
  <c r="AP61" i="8"/>
  <c r="AP59" i="8"/>
  <c r="AP57" i="8"/>
  <c r="AV57" i="8"/>
  <c r="AV59" i="8"/>
  <c r="AV61" i="8"/>
  <c r="AY61" i="8"/>
  <c r="AY59" i="8"/>
  <c r="AY57" i="8"/>
  <c r="AJ61" i="8"/>
  <c r="AJ59" i="8"/>
  <c r="AJ57" i="8"/>
  <c r="BW57" i="8"/>
  <c r="BW59" i="8"/>
  <c r="BW61" i="8"/>
  <c r="CG61" i="8"/>
  <c r="CG59" i="8"/>
  <c r="CG57" i="8"/>
  <c r="I61" i="8"/>
  <c r="I55" i="8"/>
  <c r="I49" i="8"/>
  <c r="AD57" i="8"/>
  <c r="AD59" i="8"/>
  <c r="AD61" i="8"/>
  <c r="AU57" i="8"/>
  <c r="AU59" i="8"/>
  <c r="AU61" i="8"/>
  <c r="AQ57" i="8"/>
  <c r="AQ59" i="8"/>
  <c r="AQ61" i="8"/>
  <c r="M57" i="6"/>
  <c r="AO58" i="8"/>
  <c r="J61" i="8"/>
  <c r="J55" i="8"/>
  <c r="J49" i="8"/>
  <c r="H51" i="6"/>
  <c r="K51" i="6"/>
  <c r="M61" i="8"/>
  <c r="M55" i="8"/>
  <c r="M49" i="8"/>
  <c r="AL61" i="8"/>
  <c r="AL59" i="8"/>
  <c r="AL57" i="8"/>
  <c r="H58" i="6"/>
  <c r="O57" i="6"/>
  <c r="BM58" i="8"/>
  <c r="AO61" i="8"/>
  <c r="AO59" i="8"/>
  <c r="C49" i="6"/>
  <c r="C47" i="6"/>
  <c r="H54" i="6"/>
  <c r="O60" i="6"/>
  <c r="O58" i="6"/>
  <c r="O56" i="6"/>
  <c r="Q61" i="8"/>
  <c r="Q55" i="8"/>
  <c r="AN57" i="8"/>
  <c r="AN59" i="8"/>
  <c r="AN61" i="8"/>
  <c r="CJ59" i="8"/>
  <c r="CJ57" i="8"/>
  <c r="G49" i="8"/>
  <c r="G55" i="8"/>
  <c r="G61" i="8"/>
  <c r="C50" i="8"/>
  <c r="CD61" i="8"/>
  <c r="CD59" i="8"/>
  <c r="CD57" i="8"/>
  <c r="CI57" i="8"/>
  <c r="CI59" i="8"/>
  <c r="CI61" i="8"/>
  <c r="C51" i="8"/>
  <c r="H49" i="6"/>
  <c r="AR61" i="8"/>
  <c r="AR59" i="8"/>
  <c r="AR57" i="8"/>
  <c r="H57" i="6"/>
  <c r="L57" i="6"/>
  <c r="AB52" i="8"/>
  <c r="C52" i="8"/>
  <c r="BK61" i="8"/>
  <c r="BK59" i="8"/>
  <c r="BK57" i="8"/>
  <c r="CF61" i="8"/>
  <c r="CF59" i="8"/>
  <c r="CF57" i="8"/>
  <c r="D27" i="9"/>
  <c r="D26" i="9"/>
  <c r="BH61" i="8"/>
  <c r="BH59" i="8"/>
  <c r="BH57" i="8"/>
  <c r="O49" i="8"/>
  <c r="O55" i="8"/>
  <c r="O61" i="8"/>
  <c r="V49" i="8"/>
  <c r="V55" i="8"/>
  <c r="V61" i="8"/>
  <c r="C53" i="8"/>
  <c r="BQ61" i="8"/>
  <c r="BQ59" i="8"/>
  <c r="BQ57" i="8"/>
  <c r="E7" i="9"/>
  <c r="AK61" i="8"/>
  <c r="AK59" i="8"/>
  <c r="AK57" i="8"/>
  <c r="AB49" i="8"/>
  <c r="AB55" i="8"/>
  <c r="AB61" i="8"/>
  <c r="N56" i="6"/>
  <c r="N58" i="6"/>
  <c r="N60" i="6"/>
  <c r="D55" i="8"/>
  <c r="D61" i="8"/>
  <c r="BS57" i="8"/>
  <c r="BS59" i="8"/>
  <c r="BS61" i="8"/>
  <c r="AB51" i="8"/>
  <c r="K50" i="6"/>
  <c r="H50" i="6"/>
  <c r="E15" i="9"/>
  <c r="H56" i="6"/>
  <c r="F61" i="8"/>
  <c r="F55" i="8"/>
  <c r="F49" i="8"/>
  <c r="AW61" i="8"/>
  <c r="AW59" i="8"/>
  <c r="AW57" i="8"/>
  <c r="BA57" i="8"/>
  <c r="BA59" i="8"/>
  <c r="BA61" i="8"/>
  <c r="Y61" i="8"/>
  <c r="Y55" i="8"/>
  <c r="Y49" i="8"/>
  <c r="BC61" i="8"/>
  <c r="BC59" i="8"/>
  <c r="BC57" i="8"/>
  <c r="AT57" i="8"/>
  <c r="AT59" i="8"/>
  <c r="AT61" i="8"/>
  <c r="H62" i="6"/>
  <c r="D50" i="8"/>
  <c r="I49" i="6"/>
  <c r="I54" i="6"/>
  <c r="I60" i="6"/>
  <c r="H60" i="6"/>
  <c r="H61" i="6"/>
  <c r="D39" i="6"/>
  <c r="AB53" i="8"/>
  <c r="K52" i="6"/>
  <c r="H52" i="6"/>
  <c r="K49" i="8"/>
  <c r="K55" i="8"/>
  <c r="K61" i="8"/>
  <c r="E55" i="8"/>
  <c r="E61" i="8"/>
  <c r="D8" i="9"/>
  <c r="E8" i="9"/>
  <c r="W61" i="8"/>
  <c r="W55" i="8"/>
  <c r="W49" i="8"/>
  <c r="BG57" i="8"/>
  <c r="BG59" i="8"/>
  <c r="BG61" i="8"/>
  <c r="H64" i="6"/>
  <c r="J60" i="6"/>
  <c r="J54" i="6"/>
  <c r="C54" i="8"/>
  <c r="N57" i="6"/>
  <c r="BA58" i="8"/>
  <c r="BX57" i="8"/>
  <c r="BX59" i="8"/>
  <c r="BX61" i="8"/>
  <c r="E13" i="9"/>
  <c r="P57" i="6"/>
  <c r="BY58" i="8"/>
  <c r="P60" i="6"/>
  <c r="P54" i="6"/>
  <c r="C49" i="8"/>
  <c r="C55" i="8"/>
  <c r="C61" i="8"/>
  <c r="S49" i="8"/>
  <c r="S55" i="8"/>
  <c r="S61" i="8"/>
  <c r="L56" i="6"/>
  <c r="L58" i="6"/>
  <c r="L60" i="6"/>
  <c r="H63" i="6"/>
  <c r="AC58" i="8"/>
  <c r="C58" i="8"/>
  <c r="BN57" i="8"/>
  <c r="BN59" i="8"/>
  <c r="BN61" i="8"/>
  <c r="E9" i="9"/>
  <c r="CE61" i="8"/>
  <c r="CE59" i="8"/>
  <c r="CE57" i="8"/>
  <c r="CC61" i="8"/>
  <c r="CC59" i="8"/>
  <c r="CC57" i="8"/>
  <c r="AA61" i="8"/>
  <c r="AA55" i="8"/>
  <c r="AA49" i="8"/>
  <c r="T61" i="8"/>
  <c r="T55" i="8"/>
  <c r="T49" i="8"/>
  <c r="X61" i="8"/>
  <c r="X55" i="8"/>
  <c r="X49" i="8"/>
  <c r="C57" i="8"/>
  <c r="C48" i="6"/>
  <c r="D23" i="6"/>
  <c r="E23" i="6"/>
  <c r="Z61" i="8"/>
  <c r="Z55" i="8"/>
  <c r="Z49" i="8"/>
  <c r="CJ55" i="8"/>
  <c r="CJ61" i="8"/>
  <c r="P49" i="8"/>
  <c r="P55" i="8"/>
  <c r="P61" i="8"/>
  <c r="Q49" i="8"/>
  <c r="K48" i="6"/>
  <c r="K54" i="6"/>
  <c r="K60" i="6"/>
  <c r="BE61" i="8"/>
  <c r="BE59" i="8"/>
  <c r="BE57" i="8"/>
  <c r="CB57" i="8"/>
  <c r="CB59" i="8"/>
  <c r="CB61" i="8"/>
  <c r="BZ57" i="8"/>
  <c r="BZ59" i="8"/>
  <c r="BZ61" i="8"/>
  <c r="N49" i="8"/>
  <c r="N55" i="8"/>
  <c r="N61" i="8"/>
  <c r="BI57" i="8"/>
  <c r="BI59" i="8"/>
  <c r="BI61" i="8"/>
  <c r="BB57" i="8"/>
  <c r="BB59" i="8"/>
  <c r="BB61" i="8"/>
  <c r="BR57" i="8"/>
  <c r="BR59" i="8"/>
  <c r="BR61" i="8"/>
  <c r="R49" i="8"/>
  <c r="R55" i="8"/>
  <c r="R61" i="8"/>
  <c r="E17" i="9"/>
  <c r="BM57" i="8"/>
  <c r="BM59" i="8"/>
  <c r="BM61" i="8"/>
  <c r="BL57" i="8"/>
  <c r="BL59" i="8"/>
  <c r="BL61" i="8"/>
  <c r="BV57" i="8"/>
  <c r="BV59" i="8"/>
  <c r="BV61" i="8"/>
  <c r="BF57" i="8"/>
  <c r="BF59" i="8"/>
  <c r="BF61" i="8"/>
  <c r="E49" i="8"/>
  <c r="J48" i="6"/>
  <c r="H48" i="6"/>
  <c r="E22" i="9"/>
  <c r="D31" i="6"/>
  <c r="AH57" i="8"/>
  <c r="AH59" i="8"/>
  <c r="AH61" i="8"/>
  <c r="AC61" i="8"/>
  <c r="AC57" i="8"/>
  <c r="AC59" i="8"/>
  <c r="C59" i="8"/>
  <c r="D30" i="6"/>
  <c r="D22" i="6"/>
  <c r="E22" i="6"/>
  <c r="BJ57" i="8"/>
  <c r="BJ59" i="8"/>
  <c r="BJ61" i="8"/>
  <c r="AE57" i="8"/>
  <c r="AE59" i="8"/>
  <c r="AE61" i="8"/>
  <c r="BU57" i="8"/>
  <c r="BU59" i="8"/>
  <c r="BU61" i="8"/>
  <c r="D29" i="6"/>
  <c r="H49" i="8"/>
  <c r="H55" i="8"/>
  <c r="H61" i="8"/>
  <c r="BP57" i="8"/>
  <c r="BP59" i="8"/>
  <c r="BP61" i="8"/>
  <c r="CJ54" i="8"/>
  <c r="P53" i="6"/>
  <c r="H53" i="6"/>
  <c r="AO57" i="8"/>
  <c r="M56" i="6"/>
  <c r="M58" i="6"/>
  <c r="M60" i="6"/>
  <c r="AJ58" i="8"/>
  <c r="BS58" i="8"/>
  <c r="AY58" i="8"/>
  <c r="BJ58" i="8"/>
  <c r="BV58" i="8"/>
  <c r="CA58" i="8"/>
  <c r="BO58" i="8"/>
  <c r="BQ58" i="8"/>
  <c r="BP58" i="8"/>
  <c r="CB58" i="8"/>
  <c r="AQ58" i="8"/>
  <c r="BE58" i="8"/>
  <c r="AP58" i="8"/>
  <c r="CJ58" i="8"/>
  <c r="BL58" i="8"/>
  <c r="BN58" i="8"/>
  <c r="AG58" i="8"/>
  <c r="BZ58" i="8"/>
  <c r="AM58" i="8"/>
  <c r="AS58" i="8"/>
  <c r="BF58" i="8"/>
  <c r="BT58" i="8"/>
  <c r="CI58" i="8"/>
  <c r="BW58" i="8"/>
  <c r="BD58" i="8"/>
  <c r="BK58" i="8"/>
  <c r="BC58" i="8"/>
  <c r="BB58" i="8"/>
  <c r="AR58" i="8"/>
  <c r="AZ58" i="8"/>
  <c r="BR58" i="8"/>
  <c r="BG58" i="8"/>
  <c r="AU58" i="8"/>
  <c r="CG58" i="8"/>
  <c r="AV58" i="8"/>
  <c r="AL58" i="8"/>
  <c r="AN58" i="8"/>
  <c r="CH58" i="8"/>
  <c r="AX58" i="8"/>
  <c r="AT58" i="8"/>
  <c r="AI58" i="8"/>
  <c r="AH58" i="8"/>
  <c r="AD58" i="8"/>
  <c r="BU58" i="8"/>
  <c r="AE58" i="8"/>
  <c r="CF58" i="8"/>
  <c r="AW58" i="8"/>
  <c r="AF58" i="8"/>
  <c r="BI58" i="8"/>
  <c r="CD58" i="8"/>
  <c r="CE58" i="8"/>
  <c r="BH58" i="8"/>
  <c r="BX58" i="8"/>
  <c r="CC58" i="8"/>
  <c r="D13" i="9"/>
  <c r="D15" i="9"/>
  <c r="D6" i="9"/>
  <c r="D7" i="9"/>
  <c r="D9" i="9"/>
  <c r="D17" i="9"/>
  <c r="D22" i="9"/>
  <c r="D38" i="6"/>
  <c r="AK58" i="8"/>
</calcChain>
</file>

<file path=xl/sharedStrings.xml><?xml version="1.0" encoding="utf-8"?>
<sst xmlns="http://schemas.openxmlformats.org/spreadsheetml/2006/main" count="694" uniqueCount="271">
  <si>
    <t>x</t>
  </si>
  <si>
    <t>Assumptions</t>
  </si>
  <si>
    <t>Total</t>
  </si>
  <si>
    <t>Purchase</t>
  </si>
  <si>
    <t>Development Period</t>
  </si>
  <si>
    <t>Lease Up Period</t>
  </si>
  <si>
    <t>Stabilized Period</t>
  </si>
  <si>
    <t>Sale Year</t>
  </si>
  <si>
    <t>Next Buyer Hold</t>
  </si>
  <si>
    <t>Analysis Date</t>
  </si>
  <si>
    <t>Year</t>
  </si>
  <si>
    <t>Begin</t>
  </si>
  <si>
    <t>Hold Period</t>
  </si>
  <si>
    <t>End</t>
  </si>
  <si>
    <t>Expense Growth Rate</t>
  </si>
  <si>
    <t>Capital Reserves</t>
  </si>
  <si>
    <t>Discount Rate</t>
  </si>
  <si>
    <t>Acquisition Costs</t>
  </si>
  <si>
    <t>Property Info</t>
  </si>
  <si>
    <t>Property Name</t>
  </si>
  <si>
    <t>45‐18 Court Square</t>
  </si>
  <si>
    <t>Total Development Costs</t>
  </si>
  <si>
    <t>Existing SF</t>
  </si>
  <si>
    <t>Air Rights</t>
  </si>
  <si>
    <t>Base Rent | Pre-Lease</t>
  </si>
  <si>
    <t>Total SF</t>
  </si>
  <si>
    <t>Free Rent | Pre-Lease</t>
  </si>
  <si>
    <t>PSF</t>
  </si>
  <si>
    <t>Base Rent | Market</t>
  </si>
  <si>
    <t>Land Cost</t>
  </si>
  <si>
    <t>Free Rent | Market</t>
  </si>
  <si>
    <t>Total Base Rent</t>
  </si>
  <si>
    <t>Development Cost | Existing</t>
  </si>
  <si>
    <t>Development Cost | New Construction</t>
  </si>
  <si>
    <t>Leasing Costs</t>
  </si>
  <si>
    <t>Total Development Cost</t>
  </si>
  <si>
    <t>Financing Cost</t>
  </si>
  <si>
    <t>Total Project Cost</t>
  </si>
  <si>
    <t>Debt Financing</t>
  </si>
  <si>
    <t>Construction Loan</t>
  </si>
  <si>
    <t>Less: RE Tax Abatement</t>
  </si>
  <si>
    <t>LTC</t>
  </si>
  <si>
    <t>Stabilized LTV</t>
  </si>
  <si>
    <t>Loan Amount</t>
  </si>
  <si>
    <t>Loan Fee</t>
  </si>
  <si>
    <t>Interest</t>
  </si>
  <si>
    <t>NOI</t>
  </si>
  <si>
    <t>Perm Loan</t>
  </si>
  <si>
    <t>LTV</t>
  </si>
  <si>
    <t>Leasing Commission</t>
  </si>
  <si>
    <t>DSCR</t>
  </si>
  <si>
    <t>Tenant Improvement</t>
  </si>
  <si>
    <t>AM</t>
  </si>
  <si>
    <t>Less: City Incentive</t>
  </si>
  <si>
    <t>Total Capital Expenses</t>
  </si>
  <si>
    <t>Exit Value</t>
  </si>
  <si>
    <t>Exit Costs</t>
  </si>
  <si>
    <t>Exit</t>
  </si>
  <si>
    <t>Exit Cap Rate</t>
  </si>
  <si>
    <t>Unlevered Cash Flow</t>
  </si>
  <si>
    <t>Unlevered IRR</t>
  </si>
  <si>
    <t>Profit</t>
  </si>
  <si>
    <t>Equity Multiple</t>
  </si>
  <si>
    <t>Sources</t>
  </si>
  <si>
    <t>DCF</t>
  </si>
  <si>
    <t>Loan</t>
  </si>
  <si>
    <t>Equity</t>
  </si>
  <si>
    <t>Construction Loan Fee</t>
  </si>
  <si>
    <t>Construction Loan Payoff</t>
  </si>
  <si>
    <t>Uses</t>
  </si>
  <si>
    <t>Perm Loan Fee</t>
  </si>
  <si>
    <t>Perm Loan Payoff</t>
  </si>
  <si>
    <t>Total Financing</t>
  </si>
  <si>
    <t>Principal</t>
  </si>
  <si>
    <t>Total Debt Service</t>
  </si>
  <si>
    <t>Levered Cash Flow</t>
  </si>
  <si>
    <t>Levered IRR</t>
  </si>
  <si>
    <t>NPV</t>
  </si>
  <si>
    <t>Untrended Analysis</t>
  </si>
  <si>
    <t>Trended Analysis</t>
  </si>
  <si>
    <t>Scenario</t>
  </si>
  <si>
    <t>Base</t>
  </si>
  <si>
    <t>Reimbursements</t>
  </si>
  <si>
    <t>PGR</t>
  </si>
  <si>
    <t>Less: Vacancy</t>
  </si>
  <si>
    <t>EGR</t>
  </si>
  <si>
    <t>RE Tax</t>
  </si>
  <si>
    <t>Mgt Fee</t>
  </si>
  <si>
    <t>OpEx</t>
  </si>
  <si>
    <t>Total Expenses</t>
  </si>
  <si>
    <t>Market Cap Rate</t>
  </si>
  <si>
    <t>Yield on Cost</t>
  </si>
  <si>
    <t>Total Value</t>
  </si>
  <si>
    <t>Investment Margin</t>
  </si>
  <si>
    <t>Required Investment Margin</t>
  </si>
  <si>
    <t>Required Yield on Cost</t>
  </si>
  <si>
    <t>Actual Yield on Cost</t>
  </si>
  <si>
    <t>Actual Investment Margin</t>
  </si>
  <si>
    <t>Sellout Period</t>
  </si>
  <si>
    <t>Total GSF</t>
  </si>
  <si>
    <t>Condo Sellout</t>
  </si>
  <si>
    <t>Marketing</t>
  </si>
  <si>
    <t>Condo Sale Costs</t>
  </si>
  <si>
    <t>Net Sellout</t>
  </si>
  <si>
    <t>Construction Loan Amount</t>
  </si>
  <si>
    <t>Construction Loan Interest</t>
  </si>
  <si>
    <t>Projected Condo Sellout</t>
  </si>
  <si>
    <t>Condo Inventory Loan Amount</t>
  </si>
  <si>
    <t>Condo Inventory Loan Interest</t>
  </si>
  <si>
    <t>Condo Inventory Loan</t>
  </si>
  <si>
    <t>Condo Inventory Debt Service</t>
  </si>
  <si>
    <t>Affordable | Retail Sale Costs</t>
  </si>
  <si>
    <t>Condo Inventory Loan Payoff</t>
  </si>
  <si>
    <t>Taxes</t>
  </si>
  <si>
    <t>Billable Assessed Value (2023/24)</t>
  </si>
  <si>
    <t>Tax Rate</t>
  </si>
  <si>
    <t>Annual Property Tax</t>
  </si>
  <si>
    <t>Growth Rate</t>
  </si>
  <si>
    <t>Per SF</t>
  </si>
  <si>
    <t>Land and Demolition</t>
  </si>
  <si>
    <t>Financing Costs</t>
  </si>
  <si>
    <t>Pre-Lease</t>
  </si>
  <si>
    <t>Unit</t>
  </si>
  <si>
    <t>GLA</t>
  </si>
  <si>
    <t>Base Rent PSF</t>
  </si>
  <si>
    <t xml:space="preserve">Monthly Rent </t>
  </si>
  <si>
    <t>Annual Rent</t>
  </si>
  <si>
    <t>Lease Start</t>
  </si>
  <si>
    <t>Lease Term</t>
  </si>
  <si>
    <t>Free Rent</t>
  </si>
  <si>
    <t>Escalation</t>
  </si>
  <si>
    <t>TI</t>
  </si>
  <si>
    <t>LC</t>
  </si>
  <si>
    <t xml:space="preserve">Recovery </t>
  </si>
  <si>
    <t>Lease Value</t>
  </si>
  <si>
    <t>101</t>
  </si>
  <si>
    <t>NNN</t>
  </si>
  <si>
    <t>Market</t>
  </si>
  <si>
    <t>Lease-Up Period</t>
  </si>
  <si>
    <t>New York Lease Comps</t>
  </si>
  <si>
    <t>Tenant</t>
  </si>
  <si>
    <t>Building</t>
  </si>
  <si>
    <t>Date</t>
  </si>
  <si>
    <t>Term (Yrs.)</t>
  </si>
  <si>
    <t>Rent</t>
  </si>
  <si>
    <t>Type</t>
  </si>
  <si>
    <t>Increase/Year</t>
  </si>
  <si>
    <t>Confidential</t>
  </si>
  <si>
    <t>619 West 54th Street</t>
  </si>
  <si>
    <t>Pending</t>
  </si>
  <si>
    <t>$225/SF</t>
  </si>
  <si>
    <t>Lodo Tx</t>
  </si>
  <si>
    <t>Alexandria Center for Life Science</t>
  </si>
  <si>
    <t>N/A</t>
  </si>
  <si>
    <t>Rocket Pharmaceuticals</t>
  </si>
  <si>
    <t>Immune Pharmaceuticals</t>
  </si>
  <si>
    <t>Roche</t>
  </si>
  <si>
    <t>Note: tenants at 619 West 54th Street pay property taxes equal to 25% of revenues while those at Alexandreia Center for Life Science pay none.</t>
  </si>
  <si>
    <t>Month</t>
  </si>
  <si>
    <t>Rent | Pre-Lease</t>
  </si>
  <si>
    <t>Rent | Market</t>
  </si>
  <si>
    <t>Rent Growth</t>
  </si>
  <si>
    <t>`</t>
  </si>
  <si>
    <t>Life Science</t>
  </si>
  <si>
    <t xml:space="preserve">Office Redevelopment </t>
  </si>
  <si>
    <t>Residential Development</t>
  </si>
  <si>
    <t>Residentail Condo Development</t>
  </si>
  <si>
    <t>Hotel Development</t>
  </si>
  <si>
    <t>NOI ($/SF)</t>
  </si>
  <si>
    <t>$30-35/SF</t>
  </si>
  <si>
    <t>$35-40/SF</t>
  </si>
  <si>
    <t>NA</t>
  </si>
  <si>
    <t>$65-75/SF</t>
  </si>
  <si>
    <t>Development Cost New Construction</t>
  </si>
  <si>
    <t>Development Cost Base Existing</t>
  </si>
  <si>
    <t>Exit Metrics Downside</t>
  </si>
  <si>
    <t>Exit Metrics Base Case</t>
  </si>
  <si>
    <t>Profit Margin</t>
  </si>
  <si>
    <t xml:space="preserve">27.5-32.5% </t>
  </si>
  <si>
    <t xml:space="preserve">25-30% </t>
  </si>
  <si>
    <t xml:space="preserve">35-40% </t>
  </si>
  <si>
    <t>35-40%</t>
  </si>
  <si>
    <t>BOSTON LAB COMPARABLE SALES</t>
  </si>
  <si>
    <t>Asset Info</t>
  </si>
  <si>
    <t>Status</t>
  </si>
  <si>
    <t>Value</t>
  </si>
  <si>
    <t>Price / SF</t>
  </si>
  <si>
    <t>Cap Rate</t>
  </si>
  <si>
    <t xml:space="preserve">Seller </t>
  </si>
  <si>
    <t>Buyer</t>
  </si>
  <si>
    <t>Notes</t>
  </si>
  <si>
    <t>4 Blackfan Circle</t>
  </si>
  <si>
    <t>Harvard</t>
  </si>
  <si>
    <t>TBD</t>
  </si>
  <si>
    <t xml:space="preserve">Leasehold interest in a condominium unit. It is 100% leased to Harvard, Brigham and Women's Hospital and the Dana Farber Cancer Institute. </t>
  </si>
  <si>
    <t>Boston, MA</t>
  </si>
  <si>
    <t>On the Market</t>
  </si>
  <si>
    <t>Longwood Medical Area</t>
  </si>
  <si>
    <t>NEW</t>
  </si>
  <si>
    <t>Class A</t>
  </si>
  <si>
    <t>Hayden Research Campus</t>
  </si>
  <si>
    <t>King Street / Carlyle</t>
  </si>
  <si>
    <t>HCP / King Street</t>
  </si>
  <si>
    <t>45/55 Hayden are leased to Shire for 12 years. 65 Hayden is available. King Street seeking approvals for the joint venture to develop 209,000 square feet of life science space on the campus.</t>
  </si>
  <si>
    <t>Lexington, MA</t>
  </si>
  <si>
    <t>Closed</t>
  </si>
  <si>
    <t>128 West</t>
  </si>
  <si>
    <t>Built in 1999 (45),1972 (55) &amp; 1971 (65)</t>
  </si>
  <si>
    <t>Renovated in 1980 (55) and 2010 (65)</t>
  </si>
  <si>
    <t>Dana-Farber Cancer Institute Condo</t>
  </si>
  <si>
    <t>Alexandria / Clarion / Charles River</t>
  </si>
  <si>
    <t>Dana-Farber Cancer Institute</t>
  </si>
  <si>
    <t>User purchase of leased premises. State of the art research space with significant tenant improvements.</t>
  </si>
  <si>
    <t>CONFIRMED</t>
  </si>
  <si>
    <t>Single Tenant</t>
  </si>
  <si>
    <t>650 E Kendall St</t>
  </si>
  <si>
    <t>PGIM Real Estate</t>
  </si>
  <si>
    <t>BioMed Realty</t>
  </si>
  <si>
    <t>Tenants: Baxalta, IPSEN, Cafe ArtScience; prior sale: Jan-16; partial interest (80%); partner buyout; part of 2 property portfolio</t>
  </si>
  <si>
    <t>Cambridge, MA</t>
  </si>
  <si>
    <t>East Cambridge</t>
  </si>
  <si>
    <t>Vertex Pharmaceuticals</t>
  </si>
  <si>
    <t>Senior Housing Properties Trust</t>
  </si>
  <si>
    <t>Barings</t>
  </si>
  <si>
    <t>Includes 50,000 SF of street retail; Tenants: Vertex Pharmaceuticals Inc (HQ); partial interest (45%); buyer assumed mtg; seller retained interest;</t>
  </si>
  <si>
    <t>Seaport</t>
  </si>
  <si>
    <t>45, 55, 65 Hayden Avenue</t>
  </si>
  <si>
    <t>Merck</t>
  </si>
  <si>
    <t xml:space="preserve">Former headquarters of Cubist, 45/55 Hayden are leased to Shire for 12 years. </t>
  </si>
  <si>
    <t>733 Concord Avenue</t>
  </si>
  <si>
    <t>King Street / Baupost</t>
  </si>
  <si>
    <t>King Street / Morgan Stanley</t>
  </si>
  <si>
    <t>Recapitalization of Class A lab building in West Cambridge 100% leased to Wave and Genewiz. First class lab asset.</t>
  </si>
  <si>
    <t>West Cambridge</t>
  </si>
  <si>
    <t>One Kendall Square</t>
  </si>
  <si>
    <t>DivcoWest</t>
  </si>
  <si>
    <t>Alexandria Real Estate Equities</t>
  </si>
  <si>
    <t>One Kendall Square consists of an assortment of 9 office, bio-tech/ lab and retail buildings, a seven level parking facility lined for 1,530 vehicles and the Kendall Square Cinemas.</t>
  </si>
  <si>
    <t>245 First Street</t>
  </si>
  <si>
    <t>Jamestown Properties</t>
  </si>
  <si>
    <t>Clarion Partners</t>
  </si>
  <si>
    <t>10-story Class A office building atop a 334-space, eight-story structured parking garage, as well as a six-story science life facility. Bought in 2013 for $192.6 million.  Tenants: Forsyth Institute, Akebia Therapeutics, Horizon Discovery, Monsanto, MIT</t>
  </si>
  <si>
    <t>1030 Massachusetts Ave</t>
  </si>
  <si>
    <t>HCP</t>
  </si>
  <si>
    <t>Longfellow RE Partners</t>
  </si>
  <si>
    <t>Partial Interest (Minority Share); partner buyout;</t>
  </si>
  <si>
    <t>Mid-Cambridge</t>
  </si>
  <si>
    <t>200 Cambridge Park Drive</t>
  </si>
  <si>
    <t>Morgan Stanley</t>
  </si>
  <si>
    <t>Former Pfizer lab asset that has been repositioned for multi-tenant usage. Top to bottom rehab with nice common area finishes.</t>
  </si>
  <si>
    <t>225 Binney Street</t>
  </si>
  <si>
    <t>Alexandria</t>
  </si>
  <si>
    <t>TIAA-CREF</t>
  </si>
  <si>
    <t>Sale of 70% interest; Biogen (HQ)</t>
  </si>
  <si>
    <t>100-700 Technology Square</t>
  </si>
  <si>
    <t>MIT</t>
  </si>
  <si>
    <t>Sale of 10% interest</t>
  </si>
  <si>
    <t>830 Winter Street</t>
  </si>
  <si>
    <t>Intercontinental</t>
  </si>
  <si>
    <t xml:space="preserve">King Street </t>
  </si>
  <si>
    <t xml:space="preserve">Asset was 100% leased to GlaxoSmithKline, Immunogen Inc. and Histogenics at the time of sale.
</t>
  </si>
  <si>
    <t>Waltham, MA</t>
  </si>
  <si>
    <t>Fallon/Cornerstone</t>
  </si>
  <si>
    <t>640 Memorial Drive</t>
  </si>
  <si>
    <t>MITIMCO</t>
  </si>
  <si>
    <t>Ground lease with 59 years of remaining term</t>
  </si>
  <si>
    <t>60 Acron Park</t>
  </si>
  <si>
    <t>Bulfinch Company / NEBF</t>
  </si>
  <si>
    <t>CBRE Global Investors</t>
  </si>
  <si>
    <t>15-year lease to Forrester Research LEED-certified asset located in master planed park setting.</t>
  </si>
  <si>
    <t>The Beal Companies / Rockwood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</si>
</sst>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00"/>
    <numFmt numFmtId="165" formatCode="[$-409]mmm\-yy;@"/>
    <numFmt numFmtId="166" formatCode="&quot;$&quot;#,##0.0"/>
    <numFmt numFmtId="167" formatCode="&quot;$&quot;#,##0&quot;/SF&quot;"/>
    <numFmt numFmtId="168" formatCode="0.0%\ &quot;Occupied&quot;"/>
    <numFmt numFmtId="169" formatCode="&quot;$&quot;#,##0\ &quot;NOI&quot;"/>
    <numFmt numFmtId="170" formatCode="#,##0\ &quot;SF&quot;"/>
    <numFmt numFmtId="171" formatCode="&quot;Built in&quot;\ General"/>
    <numFmt numFmtId="172" formatCode="0.00%\ &quot;cap rate&quot;"/>
    <numFmt numFmtId="173" formatCode="&quot;Renovated in&quot;\ General"/>
    <numFmt numFmtId="174" formatCode="0&quot; years&quot;"/>
    <numFmt numFmtId="175" formatCode="&quot;$&quot;#,##0"/>
    <numFmt numFmtId="176" formatCode="0.00\x"/>
    <numFmt numFmtId="177" formatCode="0.0%"/>
    <numFmt numFmtId="178" formatCode="&quot;CY &quot;yyyy_)"/>
    <numFmt numFmtId="179" formatCode="#,##0.0%_);\(#,##0.0%\)"/>
    <numFmt numFmtId="180" formatCode="#,##0.00%_);\(#,##0.00%\)"/>
    <numFmt numFmtId="181" formatCode="0&quot; months&quot;"/>
    <numFmt numFmtId="182" formatCode="0.0\ &quot;months&quot;"/>
    <numFmt numFmtId="183" formatCode="0\ &quot;months&quot;"/>
  </numFmts>
  <fonts count="31" x14ac:knownFonts="1">
    <font>
      <sz val="11"/>
      <color theme="1"/>
      <name val="Calibri"/>
      <family val="2"/>
      <scheme val="minor"/>
    </font>
    <font>
      <sz val="10"/>
      <color theme="1"/>
      <name val="Arial"/>
      <family val="2"/>
    </font>
    <font>
      <sz val="11"/>
      <color theme="1"/>
      <name val="Calibri"/>
      <family val="2"/>
      <scheme val="minor"/>
    </font>
    <font>
      <b/>
      <sz val="10"/>
      <color theme="0"/>
      <name val="Arial"/>
      <family val="2"/>
    </font>
    <font>
      <b/>
      <sz val="10"/>
      <color theme="1"/>
      <name val="Arial"/>
      <family val="2"/>
    </font>
    <font>
      <sz val="10"/>
      <color theme="0"/>
      <name val="Arial"/>
      <family val="2"/>
    </font>
    <font>
      <sz val="10"/>
      <color rgb="FF0070C0"/>
      <name val="Arial"/>
      <family val="2"/>
    </font>
    <font>
      <sz val="10"/>
      <color rgb="FF1155CC"/>
      <name val="Arial"/>
      <family val="2"/>
    </font>
    <font>
      <sz val="10"/>
      <color rgb="FF0B5394"/>
      <name val="Arial"/>
      <family val="2"/>
    </font>
    <font>
      <sz val="10"/>
      <color rgb="FF000000"/>
      <name val="Arial"/>
      <family val="2"/>
    </font>
    <font>
      <sz val="10"/>
      <color rgb="FF4472C4"/>
      <name val="Arial"/>
      <family val="2"/>
    </font>
    <font>
      <b/>
      <sz val="10"/>
      <color rgb="FFFFFFFF"/>
      <name val="Arial"/>
      <family val="2"/>
    </font>
    <font>
      <b/>
      <sz val="10"/>
      <color rgb="FF000000"/>
      <name val="Arial"/>
      <family val="2"/>
    </font>
    <font>
      <sz val="10"/>
      <name val="Book Antiqua"/>
      <family val="1"/>
    </font>
    <font>
      <sz val="10"/>
      <name val="Arial"/>
      <family val="2"/>
    </font>
    <font>
      <b/>
      <sz val="9"/>
      <name val="Tahoma"/>
      <family val="2"/>
    </font>
    <font>
      <b/>
      <u/>
      <sz val="10"/>
      <name val="Times New Roman"/>
      <family val="1"/>
    </font>
    <font>
      <sz val="9"/>
      <name val="Tahoma"/>
      <family val="2"/>
    </font>
    <font>
      <u/>
      <sz val="12"/>
      <name val="Tahoma"/>
      <family val="2"/>
    </font>
    <font>
      <i/>
      <u/>
      <sz val="11"/>
      <name val="Tahoma"/>
      <family val="2"/>
    </font>
    <font>
      <b/>
      <sz val="11"/>
      <name val="Tahoma"/>
      <family val="2"/>
    </font>
    <font>
      <b/>
      <sz val="10"/>
      <name val="Tahoma"/>
      <family val="2"/>
    </font>
    <font>
      <i/>
      <sz val="11"/>
      <name val="Tahoma"/>
      <family val="2"/>
    </font>
    <font>
      <b/>
      <sz val="10"/>
      <name val="Arial"/>
      <family val="2"/>
    </font>
    <font>
      <sz val="10"/>
      <color indexed="17"/>
      <name val="Arial"/>
      <family val="2"/>
    </font>
    <font>
      <sz val="10"/>
      <color indexed="8"/>
      <name val="Arial"/>
      <family val="2"/>
    </font>
    <font>
      <sz val="10"/>
      <color indexed="12"/>
      <name val="Arial"/>
      <family val="2"/>
    </font>
    <font>
      <b/>
      <sz val="10"/>
      <color rgb="FF0070C0"/>
      <name val="Arial"/>
      <family val="2"/>
    </font>
    <font>
      <i/>
      <sz val="10"/>
      <color theme="1"/>
      <name val="Arial"/>
      <family val="2"/>
    </font>
    <font>
      <sz val="10"/>
      <color rgb="FF008000"/>
      <name val="Arial"/>
      <family val="2"/>
    </font>
    <font>
      <sz val="8"/>
      <color theme="1"/>
      <name val="Arial"/>
      <family val="2"/>
    </font>
  </fonts>
  <fills count="19">
    <fill>
      <patternFill patternType="none"/>
    </fill>
    <fill>
      <patternFill patternType="gray125"/>
    </fill>
    <fill>
      <patternFill patternType="solid">
        <fgColor theme="3"/>
        <bgColor indexed="64"/>
      </patternFill>
    </fill>
    <fill>
      <patternFill patternType="solid">
        <fgColor rgb="FF002060"/>
        <bgColor indexed="64"/>
      </patternFill>
    </fill>
    <fill>
      <patternFill patternType="solid">
        <fgColor theme="2" tint="-0.14999847407452621"/>
        <bgColor indexed="64"/>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indexed="44"/>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499984740745262"/>
        <bgColor indexed="64"/>
      </patternFill>
    </fill>
    <fill>
      <patternFill patternType="solid">
        <fgColor theme="6" tint="0.79998168889431442"/>
        <bgColor indexed="64"/>
      </patternFill>
    </fill>
    <fill>
      <patternFill patternType="solid">
        <fgColor theme="1"/>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rgb="FF9999FF"/>
        <bgColor indexed="64"/>
      </patternFill>
    </fill>
    <fill>
      <patternFill patternType="solid">
        <fgColor theme="9" tint="0.79998168889431442"/>
        <bgColor indexed="64"/>
      </patternFill>
    </fill>
  </fills>
  <borders count="22">
    <border>
      <left/>
      <right/>
      <top/>
      <bottom/>
      <diagonal/>
    </border>
    <border>
      <left/>
      <right/>
      <top/>
      <bottom style="hair">
        <color auto="1"/>
      </bottom>
      <diagonal/>
    </border>
    <border>
      <left/>
      <right/>
      <top style="hair">
        <color auto="1"/>
      </top>
      <bottom style="hair">
        <color auto="1"/>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hair">
        <color indexed="22"/>
      </bottom>
      <diagonal/>
    </border>
    <border>
      <left/>
      <right/>
      <top style="thin">
        <color indexed="64"/>
      </top>
      <bottom style="hair">
        <color indexed="22"/>
      </bottom>
      <diagonal/>
    </border>
    <border>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style="thin">
        <color auto="1"/>
      </right>
      <top/>
      <bottom style="thin">
        <color auto="1"/>
      </bottom>
      <diagonal/>
    </border>
  </borders>
  <cellStyleXfs count="28">
    <xf numFmtId="0" fontId="0" fillId="0" borderId="0"/>
    <xf numFmtId="9" fontId="2" fillId="0" borderId="0" applyFont="0" applyFill="0" applyBorder="0" applyAlignment="0" applyProtection="0"/>
    <xf numFmtId="0" fontId="2" fillId="0" borderId="0"/>
    <xf numFmtId="0" fontId="13" fillId="0" borderId="0"/>
    <xf numFmtId="0" fontId="15" fillId="8" borderId="0" applyNumberFormat="0">
      <alignment horizontal="center"/>
    </xf>
    <xf numFmtId="43" fontId="14" fillId="0" borderId="0" applyFont="0" applyFill="0" applyBorder="0" applyAlignment="0" applyProtection="0"/>
    <xf numFmtId="43" fontId="13" fillId="0" borderId="0" applyFont="0" applyFill="0" applyBorder="0" applyAlignment="0" applyProtection="0"/>
    <xf numFmtId="44" fontId="14" fillId="0" borderId="0" applyFont="0" applyFill="0" applyBorder="0" applyAlignment="0" applyProtection="0"/>
    <xf numFmtId="39" fontId="17" fillId="0" borderId="0">
      <alignment horizontal="right"/>
    </xf>
    <xf numFmtId="0" fontId="14" fillId="0" borderId="13" applyNumberFormat="0" applyFont="0" applyFill="0" applyAlignment="0" applyProtection="0"/>
    <xf numFmtId="0" fontId="18" fillId="0" borderId="0" applyNumberFormat="0" applyFill="0" applyBorder="0" applyAlignment="0" applyProtection="0">
      <alignment horizontal="left"/>
    </xf>
    <xf numFmtId="0" fontId="19" fillId="0" borderId="0" applyNumberFormat="0" applyFill="0" applyBorder="0" applyAlignment="0" applyProtection="0">
      <alignment horizontal="left"/>
    </xf>
    <xf numFmtId="0" fontId="14" fillId="0" borderId="0"/>
    <xf numFmtId="0" fontId="14" fillId="0" borderId="0"/>
    <xf numFmtId="0" fontId="13" fillId="0" borderId="0"/>
    <xf numFmtId="0" fontId="14" fillId="0" borderId="13" applyNumberFormat="0" applyFont="0" applyFill="0" applyAlignment="0" applyProtection="0"/>
    <xf numFmtId="0" fontId="14" fillId="0" borderId="14" applyNumberFormat="0" applyFont="0" applyFill="0" applyAlignment="0" applyProtection="0"/>
    <xf numFmtId="9" fontId="13"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9" fontId="13" fillId="0" borderId="0" applyFont="0" applyFill="0" applyBorder="0" applyAlignment="0" applyProtection="0"/>
    <xf numFmtId="0" fontId="17" fillId="0" borderId="0" applyNumberFormat="0" applyFill="0" applyBorder="0" applyAlignment="0" applyProtection="0"/>
    <xf numFmtId="49" fontId="17" fillId="0" borderId="0"/>
    <xf numFmtId="0" fontId="20" fillId="0" borderId="0">
      <alignment horizontal="center"/>
    </xf>
    <xf numFmtId="0" fontId="21" fillId="0" borderId="0">
      <alignment horizontal="center"/>
    </xf>
    <xf numFmtId="0" fontId="22" fillId="0" borderId="0" applyNumberFormat="0" applyFill="0" applyBorder="0" applyAlignment="0" applyProtection="0">
      <alignment horizontal="left"/>
    </xf>
    <xf numFmtId="0" fontId="14" fillId="0" borderId="15" applyNumberFormat="0" applyFont="0" applyFill="0" applyAlignment="0" applyProtection="0"/>
    <xf numFmtId="178" fontId="16" fillId="0" borderId="0" applyFont="0" applyFill="0" applyBorder="0" applyAlignment="0" applyProtection="0"/>
  </cellStyleXfs>
  <cellXfs count="288">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5" fillId="3" borderId="11" xfId="0" applyFont="1" applyFill="1" applyBorder="1" applyAlignment="1">
      <alignment vertical="center"/>
    </xf>
    <xf numFmtId="0" fontId="1" fillId="4" borderId="11" xfId="0" applyFont="1" applyFill="1" applyBorder="1" applyAlignment="1">
      <alignment vertical="center"/>
    </xf>
    <xf numFmtId="0" fontId="4" fillId="4" borderId="12" xfId="0" applyFont="1" applyFill="1" applyBorder="1" applyAlignment="1">
      <alignment horizontal="center" vertical="center"/>
    </xf>
    <xf numFmtId="0" fontId="4" fillId="5" borderId="11" xfId="0" applyFont="1" applyFill="1" applyBorder="1" applyAlignment="1">
      <alignment horizontal="center" vertical="center"/>
    </xf>
    <xf numFmtId="0" fontId="5" fillId="0" borderId="0" xfId="0" applyFont="1" applyAlignment="1">
      <alignment vertical="center"/>
    </xf>
    <xf numFmtId="0" fontId="1" fillId="0" borderId="9" xfId="0" applyFont="1" applyBorder="1" applyAlignment="1">
      <alignment vertical="center"/>
    </xf>
    <xf numFmtId="0" fontId="6" fillId="0" borderId="9" xfId="0" applyFont="1" applyBorder="1" applyAlignment="1">
      <alignment horizontal="right"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14" fontId="1" fillId="0" borderId="0" xfId="0" applyNumberFormat="1" applyFont="1" applyAlignment="1">
      <alignment vertical="center"/>
    </xf>
    <xf numFmtId="0" fontId="1" fillId="0" borderId="10" xfId="0" applyFont="1" applyBorder="1" applyAlignment="1">
      <alignment vertical="center"/>
    </xf>
    <xf numFmtId="0" fontId="1" fillId="0" borderId="8" xfId="0" applyFont="1" applyBorder="1" applyAlignment="1">
      <alignment horizontal="center" vertical="center"/>
    </xf>
    <xf numFmtId="14" fontId="1" fillId="0" borderId="10" xfId="0" applyNumberFormat="1" applyFont="1" applyBorder="1" applyAlignment="1">
      <alignment vertical="center"/>
    </xf>
    <xf numFmtId="14" fontId="7" fillId="0" borderId="0" xfId="0" applyNumberFormat="1" applyFont="1" applyAlignment="1">
      <alignment horizontal="right" vertical="center"/>
    </xf>
    <xf numFmtId="6" fontId="1" fillId="0" borderId="6" xfId="0" applyNumberFormat="1" applyFont="1" applyBorder="1" applyAlignment="1">
      <alignment horizontal="center" vertical="center"/>
    </xf>
    <xf numFmtId="6" fontId="1" fillId="0" borderId="0" xfId="0" applyNumberFormat="1" applyFont="1" applyAlignment="1">
      <alignment vertical="center"/>
    </xf>
    <xf numFmtId="0" fontId="8" fillId="0" borderId="9" xfId="0" applyFont="1" applyBorder="1" applyAlignment="1">
      <alignment vertical="center"/>
    </xf>
    <xf numFmtId="3" fontId="1" fillId="0" borderId="0" xfId="0" applyNumberFormat="1" applyFont="1" applyAlignment="1">
      <alignment horizontal="right" vertical="center"/>
    </xf>
    <xf numFmtId="0" fontId="7" fillId="0" borderId="0" xfId="0" applyFont="1" applyAlignment="1">
      <alignment horizontal="right" vertical="center"/>
    </xf>
    <xf numFmtId="0" fontId="8" fillId="0" borderId="10" xfId="0" applyFont="1" applyBorder="1" applyAlignment="1">
      <alignment vertical="center"/>
    </xf>
    <xf numFmtId="0" fontId="8" fillId="0" borderId="0" xfId="0" applyFont="1" applyAlignment="1">
      <alignment vertical="center"/>
    </xf>
    <xf numFmtId="3" fontId="1" fillId="0" borderId="9" xfId="0" applyNumberFormat="1" applyFont="1" applyBorder="1" applyAlignment="1">
      <alignment horizontal="right" vertical="center"/>
    </xf>
    <xf numFmtId="3" fontId="7" fillId="0" borderId="0" xfId="0" applyNumberFormat="1" applyFont="1" applyAlignment="1">
      <alignment horizontal="right" vertical="center"/>
    </xf>
    <xf numFmtId="0" fontId="1" fillId="0" borderId="0" xfId="0" applyFont="1" applyAlignment="1">
      <alignment horizontal="right" vertical="center"/>
    </xf>
    <xf numFmtId="0" fontId="4" fillId="0" borderId="11" xfId="0" applyFont="1" applyBorder="1" applyAlignment="1">
      <alignment vertical="center"/>
    </xf>
    <xf numFmtId="175" fontId="7" fillId="0" borderId="0" xfId="0" applyNumberFormat="1" applyFont="1" applyAlignment="1">
      <alignment vertical="center"/>
    </xf>
    <xf numFmtId="175" fontId="1" fillId="0" borderId="0" xfId="0" applyNumberFormat="1" applyFont="1" applyAlignment="1">
      <alignment vertical="center"/>
    </xf>
    <xf numFmtId="3" fontId="4" fillId="0" borderId="11" xfId="0" applyNumberFormat="1" applyFont="1" applyBorder="1" applyAlignment="1">
      <alignment horizontal="right" vertical="center"/>
    </xf>
    <xf numFmtId="175" fontId="1" fillId="0" borderId="0" xfId="0" applyNumberFormat="1" applyFont="1" applyAlignment="1">
      <alignment horizontal="right" vertical="center"/>
    </xf>
    <xf numFmtId="6" fontId="9" fillId="0" borderId="0" xfId="0" applyNumberFormat="1" applyFont="1" applyAlignment="1">
      <alignment vertical="center"/>
    </xf>
    <xf numFmtId="175" fontId="6" fillId="0" borderId="9" xfId="0" applyNumberFormat="1" applyFont="1" applyBorder="1" applyAlignment="1">
      <alignment vertical="center"/>
    </xf>
    <xf numFmtId="0" fontId="10" fillId="0" borderId="0" xfId="0" applyFont="1" applyAlignment="1">
      <alignment horizontal="right" vertical="center"/>
    </xf>
    <xf numFmtId="6" fontId="4" fillId="0" borderId="12" xfId="0" applyNumberFormat="1" applyFont="1" applyBorder="1" applyAlignment="1">
      <alignment horizontal="center" vertical="center"/>
    </xf>
    <xf numFmtId="6" fontId="1" fillId="0" borderId="0" xfId="0" applyNumberFormat="1" applyFont="1" applyAlignment="1">
      <alignment horizontal="right" vertical="center"/>
    </xf>
    <xf numFmtId="0" fontId="4" fillId="0" borderId="0" xfId="0" applyFont="1" applyAlignment="1">
      <alignment horizontal="center" vertical="center"/>
    </xf>
    <xf numFmtId="175" fontId="4" fillId="0" borderId="11" xfId="0" applyNumberFormat="1" applyFont="1" applyBorder="1" applyAlignment="1">
      <alignment horizontal="right" vertical="center"/>
    </xf>
    <xf numFmtId="0" fontId="11" fillId="0" borderId="0" xfId="0" applyFont="1" applyAlignment="1">
      <alignment vertical="center"/>
    </xf>
    <xf numFmtId="175" fontId="1" fillId="0" borderId="9" xfId="0" applyNumberFormat="1" applyFont="1" applyBorder="1" applyAlignment="1">
      <alignment vertical="center"/>
    </xf>
    <xf numFmtId="9" fontId="7" fillId="0" borderId="0" xfId="0" applyNumberFormat="1" applyFont="1" applyAlignment="1">
      <alignment vertical="center"/>
    </xf>
    <xf numFmtId="175" fontId="9" fillId="0" borderId="0" xfId="0" applyNumberFormat="1" applyFont="1" applyAlignment="1">
      <alignment vertical="center"/>
    </xf>
    <xf numFmtId="6" fontId="4" fillId="0" borderId="12" xfId="0" applyNumberFormat="1" applyFont="1" applyBorder="1" applyAlignment="1">
      <alignment vertical="center"/>
    </xf>
    <xf numFmtId="6" fontId="4" fillId="0" borderId="11" xfId="0" applyNumberFormat="1" applyFont="1" applyBorder="1" applyAlignment="1">
      <alignment vertical="center"/>
    </xf>
    <xf numFmtId="175" fontId="1" fillId="0" borderId="10" xfId="0" applyNumberFormat="1" applyFont="1" applyBorder="1" applyAlignment="1">
      <alignment vertical="center"/>
    </xf>
    <xf numFmtId="6" fontId="1" fillId="0" borderId="0" xfId="0" applyNumberFormat="1" applyFont="1" applyAlignment="1">
      <alignment horizontal="center" vertical="center"/>
    </xf>
    <xf numFmtId="0" fontId="1" fillId="0" borderId="0" xfId="0" applyFont="1" applyAlignment="1">
      <alignment horizontal="left" vertical="center"/>
    </xf>
    <xf numFmtId="0" fontId="10" fillId="0" borderId="0" xfId="0" applyFont="1" applyAlignment="1">
      <alignment horizontal="center" vertical="center"/>
    </xf>
    <xf numFmtId="3" fontId="4" fillId="0" borderId="0" xfId="0" applyNumberFormat="1" applyFont="1" applyAlignment="1">
      <alignment horizontal="right" vertical="center"/>
    </xf>
    <xf numFmtId="9" fontId="10" fillId="0" borderId="0" xfId="0" applyNumberFormat="1" applyFont="1" applyAlignment="1">
      <alignment horizontal="right" vertical="center"/>
    </xf>
    <xf numFmtId="175" fontId="6" fillId="0" borderId="10" xfId="0" applyNumberFormat="1" applyFont="1" applyBorder="1" applyAlignment="1">
      <alignment vertical="center"/>
    </xf>
    <xf numFmtId="6" fontId="6" fillId="0" borderId="0" xfId="0" applyNumberFormat="1" applyFont="1" applyAlignment="1">
      <alignment vertical="center"/>
    </xf>
    <xf numFmtId="10" fontId="6" fillId="0" borderId="0" xfId="0" applyNumberFormat="1" applyFont="1" applyAlignment="1">
      <alignment vertical="center"/>
    </xf>
    <xf numFmtId="9" fontId="6" fillId="0" borderId="10" xfId="0" applyNumberFormat="1" applyFont="1" applyBorder="1" applyAlignment="1">
      <alignment vertical="center"/>
    </xf>
    <xf numFmtId="0" fontId="4" fillId="0" borderId="0" xfId="0" applyFont="1" applyAlignment="1">
      <alignment vertical="center"/>
    </xf>
    <xf numFmtId="175" fontId="4" fillId="0" borderId="11" xfId="0" applyNumberFormat="1" applyFont="1" applyBorder="1" applyAlignment="1">
      <alignment vertical="center"/>
    </xf>
    <xf numFmtId="0" fontId="1" fillId="0" borderId="11" xfId="0" applyFont="1" applyBorder="1" applyAlignment="1">
      <alignment vertical="center"/>
    </xf>
    <xf numFmtId="0" fontId="6" fillId="0" borderId="11" xfId="0" applyFont="1" applyBorder="1" applyAlignment="1">
      <alignment horizontal="right" vertical="center"/>
    </xf>
    <xf numFmtId="3" fontId="6" fillId="0" borderId="9" xfId="0" applyNumberFormat="1" applyFont="1" applyBorder="1" applyAlignment="1">
      <alignment horizontal="right" vertical="center"/>
    </xf>
    <xf numFmtId="6" fontId="12" fillId="0" borderId="12" xfId="0" applyNumberFormat="1" applyFont="1" applyBorder="1" applyAlignment="1">
      <alignment vertical="center"/>
    </xf>
    <xf numFmtId="6" fontId="12" fillId="0" borderId="11" xfId="0" applyNumberFormat="1" applyFont="1" applyBorder="1" applyAlignment="1">
      <alignment vertical="center"/>
    </xf>
    <xf numFmtId="0" fontId="5" fillId="3" borderId="0" xfId="0" applyFont="1" applyFill="1" applyAlignment="1">
      <alignment vertical="center"/>
    </xf>
    <xf numFmtId="0" fontId="9" fillId="0" borderId="0" xfId="0" applyFont="1" applyAlignment="1">
      <alignment vertical="center"/>
    </xf>
    <xf numFmtId="10" fontId="7" fillId="0" borderId="0" xfId="0" applyNumberFormat="1" applyFont="1" applyAlignment="1">
      <alignment vertical="center"/>
    </xf>
    <xf numFmtId="0" fontId="1" fillId="3" borderId="0" xfId="0" applyFont="1" applyFill="1" applyAlignment="1">
      <alignment vertical="center"/>
    </xf>
    <xf numFmtId="0" fontId="1" fillId="3" borderId="0" xfId="0" applyFont="1" applyFill="1" applyAlignment="1">
      <alignment horizontal="right" vertical="center"/>
    </xf>
    <xf numFmtId="164" fontId="1" fillId="0" borderId="0" xfId="0" applyNumberFormat="1" applyFont="1" applyAlignment="1">
      <alignment vertical="center"/>
    </xf>
    <xf numFmtId="0" fontId="4" fillId="0" borderId="0" xfId="0" applyFont="1"/>
    <xf numFmtId="0" fontId="1" fillId="0" borderId="0" xfId="0" applyFont="1"/>
    <xf numFmtId="0" fontId="23" fillId="0" borderId="0" xfId="0" applyFont="1"/>
    <xf numFmtId="0" fontId="14" fillId="0" borderId="0" xfId="0" applyFont="1"/>
    <xf numFmtId="3" fontId="14" fillId="0" borderId="0" xfId="0" applyNumberFormat="1" applyFont="1"/>
    <xf numFmtId="0" fontId="3" fillId="2" borderId="0" xfId="0" applyFont="1" applyFill="1"/>
    <xf numFmtId="0" fontId="3" fillId="2" borderId="0" xfId="0" applyFont="1" applyFill="1" applyAlignment="1">
      <alignment horizontal="center"/>
    </xf>
    <xf numFmtId="0" fontId="1" fillId="0" borderId="1" xfId="0" applyFont="1" applyBorder="1" applyAlignment="1">
      <alignment vertical="center"/>
    </xf>
    <xf numFmtId="0" fontId="14" fillId="0" borderId="1" xfId="0" applyFont="1" applyBorder="1" applyAlignment="1">
      <alignment vertical="center"/>
    </xf>
    <xf numFmtId="0" fontId="1" fillId="0" borderId="1" xfId="0" applyFont="1" applyBorder="1" applyAlignment="1">
      <alignment horizontal="center" vertical="center"/>
    </xf>
    <xf numFmtId="3" fontId="1" fillId="0" borderId="1" xfId="0" applyNumberFormat="1" applyFont="1" applyBorder="1" applyAlignment="1">
      <alignment horizontal="center" vertical="center"/>
    </xf>
    <xf numFmtId="3" fontId="1" fillId="0" borderId="1" xfId="0" quotePrefix="1" applyNumberFormat="1" applyFont="1" applyBorder="1" applyAlignment="1">
      <alignment horizontal="center" vertical="center"/>
    </xf>
    <xf numFmtId="10" fontId="1" fillId="0" borderId="1" xfId="1" quotePrefix="1" applyNumberFormat="1" applyFont="1" applyBorder="1" applyAlignment="1">
      <alignment horizontal="center" vertical="center"/>
    </xf>
    <xf numFmtId="164" fontId="14" fillId="0" borderId="1" xfId="0" applyNumberFormat="1" applyFont="1" applyBorder="1" applyAlignment="1">
      <alignment horizontal="center" vertical="center" wrapText="1"/>
    </xf>
    <xf numFmtId="0" fontId="1" fillId="0" borderId="2" xfId="0" applyFont="1" applyBorder="1" applyAlignment="1">
      <alignment vertical="center"/>
    </xf>
    <xf numFmtId="165" fontId="1" fillId="0" borderId="2" xfId="0" applyNumberFormat="1" applyFont="1" applyBorder="1" applyAlignment="1">
      <alignment horizontal="center" vertical="center"/>
    </xf>
    <xf numFmtId="3" fontId="1" fillId="0" borderId="2" xfId="0" applyNumberFormat="1" applyFont="1" applyBorder="1" applyAlignment="1">
      <alignment horizontal="center" vertical="center"/>
    </xf>
    <xf numFmtId="164" fontId="1" fillId="0" borderId="2" xfId="0" quotePrefix="1" applyNumberFormat="1" applyFont="1" applyBorder="1" applyAlignment="1">
      <alignment horizontal="center" vertical="center"/>
    </xf>
    <xf numFmtId="3" fontId="1" fillId="0" borderId="2" xfId="0" quotePrefix="1" applyNumberFormat="1" applyFont="1" applyBorder="1" applyAlignment="1">
      <alignment horizontal="center" vertical="center"/>
    </xf>
    <xf numFmtId="164" fontId="14" fillId="0" borderId="2" xfId="0" applyNumberFormat="1" applyFont="1" applyBorder="1" applyAlignment="1">
      <alignment horizontal="center" vertical="center" wrapText="1"/>
    </xf>
    <xf numFmtId="10" fontId="1" fillId="0" borderId="2" xfId="1" quotePrefix="1" applyNumberFormat="1" applyFont="1" applyBorder="1" applyAlignment="1">
      <alignment horizontal="center" vertical="center"/>
    </xf>
    <xf numFmtId="166" fontId="14" fillId="0" borderId="2" xfId="0" applyNumberFormat="1" applyFont="1" applyBorder="1" applyAlignment="1">
      <alignment horizontal="center" vertical="center" wrapText="1"/>
    </xf>
    <xf numFmtId="3" fontId="1" fillId="0" borderId="0" xfId="0" applyNumberFormat="1" applyFont="1"/>
    <xf numFmtId="0" fontId="14" fillId="0" borderId="0" xfId="0" applyFont="1" applyAlignment="1">
      <alignment vertical="center"/>
    </xf>
    <xf numFmtId="164" fontId="14" fillId="0" borderId="0" xfId="0" applyNumberFormat="1" applyFont="1"/>
    <xf numFmtId="0" fontId="14" fillId="0" borderId="0" xfId="3" applyFont="1"/>
    <xf numFmtId="0" fontId="14" fillId="0" borderId="0" xfId="3" applyFont="1" applyAlignment="1">
      <alignment horizontal="centerContinuous"/>
    </xf>
    <xf numFmtId="0" fontId="14" fillId="0" borderId="9" xfId="3" applyFont="1" applyBorder="1"/>
    <xf numFmtId="39" fontId="24" fillId="0" borderId="9" xfId="3" applyNumberFormat="1" applyFont="1" applyBorder="1"/>
    <xf numFmtId="37" fontId="14" fillId="0" borderId="0" xfId="3" applyNumberFormat="1" applyFont="1"/>
    <xf numFmtId="39" fontId="14" fillId="0" borderId="0" xfId="3" applyNumberFormat="1" applyFont="1"/>
    <xf numFmtId="7" fontId="14" fillId="0" borderId="0" xfId="3" applyNumberFormat="1" applyFont="1"/>
    <xf numFmtId="5" fontId="14" fillId="0" borderId="0" xfId="3" applyNumberFormat="1" applyFont="1"/>
    <xf numFmtId="180" fontId="25" fillId="0" borderId="0" xfId="3" applyNumberFormat="1" applyFont="1"/>
    <xf numFmtId="179" fontId="26" fillId="0" borderId="0" xfId="3" applyNumberFormat="1" applyFont="1"/>
    <xf numFmtId="179" fontId="14" fillId="0" borderId="0" xfId="3" applyNumberFormat="1" applyFont="1"/>
    <xf numFmtId="177" fontId="6" fillId="0" borderId="0" xfId="3" applyNumberFormat="1" applyFont="1"/>
    <xf numFmtId="8" fontId="1" fillId="0" borderId="0" xfId="0" applyNumberFormat="1" applyFont="1" applyAlignment="1">
      <alignment vertical="center"/>
    </xf>
    <xf numFmtId="0" fontId="4" fillId="7" borderId="11" xfId="0" applyFont="1" applyFill="1" applyBorder="1" applyAlignment="1">
      <alignment vertical="center"/>
    </xf>
    <xf numFmtId="6" fontId="4" fillId="0" borderId="6" xfId="0" applyNumberFormat="1" applyFont="1" applyBorder="1" applyAlignment="1">
      <alignment horizontal="center" vertical="center"/>
    </xf>
    <xf numFmtId="6" fontId="12" fillId="0" borderId="0" xfId="0" applyNumberFormat="1" applyFont="1" applyAlignment="1">
      <alignment vertical="center"/>
    </xf>
    <xf numFmtId="6" fontId="4" fillId="0" borderId="0" xfId="0" applyNumberFormat="1" applyFont="1" applyAlignment="1">
      <alignment vertical="center"/>
    </xf>
    <xf numFmtId="4" fontId="14" fillId="0" borderId="0" xfId="0" applyNumberFormat="1" applyFont="1"/>
    <xf numFmtId="181" fontId="1" fillId="0" borderId="2" xfId="0" applyNumberFormat="1" applyFont="1" applyBorder="1" applyAlignment="1">
      <alignment horizontal="center" vertical="center" wrapText="1"/>
    </xf>
    <xf numFmtId="181" fontId="14" fillId="0" borderId="2" xfId="0" applyNumberFormat="1" applyFont="1" applyBorder="1" applyAlignment="1">
      <alignment horizontal="center" vertical="center" wrapText="1"/>
    </xf>
    <xf numFmtId="181" fontId="1" fillId="0" borderId="1" xfId="0" applyNumberFormat="1" applyFont="1" applyBorder="1" applyAlignment="1">
      <alignment horizontal="center" vertical="center" wrapText="1"/>
    </xf>
    <xf numFmtId="9" fontId="6" fillId="0" borderId="0" xfId="0" applyNumberFormat="1" applyFont="1" applyAlignment="1">
      <alignment vertical="center"/>
    </xf>
    <xf numFmtId="0" fontId="1" fillId="0" borderId="18" xfId="0" applyFont="1" applyBorder="1" applyAlignment="1">
      <alignment vertical="center"/>
    </xf>
    <xf numFmtId="0" fontId="23" fillId="0" borderId="11" xfId="3" applyFont="1" applyBorder="1"/>
    <xf numFmtId="6" fontId="4" fillId="0" borderId="11" xfId="0" applyNumberFormat="1" applyFont="1" applyBorder="1" applyAlignment="1">
      <alignment horizontal="right" vertical="center"/>
    </xf>
    <xf numFmtId="0" fontId="14" fillId="0" borderId="10" xfId="3" applyFont="1" applyBorder="1"/>
    <xf numFmtId="180" fontId="25" fillId="0" borderId="10" xfId="3" applyNumberFormat="1" applyFont="1" applyBorder="1"/>
    <xf numFmtId="177" fontId="14" fillId="0" borderId="0" xfId="3" applyNumberFormat="1" applyFont="1"/>
    <xf numFmtId="6" fontId="14" fillId="0" borderId="9" xfId="3" applyNumberFormat="1" applyFont="1" applyBorder="1" applyAlignment="1">
      <alignment horizontal="right"/>
    </xf>
    <xf numFmtId="6" fontId="14" fillId="0" borderId="0" xfId="3" applyNumberFormat="1" applyFont="1" applyAlignment="1">
      <alignment horizontal="right"/>
    </xf>
    <xf numFmtId="8" fontId="14" fillId="0" borderId="0" xfId="3" applyNumberFormat="1" applyFont="1" applyAlignment="1">
      <alignment horizontal="right"/>
    </xf>
    <xf numFmtId="6" fontId="23" fillId="0" borderId="11" xfId="3" applyNumberFormat="1" applyFont="1" applyBorder="1" applyAlignment="1">
      <alignment horizontal="right"/>
    </xf>
    <xf numFmtId="8" fontId="23" fillId="0" borderId="11" xfId="3" applyNumberFormat="1" applyFont="1" applyBorder="1" applyAlignment="1">
      <alignment horizontal="right"/>
    </xf>
    <xf numFmtId="8" fontId="1" fillId="0" borderId="0" xfId="0" applyNumberFormat="1" applyFont="1" applyAlignment="1">
      <alignment horizontal="right" vertical="center"/>
    </xf>
    <xf numFmtId="8" fontId="6" fillId="0" borderId="0" xfId="3" applyNumberFormat="1" applyFont="1" applyAlignment="1">
      <alignment horizontal="right"/>
    </xf>
    <xf numFmtId="8" fontId="27" fillId="0" borderId="11" xfId="3" applyNumberFormat="1" applyFont="1" applyBorder="1" applyAlignment="1">
      <alignment horizontal="right"/>
    </xf>
    <xf numFmtId="10" fontId="24" fillId="0" borderId="9" xfId="3" applyNumberFormat="1" applyFont="1" applyBorder="1" applyAlignment="1">
      <alignment horizontal="right"/>
    </xf>
    <xf numFmtId="8" fontId="14" fillId="0" borderId="9" xfId="3" applyNumberFormat="1" applyFont="1" applyBorder="1" applyAlignment="1">
      <alignment horizontal="right"/>
    </xf>
    <xf numFmtId="6" fontId="14" fillId="0" borderId="10" xfId="3" applyNumberFormat="1" applyFont="1" applyBorder="1" applyAlignment="1">
      <alignment horizontal="right"/>
    </xf>
    <xf numFmtId="8" fontId="14" fillId="0" borderId="10" xfId="3" applyNumberFormat="1" applyFont="1" applyBorder="1" applyAlignment="1">
      <alignment horizontal="right"/>
    </xf>
    <xf numFmtId="0" fontId="14" fillId="0" borderId="11" xfId="3" applyFont="1" applyBorder="1" applyAlignment="1">
      <alignment horizontal="right"/>
    </xf>
    <xf numFmtId="10" fontId="7" fillId="0" borderId="11" xfId="0" applyNumberFormat="1" applyFont="1" applyBorder="1" applyAlignment="1">
      <alignment vertical="center"/>
    </xf>
    <xf numFmtId="175" fontId="1" fillId="0" borderId="11" xfId="0" applyNumberFormat="1" applyFont="1" applyBorder="1" applyAlignment="1">
      <alignment vertical="center"/>
    </xf>
    <xf numFmtId="6" fontId="12" fillId="0" borderId="12" xfId="0" applyNumberFormat="1" applyFont="1" applyBorder="1" applyAlignment="1">
      <alignment horizontal="center" vertical="center"/>
    </xf>
    <xf numFmtId="0" fontId="14" fillId="0" borderId="0" xfId="14" applyFont="1"/>
    <xf numFmtId="0" fontId="23" fillId="0" borderId="11" xfId="14" applyFont="1" applyBorder="1"/>
    <xf numFmtId="0" fontId="28" fillId="0" borderId="0" xfId="0" applyFont="1" applyAlignment="1">
      <alignment vertical="center"/>
    </xf>
    <xf numFmtId="6" fontId="28" fillId="0" borderId="6" xfId="0" applyNumberFormat="1" applyFont="1" applyBorder="1" applyAlignment="1">
      <alignment horizontal="center" vertical="center"/>
    </xf>
    <xf numFmtId="6" fontId="28" fillId="0" borderId="0" xfId="0" applyNumberFormat="1" applyFont="1" applyAlignment="1">
      <alignment vertical="center"/>
    </xf>
    <xf numFmtId="0" fontId="23" fillId="0" borderId="0" xfId="14" applyFont="1"/>
    <xf numFmtId="6" fontId="4" fillId="0" borderId="0" xfId="0" applyNumberFormat="1" applyFont="1" applyAlignment="1">
      <alignment horizontal="right" vertical="center"/>
    </xf>
    <xf numFmtId="0" fontId="4" fillId="10" borderId="11" xfId="0" applyFont="1" applyFill="1" applyBorder="1" applyAlignment="1">
      <alignment horizontal="center" vertical="center"/>
    </xf>
    <xf numFmtId="164" fontId="1" fillId="0" borderId="11" xfId="0" applyNumberFormat="1" applyFont="1" applyBorder="1" applyAlignment="1">
      <alignment vertical="center"/>
    </xf>
    <xf numFmtId="175" fontId="4" fillId="0" borderId="10" xfId="0" applyNumberFormat="1" applyFont="1" applyBorder="1" applyAlignment="1">
      <alignment vertical="center"/>
    </xf>
    <xf numFmtId="164" fontId="1" fillId="0" borderId="10" xfId="0" applyNumberFormat="1" applyFont="1" applyBorder="1" applyAlignment="1">
      <alignment vertical="center"/>
    </xf>
    <xf numFmtId="10" fontId="6" fillId="0" borderId="10" xfId="0" applyNumberFormat="1" applyFont="1" applyBorder="1" applyAlignment="1">
      <alignment vertical="center"/>
    </xf>
    <xf numFmtId="2" fontId="6" fillId="0" borderId="0" xfId="0" applyNumberFormat="1" applyFont="1" applyAlignment="1">
      <alignment vertical="center"/>
    </xf>
    <xf numFmtId="0" fontId="6" fillId="0" borderId="0" xfId="0" applyFont="1" applyAlignment="1">
      <alignment vertical="center"/>
    </xf>
    <xf numFmtId="174" fontId="6" fillId="0" borderId="0" xfId="0" applyNumberFormat="1" applyFont="1" applyAlignment="1">
      <alignment horizontal="right" vertical="center"/>
    </xf>
    <xf numFmtId="0" fontId="1" fillId="13" borderId="0" xfId="0" applyFont="1" applyFill="1" applyAlignment="1">
      <alignment vertical="center"/>
    </xf>
    <xf numFmtId="6" fontId="14" fillId="0" borderId="0" xfId="0" applyNumberFormat="1" applyFont="1"/>
    <xf numFmtId="10" fontId="14" fillId="0" borderId="0" xfId="1" applyNumberFormat="1" applyFo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14" fillId="0" borderId="6" xfId="0" applyFont="1" applyBorder="1" applyAlignment="1">
      <alignment horizontal="center"/>
    </xf>
    <xf numFmtId="0" fontId="14" fillId="0" borderId="7" xfId="0" applyFont="1" applyBorder="1"/>
    <xf numFmtId="6" fontId="14" fillId="0" borderId="7" xfId="0" applyNumberFormat="1" applyFont="1" applyBorder="1" applyAlignment="1">
      <alignment horizontal="center"/>
    </xf>
    <xf numFmtId="167" fontId="14" fillId="0" borderId="6" xfId="0" applyNumberFormat="1" applyFont="1" applyBorder="1" applyAlignment="1">
      <alignment horizontal="center"/>
    </xf>
    <xf numFmtId="169" fontId="14" fillId="0" borderId="6" xfId="0" applyNumberFormat="1" applyFont="1" applyBorder="1" applyAlignment="1">
      <alignment horizontal="center"/>
    </xf>
    <xf numFmtId="172" fontId="14" fillId="0" borderId="6" xfId="0" applyNumberFormat="1" applyFont="1" applyBorder="1" applyAlignment="1">
      <alignment horizontal="center"/>
    </xf>
    <xf numFmtId="168" fontId="14" fillId="0" borderId="6" xfId="0" applyNumberFormat="1" applyFont="1" applyBorder="1" applyAlignment="1">
      <alignment horizontal="center"/>
    </xf>
    <xf numFmtId="0" fontId="14" fillId="0" borderId="6" xfId="0" applyFont="1" applyBorder="1"/>
    <xf numFmtId="170" fontId="14" fillId="0" borderId="6" xfId="0" applyNumberFormat="1" applyFont="1" applyBorder="1" applyAlignment="1">
      <alignment horizontal="center"/>
    </xf>
    <xf numFmtId="14" fontId="14" fillId="0" borderId="6" xfId="0" applyNumberFormat="1" applyFont="1" applyBorder="1" applyAlignment="1">
      <alignment horizontal="center"/>
    </xf>
    <xf numFmtId="171" fontId="14" fillId="0" borderId="6" xfId="0" applyNumberFormat="1" applyFont="1" applyBorder="1" applyAlignment="1">
      <alignment horizontal="center"/>
    </xf>
    <xf numFmtId="173" fontId="14" fillId="0" borderId="6" xfId="0" applyNumberFormat="1" applyFont="1" applyBorder="1" applyAlignment="1">
      <alignment horizontal="center"/>
    </xf>
    <xf numFmtId="0" fontId="14" fillId="0" borderId="8" xfId="0" applyFont="1" applyBorder="1"/>
    <xf numFmtId="0" fontId="14" fillId="0" borderId="8" xfId="0" applyFont="1" applyBorder="1" applyAlignment="1">
      <alignment horizontal="center"/>
    </xf>
    <xf numFmtId="168" fontId="14" fillId="0" borderId="8" xfId="0" applyNumberFormat="1" applyFont="1" applyBorder="1" applyAlignment="1">
      <alignment horizontal="center"/>
    </xf>
    <xf numFmtId="0" fontId="14" fillId="0" borderId="6" xfId="0" applyFont="1" applyBorder="1" applyAlignment="1">
      <alignment horizontal="centerContinuous"/>
    </xf>
    <xf numFmtId="6" fontId="14" fillId="0" borderId="6" xfId="0" applyNumberFormat="1" applyFont="1" applyBorder="1" applyAlignment="1">
      <alignment horizontal="center"/>
    </xf>
    <xf numFmtId="175" fontId="14" fillId="0" borderId="0" xfId="0" applyNumberFormat="1" applyFont="1" applyAlignment="1">
      <alignment vertical="center"/>
    </xf>
    <xf numFmtId="14" fontId="1" fillId="0" borderId="0" xfId="0" applyNumberFormat="1" applyFont="1"/>
    <xf numFmtId="0" fontId="23" fillId="12" borderId="16" xfId="0" applyFont="1" applyFill="1" applyBorder="1" applyAlignment="1">
      <alignment horizontal="center" vertical="center" wrapText="1"/>
    </xf>
    <xf numFmtId="170" fontId="6" fillId="0" borderId="0" xfId="0" applyNumberFormat="1" applyFont="1" applyAlignment="1">
      <alignment horizontal="center" vertical="center"/>
    </xf>
    <xf numFmtId="8" fontId="6" fillId="0" borderId="0" xfId="0" applyNumberFormat="1" applyFont="1" applyAlignment="1">
      <alignment horizontal="center" vertical="center"/>
    </xf>
    <xf numFmtId="175" fontId="1" fillId="0" borderId="0" xfId="0" applyNumberFormat="1" applyFont="1" applyAlignment="1">
      <alignment horizontal="center" vertical="center"/>
    </xf>
    <xf numFmtId="14" fontId="6" fillId="0" borderId="0" xfId="0" applyNumberFormat="1" applyFont="1" applyAlignment="1">
      <alignment horizontal="center" vertical="center"/>
    </xf>
    <xf numFmtId="182" fontId="6" fillId="0" borderId="0" xfId="0" applyNumberFormat="1" applyFont="1" applyAlignment="1">
      <alignment horizontal="center" vertical="center"/>
    </xf>
    <xf numFmtId="10" fontId="6" fillId="0" borderId="0" xfId="0" applyNumberFormat="1" applyFont="1" applyAlignment="1">
      <alignment horizontal="center" vertical="center"/>
    </xf>
    <xf numFmtId="1" fontId="6" fillId="0" borderId="0" xfId="0" applyNumberFormat="1" applyFont="1" applyAlignment="1">
      <alignment horizontal="center" vertical="center"/>
    </xf>
    <xf numFmtId="8" fontId="1" fillId="0" borderId="0" xfId="0" applyNumberFormat="1" applyFont="1"/>
    <xf numFmtId="10" fontId="14" fillId="0" borderId="0" xfId="0" applyNumberFormat="1" applyFont="1" applyAlignment="1">
      <alignment vertical="center"/>
    </xf>
    <xf numFmtId="10" fontId="1" fillId="0" borderId="0" xfId="1" applyNumberFormat="1" applyFont="1"/>
    <xf numFmtId="6" fontId="1" fillId="0" borderId="0" xfId="0" applyNumberFormat="1" applyFont="1"/>
    <xf numFmtId="0" fontId="5" fillId="2" borderId="0" xfId="0" applyFont="1" applyFill="1"/>
    <xf numFmtId="0" fontId="5" fillId="2" borderId="0" xfId="0" applyFont="1" applyFill="1" applyAlignment="1">
      <alignment wrapText="1"/>
    </xf>
    <xf numFmtId="0" fontId="1" fillId="0" borderId="2" xfId="0" applyFont="1" applyBorder="1"/>
    <xf numFmtId="0" fontId="6" fillId="0" borderId="2" xfId="0" applyFont="1" applyBorder="1" applyAlignment="1">
      <alignment horizontal="center" wrapText="1"/>
    </xf>
    <xf numFmtId="6" fontId="6" fillId="0" borderId="2" xfId="0" quotePrefix="1" applyNumberFormat="1" applyFont="1" applyBorder="1" applyAlignment="1">
      <alignment horizontal="center"/>
    </xf>
    <xf numFmtId="10" fontId="6" fillId="0" borderId="2" xfId="0" applyNumberFormat="1" applyFont="1" applyBorder="1" applyAlignment="1">
      <alignment horizontal="center"/>
    </xf>
    <xf numFmtId="6" fontId="6" fillId="0" borderId="2" xfId="0" applyNumberFormat="1" applyFont="1" applyBorder="1" applyAlignment="1">
      <alignment horizontal="center"/>
    </xf>
    <xf numFmtId="0" fontId="6" fillId="0" borderId="2" xfId="0" applyFont="1" applyBorder="1" applyAlignment="1">
      <alignment horizontal="center"/>
    </xf>
    <xf numFmtId="6" fontId="4" fillId="0" borderId="11" xfId="0" applyNumberFormat="1" applyFont="1" applyBorder="1"/>
    <xf numFmtId="0" fontId="1" fillId="0" borderId="11" xfId="0" applyFont="1" applyBorder="1"/>
    <xf numFmtId="0" fontId="1" fillId="0" borderId="10" xfId="0" applyFont="1" applyBorder="1"/>
    <xf numFmtId="14" fontId="1" fillId="0" borderId="10" xfId="0" applyNumberFormat="1" applyFont="1" applyBorder="1"/>
    <xf numFmtId="6" fontId="4" fillId="0" borderId="0" xfId="0" applyNumberFormat="1" applyFont="1"/>
    <xf numFmtId="0" fontId="28" fillId="0" borderId="0" xfId="0" applyFont="1" applyAlignment="1">
      <alignment horizontal="right"/>
    </xf>
    <xf numFmtId="10" fontId="6" fillId="0" borderId="9" xfId="0" applyNumberFormat="1" applyFont="1" applyBorder="1" applyAlignment="1">
      <alignment vertical="center"/>
    </xf>
    <xf numFmtId="179" fontId="6" fillId="0" borderId="0" xfId="3" applyNumberFormat="1" applyFont="1"/>
    <xf numFmtId="0" fontId="23" fillId="0" borderId="10" xfId="3" applyFont="1" applyBorder="1"/>
    <xf numFmtId="0" fontId="27" fillId="0" borderId="10" xfId="3" applyFont="1" applyBorder="1" applyAlignment="1">
      <alignment horizontal="right"/>
    </xf>
    <xf numFmtId="0" fontId="14" fillId="0" borderId="10" xfId="3" applyFont="1" applyBorder="1" applyAlignment="1">
      <alignment horizontal="right"/>
    </xf>
    <xf numFmtId="0" fontId="3" fillId="14" borderId="11" xfId="0" applyFont="1" applyFill="1" applyBorder="1" applyAlignment="1">
      <alignment vertical="center"/>
    </xf>
    <xf numFmtId="175" fontId="3" fillId="14" borderId="11" xfId="0" applyNumberFormat="1" applyFont="1" applyFill="1" applyBorder="1" applyAlignment="1">
      <alignment vertical="center"/>
    </xf>
    <xf numFmtId="0" fontId="3" fillId="15" borderId="9" xfId="0" applyFont="1" applyFill="1" applyBorder="1" applyAlignment="1">
      <alignment vertical="center"/>
    </xf>
    <xf numFmtId="14" fontId="6" fillId="0" borderId="0" xfId="0" applyNumberFormat="1" applyFont="1" applyAlignment="1">
      <alignment horizontal="right" vertical="center"/>
    </xf>
    <xf numFmtId="0" fontId="3" fillId="16" borderId="11" xfId="0" applyFont="1" applyFill="1" applyBorder="1" applyAlignment="1">
      <alignment vertical="center"/>
    </xf>
    <xf numFmtId="0" fontId="3" fillId="16" borderId="11" xfId="0" applyFont="1" applyFill="1" applyBorder="1" applyAlignment="1">
      <alignment horizontal="right" vertical="center"/>
    </xf>
    <xf numFmtId="39" fontId="24" fillId="0" borderId="0" xfId="3" applyNumberFormat="1" applyFont="1"/>
    <xf numFmtId="0" fontId="30" fillId="0" borderId="0" xfId="0" applyFont="1" applyAlignment="1">
      <alignment vertical="center"/>
    </xf>
    <xf numFmtId="10" fontId="30" fillId="0" borderId="7" xfId="0" applyNumberFormat="1" applyFont="1" applyBorder="1" applyAlignment="1">
      <alignment horizontal="center" vertical="center"/>
    </xf>
    <xf numFmtId="6" fontId="30" fillId="0" borderId="6" xfId="0" applyNumberFormat="1" applyFont="1" applyBorder="1" applyAlignment="1">
      <alignment horizontal="center" vertical="center"/>
    </xf>
    <xf numFmtId="0" fontId="30" fillId="0" borderId="0" xfId="0" applyFont="1" applyAlignment="1">
      <alignment horizontal="left" vertical="center"/>
    </xf>
    <xf numFmtId="176" fontId="30" fillId="0" borderId="6" xfId="0" applyNumberFormat="1" applyFont="1" applyBorder="1" applyAlignment="1">
      <alignment horizontal="center" vertical="center"/>
    </xf>
    <xf numFmtId="6" fontId="28" fillId="0" borderId="0" xfId="0" applyNumberFormat="1" applyFont="1" applyAlignment="1">
      <alignment horizontal="right" vertical="center"/>
    </xf>
    <xf numFmtId="0" fontId="3" fillId="0" borderId="11" xfId="0" applyFont="1" applyBorder="1" applyAlignment="1">
      <alignment vertical="center"/>
    </xf>
    <xf numFmtId="164" fontId="29" fillId="0" borderId="0" xfId="0" applyNumberFormat="1" applyFont="1" applyAlignment="1">
      <alignment vertical="center"/>
    </xf>
    <xf numFmtId="175" fontId="29" fillId="0" borderId="0" xfId="0" applyNumberFormat="1" applyFont="1" applyAlignment="1">
      <alignment vertical="center"/>
    </xf>
    <xf numFmtId="8" fontId="29" fillId="0" borderId="9" xfId="3" applyNumberFormat="1" applyFont="1" applyBorder="1" applyAlignment="1">
      <alignment horizontal="right"/>
    </xf>
    <xf numFmtId="8" fontId="29" fillId="0" borderId="0" xfId="3" applyNumberFormat="1" applyFont="1" applyAlignment="1">
      <alignment horizontal="right"/>
    </xf>
    <xf numFmtId="14" fontId="6" fillId="0" borderId="9" xfId="0" applyNumberFormat="1" applyFont="1" applyBorder="1" applyAlignment="1">
      <alignment horizontal="right" vertical="center"/>
    </xf>
    <xf numFmtId="174" fontId="6" fillId="0" borderId="10" xfId="0" applyNumberFormat="1" applyFont="1" applyBorder="1" applyAlignment="1">
      <alignment horizontal="right" vertical="center"/>
    </xf>
    <xf numFmtId="9" fontId="6" fillId="0" borderId="9" xfId="0" applyNumberFormat="1" applyFont="1" applyBorder="1" applyAlignment="1">
      <alignment vertical="center"/>
    </xf>
    <xf numFmtId="10" fontId="30" fillId="0" borderId="0" xfId="0" applyNumberFormat="1" applyFont="1" applyAlignment="1">
      <alignment horizontal="center" vertical="center"/>
    </xf>
    <xf numFmtId="6" fontId="30" fillId="0" borderId="0" xfId="0" applyNumberFormat="1" applyFont="1" applyAlignment="1">
      <alignment horizontal="center" vertical="center"/>
    </xf>
    <xf numFmtId="176" fontId="30" fillId="0" borderId="0" xfId="0" applyNumberFormat="1" applyFont="1" applyAlignment="1">
      <alignment horizontal="center" vertical="center"/>
    </xf>
    <xf numFmtId="180" fontId="24" fillId="0" borderId="0" xfId="3" applyNumberFormat="1" applyFont="1"/>
    <xf numFmtId="37" fontId="26" fillId="0" borderId="0" xfId="3" applyNumberFormat="1" applyFont="1"/>
    <xf numFmtId="5" fontId="24" fillId="0" borderId="0" xfId="3" applyNumberFormat="1" applyFont="1"/>
    <xf numFmtId="0" fontId="1" fillId="18" borderId="11" xfId="0" applyFont="1" applyFill="1" applyBorder="1"/>
    <xf numFmtId="0" fontId="4" fillId="17" borderId="11" xfId="0" applyFont="1" applyFill="1" applyBorder="1" applyAlignment="1">
      <alignment horizontal="centerContinuous" vertical="center"/>
    </xf>
    <xf numFmtId="177" fontId="6" fillId="0" borderId="0" xfId="0" applyNumberFormat="1" applyFont="1" applyAlignment="1">
      <alignment vertical="center"/>
    </xf>
    <xf numFmtId="0" fontId="14" fillId="0" borderId="11" xfId="3" applyFont="1" applyBorder="1"/>
    <xf numFmtId="3" fontId="6" fillId="0" borderId="0" xfId="0" applyNumberFormat="1" applyFont="1" applyAlignment="1">
      <alignment horizontal="right" vertical="center"/>
    </xf>
    <xf numFmtId="0" fontId="23" fillId="12" borderId="11" xfId="0" applyFont="1" applyFill="1" applyBorder="1" applyAlignment="1">
      <alignment horizontal="center" vertical="center" wrapText="1"/>
    </xf>
    <xf numFmtId="0" fontId="23" fillId="12" borderId="11" xfId="0" applyFont="1" applyFill="1" applyBorder="1" applyAlignment="1">
      <alignment vertical="center" wrapText="1"/>
    </xf>
    <xf numFmtId="0" fontId="23" fillId="12" borderId="11" xfId="0" applyFont="1" applyFill="1" applyBorder="1" applyAlignment="1">
      <alignment horizontal="centerContinuous" wrapText="1"/>
    </xf>
    <xf numFmtId="0" fontId="23" fillId="12" borderId="17" xfId="0" applyFont="1" applyFill="1" applyBorder="1" applyAlignment="1">
      <alignment horizontal="center" vertical="center" wrapText="1"/>
    </xf>
    <xf numFmtId="0" fontId="6" fillId="0" borderId="0" xfId="0" quotePrefix="1" applyFont="1" applyAlignment="1">
      <alignment horizontal="center" vertical="center"/>
    </xf>
    <xf numFmtId="16" fontId="6" fillId="0" borderId="19" xfId="0" quotePrefix="1" applyNumberFormat="1" applyFont="1" applyBorder="1" applyAlignment="1">
      <alignment horizontal="center" vertical="center"/>
    </xf>
    <xf numFmtId="170" fontId="6" fillId="0" borderId="10" xfId="0" applyNumberFormat="1" applyFont="1" applyBorder="1" applyAlignment="1">
      <alignment horizontal="center" vertical="center"/>
    </xf>
    <xf numFmtId="8" fontId="6" fillId="0" borderId="10" xfId="0" applyNumberFormat="1" applyFont="1" applyBorder="1" applyAlignment="1">
      <alignment horizontal="center" vertical="center"/>
    </xf>
    <xf numFmtId="175" fontId="1" fillId="0" borderId="10" xfId="0" applyNumberFormat="1" applyFont="1" applyBorder="1" applyAlignment="1">
      <alignment horizontal="center" vertical="center"/>
    </xf>
    <xf numFmtId="6" fontId="1" fillId="0" borderId="10" xfId="0" applyNumberFormat="1" applyFont="1" applyBorder="1" applyAlignment="1">
      <alignment horizontal="center" vertical="center"/>
    </xf>
    <xf numFmtId="14" fontId="6" fillId="0" borderId="10" xfId="0" applyNumberFormat="1" applyFont="1" applyBorder="1" applyAlignment="1">
      <alignment horizontal="center" vertical="center"/>
    </xf>
    <xf numFmtId="183" fontId="6" fillId="0" borderId="10" xfId="0" applyNumberFormat="1" applyFont="1" applyBorder="1" applyAlignment="1">
      <alignment horizontal="center" vertical="center"/>
    </xf>
    <xf numFmtId="10" fontId="6" fillId="0" borderId="10" xfId="0" applyNumberFormat="1" applyFont="1" applyBorder="1" applyAlignment="1">
      <alignment horizontal="center" vertical="center"/>
    </xf>
    <xf numFmtId="10" fontId="6" fillId="0" borderId="10" xfId="0" applyNumberFormat="1" applyFont="1" applyBorder="1" applyAlignment="1">
      <alignment horizontal="center" vertical="center" wrapText="1"/>
    </xf>
    <xf numFmtId="1" fontId="6" fillId="0" borderId="10" xfId="0" applyNumberFormat="1" applyFont="1" applyBorder="1" applyAlignment="1">
      <alignment horizontal="center" vertical="center"/>
    </xf>
    <xf numFmtId="0" fontId="3" fillId="11" borderId="20" xfId="0" applyFont="1" applyFill="1" applyBorder="1" applyAlignment="1">
      <alignment horizontal="centerContinuous" vertical="center"/>
    </xf>
    <xf numFmtId="0" fontId="3" fillId="11" borderId="7" xfId="0" applyFont="1" applyFill="1" applyBorder="1" applyAlignment="1">
      <alignment horizontal="centerContinuous" vertical="center"/>
    </xf>
    <xf numFmtId="6" fontId="1" fillId="0" borderId="21" xfId="0" applyNumberFormat="1" applyFont="1" applyBorder="1"/>
    <xf numFmtId="0" fontId="6" fillId="0" borderId="19" xfId="0" applyFont="1" applyBorder="1" applyAlignment="1">
      <alignment horizontal="center" vertical="center"/>
    </xf>
    <xf numFmtId="170" fontId="14" fillId="0" borderId="10" xfId="0" applyNumberFormat="1" applyFont="1" applyBorder="1" applyAlignment="1">
      <alignment horizontal="center" vertical="center"/>
    </xf>
    <xf numFmtId="181" fontId="6" fillId="0" borderId="10" xfId="0" applyNumberFormat="1" applyFont="1" applyBorder="1" applyAlignment="1">
      <alignment vertical="center"/>
    </xf>
    <xf numFmtId="174" fontId="6" fillId="0" borderId="10" xfId="0" applyNumberFormat="1" applyFont="1" applyBorder="1" applyAlignment="1">
      <alignment horizontal="center" vertical="center"/>
    </xf>
    <xf numFmtId="0" fontId="12" fillId="9" borderId="11" xfId="0" applyFont="1" applyFill="1" applyBorder="1" applyAlignment="1">
      <alignment horizontal="centerContinuous" vertical="center"/>
    </xf>
    <xf numFmtId="0" fontId="3" fillId="3" borderId="11" xfId="0" applyFont="1" applyFill="1" applyBorder="1" applyAlignment="1">
      <alignment vertical="center"/>
    </xf>
    <xf numFmtId="0" fontId="3" fillId="3" borderId="0" xfId="0" applyFont="1" applyFill="1" applyAlignment="1">
      <alignment vertical="center"/>
    </xf>
    <xf numFmtId="180" fontId="6" fillId="0" borderId="10" xfId="3" applyNumberFormat="1" applyFont="1" applyBorder="1"/>
    <xf numFmtId="9" fontId="1" fillId="0" borderId="0" xfId="1" applyFont="1" applyAlignment="1">
      <alignment horizontal="center"/>
    </xf>
    <xf numFmtId="164" fontId="1" fillId="0" borderId="1" xfId="0" applyNumberFormat="1" applyFont="1" applyBorder="1" applyAlignment="1">
      <alignment horizontal="center" vertical="center"/>
    </xf>
    <xf numFmtId="164" fontId="1" fillId="0" borderId="2" xfId="0" applyNumberFormat="1" applyFont="1" applyBorder="1" applyAlignment="1">
      <alignment horizontal="center" vertical="center"/>
    </xf>
    <xf numFmtId="9" fontId="7" fillId="0" borderId="9" xfId="0" applyNumberFormat="1" applyFont="1" applyBorder="1" applyAlignment="1">
      <alignment vertical="center"/>
    </xf>
    <xf numFmtId="177" fontId="6" fillId="0" borderId="9" xfId="1" applyNumberFormat="1" applyFont="1" applyBorder="1" applyAlignment="1">
      <alignment vertical="center"/>
    </xf>
    <xf numFmtId="3" fontId="1" fillId="0" borderId="10" xfId="0" applyNumberFormat="1" applyFont="1" applyBorder="1" applyAlignment="1">
      <alignment horizontal="right" vertical="center"/>
    </xf>
    <xf numFmtId="6" fontId="1" fillId="0" borderId="10" xfId="0" applyNumberFormat="1" applyFont="1" applyBorder="1" applyAlignment="1">
      <alignment vertical="center"/>
    </xf>
    <xf numFmtId="8" fontId="4" fillId="0" borderId="11" xfId="0" applyNumberFormat="1" applyFont="1" applyBorder="1" applyAlignment="1">
      <alignment vertical="center"/>
    </xf>
    <xf numFmtId="8" fontId="6" fillId="0" borderId="10" xfId="0" applyNumberFormat="1" applyFont="1" applyBorder="1" applyAlignment="1">
      <alignment horizontal="right" vertical="center"/>
    </xf>
    <xf numFmtId="8" fontId="6" fillId="0" borderId="0" xfId="0" applyNumberFormat="1" applyFont="1" applyAlignment="1">
      <alignment horizontal="right" vertical="center"/>
    </xf>
    <xf numFmtId="0" fontId="4" fillId="6" borderId="11" xfId="0" applyFont="1" applyFill="1" applyBorder="1" applyAlignment="1">
      <alignment horizontal="center" vertical="center"/>
    </xf>
    <xf numFmtId="0" fontId="12" fillId="0" borderId="11" xfId="0" applyFont="1" applyBorder="1" applyAlignment="1">
      <alignment vertical="center"/>
    </xf>
    <xf numFmtId="0" fontId="4" fillId="7" borderId="11" xfId="0" applyFont="1" applyFill="1" applyBorder="1" applyAlignment="1">
      <alignment horizontal="center" vertical="center"/>
    </xf>
    <xf numFmtId="0" fontId="14" fillId="0" borderId="7" xfId="0" applyFont="1" applyBorder="1" applyAlignment="1">
      <alignment horizontal="center" vertical="top"/>
    </xf>
    <xf numFmtId="0" fontId="14" fillId="0" borderId="6" xfId="0" applyFont="1" applyBorder="1" applyAlignment="1">
      <alignment horizontal="center" vertical="top"/>
    </xf>
    <xf numFmtId="0" fontId="14" fillId="0" borderId="8" xfId="0" applyFont="1" applyBorder="1" applyAlignment="1">
      <alignment horizontal="center" vertical="top"/>
    </xf>
    <xf numFmtId="0" fontId="14" fillId="0" borderId="7" xfId="0" applyFont="1" applyBorder="1" applyAlignment="1">
      <alignment horizontal="left" vertical="top" wrapText="1"/>
    </xf>
    <xf numFmtId="0" fontId="14" fillId="0" borderId="6" xfId="0" applyFont="1" applyBorder="1" applyAlignment="1">
      <alignment horizontal="left" vertical="top" wrapText="1"/>
    </xf>
    <xf numFmtId="0" fontId="14" fillId="0" borderId="8" xfId="0" applyFont="1" applyBorder="1" applyAlignment="1">
      <alignment horizontal="left" vertical="top" wrapText="1"/>
    </xf>
    <xf numFmtId="0" fontId="14" fillId="0" borderId="7" xfId="0" applyFont="1" applyBorder="1" applyAlignment="1">
      <alignment horizontal="center" vertical="top" wrapText="1"/>
    </xf>
    <xf numFmtId="0" fontId="14" fillId="0" borderId="6" xfId="0" applyFont="1" applyBorder="1" applyAlignment="1">
      <alignment horizontal="center" vertical="top" wrapText="1"/>
    </xf>
    <xf numFmtId="0" fontId="14" fillId="0" borderId="8" xfId="0" applyFont="1" applyBorder="1" applyAlignment="1">
      <alignment horizontal="center" vertical="top" wrapText="1"/>
    </xf>
  </cellXfs>
  <cellStyles count="28">
    <cellStyle name="ColumnHeading" xfId="4" xr:uid="{D27CE5C5-8618-4D9A-B7BC-B4854DB301FB}"/>
    <cellStyle name="Comma 2" xfId="5" xr:uid="{1B2CCD7A-E706-4B1D-BD66-00ECC21B9680}"/>
    <cellStyle name="Comma 3" xfId="6" xr:uid="{B4CA1CA7-F2F7-4DEF-A3F0-1947D08F9324}"/>
    <cellStyle name="Currency 2" xfId="7" xr:uid="{C4F0E634-E392-4E58-A56E-3A291A242250}"/>
    <cellStyle name="D" xfId="8" xr:uid="{4A270236-D1A8-40B1-93F5-D9401F2EAEBD}"/>
    <cellStyle name="EvenBodyShade" xfId="9" xr:uid="{31EF5F06-C141-4638-B3D8-EDE5EEC8DBEA}"/>
    <cellStyle name="Head1" xfId="10" xr:uid="{ADEF44CC-B116-491E-8D47-5014B6664618}"/>
    <cellStyle name="Head2" xfId="11" xr:uid="{39F1BDCC-26F3-4CD6-BDFC-F457BA9EE0D9}"/>
    <cellStyle name="Normal" xfId="0" builtinId="0"/>
    <cellStyle name="Normal 2" xfId="12" xr:uid="{ABD6D29E-EB26-41A4-8447-E0EE4E0FB597}"/>
    <cellStyle name="Normal 3" xfId="13" xr:uid="{D5FAA940-4FCE-429C-B28A-D7B54C3C7204}"/>
    <cellStyle name="Normal 4" xfId="14" xr:uid="{85AEAC11-5800-4F72-A7C7-52226A2251FA}"/>
    <cellStyle name="Normal 5" xfId="3" xr:uid="{6C4B3543-3867-4FA8-8B27-11434947C7AB}"/>
    <cellStyle name="Normal 6 2" xfId="2" xr:uid="{00000000-0005-0000-0000-000001000000}"/>
    <cellStyle name="OddBodyShade" xfId="15" xr:uid="{2229022C-A8EF-4FE4-BB4F-E697E82D545B}"/>
    <cellStyle name="Overscore" xfId="16" xr:uid="{DF71244A-7784-45BC-A4BA-E3413334B711}"/>
    <cellStyle name="Percent" xfId="1" builtinId="5"/>
    <cellStyle name="Percent 2" xfId="18" xr:uid="{59293C64-923F-40C2-94B4-439A65FA151E}"/>
    <cellStyle name="Percent 2 2" xfId="19" xr:uid="{003862A2-3E9D-499F-93B7-9FC747482E50}"/>
    <cellStyle name="Percent 3" xfId="20" xr:uid="{C0796AD3-EB61-4782-9AC7-FFB8CDC403D9}"/>
    <cellStyle name="Percent 4" xfId="17" xr:uid="{B3EBC55D-A9EE-43EE-9DB3-3DE353814594}"/>
    <cellStyle name="Reg2" xfId="21" xr:uid="{F73C9FF2-4CBF-410B-861A-9327AF314D11}"/>
    <cellStyle name="T" xfId="22" xr:uid="{2A798709-DC4A-4447-BE98-1945B5568010}"/>
    <cellStyle name="Title1" xfId="23" xr:uid="{EF779F0D-3640-4C81-AAEB-404D78AD26C7}"/>
    <cellStyle name="TitleOther" xfId="24" xr:uid="{B767179B-CDE5-45EF-931D-A43F4979A782}"/>
    <cellStyle name="Total2" xfId="25" xr:uid="{3ACC4519-E3F1-49D2-BA86-59CD69433F6A}"/>
    <cellStyle name="Underscore" xfId="26" xr:uid="{49670701-B6F4-45A5-BDB3-9C5E7D053B53}"/>
    <cellStyle name="Year" xfId="27" xr:uid="{4720F705-6DAA-40BC-84C6-B2DDF1157F8E}"/>
  </cellStyles>
  <dxfs count="0"/>
  <tableStyles count="0" defaultTableStyle="TableStyleMedium2" defaultPivotStyle="PivotStyleLight16"/>
  <colors>
    <mruColors>
      <color rgb="FF008000"/>
      <color rgb="FF99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DC420BC-74CE-4F4E-84A5-D393246CF14B}">
  <we:reference id="wa104100404" version="3.0.0.1" store="en-US" storeType="omex"/>
  <we:alternateReferences>
    <we:reference id="wa104100404" version="3.0.0.1" store="en-US" storeType="omex"/>
  </we:alternateReferences>
  <we:properties/>
  <we:bindings>
    <we:binding id="refEdit" type="matrix" appref="{A60F7B71-B403-4EAC-9559-5CBF317AD7C6}"/>
    <we:binding id="Worker" type="matrix" appref="{35BE80E6-6F19-43A5-B0F4-86B05AADFD77}"/>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EC42-96E5-4A16-8206-5D9DC396B2EC}">
  <dimension ref="A1:U1037"/>
  <sheetViews>
    <sheetView showGridLines="0" tabSelected="1" topLeftCell="A3" workbookViewId="0">
      <selection activeCell="F8" sqref="F8"/>
    </sheetView>
  </sheetViews>
  <sheetFormatPr defaultColWidth="12.5546875" defaultRowHeight="13.2" x14ac:dyDescent="0.3"/>
  <cols>
    <col min="1" max="1" width="12.5546875" style="1"/>
    <col min="2" max="2" width="28.6640625" style="1" bestFit="1" customWidth="1"/>
    <col min="3" max="3" width="13.6640625" style="1" customWidth="1"/>
    <col min="4" max="4" width="26.5546875" style="1" customWidth="1"/>
    <col min="5" max="5" width="11.5546875" style="1" customWidth="1"/>
    <col min="6" max="6" width="12.5546875" style="1"/>
    <col min="7" max="7" width="32.88671875" style="1" bestFit="1" customWidth="1"/>
    <col min="8" max="8" width="15.6640625" style="2" customWidth="1"/>
    <col min="9" max="19" width="15.6640625" style="1" customWidth="1"/>
    <col min="20" max="20" width="4.44140625" style="1" customWidth="1"/>
    <col min="21" max="21" width="1.6640625" style="1" customWidth="1"/>
    <col min="22" max="16384" width="12.5546875" style="1"/>
  </cols>
  <sheetData>
    <row r="1" spans="2:21" ht="15.6" customHeight="1" x14ac:dyDescent="0.3">
      <c r="P1" s="26"/>
      <c r="Q1" s="26"/>
      <c r="R1" s="26"/>
      <c r="S1" s="26"/>
      <c r="T1" s="7" t="s">
        <v>0</v>
      </c>
    </row>
    <row r="2" spans="2:21" ht="15.6" customHeight="1" x14ac:dyDescent="0.3">
      <c r="B2" s="212" t="s">
        <v>1</v>
      </c>
      <c r="C2" s="212"/>
      <c r="D2" s="213"/>
      <c r="G2" s="4"/>
      <c r="H2" s="5" t="s">
        <v>2</v>
      </c>
      <c r="I2" s="6" t="s">
        <v>3</v>
      </c>
      <c r="J2" s="276" t="s">
        <v>4</v>
      </c>
      <c r="K2" s="277"/>
      <c r="L2" s="106" t="s">
        <v>5</v>
      </c>
      <c r="M2" s="262" t="s">
        <v>6</v>
      </c>
      <c r="N2" s="262"/>
      <c r="O2" s="262"/>
      <c r="P2" s="144" t="s">
        <v>7</v>
      </c>
      <c r="Q2" s="236" t="s">
        <v>8</v>
      </c>
      <c r="R2" s="236"/>
      <c r="S2" s="236"/>
      <c r="T2" s="7" t="s">
        <v>0</v>
      </c>
      <c r="U2" s="152"/>
    </row>
    <row r="3" spans="2:21" ht="15.6" customHeight="1" x14ac:dyDescent="0.3">
      <c r="B3" s="1" t="s">
        <v>9</v>
      </c>
      <c r="C3" s="23"/>
      <c r="D3" s="211">
        <f ca="1">TODAY()</f>
        <v>45271</v>
      </c>
      <c r="G3" s="8" t="s">
        <v>10</v>
      </c>
      <c r="H3" s="10"/>
      <c r="I3" s="8">
        <v>0</v>
      </c>
      <c r="J3" s="8">
        <f>I3+1</f>
        <v>1</v>
      </c>
      <c r="K3" s="8">
        <f t="shared" ref="K3:P3" si="0">J3+1</f>
        <v>2</v>
      </c>
      <c r="L3" s="8">
        <f t="shared" si="0"/>
        <v>3</v>
      </c>
      <c r="M3" s="8">
        <f t="shared" si="0"/>
        <v>4</v>
      </c>
      <c r="N3" s="8">
        <f t="shared" si="0"/>
        <v>5</v>
      </c>
      <c r="O3" s="8">
        <f t="shared" si="0"/>
        <v>6</v>
      </c>
      <c r="P3" s="8">
        <f t="shared" si="0"/>
        <v>7</v>
      </c>
      <c r="Q3" s="8">
        <f t="shared" ref="Q3" si="1">P3+1</f>
        <v>8</v>
      </c>
      <c r="R3" s="8">
        <f t="shared" ref="R3" si="2">Q3+1</f>
        <v>9</v>
      </c>
      <c r="S3" s="8">
        <f t="shared" ref="S3" si="3">R3+1</f>
        <v>10</v>
      </c>
      <c r="T3" s="7" t="s">
        <v>0</v>
      </c>
      <c r="U3" s="152"/>
    </row>
    <row r="4" spans="2:21" ht="15.6" customHeight="1" x14ac:dyDescent="0.3">
      <c r="B4" s="1" t="s">
        <v>4</v>
      </c>
      <c r="D4" s="151">
        <v>2</v>
      </c>
      <c r="G4" s="1" t="s">
        <v>11</v>
      </c>
      <c r="H4" s="11"/>
      <c r="I4" s="12">
        <f ca="1">D3</f>
        <v>45271</v>
      </c>
      <c r="J4" s="12">
        <f t="shared" ref="J4:S4" ca="1" si="4">I5+1</f>
        <v>45272</v>
      </c>
      <c r="K4" s="12">
        <f t="shared" ca="1" si="4"/>
        <v>45638</v>
      </c>
      <c r="L4" s="12">
        <f t="shared" ca="1" si="4"/>
        <v>46003</v>
      </c>
      <c r="M4" s="12">
        <f t="shared" ca="1" si="4"/>
        <v>46368</v>
      </c>
      <c r="N4" s="12">
        <f t="shared" ca="1" si="4"/>
        <v>46733</v>
      </c>
      <c r="O4" s="12">
        <f t="shared" ca="1" si="4"/>
        <v>47099</v>
      </c>
      <c r="P4" s="12">
        <f t="shared" ca="1" si="4"/>
        <v>47464</v>
      </c>
      <c r="Q4" s="12">
        <f t="shared" ca="1" si="4"/>
        <v>47829</v>
      </c>
      <c r="R4" s="12">
        <f t="shared" ca="1" si="4"/>
        <v>48194</v>
      </c>
      <c r="S4" s="12">
        <f t="shared" ca="1" si="4"/>
        <v>48560</v>
      </c>
      <c r="T4" s="7" t="s">
        <v>0</v>
      </c>
      <c r="U4" s="152"/>
    </row>
    <row r="5" spans="2:21" ht="15.6" customHeight="1" x14ac:dyDescent="0.3">
      <c r="B5" s="13" t="s">
        <v>12</v>
      </c>
      <c r="C5" s="22"/>
      <c r="D5" s="151">
        <v>7</v>
      </c>
      <c r="G5" s="13" t="s">
        <v>13</v>
      </c>
      <c r="H5" s="14"/>
      <c r="I5" s="15">
        <f ca="1">I4</f>
        <v>45271</v>
      </c>
      <c r="J5" s="15">
        <f t="shared" ref="J5:S5" ca="1" si="5">EDATE(J4,12)-1</f>
        <v>45637</v>
      </c>
      <c r="K5" s="15">
        <f t="shared" ca="1" si="5"/>
        <v>46002</v>
      </c>
      <c r="L5" s="15">
        <f t="shared" ca="1" si="5"/>
        <v>46367</v>
      </c>
      <c r="M5" s="15">
        <f t="shared" ca="1" si="5"/>
        <v>46732</v>
      </c>
      <c r="N5" s="15">
        <f t="shared" ca="1" si="5"/>
        <v>47098</v>
      </c>
      <c r="O5" s="15">
        <f t="shared" ca="1" si="5"/>
        <v>47463</v>
      </c>
      <c r="P5" s="15">
        <f t="shared" ca="1" si="5"/>
        <v>47828</v>
      </c>
      <c r="Q5" s="15">
        <f t="shared" ca="1" si="5"/>
        <v>48193</v>
      </c>
      <c r="R5" s="15">
        <f t="shared" ca="1" si="5"/>
        <v>48559</v>
      </c>
      <c r="S5" s="15">
        <f t="shared" ca="1" si="5"/>
        <v>48924</v>
      </c>
      <c r="T5" s="7" t="s">
        <v>0</v>
      </c>
      <c r="U5" s="152"/>
    </row>
    <row r="6" spans="2:21" ht="15.6" customHeight="1" x14ac:dyDescent="0.25">
      <c r="B6" s="95" t="s">
        <v>14</v>
      </c>
      <c r="C6" s="8"/>
      <c r="D6" s="203">
        <v>0.03</v>
      </c>
      <c r="H6" s="11"/>
      <c r="T6" s="7" t="s">
        <v>0</v>
      </c>
      <c r="U6" s="152"/>
    </row>
    <row r="7" spans="2:21" ht="15.6" customHeight="1" x14ac:dyDescent="0.25">
      <c r="B7" s="118" t="s">
        <v>15</v>
      </c>
      <c r="C7" s="13"/>
      <c r="D7" s="148">
        <v>0.01</v>
      </c>
      <c r="G7" s="1" t="str">
        <f>B16</f>
        <v>Land Cost</v>
      </c>
      <c r="H7" s="17">
        <f>SUM(I7:P7)</f>
        <v>-120000000</v>
      </c>
      <c r="I7" s="36">
        <f>SUMIF('Monthly CF'!$D$3:$CJ$3,'Annual CF'!I$3,'Monthly CF'!$D12:$CJ12)</f>
        <v>-120000000</v>
      </c>
      <c r="J7" s="36"/>
      <c r="K7" s="36"/>
      <c r="L7" s="36"/>
      <c r="M7" s="36"/>
      <c r="N7" s="36"/>
      <c r="O7" s="36"/>
      <c r="P7" s="36"/>
      <c r="Q7" s="36"/>
      <c r="R7" s="36"/>
      <c r="S7" s="36"/>
      <c r="T7" s="7" t="s">
        <v>0</v>
      </c>
      <c r="U7" s="152"/>
    </row>
    <row r="8" spans="2:21" ht="15.6" customHeight="1" x14ac:dyDescent="0.3">
      <c r="B8" s="8" t="s">
        <v>16</v>
      </c>
      <c r="C8" s="269"/>
      <c r="D8" s="270">
        <v>0.1</v>
      </c>
      <c r="G8" s="1" t="s">
        <v>17</v>
      </c>
      <c r="H8" s="17">
        <f>SUM(I8:P8)</f>
        <v>-3600000</v>
      </c>
      <c r="I8" s="36">
        <f>SUMIF('Monthly CF'!$D$3:$CJ$3,'Annual CF'!I$3,'Monthly CF'!$D13:$CJ13)</f>
        <v>-3600000</v>
      </c>
      <c r="J8" s="36"/>
      <c r="K8" s="36"/>
      <c r="L8" s="36"/>
      <c r="M8" s="36"/>
      <c r="N8" s="36"/>
      <c r="O8" s="36"/>
      <c r="P8" s="36"/>
      <c r="Q8" s="36"/>
      <c r="R8" s="36"/>
      <c r="S8" s="36"/>
      <c r="T8" s="7" t="s">
        <v>0</v>
      </c>
      <c r="U8" s="152"/>
    </row>
    <row r="9" spans="2:21" ht="15.6" customHeight="1" x14ac:dyDescent="0.3">
      <c r="B9" s="8"/>
      <c r="C9" s="269"/>
      <c r="D9" s="270"/>
      <c r="G9" s="1" t="str">
        <f>B18</f>
        <v>Development Cost | Existing</v>
      </c>
      <c r="H9" s="17">
        <f>SUM(I9:P9)</f>
        <v>-97800000</v>
      </c>
      <c r="I9" s="36"/>
      <c r="J9" s="36">
        <f>SUMIF('Monthly CF'!$D$3:$CJ$3,'Annual CF'!J$3,'Monthly CF'!$D14:$CJ14)</f>
        <v>-48900000</v>
      </c>
      <c r="K9" s="36">
        <f>SUMIF('Monthly CF'!$D$3:$CJ$3,'Annual CF'!K$3,'Monthly CF'!$D14:$CJ14)</f>
        <v>-48900000</v>
      </c>
      <c r="L9" s="36"/>
      <c r="M9" s="36"/>
      <c r="N9" s="36"/>
      <c r="O9" s="36"/>
      <c r="P9" s="36"/>
      <c r="Q9" s="36"/>
      <c r="R9" s="36"/>
      <c r="S9" s="36"/>
      <c r="T9" s="7" t="s">
        <v>0</v>
      </c>
      <c r="U9" s="152"/>
    </row>
    <row r="10" spans="2:21" ht="15.6" customHeight="1" x14ac:dyDescent="0.3">
      <c r="B10" s="263" t="s">
        <v>18</v>
      </c>
      <c r="C10" s="3"/>
      <c r="D10" s="3"/>
      <c r="E10" s="3"/>
      <c r="G10" s="1" t="str">
        <f>B19</f>
        <v>Development Cost | New Construction</v>
      </c>
      <c r="H10" s="17">
        <f>SUM(I10:P10)</f>
        <v>-90000000</v>
      </c>
      <c r="I10" s="36"/>
      <c r="J10" s="36">
        <f>SUMIF('Monthly CF'!$D$3:$CJ$3,'Annual CF'!J$3,'Monthly CF'!$D15:$CJ15)</f>
        <v>-45000000</v>
      </c>
      <c r="K10" s="36">
        <f>SUMIF('Monthly CF'!$D$3:$CJ$3,'Annual CF'!K$3,'Monthly CF'!$D15:$CJ15)</f>
        <v>-45000000</v>
      </c>
      <c r="L10" s="36"/>
      <c r="M10" s="36"/>
      <c r="N10" s="36"/>
      <c r="O10" s="36"/>
      <c r="P10" s="36"/>
      <c r="Q10" s="36"/>
      <c r="R10" s="36"/>
      <c r="S10" s="36"/>
      <c r="T10" s="7" t="s">
        <v>0</v>
      </c>
      <c r="U10" s="152"/>
    </row>
    <row r="11" spans="2:21" ht="15.6" customHeight="1" x14ac:dyDescent="0.3">
      <c r="B11" s="57" t="s">
        <v>19</v>
      </c>
      <c r="C11" s="57"/>
      <c r="D11" s="57"/>
      <c r="E11" s="58" t="s">
        <v>20</v>
      </c>
      <c r="G11" s="27" t="s">
        <v>21</v>
      </c>
      <c r="H11" s="136">
        <f>SUM(I11:P11)</f>
        <v>-311400000</v>
      </c>
      <c r="I11" s="61">
        <f t="shared" ref="I11:O11" si="6">SUM(I7:I10)</f>
        <v>-123600000</v>
      </c>
      <c r="J11" s="61">
        <f t="shared" si="6"/>
        <v>-93900000</v>
      </c>
      <c r="K11" s="61">
        <f t="shared" si="6"/>
        <v>-93900000</v>
      </c>
      <c r="L11" s="61">
        <f t="shared" si="6"/>
        <v>0</v>
      </c>
      <c r="M11" s="61">
        <f t="shared" si="6"/>
        <v>0</v>
      </c>
      <c r="N11" s="61">
        <f t="shared" si="6"/>
        <v>0</v>
      </c>
      <c r="O11" s="61">
        <f t="shared" si="6"/>
        <v>0</v>
      </c>
      <c r="P11" s="115"/>
      <c r="Q11" s="115"/>
      <c r="R11" s="115"/>
      <c r="S11" s="115"/>
      <c r="T11" s="7" t="s">
        <v>0</v>
      </c>
      <c r="U11" s="152"/>
    </row>
    <row r="12" spans="2:21" ht="15.6" customHeight="1" x14ac:dyDescent="0.3">
      <c r="B12" s="8" t="s">
        <v>22</v>
      </c>
      <c r="C12" s="24"/>
      <c r="D12" s="24"/>
      <c r="E12" s="59">
        <v>163000</v>
      </c>
      <c r="H12" s="11"/>
      <c r="I12" s="18"/>
      <c r="J12" s="18"/>
      <c r="K12" s="18"/>
      <c r="L12" s="18"/>
      <c r="M12" s="18"/>
      <c r="N12" s="18"/>
      <c r="O12" s="18"/>
      <c r="T12" s="7" t="s">
        <v>0</v>
      </c>
      <c r="U12" s="152"/>
    </row>
    <row r="13" spans="2:21" ht="15.6" customHeight="1" x14ac:dyDescent="0.3">
      <c r="B13" s="1" t="s">
        <v>23</v>
      </c>
      <c r="C13" s="20"/>
      <c r="D13" s="271"/>
      <c r="E13" s="239">
        <v>100000</v>
      </c>
      <c r="G13" s="1" t="s">
        <v>24</v>
      </c>
      <c r="H13" s="17">
        <f>SUM(I13:P13)</f>
        <v>52645665.749398038</v>
      </c>
      <c r="I13" s="18"/>
      <c r="J13" s="18"/>
      <c r="K13" s="18"/>
      <c r="L13" s="36">
        <f>SUMIF('Monthly CF'!$D$3:$DT$3,'Annual CF'!L$3,'Monthly CF'!$D18:$DT18)</f>
        <v>9806317.0265318621</v>
      </c>
      <c r="M13" s="36">
        <f>SUMIF('Monthly CF'!$D$3:$DT$3,'Annual CF'!M$3,'Monthly CF'!$D18:$DT18)</f>
        <v>10155097.842787791</v>
      </c>
      <c r="N13" s="36">
        <f>SUMIF('Monthly CF'!$D$3:$DT$3,'Annual CF'!N$3,'Monthly CF'!$D18:$DT18)</f>
        <v>10516283.729923954</v>
      </c>
      <c r="O13" s="36">
        <f>SUMIF('Monthly CF'!$D$3:$DT$3,'Annual CF'!O$3,'Monthly CF'!$D18:$DT18)</f>
        <v>10890315.898512635</v>
      </c>
      <c r="P13" s="36">
        <f>SUMIF('Monthly CF'!$D$3:$DT$3,'Annual CF'!P$3,'Monthly CF'!$D18:$DT18)</f>
        <v>11277651.251641791</v>
      </c>
      <c r="Q13" s="36">
        <f>SUMIF('Monthly CF'!$D$3:$DT$3,'Annual CF'!Q$3,'Monthly CF'!$D18:$DT18)</f>
        <v>11678762.943050003</v>
      </c>
      <c r="R13" s="36">
        <f>SUMIF('Monthly CF'!$D$3:$DT$3,'Annual CF'!R$3,'Monthly CF'!$D18:$DT18)</f>
        <v>12094140.955112608</v>
      </c>
      <c r="S13" s="36">
        <f>SUMIF('Monthly CF'!$D$3:$DT$3,'Annual CF'!S$3,'Monthly CF'!$D18:$DT18)</f>
        <v>12524292.697385034</v>
      </c>
      <c r="T13" s="7" t="s">
        <v>0</v>
      </c>
      <c r="U13" s="152"/>
    </row>
    <row r="14" spans="2:21" ht="15.6" customHeight="1" x14ac:dyDescent="0.3">
      <c r="B14" s="27" t="s">
        <v>25</v>
      </c>
      <c r="C14" s="30"/>
      <c r="E14" s="30">
        <f>SUM(E12:E13)</f>
        <v>263000</v>
      </c>
      <c r="G14" s="1" t="s">
        <v>26</v>
      </c>
      <c r="H14" s="17">
        <f>SUM(I14:P14)</f>
        <v>-2419543.2993344907</v>
      </c>
      <c r="I14" s="18"/>
      <c r="J14" s="18"/>
      <c r="K14" s="18"/>
      <c r="L14" s="36">
        <f>SUMIF('Monthly CF'!$D$3:$DT$3,'Annual CF'!L$3,'Monthly CF'!$D19:$DT19)</f>
        <v>-2419543.2993344907</v>
      </c>
      <c r="M14" s="36">
        <f>SUMIF('Monthly CF'!$D$3:$DT$3,'Annual CF'!M$3,'Monthly CF'!$D19:$DT19)</f>
        <v>0</v>
      </c>
      <c r="N14" s="36">
        <f>SUMIF('Monthly CF'!$D$3:$DT$3,'Annual CF'!N$3,'Monthly CF'!$D19:$DT19)</f>
        <v>0</v>
      </c>
      <c r="O14" s="36">
        <f>SUMIF('Monthly CF'!$D$3:$DT$3,'Annual CF'!O$3,'Monthly CF'!$D19:$DT19)</f>
        <v>0</v>
      </c>
      <c r="P14" s="36">
        <f>SUMIF('Monthly CF'!$D$3:$DT$3,'Annual CF'!P$3,'Monthly CF'!$D19:$DT19)</f>
        <v>0</v>
      </c>
      <c r="Q14" s="36">
        <f>SUMIF('Monthly CF'!$D$3:$DT$3,'Annual CF'!Q$3,'Monthly CF'!$D19:$DT19)</f>
        <v>0</v>
      </c>
      <c r="R14" s="36">
        <f>SUMIF('Monthly CF'!$D$3:$DT$3,'Annual CF'!R$3,'Monthly CF'!$D19:$DT19)</f>
        <v>0</v>
      </c>
      <c r="S14" s="36">
        <f>SUMIF('Monthly CF'!$D$3:$DT$3,'Annual CF'!S$3,'Monthly CF'!$D19:$DT19)</f>
        <v>0</v>
      </c>
      <c r="T14" s="7" t="s">
        <v>0</v>
      </c>
      <c r="U14" s="152"/>
    </row>
    <row r="15" spans="2:21" ht="15.6" customHeight="1" x14ac:dyDescent="0.25">
      <c r="B15" s="57"/>
      <c r="C15" s="57"/>
      <c r="D15" s="133" t="s">
        <v>2</v>
      </c>
      <c r="E15" s="133" t="s">
        <v>27</v>
      </c>
      <c r="G15" s="1" t="s">
        <v>28</v>
      </c>
      <c r="H15" s="17">
        <f>SUM(I15:P15)</f>
        <v>86765513.587015837</v>
      </c>
      <c r="I15" s="18"/>
      <c r="J15" s="18"/>
      <c r="K15" s="18"/>
      <c r="L15" s="36">
        <f>SUMIF('Monthly CF'!$D$3:$DT$3,'Annual CF'!L$3,'Monthly CF'!$D20:$DT20)</f>
        <v>15128356.038736926</v>
      </c>
      <c r="M15" s="36">
        <f>SUMIF('Monthly CF'!$D$3:$DT$3,'Annual CF'!M$3,'Monthly CF'!$D20:$DT20)</f>
        <v>16981638.744980995</v>
      </c>
      <c r="N15" s="36">
        <f>SUMIF('Monthly CF'!$D$3:$DT$3,'Annual CF'!N$3,'Monthly CF'!$D20:$DT20)</f>
        <v>17585623.891169205</v>
      </c>
      <c r="O15" s="36">
        <f>SUMIF('Monthly CF'!$D$3:$DT$3,'Annual CF'!O$3,'Monthly CF'!$D20:$DT20)</f>
        <v>18211090.948631961</v>
      </c>
      <c r="P15" s="36">
        <f>SUMIF('Monthly CF'!$D$3:$DT$3,'Annual CF'!P$3,'Monthly CF'!$D20:$DT20)</f>
        <v>18858803.963496748</v>
      </c>
      <c r="Q15" s="36">
        <f>SUMIF('Monthly CF'!$D$3:$DT$3,'Annual CF'!Q$3,'Monthly CF'!$D20:$DT20)</f>
        <v>19529554.156683724</v>
      </c>
      <c r="R15" s="36">
        <f>SUMIF('Monthly CF'!$D$3:$DT$3,'Annual CF'!R$3,'Monthly CF'!$D20:$DT20)</f>
        <v>20224160.890430275</v>
      </c>
      <c r="S15" s="36">
        <f>SUMIF('Monthly CF'!$D$3:$DT$3,'Annual CF'!S$3,'Monthly CF'!$D20:$DT20)</f>
        <v>20943472.669191957</v>
      </c>
      <c r="T15" s="7" t="s">
        <v>0</v>
      </c>
      <c r="U15" s="152"/>
    </row>
    <row r="16" spans="2:21" ht="15.6" customHeight="1" x14ac:dyDescent="0.3">
      <c r="B16" s="8" t="s">
        <v>29</v>
      </c>
      <c r="C16" s="8"/>
      <c r="D16" s="33">
        <v>120000000</v>
      </c>
      <c r="E16" s="67">
        <f>D16/$E$14</f>
        <v>456.27376425855516</v>
      </c>
      <c r="G16" s="1" t="s">
        <v>30</v>
      </c>
      <c r="H16" s="17">
        <f>SUM(I16:P16)</f>
        <v>-74708.333333333328</v>
      </c>
      <c r="I16" s="18"/>
      <c r="J16" s="18"/>
      <c r="K16" s="18"/>
      <c r="L16" s="36">
        <f>SUMIF('Monthly CF'!$D$3:$DT$3,'Annual CF'!L$3,'Monthly CF'!$D21:$DT21)</f>
        <v>-74708.333333333328</v>
      </c>
      <c r="M16" s="36">
        <f>SUMIF('Monthly CF'!$D$3:$DT$3,'Annual CF'!M$3,'Monthly CF'!$D21:$DT21)</f>
        <v>0</v>
      </c>
      <c r="N16" s="36">
        <f>SUMIF('Monthly CF'!$D$3:$DT$3,'Annual CF'!N$3,'Monthly CF'!$D21:$DT21)</f>
        <v>0</v>
      </c>
      <c r="O16" s="36">
        <f>SUMIF('Monthly CF'!$D$3:$DT$3,'Annual CF'!O$3,'Monthly CF'!$D21:$DT21)</f>
        <v>0</v>
      </c>
      <c r="P16" s="36">
        <f>SUMIF('Monthly CF'!$D$3:$DT$3,'Annual CF'!P$3,'Monthly CF'!$D21:$DT21)</f>
        <v>0</v>
      </c>
      <c r="Q16" s="36">
        <f>SUMIF('Monthly CF'!$D$3:$DT$3,'Annual CF'!Q$3,'Monthly CF'!$D21:$DT21)</f>
        <v>0</v>
      </c>
      <c r="R16" s="36">
        <f>SUMIF('Monthly CF'!$D$3:$DT$3,'Annual CF'!R$3,'Monthly CF'!$D21:$DT21)</f>
        <v>0</v>
      </c>
      <c r="S16" s="36">
        <f>SUMIF('Monthly CF'!$D$3:$DT$3,'Annual CF'!S$3,'Monthly CF'!$D21:$DT21)</f>
        <v>0</v>
      </c>
      <c r="T16" s="7" t="s">
        <v>0</v>
      </c>
      <c r="U16" s="152"/>
    </row>
    <row r="17" spans="2:21" ht="15.6" customHeight="1" x14ac:dyDescent="0.25">
      <c r="B17" s="1" t="s">
        <v>17</v>
      </c>
      <c r="C17" s="114">
        <v>0.03</v>
      </c>
      <c r="D17" s="175">
        <f>D16*C17</f>
        <v>3600000</v>
      </c>
      <c r="E17" s="67">
        <f>D17/$E$14</f>
        <v>13.688212927756654</v>
      </c>
      <c r="G17" s="138" t="s">
        <v>31</v>
      </c>
      <c r="H17" s="35">
        <f>SUM(I17:P17)</f>
        <v>136916927.70374608</v>
      </c>
      <c r="I17" s="44"/>
      <c r="J17" s="44"/>
      <c r="K17" s="44"/>
      <c r="L17" s="117">
        <f>SUM(L13:L16)</f>
        <v>22440421.432600964</v>
      </c>
      <c r="M17" s="117">
        <f>SUM(M13:M16)</f>
        <v>27136736.587768786</v>
      </c>
      <c r="N17" s="117">
        <f>SUM(N13:N16)</f>
        <v>28101907.621093161</v>
      </c>
      <c r="O17" s="117">
        <f>SUM(O13:O16)</f>
        <v>29101406.847144596</v>
      </c>
      <c r="P17" s="117">
        <f>SUM(P13:P16)</f>
        <v>30136455.21513854</v>
      </c>
      <c r="Q17" s="117">
        <f t="shared" ref="Q17:S17" si="7">SUM(Q13:Q16)</f>
        <v>31208317.099733725</v>
      </c>
      <c r="R17" s="117">
        <f t="shared" si="7"/>
        <v>32318301.845542885</v>
      </c>
      <c r="S17" s="117">
        <f t="shared" si="7"/>
        <v>33467765.366576992</v>
      </c>
      <c r="T17" s="7" t="s">
        <v>0</v>
      </c>
      <c r="U17" s="152"/>
    </row>
    <row r="18" spans="2:21" ht="15.6" customHeight="1" x14ac:dyDescent="0.25">
      <c r="B18" s="1" t="s">
        <v>32</v>
      </c>
      <c r="D18" s="29">
        <f>E18*E12</f>
        <v>97800000</v>
      </c>
      <c r="E18" s="222">
        <f>'Alternative Use Analysis'!B4</f>
        <v>600</v>
      </c>
      <c r="G18" s="142"/>
      <c r="H18" s="107"/>
      <c r="I18" s="109"/>
      <c r="J18" s="109"/>
      <c r="K18" s="109"/>
      <c r="L18" s="143"/>
      <c r="M18" s="143"/>
      <c r="N18" s="143"/>
      <c r="O18" s="143"/>
      <c r="P18" s="143"/>
      <c r="Q18" s="143"/>
      <c r="R18" s="143"/>
      <c r="S18" s="143"/>
      <c r="T18" s="7" t="s">
        <v>0</v>
      </c>
      <c r="U18" s="152"/>
    </row>
    <row r="19" spans="2:21" ht="15.6" customHeight="1" x14ac:dyDescent="0.3">
      <c r="B19" s="1" t="s">
        <v>33</v>
      </c>
      <c r="D19" s="29">
        <f>E19*E13</f>
        <v>90000000</v>
      </c>
      <c r="E19" s="222">
        <f>'Alternative Use Analysis'!B3</f>
        <v>900</v>
      </c>
      <c r="G19" s="1" t="str">
        <f>'YoC Analysis'!B6</f>
        <v>Reimbursements</v>
      </c>
      <c r="H19" s="17">
        <f>SUM(I19:P19)</f>
        <v>13274686.818191802</v>
      </c>
      <c r="I19" s="18"/>
      <c r="J19" s="18"/>
      <c r="K19" s="18"/>
      <c r="L19" s="36">
        <f>SUMIF('Monthly CF'!$D$3:$DT$3,'Annual CF'!L$3,'Monthly CF'!$D24:$DT24)</f>
        <v>2365186.7783807665</v>
      </c>
      <c r="M19" s="36">
        <f>SUMIF('Monthly CF'!$D$3:$DT$3,'Annual CF'!M$3,'Monthly CF'!$D24:$DT24)</f>
        <v>2597676.9280745075</v>
      </c>
      <c r="N19" s="36">
        <f>SUMIF('Monthly CF'!$D$3:$DT$3,'Annual CF'!N$3,'Monthly CF'!$D24:$DT24)</f>
        <v>2682279.0064939358</v>
      </c>
      <c r="O19" s="36">
        <f>SUMIF('Monthly CF'!$D$3:$DT$3,'Annual CF'!O$3,'Monthly CF'!$D24:$DT24)</f>
        <v>2769653.2017718959</v>
      </c>
      <c r="P19" s="36">
        <f>SUMIF('Monthly CF'!$D$3:$DT$3,'Annual CF'!P$3,'Monthly CF'!$D24:$DT24)</f>
        <v>2859890.9034706964</v>
      </c>
      <c r="Q19" s="36">
        <f>SUMIF('Monthly CF'!$D$3:$DT$3,'Annual CF'!Q$3,'Monthly CF'!$D24:$DT24)</f>
        <v>2953086.5324178198</v>
      </c>
      <c r="R19" s="36">
        <f>SUMIF('Monthly CF'!$D$3:$DT$3,'Annual CF'!R$3,'Monthly CF'!$D24:$DT24)</f>
        <v>3049337.6418521209</v>
      </c>
      <c r="S19" s="36">
        <f>SUMIF('Monthly CF'!$D$3:$DT$3,'Annual CF'!S$3,'Monthly CF'!$D24:$DT24)</f>
        <v>3148745.0219647237</v>
      </c>
      <c r="T19" s="7" t="s">
        <v>0</v>
      </c>
      <c r="U19" s="152"/>
    </row>
    <row r="20" spans="2:21" ht="15.6" customHeight="1" x14ac:dyDescent="0.3">
      <c r="B20" s="1" t="s">
        <v>34</v>
      </c>
      <c r="D20" s="223">
        <f>Rents!L4*Rents!N4+Rents!L9*Rents!N9+SUM(Rents!K4:K5)*Rents!C4+Rents!C9*Rents!K9</f>
        <v>42046245</v>
      </c>
      <c r="E20" s="67">
        <f>D20/$E$14</f>
        <v>159.87165399239544</v>
      </c>
      <c r="G20" s="27" t="str">
        <f>'YoC Analysis'!B7</f>
        <v>PGR</v>
      </c>
      <c r="H20" s="35">
        <f>SUM(I20:P20)</f>
        <v>150191614.52193785</v>
      </c>
      <c r="I20" s="44"/>
      <c r="J20" s="44"/>
      <c r="K20" s="44"/>
      <c r="L20" s="44">
        <f>SUM(L17:L19)</f>
        <v>24805608.21098173</v>
      </c>
      <c r="M20" s="44">
        <f>SUM(M17:M19)</f>
        <v>29734413.515843295</v>
      </c>
      <c r="N20" s="44">
        <f>SUM(N17:N19)</f>
        <v>30784186.627587099</v>
      </c>
      <c r="O20" s="44">
        <f>SUM(O17:O19)</f>
        <v>31871060.048916493</v>
      </c>
      <c r="P20" s="44">
        <f>SUM(P17:P19)</f>
        <v>32996346.118609235</v>
      </c>
      <c r="Q20" s="44">
        <f t="shared" ref="Q20:S20" si="8">SUM(Q17:Q19)</f>
        <v>34161403.632151544</v>
      </c>
      <c r="R20" s="44">
        <f t="shared" si="8"/>
        <v>35367639.487395003</v>
      </c>
      <c r="S20" s="44">
        <f t="shared" si="8"/>
        <v>36616510.388541713</v>
      </c>
      <c r="T20" s="7" t="s">
        <v>0</v>
      </c>
      <c r="U20" s="152"/>
    </row>
    <row r="21" spans="2:21" ht="15.6" customHeight="1" x14ac:dyDescent="0.3">
      <c r="B21" s="27" t="s">
        <v>35</v>
      </c>
      <c r="C21" s="27"/>
      <c r="D21" s="38">
        <f>SUM(D16:D20)</f>
        <v>353446245</v>
      </c>
      <c r="E21" s="145">
        <f>D21/$E$14</f>
        <v>1343.9020722433461</v>
      </c>
      <c r="G21" s="55"/>
      <c r="H21" s="107"/>
      <c r="I21" s="109"/>
      <c r="J21" s="109"/>
      <c r="K21" s="109"/>
      <c r="L21" s="109"/>
      <c r="M21" s="109"/>
      <c r="N21" s="109"/>
      <c r="O21" s="109"/>
      <c r="P21" s="109"/>
      <c r="Q21" s="109"/>
      <c r="R21" s="109"/>
      <c r="S21" s="109"/>
      <c r="T21" s="7" t="s">
        <v>0</v>
      </c>
      <c r="U21" s="152"/>
    </row>
    <row r="22" spans="2:21" ht="15.6" customHeight="1" x14ac:dyDescent="0.3">
      <c r="B22" s="1" t="s">
        <v>36</v>
      </c>
      <c r="D22" s="45">
        <f ca="1">SUM(D30:D31)</f>
        <v>34637732.00999999</v>
      </c>
      <c r="E22" s="147">
        <f ca="1">D22/$E$14</f>
        <v>131.70240307984787</v>
      </c>
      <c r="G22" s="139" t="str">
        <f>'YoC Analysis'!B8</f>
        <v>Less: Vacancy</v>
      </c>
      <c r="H22" s="140">
        <f>SUM(I22:P22)</f>
        <v>-1501916.1452193784</v>
      </c>
      <c r="I22" s="141"/>
      <c r="J22" s="141"/>
      <c r="K22" s="141"/>
      <c r="L22" s="36">
        <f>SUMIF('Monthly CF'!$D$3:$DT$3,'Annual CF'!L$3,'Monthly CF'!$D27:$DT27)</f>
        <v>-248056.0821098173</v>
      </c>
      <c r="M22" s="36">
        <f>SUMIF('Monthly CF'!$D$3:$DT$3,'Annual CF'!M$3,'Monthly CF'!$D27:$DT27)</f>
        <v>-297344.13515843288</v>
      </c>
      <c r="N22" s="36">
        <f>SUMIF('Monthly CF'!$D$3:$DT$3,'Annual CF'!N$3,'Monthly CF'!$D27:$DT27)</f>
        <v>-307841.866275871</v>
      </c>
      <c r="O22" s="36">
        <f>SUMIF('Monthly CF'!$D$3:$DT$3,'Annual CF'!O$3,'Monthly CF'!$D27:$DT27)</f>
        <v>-318710.60048916494</v>
      </c>
      <c r="P22" s="36">
        <f>SUMIF('Monthly CF'!$D$3:$DT$3,'Annual CF'!P$3,'Monthly CF'!$D27:$DT27)</f>
        <v>-329963.46118609241</v>
      </c>
      <c r="Q22" s="36">
        <f>SUMIF('Monthly CF'!$D$3:$DT$3,'Annual CF'!Q$3,'Monthly CF'!$D27:$DT27)</f>
        <v>-341614.03632151557</v>
      </c>
      <c r="R22" s="36">
        <f>SUMIF('Monthly CF'!$D$3:$DT$3,'Annual CF'!R$3,'Monthly CF'!$D27:$DT27)</f>
        <v>-353676.39487395005</v>
      </c>
      <c r="S22" s="36">
        <f>SUMIF('Monthly CF'!$D$3:$DT$3,'Annual CF'!S$3,'Monthly CF'!$D27:$DT27)</f>
        <v>-366165.10388541711</v>
      </c>
      <c r="T22" s="7" t="s">
        <v>0</v>
      </c>
      <c r="U22" s="152"/>
    </row>
    <row r="23" spans="2:21" ht="15.6" customHeight="1" x14ac:dyDescent="0.3">
      <c r="B23" s="27" t="s">
        <v>37</v>
      </c>
      <c r="C23" s="27"/>
      <c r="D23" s="146">
        <f ca="1">SUM(D21:D22)</f>
        <v>388083977.00999999</v>
      </c>
      <c r="E23" s="147">
        <f ca="1">D23/$E$14</f>
        <v>1475.6044753231938</v>
      </c>
      <c r="G23" s="27" t="str">
        <f>'YoC Analysis'!B9</f>
        <v>EGR</v>
      </c>
      <c r="H23" s="35">
        <f>SUM(I23:P23)</f>
        <v>148689698.37671846</v>
      </c>
      <c r="I23" s="44"/>
      <c r="J23" s="44"/>
      <c r="K23" s="44"/>
      <c r="L23" s="44">
        <f>SUM(L20:L22)</f>
        <v>24557552.128871914</v>
      </c>
      <c r="M23" s="44">
        <f>SUM(M20:M22)</f>
        <v>29437069.38068486</v>
      </c>
      <c r="N23" s="44">
        <f>SUM(N20:N22)</f>
        <v>30476344.761311229</v>
      </c>
      <c r="O23" s="44">
        <f>SUM(O20:O22)</f>
        <v>31552349.448427327</v>
      </c>
      <c r="P23" s="44">
        <f>SUM(P20:P22)</f>
        <v>32666382.657423142</v>
      </c>
      <c r="Q23" s="44">
        <f t="shared" ref="Q23:S23" si="9">SUM(Q20:Q22)</f>
        <v>33819789.595830031</v>
      </c>
      <c r="R23" s="44">
        <f t="shared" si="9"/>
        <v>35013963.092521057</v>
      </c>
      <c r="S23" s="44">
        <f t="shared" si="9"/>
        <v>36250345.284656294</v>
      </c>
      <c r="T23" s="7" t="s">
        <v>0</v>
      </c>
      <c r="U23" s="152"/>
    </row>
    <row r="24" spans="2:21" ht="15.6" customHeight="1" x14ac:dyDescent="0.3">
      <c r="H24" s="17"/>
      <c r="I24" s="18"/>
      <c r="J24" s="18"/>
      <c r="K24" s="18"/>
      <c r="L24" s="18"/>
      <c r="M24" s="18"/>
      <c r="N24" s="18"/>
      <c r="O24" s="18"/>
      <c r="P24" s="18"/>
      <c r="Q24" s="18"/>
      <c r="R24" s="18"/>
      <c r="S24" s="18"/>
      <c r="T24" s="7" t="s">
        <v>0</v>
      </c>
      <c r="U24" s="152"/>
    </row>
    <row r="25" spans="2:21" ht="15.6" customHeight="1" x14ac:dyDescent="0.3">
      <c r="B25" s="210" t="s">
        <v>38</v>
      </c>
      <c r="C25" s="210"/>
      <c r="D25" s="210"/>
      <c r="E25" s="20"/>
      <c r="G25" s="1" t="str">
        <f>'YoC Analysis'!B11</f>
        <v>RE Tax</v>
      </c>
      <c r="H25" s="17">
        <f>SUM(I25:P25)</f>
        <v>-10397346.280055948</v>
      </c>
      <c r="I25" s="36"/>
      <c r="J25" s="36"/>
      <c r="K25" s="36"/>
      <c r="L25" s="36">
        <f>SUMIF('Monthly CF'!$D$3:$DT$3,'Annual CF'!L$3,'Monthly CF'!$D30:$DT30)</f>
        <v>-1956759.8947689701</v>
      </c>
      <c r="M25" s="36">
        <f>SUMIF('Monthly CF'!$D$3:$DT$3,'Annual CF'!M$3,'Monthly CF'!$D30:$DT30)</f>
        <v>-2016276.6194183407</v>
      </c>
      <c r="N25" s="36">
        <f>SUMIF('Monthly CF'!$D$3:$DT$3,'Annual CF'!N$3,'Monthly CF'!$D30:$DT30)</f>
        <v>-2077603.6022002802</v>
      </c>
      <c r="O25" s="36">
        <f>SUMIF('Monthly CF'!$D$3:$DT$3,'Annual CF'!O$3,'Monthly CF'!$D30:$DT30)</f>
        <v>-2140795.9038481498</v>
      </c>
      <c r="P25" s="36">
        <f>SUMIF('Monthly CF'!$D$3:$DT$3,'Annual CF'!P$3,'Monthly CF'!$D30:$DT30)</f>
        <v>-2205910.2598202066</v>
      </c>
      <c r="Q25" s="36">
        <f>SUMIF('Monthly CF'!$D$3:$DT$3,'Annual CF'!Q$3,'Monthly CF'!$D30:$DT30)</f>
        <v>-2273005.1312379604</v>
      </c>
      <c r="R25" s="36">
        <f>SUMIF('Monthly CF'!$D$3:$DT$3,'Annual CF'!R$3,'Monthly CF'!$D30:$DT30)</f>
        <v>-2342140.7573738741</v>
      </c>
      <c r="S25" s="36">
        <f>SUMIF('Monthly CF'!$D$3:$DT$3,'Annual CF'!S$3,'Monthly CF'!$D30:$DT30)</f>
        <v>-2413379.2097355258</v>
      </c>
      <c r="T25" s="7" t="s">
        <v>0</v>
      </c>
      <c r="U25" s="152"/>
    </row>
    <row r="26" spans="2:21" ht="15.6" customHeight="1" x14ac:dyDescent="0.3">
      <c r="B26" s="27" t="s">
        <v>39</v>
      </c>
      <c r="C26" s="57"/>
      <c r="D26" s="57"/>
      <c r="G26" s="139" t="s">
        <v>40</v>
      </c>
      <c r="H26" s="140">
        <f>SUM(I26:P26)</f>
        <v>10397346.280055948</v>
      </c>
      <c r="I26" s="220"/>
      <c r="J26" s="220"/>
      <c r="K26" s="220"/>
      <c r="L26" s="36">
        <f>SUMIF('Monthly CF'!$D$3:$DT$3,'Annual CF'!L$3,'Monthly CF'!$D31:$DT31)</f>
        <v>1956759.8947689701</v>
      </c>
      <c r="M26" s="36">
        <f>SUMIF('Monthly CF'!$D$3:$DT$3,'Annual CF'!M$3,'Monthly CF'!$D31:$DT31)</f>
        <v>2016276.6194183407</v>
      </c>
      <c r="N26" s="36">
        <f>SUMIF('Monthly CF'!$D$3:$DT$3,'Annual CF'!N$3,'Monthly CF'!$D31:$DT31)</f>
        <v>2077603.6022002802</v>
      </c>
      <c r="O26" s="36">
        <f>SUMIF('Monthly CF'!$D$3:$DT$3,'Annual CF'!O$3,'Monthly CF'!$D31:$DT31)</f>
        <v>2140795.9038481498</v>
      </c>
      <c r="P26" s="36">
        <f>SUMIF('Monthly CF'!$D$3:$DT$3,'Annual CF'!P$3,'Monthly CF'!$D31:$DT31)</f>
        <v>2205910.2598202066</v>
      </c>
      <c r="Q26" s="36">
        <f>SUMIF('Monthly CF'!$D$3:$DT$3,'Annual CF'!Q$3,'Monthly CF'!$D31:$DT31)</f>
        <v>2273005.1312379604</v>
      </c>
      <c r="R26" s="36">
        <f>SUMIF('Monthly CF'!$D$3:$DT$3,'Annual CF'!R$3,'Monthly CF'!$D31:$DT31)</f>
        <v>2342140.7573738741</v>
      </c>
      <c r="S26" s="36">
        <f>SUMIF('Monthly CF'!$D$3:$DT$3,'Annual CF'!S$3,'Monthly CF'!$D31:$DT31)</f>
        <v>2413379.2097355258</v>
      </c>
      <c r="T26" s="7" t="s">
        <v>0</v>
      </c>
      <c r="U26" s="152"/>
    </row>
    <row r="27" spans="2:21" ht="15.6" customHeight="1" x14ac:dyDescent="0.3">
      <c r="B27" s="1" t="s">
        <v>41</v>
      </c>
      <c r="D27" s="114">
        <v>0.7</v>
      </c>
      <c r="E27" s="28"/>
      <c r="G27" s="1" t="str">
        <f>'YoC Analysis'!B13</f>
        <v>Mgt Fee</v>
      </c>
      <c r="H27" s="17">
        <f>SUM(I27:P27)</f>
        <v>-5476677.1081498424</v>
      </c>
      <c r="I27" s="36"/>
      <c r="J27" s="36"/>
      <c r="K27" s="36"/>
      <c r="L27" s="36">
        <f>SUMIF('Monthly CF'!$D$3:$DT$3,'Annual CF'!L$3,'Monthly CF'!$D32:$DT32)</f>
        <v>-897616.85730403848</v>
      </c>
      <c r="M27" s="36">
        <f>SUMIF('Monthly CF'!$D$3:$DT$3,'Annual CF'!M$3,'Monthly CF'!$D32:$DT32)</f>
        <v>-1085469.4635107515</v>
      </c>
      <c r="N27" s="36">
        <f>SUMIF('Monthly CF'!$D$3:$DT$3,'Annual CF'!N$3,'Monthly CF'!$D32:$DT32)</f>
        <v>-1124076.3048437266</v>
      </c>
      <c r="O27" s="36">
        <f>SUMIF('Monthly CF'!$D$3:$DT$3,'Annual CF'!O$3,'Monthly CF'!$D32:$DT32)</f>
        <v>-1164056.2738857837</v>
      </c>
      <c r="P27" s="36">
        <f>SUMIF('Monthly CF'!$D$3:$DT$3,'Annual CF'!P$3,'Monthly CF'!$D32:$DT32)</f>
        <v>-1205458.2086055418</v>
      </c>
      <c r="Q27" s="36">
        <f>SUMIF('Monthly CF'!$D$3:$DT$3,'Annual CF'!Q$3,'Monthly CF'!$D32:$DT32)</f>
        <v>-1248332.6839893491</v>
      </c>
      <c r="R27" s="36">
        <f>SUMIF('Monthly CF'!$D$3:$DT$3,'Annual CF'!R$3,'Monthly CF'!$D32:$DT32)</f>
        <v>-1292732.0738217155</v>
      </c>
      <c r="S27" s="36">
        <f>SUMIF('Monthly CF'!$D$3:$DT$3,'Annual CF'!S$3,'Monthly CF'!$D32:$DT32)</f>
        <v>-1338710.6146630798</v>
      </c>
      <c r="T27" s="7" t="s">
        <v>0</v>
      </c>
      <c r="U27" s="152"/>
    </row>
    <row r="28" spans="2:21" ht="15.6" customHeight="1" x14ac:dyDescent="0.3">
      <c r="B28" s="1" t="s">
        <v>42</v>
      </c>
      <c r="D28" s="114">
        <v>0.5</v>
      </c>
      <c r="E28" s="29"/>
      <c r="G28" s="1" t="str">
        <f>'YoC Analysis'!B14</f>
        <v>OpEx</v>
      </c>
      <c r="H28" s="17">
        <f>SUM(I28:P28)</f>
        <v>-7798009.7100419598</v>
      </c>
      <c r="I28" s="36"/>
      <c r="J28" s="36"/>
      <c r="K28" s="36"/>
      <c r="L28" s="36">
        <f>SUMIF('Monthly CF'!$D$3:$DT$3,'Annual CF'!L$3,'Monthly CF'!$D33:$DT33)</f>
        <v>-1467569.9210767278</v>
      </c>
      <c r="M28" s="36">
        <f>SUMIF('Monthly CF'!$D$3:$DT$3,'Annual CF'!M$3,'Monthly CF'!$D33:$DT33)</f>
        <v>-1512207.4645637558</v>
      </c>
      <c r="N28" s="36">
        <f>SUMIF('Monthly CF'!$D$3:$DT$3,'Annual CF'!N$3,'Monthly CF'!$D33:$DT33)</f>
        <v>-1558202.7016502102</v>
      </c>
      <c r="O28" s="36">
        <f>SUMIF('Monthly CF'!$D$3:$DT$3,'Annual CF'!O$3,'Monthly CF'!$D33:$DT33)</f>
        <v>-1605596.9278861121</v>
      </c>
      <c r="P28" s="36">
        <f>SUMIF('Monthly CF'!$D$3:$DT$3,'Annual CF'!P$3,'Monthly CF'!$D33:$DT33)</f>
        <v>-1654432.694865155</v>
      </c>
      <c r="Q28" s="36">
        <f>SUMIF('Monthly CF'!$D$3:$DT$3,'Annual CF'!Q$3,'Monthly CF'!$D33:$DT33)</f>
        <v>-1704753.8484284701</v>
      </c>
      <c r="R28" s="36">
        <f>SUMIF('Monthly CF'!$D$3:$DT$3,'Annual CF'!R$3,'Monthly CF'!$D33:$DT33)</f>
        <v>-1756605.5680304053</v>
      </c>
      <c r="S28" s="36">
        <f>SUMIF('Monthly CF'!$D$3:$DT$3,'Annual CF'!S$3,'Monthly CF'!$D33:$DT33)</f>
        <v>-1810034.4073016441</v>
      </c>
      <c r="T28" s="7" t="s">
        <v>0</v>
      </c>
      <c r="U28" s="152"/>
    </row>
    <row r="29" spans="2:21" ht="15.6" customHeight="1" x14ac:dyDescent="0.3">
      <c r="B29" s="1" t="s">
        <v>43</v>
      </c>
      <c r="C29" s="41"/>
      <c r="D29" s="29">
        <f ca="1">MIN(D27*D21,D28*'YoC Analysis'!D22)</f>
        <v>247412371.49999997</v>
      </c>
      <c r="E29" s="29"/>
      <c r="G29" s="27" t="str">
        <f>'YoC Analysis'!B15</f>
        <v>Total Expenses</v>
      </c>
      <c r="H29" s="35">
        <f>SUM(I29:P29)</f>
        <v>-13274686.818191804</v>
      </c>
      <c r="I29" s="44">
        <f>SUM(I25:I28)</f>
        <v>0</v>
      </c>
      <c r="J29" s="44">
        <f t="shared" ref="J29:K29" si="10">SUM(J25:J28)</f>
        <v>0</v>
      </c>
      <c r="K29" s="44">
        <f t="shared" si="10"/>
        <v>0</v>
      </c>
      <c r="L29" s="44">
        <f>SUM(L25:L28)</f>
        <v>-2365186.7783807665</v>
      </c>
      <c r="M29" s="44">
        <f>SUM(M25:M28)</f>
        <v>-2597676.928074507</v>
      </c>
      <c r="N29" s="44">
        <f>SUM(N25:N28)</f>
        <v>-2682279.0064939368</v>
      </c>
      <c r="O29" s="44">
        <f>SUM(O25:O28)</f>
        <v>-2769653.2017718959</v>
      </c>
      <c r="P29" s="44">
        <f>SUM(P25:P28)</f>
        <v>-2859890.9034706969</v>
      </c>
      <c r="Q29" s="44">
        <f t="shared" ref="Q29:S29" si="11">SUM(Q25:Q28)</f>
        <v>-2953086.5324178189</v>
      </c>
      <c r="R29" s="44">
        <f t="shared" si="11"/>
        <v>-3049337.6418521209</v>
      </c>
      <c r="S29" s="44">
        <f t="shared" si="11"/>
        <v>-3148745.0219647242</v>
      </c>
      <c r="T29" s="7" t="s">
        <v>0</v>
      </c>
      <c r="U29" s="152"/>
    </row>
    <row r="30" spans="2:21" ht="15.6" customHeight="1" x14ac:dyDescent="0.3">
      <c r="B30" s="1" t="s">
        <v>44</v>
      </c>
      <c r="C30" s="53">
        <v>0.02</v>
      </c>
      <c r="D30" s="29">
        <f ca="1">C30*D29</f>
        <v>4948247.43</v>
      </c>
      <c r="E30" s="31"/>
      <c r="H30" s="17"/>
      <c r="I30" s="18"/>
      <c r="J30" s="18"/>
      <c r="K30" s="18"/>
      <c r="L30" s="18"/>
      <c r="M30" s="18"/>
      <c r="N30" s="18"/>
      <c r="O30" s="18"/>
      <c r="P30" s="18"/>
      <c r="Q30" s="18"/>
      <c r="R30" s="18"/>
      <c r="S30" s="18"/>
      <c r="T30" s="7" t="s">
        <v>0</v>
      </c>
      <c r="U30" s="152"/>
    </row>
    <row r="31" spans="2:21" ht="15.6" customHeight="1" x14ac:dyDescent="0.3">
      <c r="B31" s="13" t="s">
        <v>45</v>
      </c>
      <c r="C31" s="148">
        <v>0.06</v>
      </c>
      <c r="D31" s="45">
        <f ca="1">C31*D29*D4</f>
        <v>29689484.579999994</v>
      </c>
      <c r="E31" s="29"/>
      <c r="G31" s="27" t="s">
        <v>46</v>
      </c>
      <c r="H31" s="35">
        <f>SUM(I31:P31)</f>
        <v>135415011.55852666</v>
      </c>
      <c r="I31" s="61">
        <f t="shared" ref="I31:P31" si="12">SUM(I23+I29)</f>
        <v>0</v>
      </c>
      <c r="J31" s="61">
        <f t="shared" si="12"/>
        <v>0</v>
      </c>
      <c r="K31" s="61">
        <f t="shared" si="12"/>
        <v>0</v>
      </c>
      <c r="L31" s="61">
        <f t="shared" si="12"/>
        <v>22192365.350491147</v>
      </c>
      <c r="M31" s="61">
        <f t="shared" si="12"/>
        <v>26839392.452610351</v>
      </c>
      <c r="N31" s="61">
        <f t="shared" si="12"/>
        <v>27794065.754817292</v>
      </c>
      <c r="O31" s="61">
        <f t="shared" si="12"/>
        <v>28782696.246655431</v>
      </c>
      <c r="P31" s="61">
        <f t="shared" si="12"/>
        <v>29806491.753952444</v>
      </c>
      <c r="Q31" s="61">
        <f t="shared" ref="Q31:S31" si="13">SUM(Q23+Q29)</f>
        <v>30866703.063412212</v>
      </c>
      <c r="R31" s="61">
        <f t="shared" si="13"/>
        <v>31964625.450668935</v>
      </c>
      <c r="S31" s="61">
        <f t="shared" si="13"/>
        <v>33101600.262691569</v>
      </c>
      <c r="T31" s="7" t="s">
        <v>0</v>
      </c>
      <c r="U31" s="152"/>
    </row>
    <row r="32" spans="2:21" ht="15.6" customHeight="1" x14ac:dyDescent="0.3">
      <c r="C32" s="64"/>
      <c r="D32" s="29"/>
      <c r="E32" s="29"/>
      <c r="G32" s="55"/>
      <c r="H32" s="107"/>
      <c r="I32" s="108"/>
      <c r="J32" s="108"/>
      <c r="K32" s="108"/>
      <c r="L32" s="109"/>
      <c r="M32" s="109"/>
      <c r="N32" s="109"/>
      <c r="O32" s="109"/>
      <c r="P32" s="109"/>
      <c r="Q32" s="109"/>
      <c r="R32" s="109"/>
      <c r="S32" s="109"/>
      <c r="T32" s="7" t="s">
        <v>0</v>
      </c>
      <c r="U32" s="152"/>
    </row>
    <row r="33" spans="2:21" ht="15.6" customHeight="1" x14ac:dyDescent="0.3">
      <c r="B33" s="27" t="s">
        <v>47</v>
      </c>
      <c r="C33" s="134"/>
      <c r="D33" s="135"/>
      <c r="E33" s="29"/>
      <c r="G33" s="1" t="s">
        <v>15</v>
      </c>
      <c r="H33" s="17">
        <f>SUM(I33:P33)</f>
        <v>-17672312.250000004</v>
      </c>
      <c r="I33" s="36"/>
      <c r="J33" s="36"/>
      <c r="K33" s="36">
        <f>SUMIF('Monthly CF'!$D$3:$CJ$3,'Annual CF'!K$3,'Monthly CF'!$D38:$CJ38)</f>
        <v>0</v>
      </c>
      <c r="L33" s="36">
        <f>SUMIF('Monthly CF'!$D$3:$CJ$3,'Annual CF'!L$3,'Monthly CF'!$D38:$CJ38)</f>
        <v>-3534462.4500000007</v>
      </c>
      <c r="M33" s="36">
        <f>SUMIF('Monthly CF'!$D$3:$CJ$3,'Annual CF'!M$3,'Monthly CF'!$D38:$CJ38)</f>
        <v>-3534462.4500000007</v>
      </c>
      <c r="N33" s="36">
        <f>SUMIF('Monthly CF'!$D$3:$CJ$3,'Annual CF'!N$3,'Monthly CF'!$D38:$CJ38)</f>
        <v>-3534462.4500000007</v>
      </c>
      <c r="O33" s="36">
        <f>SUMIF('Monthly CF'!$D$3:$CJ$3,'Annual CF'!O$3,'Monthly CF'!$D38:$CJ38)</f>
        <v>-3534462.4500000007</v>
      </c>
      <c r="P33" s="36">
        <f>SUMIF('Monthly CF'!$D$3:$CJ$3,'Annual CF'!P$3,'Monthly CF'!$D38:$CJ38)</f>
        <v>-3534462.4500000007</v>
      </c>
      <c r="Q33" s="36"/>
      <c r="R33" s="36"/>
      <c r="S33" s="36"/>
      <c r="T33" s="7" t="s">
        <v>0</v>
      </c>
      <c r="U33" s="152"/>
    </row>
    <row r="34" spans="2:21" ht="15.6" customHeight="1" x14ac:dyDescent="0.3">
      <c r="B34" s="1" t="s">
        <v>48</v>
      </c>
      <c r="D34" s="237">
        <v>0.57499999999999996</v>
      </c>
      <c r="E34" s="29"/>
      <c r="G34" s="1" t="s">
        <v>49</v>
      </c>
      <c r="H34" s="17">
        <f>SUM(I34:P34)</f>
        <v>-4446245</v>
      </c>
      <c r="I34" s="36"/>
      <c r="J34" s="36"/>
      <c r="K34" s="36">
        <f>SUMIF('Monthly CF'!$D$3:$CJ$3,'Annual CF'!K$3,'Monthly CF'!$D39:$CJ39)</f>
        <v>-2267750</v>
      </c>
      <c r="L34" s="36">
        <f>SUMIF('Monthly CF'!$D$3:$CJ$3,'Annual CF'!L$3,'Monthly CF'!$D39:$CJ39)</f>
        <v>-1452330</v>
      </c>
      <c r="M34" s="36">
        <f>SUMIF('Monthly CF'!$D$3:$CJ$3,'Annual CF'!M$3,'Monthly CF'!$D39:$CJ39)</f>
        <v>-726165</v>
      </c>
      <c r="N34" s="36"/>
      <c r="O34" s="36"/>
      <c r="P34" s="36"/>
      <c r="Q34" s="36"/>
      <c r="R34" s="36"/>
      <c r="S34" s="36"/>
      <c r="T34" s="7" t="s">
        <v>0</v>
      </c>
      <c r="U34" s="152"/>
    </row>
    <row r="35" spans="2:21" ht="15.6" customHeight="1" x14ac:dyDescent="0.3">
      <c r="B35" s="1" t="s">
        <v>50</v>
      </c>
      <c r="D35" s="149">
        <v>1.3</v>
      </c>
      <c r="E35" s="29"/>
      <c r="G35" s="1" t="s">
        <v>51</v>
      </c>
      <c r="H35" s="17">
        <f>SUM(I35:P35)</f>
        <v>-57600000.000000015</v>
      </c>
      <c r="I35" s="36"/>
      <c r="J35" s="36"/>
      <c r="K35" s="36">
        <f>SUMIF('Monthly CF'!$D$3:$CJ$3,'Annual CF'!K$3,'Monthly CF'!$D40:$CJ40)</f>
        <v>-25000000</v>
      </c>
      <c r="L35" s="36">
        <f>SUMIF('Monthly CF'!$D$3:$CJ$3,'Annual CF'!L$3,'Monthly CF'!$D40:$CJ40)</f>
        <v>-21733333.33333334</v>
      </c>
      <c r="M35" s="36">
        <f>SUMIF('Monthly CF'!$D$3:$CJ$3,'Annual CF'!M$3,'Monthly CF'!$D40:$CJ40)</f>
        <v>-10866666.666666668</v>
      </c>
      <c r="N35" s="36"/>
      <c r="O35" s="36"/>
      <c r="P35" s="36"/>
      <c r="Q35" s="36"/>
      <c r="R35" s="36"/>
      <c r="S35" s="36"/>
      <c r="T35" s="7" t="s">
        <v>0</v>
      </c>
      <c r="U35" s="152"/>
    </row>
    <row r="36" spans="2:21" ht="15.6" customHeight="1" x14ac:dyDescent="0.3">
      <c r="B36" s="1" t="s">
        <v>52</v>
      </c>
      <c r="D36" s="150">
        <v>30</v>
      </c>
      <c r="E36" s="29"/>
      <c r="G36" s="139" t="s">
        <v>53</v>
      </c>
      <c r="H36" s="140">
        <f>SUM(I36:P36)</f>
        <v>20000000</v>
      </c>
      <c r="I36" s="220"/>
      <c r="J36" s="220"/>
      <c r="K36" s="220">
        <f>SUMIF('Monthly CF'!$D$3:$CJ$3,'Annual CF'!K$3,'Monthly CF'!$D41:$CJ41)</f>
        <v>20000000</v>
      </c>
      <c r="L36" s="220"/>
      <c r="M36" s="220"/>
      <c r="N36" s="220"/>
      <c r="O36" s="220"/>
      <c r="P36" s="220"/>
      <c r="Q36" s="220"/>
      <c r="R36" s="220"/>
      <c r="S36" s="220"/>
      <c r="T36" s="7"/>
      <c r="U36" s="152"/>
    </row>
    <row r="37" spans="2:21" ht="15.6" customHeight="1" x14ac:dyDescent="0.3">
      <c r="B37" s="1" t="s">
        <v>45</v>
      </c>
      <c r="D37" s="53">
        <v>0.04</v>
      </c>
      <c r="E37" s="29"/>
      <c r="G37" s="27" t="s">
        <v>54</v>
      </c>
      <c r="H37" s="35">
        <f>SUM(I37:P37)</f>
        <v>-59718557.250000015</v>
      </c>
      <c r="I37" s="44">
        <f t="shared" ref="I37:O37" si="14">SUM(I33:I36)</f>
        <v>0</v>
      </c>
      <c r="J37" s="44">
        <f t="shared" si="14"/>
        <v>0</v>
      </c>
      <c r="K37" s="44">
        <f t="shared" si="14"/>
        <v>-7267750</v>
      </c>
      <c r="L37" s="44">
        <f t="shared" si="14"/>
        <v>-26720125.783333339</v>
      </c>
      <c r="M37" s="44">
        <f t="shared" si="14"/>
        <v>-15127294.116666669</v>
      </c>
      <c r="N37" s="44">
        <f t="shared" si="14"/>
        <v>-3534462.4500000007</v>
      </c>
      <c r="O37" s="44">
        <f t="shared" si="14"/>
        <v>-3534462.4500000007</v>
      </c>
      <c r="P37" s="44">
        <f t="shared" ref="P37" si="15">SUM(P33:P36)</f>
        <v>-3534462.4500000007</v>
      </c>
      <c r="Q37" s="109"/>
      <c r="R37" s="109"/>
      <c r="S37" s="109"/>
      <c r="T37" s="7"/>
      <c r="U37" s="152"/>
    </row>
    <row r="38" spans="2:21" ht="15.6" customHeight="1" x14ac:dyDescent="0.3">
      <c r="B38" s="1" t="s">
        <v>43</v>
      </c>
      <c r="C38" s="41"/>
      <c r="D38" s="29">
        <f ca="1">MIN(D34*'YoC Analysis'!D22,-PV(D37,D36,'YoC Analysis'!D17/D35))</f>
        <v>285182526.01256299</v>
      </c>
      <c r="E38" s="29"/>
      <c r="G38" s="55"/>
      <c r="H38" s="55"/>
      <c r="I38" s="55"/>
      <c r="J38" s="55"/>
      <c r="K38" s="55"/>
      <c r="L38" s="55"/>
      <c r="M38" s="55"/>
      <c r="N38" s="55"/>
      <c r="O38" s="55"/>
      <c r="P38" s="55"/>
      <c r="Q38" s="55"/>
      <c r="R38" s="55"/>
      <c r="S38" s="55"/>
      <c r="T38" s="7"/>
      <c r="U38" s="152"/>
    </row>
    <row r="39" spans="2:21" ht="15.6" customHeight="1" x14ac:dyDescent="0.3">
      <c r="B39" s="13" t="s">
        <v>44</v>
      </c>
      <c r="C39" s="148">
        <v>0.01</v>
      </c>
      <c r="D39" s="45">
        <f ca="1">C39*D38</f>
        <v>2851825.2601256301</v>
      </c>
      <c r="E39" s="29"/>
      <c r="G39" s="1" t="s">
        <v>55</v>
      </c>
      <c r="H39" s="17">
        <f>SUM(I39:P39)</f>
        <v>528346309.02932447</v>
      </c>
      <c r="I39" s="36"/>
      <c r="J39" s="36"/>
      <c r="K39" s="36"/>
      <c r="L39" s="36"/>
      <c r="M39" s="36"/>
      <c r="N39" s="36"/>
      <c r="O39" s="36">
        <f>SUMIF('Monthly CF'!$D$3:$CJ$3,'Annual CF'!O$3,'Monthly CF'!$D44:$CJ44)</f>
        <v>0</v>
      </c>
      <c r="P39" s="36">
        <f>SUMIF('Monthly CF'!$D$3:$CJ$3,'Annual CF'!P$3,'Monthly CF'!$D44:$CJ44)</f>
        <v>528346309.02932447</v>
      </c>
      <c r="Q39" s="36"/>
      <c r="R39" s="36"/>
      <c r="S39" s="36"/>
      <c r="T39" s="7"/>
      <c r="U39" s="152"/>
    </row>
    <row r="40" spans="2:21" ht="15.6" customHeight="1" x14ac:dyDescent="0.3">
      <c r="C40" s="53"/>
      <c r="D40" s="29"/>
      <c r="E40" s="29"/>
      <c r="G40" s="1" t="s">
        <v>56</v>
      </c>
      <c r="H40" s="17">
        <f>SUM(I40:P40)</f>
        <v>21133852.361172978</v>
      </c>
      <c r="I40" s="36"/>
      <c r="J40" s="36"/>
      <c r="K40" s="36"/>
      <c r="L40" s="36"/>
      <c r="M40" s="36"/>
      <c r="N40" s="36"/>
      <c r="O40" s="36">
        <f>SUMIF('Monthly CF'!$D$3:$CJ$3,'Annual CF'!O$3,'Monthly CF'!$D45:$CJ45)</f>
        <v>0</v>
      </c>
      <c r="P40" s="36">
        <f>SUMIF('Monthly CF'!$D$3:$CJ$3,'Annual CF'!P$3,'Monthly CF'!$D45:$CJ45)</f>
        <v>21133852.361172978</v>
      </c>
      <c r="Q40" s="36"/>
      <c r="R40" s="36"/>
      <c r="S40" s="36"/>
      <c r="T40" s="7" t="s">
        <v>0</v>
      </c>
      <c r="U40" s="152"/>
    </row>
    <row r="41" spans="2:21" ht="15.6" customHeight="1" x14ac:dyDescent="0.25">
      <c r="B41" s="116" t="s">
        <v>57</v>
      </c>
      <c r="C41" s="27"/>
      <c r="D41" s="133" t="s">
        <v>2</v>
      </c>
      <c r="E41" s="133" t="s">
        <v>27</v>
      </c>
      <c r="F41" s="37"/>
      <c r="H41" s="11"/>
      <c r="I41" s="18"/>
      <c r="J41" s="18"/>
      <c r="K41" s="18"/>
      <c r="L41" s="18"/>
      <c r="M41" s="18"/>
      <c r="N41" s="18"/>
      <c r="O41" s="18"/>
      <c r="P41" s="18"/>
      <c r="Q41" s="18"/>
      <c r="R41" s="18"/>
      <c r="S41" s="18"/>
      <c r="T41" s="7" t="s">
        <v>0</v>
      </c>
      <c r="U41" s="152"/>
    </row>
    <row r="42" spans="2:21" ht="15.6" customHeight="1" x14ac:dyDescent="0.25">
      <c r="B42" s="93" t="s">
        <v>58</v>
      </c>
      <c r="C42" s="186">
        <f>0.001*'Annual CF'!D5</f>
        <v>7.0000000000000001E-3</v>
      </c>
      <c r="D42" s="101">
        <f>'YoC Analysis'!D21+C42</f>
        <v>5.8421347014083212E-2</v>
      </c>
      <c r="E42" s="29"/>
      <c r="G42" s="27" t="s">
        <v>59</v>
      </c>
      <c r="H42" s="35">
        <f>SUM(I42:P42)</f>
        <v>313776615.69902414</v>
      </c>
      <c r="I42" s="44">
        <f>SUM(I11,I31,I37,I39:I41)</f>
        <v>-123600000</v>
      </c>
      <c r="J42" s="44">
        <f>SUM(J11,J31,J37,J39:J41)</f>
        <v>-93900000</v>
      </c>
      <c r="K42" s="44">
        <f t="shared" ref="K42:O42" si="16">SUM(K11,K31,K37,K39:K41)</f>
        <v>-101167750</v>
      </c>
      <c r="L42" s="44">
        <f t="shared" si="16"/>
        <v>-4527760.4328421913</v>
      </c>
      <c r="M42" s="44">
        <f t="shared" si="16"/>
        <v>11712098.335943682</v>
      </c>
      <c r="N42" s="44">
        <f t="shared" si="16"/>
        <v>24259603.304817293</v>
      </c>
      <c r="O42" s="44">
        <f t="shared" si="16"/>
        <v>25248233.796655431</v>
      </c>
      <c r="P42" s="44">
        <f t="shared" ref="P42" si="17">SUM(P11,P31,P37,P39:P41)</f>
        <v>575752190.6944499</v>
      </c>
      <c r="Q42" s="109"/>
      <c r="R42" s="109"/>
      <c r="S42" s="109"/>
      <c r="T42" s="7" t="s">
        <v>0</v>
      </c>
      <c r="U42" s="152"/>
    </row>
    <row r="43" spans="2:21" ht="15.6" customHeight="1" x14ac:dyDescent="0.3">
      <c r="B43" t="s">
        <v>55</v>
      </c>
      <c r="C43"/>
      <c r="D43" s="18">
        <f>'YoC Analysis'!I17/D42</f>
        <v>528346309.02932447</v>
      </c>
      <c r="E43" s="123">
        <f>D43/'Annual CF'!$E$14</f>
        <v>2008.9213271076976</v>
      </c>
      <c r="G43" s="215" t="s">
        <v>60</v>
      </c>
      <c r="H43" s="216">
        <f ca="1">XIRR(I42:P42,$I$5:$P$5)</f>
        <v>0.12194184660911561</v>
      </c>
      <c r="T43" s="7" t="s">
        <v>0</v>
      </c>
      <c r="U43" s="152"/>
    </row>
    <row r="44" spans="2:21" ht="15.6" customHeight="1" x14ac:dyDescent="0.25">
      <c r="B44" s="118" t="s">
        <v>56</v>
      </c>
      <c r="C44" s="265">
        <v>0.04</v>
      </c>
      <c r="D44" s="272">
        <f>-C44*D43</f>
        <v>-21133852.361172978</v>
      </c>
      <c r="E44" s="132">
        <f>D44/'Annual CF'!$E$14</f>
        <v>-80.3568530843079</v>
      </c>
      <c r="F44" s="18"/>
      <c r="G44" s="215" t="s">
        <v>61</v>
      </c>
      <c r="H44" s="217">
        <f>SUM(I42:P42)</f>
        <v>313776615.69902414</v>
      </c>
      <c r="I44" s="37"/>
      <c r="T44" s="7" t="s">
        <v>0</v>
      </c>
      <c r="U44" s="152"/>
    </row>
    <row r="45" spans="2:21" ht="15.6" customHeight="1" x14ac:dyDescent="0.3">
      <c r="G45" s="218" t="s">
        <v>62</v>
      </c>
      <c r="H45" s="219">
        <f>-SUM(M42:P42)/SUM(I42:L42)</f>
        <v>1.9708569753298748</v>
      </c>
      <c r="I45" s="20"/>
      <c r="T45" s="7" t="s">
        <v>0</v>
      </c>
      <c r="U45" s="152"/>
    </row>
    <row r="46" spans="2:21" ht="15.6" customHeight="1" x14ac:dyDescent="0.3">
      <c r="B46" s="264" t="s">
        <v>63</v>
      </c>
      <c r="C46" s="65"/>
      <c r="G46" s="218" t="s">
        <v>64</v>
      </c>
      <c r="H46" s="217">
        <f ca="1">NPV($D$8,J42:P42,J5:O5)</f>
        <v>160495396.01871285</v>
      </c>
      <c r="I46" s="20"/>
      <c r="T46" s="7" t="s">
        <v>0</v>
      </c>
      <c r="U46" s="152"/>
    </row>
    <row r="47" spans="2:21" ht="15.6" customHeight="1" x14ac:dyDescent="0.3">
      <c r="B47" s="63" t="s">
        <v>65</v>
      </c>
      <c r="C47" s="31">
        <f ca="1">D29</f>
        <v>247412371.49999997</v>
      </c>
      <c r="G47" s="34"/>
      <c r="H47" s="48"/>
      <c r="T47" s="7" t="s">
        <v>0</v>
      </c>
      <c r="U47" s="152"/>
    </row>
    <row r="48" spans="2:21" ht="15.6" customHeight="1" x14ac:dyDescent="0.3">
      <c r="B48" s="1" t="s">
        <v>66</v>
      </c>
      <c r="C48" s="31">
        <f ca="1">D23-C47</f>
        <v>140671605.51000002</v>
      </c>
      <c r="G48" s="1" t="s">
        <v>39</v>
      </c>
      <c r="H48" s="17">
        <f t="shared" ref="H48:H54" ca="1" si="18">SUM(I48:P48)</f>
        <v>247412371.5</v>
      </c>
      <c r="I48" s="36">
        <f>SUMIF('Monthly CF'!$D$3:$CJ$3,'Annual CF'!I$3,'Monthly CF'!$D49:$CJ49)</f>
        <v>84000000</v>
      </c>
      <c r="J48" s="36">
        <f ca="1">SUMIF('Monthly CF'!$D$3:$CJ$3,'Annual CF'!J$3,'Monthly CF'!$D49:$CJ49)</f>
        <v>81706185.749999985</v>
      </c>
      <c r="K48" s="36">
        <f ca="1">SUMIF('Monthly CF'!$D$3:$CJ$3,'Annual CF'!K$3,'Monthly CF'!$D49:$CJ49)</f>
        <v>81706185.749999985</v>
      </c>
      <c r="L48" s="36"/>
      <c r="M48" s="36"/>
      <c r="N48" s="36"/>
      <c r="O48" s="36"/>
      <c r="T48" s="7" t="s">
        <v>0</v>
      </c>
      <c r="U48" s="152"/>
    </row>
    <row r="49" spans="2:21" ht="15.6" customHeight="1" x14ac:dyDescent="0.3">
      <c r="B49" s="27" t="s">
        <v>2</v>
      </c>
      <c r="C49" s="38">
        <f ca="1">SUM(C47:C48)</f>
        <v>388083977.00999999</v>
      </c>
      <c r="G49" s="1" t="s">
        <v>67</v>
      </c>
      <c r="H49" s="17">
        <f t="shared" ca="1" si="18"/>
        <v>-4948247.43</v>
      </c>
      <c r="I49" s="36">
        <f ca="1">SUMIF('Monthly CF'!$D$3:$CJ$3,'Annual CF'!I$3,'Monthly CF'!$D50:$CJ50)</f>
        <v>-4948247.43</v>
      </c>
      <c r="J49" s="36"/>
      <c r="K49" s="36"/>
      <c r="L49" s="36"/>
      <c r="M49" s="36"/>
      <c r="N49" s="36"/>
      <c r="O49" s="36"/>
      <c r="T49" s="7" t="s">
        <v>0</v>
      </c>
      <c r="U49" s="152"/>
    </row>
    <row r="50" spans="2:21" ht="15.6" customHeight="1" x14ac:dyDescent="0.3">
      <c r="C50" s="26"/>
      <c r="G50" s="1" t="s">
        <v>68</v>
      </c>
      <c r="H50" s="17">
        <f t="shared" ca="1" si="18"/>
        <v>-277101856.07999998</v>
      </c>
      <c r="I50" s="36"/>
      <c r="J50" s="36"/>
      <c r="K50" s="36">
        <f ca="1">SUMIF('Monthly CF'!$D$3:$CJ$3,'Annual CF'!K$3,'Monthly CF'!$D51:$CJ51)</f>
        <v>-277101856.07999998</v>
      </c>
      <c r="L50" s="36"/>
      <c r="M50" s="36"/>
      <c r="N50" s="36"/>
      <c r="O50" s="36"/>
      <c r="T50" s="7" t="s">
        <v>0</v>
      </c>
      <c r="U50" s="152"/>
    </row>
    <row r="51" spans="2:21" ht="15.6" customHeight="1" x14ac:dyDescent="0.3">
      <c r="B51" s="264" t="s">
        <v>69</v>
      </c>
      <c r="C51" s="66"/>
      <c r="G51" s="1" t="s">
        <v>47</v>
      </c>
      <c r="H51" s="17">
        <f t="shared" ca="1" si="18"/>
        <v>285182526.01256299</v>
      </c>
      <c r="I51" s="36"/>
      <c r="J51" s="36"/>
      <c r="K51" s="36">
        <f ca="1">SUMIF('Monthly CF'!$D$3:$CJ$3,'Annual CF'!K$3,'Monthly CF'!$D52:$CJ52)</f>
        <v>285182526.01256299</v>
      </c>
      <c r="L51" s="36"/>
      <c r="M51" s="36"/>
      <c r="N51" s="36"/>
      <c r="O51" s="36"/>
      <c r="T51" s="7" t="s">
        <v>0</v>
      </c>
      <c r="U51" s="152"/>
    </row>
    <row r="52" spans="2:21" ht="15.6" customHeight="1" x14ac:dyDescent="0.3">
      <c r="B52" s="63" t="s">
        <v>29</v>
      </c>
      <c r="C52" s="31">
        <f>SUM(D16:D16)</f>
        <v>120000000</v>
      </c>
      <c r="G52" s="1" t="s">
        <v>70</v>
      </c>
      <c r="H52" s="17">
        <f t="shared" ca="1" si="18"/>
        <v>-2851825.2601256301</v>
      </c>
      <c r="I52" s="36"/>
      <c r="J52" s="36"/>
      <c r="K52" s="36">
        <f ca="1">SUMIF('Monthly CF'!$D$3:$CJ$3,'Annual CF'!K$3,'Monthly CF'!$D53:$CJ53)</f>
        <v>-2851825.2601256301</v>
      </c>
      <c r="L52" s="36"/>
      <c r="M52" s="36"/>
      <c r="N52" s="36"/>
      <c r="O52" s="36"/>
      <c r="T52" s="7" t="s">
        <v>0</v>
      </c>
      <c r="U52" s="152"/>
    </row>
    <row r="53" spans="2:21" ht="15.6" customHeight="1" x14ac:dyDescent="0.3">
      <c r="B53" s="63" t="s">
        <v>17</v>
      </c>
      <c r="C53" s="31">
        <f>D17</f>
        <v>3600000</v>
      </c>
      <c r="G53" s="1" t="s">
        <v>71</v>
      </c>
      <c r="H53" s="17">
        <f t="shared" ca="1" si="18"/>
        <v>-245426572.9941214</v>
      </c>
      <c r="I53" s="36"/>
      <c r="J53" s="36"/>
      <c r="K53" s="36"/>
      <c r="L53" s="36"/>
      <c r="M53" s="36"/>
      <c r="N53" s="36"/>
      <c r="O53" s="36"/>
      <c r="P53" s="36">
        <f ca="1">SUMIF('Monthly CF'!$D$3:$CJ$3,'Annual CF'!P$3,'Monthly CF'!$D54:$CJ54)</f>
        <v>-245426572.9941214</v>
      </c>
      <c r="T53" s="7" t="s">
        <v>0</v>
      </c>
      <c r="U53" s="152"/>
    </row>
    <row r="54" spans="2:21" ht="15.6" customHeight="1" x14ac:dyDescent="0.3">
      <c r="B54" s="1" t="s">
        <v>32</v>
      </c>
      <c r="C54" s="31">
        <f>D18</f>
        <v>97800000</v>
      </c>
      <c r="G54" s="27" t="s">
        <v>72</v>
      </c>
      <c r="H54" s="35">
        <f t="shared" ca="1" si="18"/>
        <v>2266395.7483159602</v>
      </c>
      <c r="I54" s="61">
        <f ca="1">SUM(I48:I53)</f>
        <v>79051752.569999993</v>
      </c>
      <c r="J54" s="61">
        <f ca="1">SUM(J48:J53)</f>
        <v>81706185.749999985</v>
      </c>
      <c r="K54" s="61">
        <f ca="1">SUM(K48:K53)</f>
        <v>86935030.42243737</v>
      </c>
      <c r="L54" s="61">
        <f t="shared" ref="L54:N54" si="19">SUM(L48:L53)</f>
        <v>0</v>
      </c>
      <c r="M54" s="61">
        <f t="shared" si="19"/>
        <v>0</v>
      </c>
      <c r="N54" s="61">
        <f t="shared" si="19"/>
        <v>0</v>
      </c>
      <c r="O54" s="61">
        <f>SUM(O48:O53)</f>
        <v>0</v>
      </c>
      <c r="P54" s="61">
        <f ca="1">SUM(P48:P53)</f>
        <v>-245426572.9941214</v>
      </c>
      <c r="T54" s="7" t="s">
        <v>0</v>
      </c>
      <c r="U54" s="152"/>
    </row>
    <row r="55" spans="2:21" ht="15.6" customHeight="1" x14ac:dyDescent="0.3">
      <c r="B55" s="1" t="s">
        <v>33</v>
      </c>
      <c r="C55" s="31">
        <f>D19</f>
        <v>90000000</v>
      </c>
      <c r="G55" s="34"/>
      <c r="H55" s="48"/>
      <c r="U55" s="152"/>
    </row>
    <row r="56" spans="2:21" ht="15.6" customHeight="1" x14ac:dyDescent="0.3">
      <c r="B56" s="1" t="s">
        <v>34</v>
      </c>
      <c r="C56" s="29">
        <f>D20</f>
        <v>42046245</v>
      </c>
      <c r="G56" s="1" t="s">
        <v>73</v>
      </c>
      <c r="H56" s="17">
        <f ca="1">SUM(I56:P56)</f>
        <v>-27242023.335514069</v>
      </c>
      <c r="I56" s="36">
        <f>SUMIF('Monthly CF'!$D$3:$CJ$3,'Annual CF'!I$3,'Monthly CF'!$D57:$CJ57)</f>
        <v>0</v>
      </c>
      <c r="J56" s="36">
        <f>SUMIF('Monthly CF'!$D$3:$CJ$3,'Annual CF'!J$3,'Monthly CF'!$D57:$CJ57)</f>
        <v>0</v>
      </c>
      <c r="K56" s="36">
        <f>SUMIF('Monthly CF'!$D$3:$CJ$3,'Annual CF'!K$3,'Monthly CF'!$D57:$CJ57)</f>
        <v>0</v>
      </c>
      <c r="L56" s="36">
        <f ca="1">SUMIF('Monthly CF'!$D$3:$CJ$3,'Annual CF'!L$3,'Monthly CF'!$D57:$CJ57)</f>
        <v>-5022168.1843497586</v>
      </c>
      <c r="M56" s="36">
        <f ca="1">SUMIF('Monthly CF'!$D$3:$CJ$3,'Annual CF'!M$3,'Monthly CF'!$D57:$CJ57)</f>
        <v>-5226779.0649828464</v>
      </c>
      <c r="N56" s="36">
        <f ca="1">SUMIF('Monthly CF'!$D$3:$CJ$3,'Annual CF'!N$3,'Monthly CF'!$D57:$CJ57)</f>
        <v>-5439726.108591103</v>
      </c>
      <c r="O56" s="36">
        <f ca="1">SUMIF('Monthly CF'!$D$3:$CJ$3,'Annual CF'!O$3,'Monthly CF'!$D57:$CJ57)</f>
        <v>-5661348.9433161672</v>
      </c>
      <c r="P56" s="36">
        <f ca="1">SUMIF('Monthly CF'!$D$3:$CJ$3,'Annual CF'!P$3,'Monthly CF'!$D57:$CJ57)</f>
        <v>-5892001.0342741888</v>
      </c>
      <c r="U56" s="152"/>
    </row>
    <row r="57" spans="2:21" ht="15.6" customHeight="1" x14ac:dyDescent="0.3">
      <c r="B57" s="1" t="s">
        <v>36</v>
      </c>
      <c r="C57" s="29">
        <f ca="1">D22</f>
        <v>34637732.00999999</v>
      </c>
      <c r="G57" s="1" t="s">
        <v>45</v>
      </c>
      <c r="H57" s="17">
        <f ca="1">SUM(I57:P57)</f>
        <v>-54448276.61521025</v>
      </c>
      <c r="I57" s="36">
        <f>SUMIF('Monthly CF'!$D$3:$CJ$3,'Annual CF'!I$3,'Monthly CF'!$D58:$CJ58)</f>
        <v>0</v>
      </c>
      <c r="J57" s="36">
        <f>SUMIF('Monthly CF'!$D$3:$CJ$3,'Annual CF'!J$3,'Monthly CF'!$D58:$CJ58)</f>
        <v>0</v>
      </c>
      <c r="K57" s="36">
        <f>SUMIF('Monthly CF'!$D$3:$CJ$3,'Annual CF'!K$3,'Monthly CF'!$D58:$CJ58)</f>
        <v>0</v>
      </c>
      <c r="L57" s="36">
        <f ca="1">SUMIF('Monthly CF'!$D$3:$CJ$3,'Annual CF'!L$3,'Monthly CF'!$D58:$CJ58)</f>
        <v>-11315891.805795103</v>
      </c>
      <c r="M57" s="36">
        <f ca="1">SUMIF('Monthly CF'!$D$3:$CJ$3,'Annual CF'!M$3,'Monthly CF'!$D58:$CJ58)</f>
        <v>-11111280.925162017</v>
      </c>
      <c r="N57" s="36">
        <f ca="1">SUMIF('Monthly CF'!$D$3:$CJ$3,'Annual CF'!N$3,'Monthly CF'!$D58:$CJ58)</f>
        <v>-10898333.881553758</v>
      </c>
      <c r="O57" s="36">
        <f ca="1">SUMIF('Monthly CF'!$D$3:$CJ$3,'Annual CF'!O$3,'Monthly CF'!$D58:$CJ58)</f>
        <v>-10676711.046828695</v>
      </c>
      <c r="P57" s="36">
        <f ca="1">SUMIF('Monthly CF'!$D$3:$CJ$3,'Annual CF'!P$3,'Monthly CF'!$D58:$CJ58)</f>
        <v>-10446058.955870673</v>
      </c>
      <c r="U57" s="152"/>
    </row>
    <row r="58" spans="2:21" ht="15.6" customHeight="1" x14ac:dyDescent="0.3">
      <c r="B58" s="27" t="s">
        <v>2</v>
      </c>
      <c r="C58" s="38">
        <f ca="1">SUM(C52:C57)</f>
        <v>388083977.00999999</v>
      </c>
      <c r="G58" s="27" t="s">
        <v>74</v>
      </c>
      <c r="H58" s="35">
        <f ca="1">SUM(I58:P58)</f>
        <v>-81690299.950724319</v>
      </c>
      <c r="I58" s="61">
        <f t="shared" ref="I58:K58" si="20">SUM(I56:I57)</f>
        <v>0</v>
      </c>
      <c r="J58" s="61">
        <f t="shared" si="20"/>
        <v>0</v>
      </c>
      <c r="K58" s="61">
        <f t="shared" si="20"/>
        <v>0</v>
      </c>
      <c r="L58" s="61">
        <f ca="1">SUM(L56:L57)</f>
        <v>-16338059.990144862</v>
      </c>
      <c r="M58" s="61">
        <f ca="1">SUM(M56:M57)</f>
        <v>-16338059.990144864</v>
      </c>
      <c r="N58" s="61">
        <f ca="1">SUM(N56:N57)</f>
        <v>-16338059.99014486</v>
      </c>
      <c r="O58" s="61">
        <f ca="1">SUM(O56:O57)</f>
        <v>-16338059.990144862</v>
      </c>
      <c r="P58" s="61">
        <f ca="1">SUM(P56:P57)</f>
        <v>-16338059.990144862</v>
      </c>
      <c r="Q58" s="109"/>
      <c r="R58" s="109"/>
      <c r="S58" s="109"/>
      <c r="U58" s="152"/>
    </row>
    <row r="59" spans="2:21" ht="15.6" customHeight="1" x14ac:dyDescent="0.3">
      <c r="G59" s="27"/>
      <c r="H59" s="48"/>
      <c r="U59" s="152"/>
    </row>
    <row r="60" spans="2:21" ht="15.6" customHeight="1" x14ac:dyDescent="0.3">
      <c r="G60" s="27" t="s">
        <v>75</v>
      </c>
      <c r="H60" s="35">
        <f ca="1">SUM(I60:P60)</f>
        <v>234352711.49661574</v>
      </c>
      <c r="I60" s="44">
        <f t="shared" ref="I60:O60" ca="1" si="21">SUM(I42,I54,I58)</f>
        <v>-44548247.430000007</v>
      </c>
      <c r="J60" s="44">
        <f t="shared" ca="1" si="21"/>
        <v>-12193814.250000015</v>
      </c>
      <c r="K60" s="44">
        <f t="shared" ca="1" si="21"/>
        <v>-14232719.57756263</v>
      </c>
      <c r="L60" s="44">
        <f t="shared" ca="1" si="21"/>
        <v>-20865820.422987051</v>
      </c>
      <c r="M60" s="44">
        <f t="shared" ca="1" si="21"/>
        <v>-4625961.6542011816</v>
      </c>
      <c r="N60" s="44">
        <f t="shared" ca="1" si="21"/>
        <v>7921543.3146724328</v>
      </c>
      <c r="O60" s="44">
        <f t="shared" ca="1" si="21"/>
        <v>8910173.8065105695</v>
      </c>
      <c r="P60" s="44">
        <f t="shared" ref="P60" ca="1" si="22">SUM(P42,P54,P58)</f>
        <v>313987557.71018362</v>
      </c>
      <c r="Q60" s="109"/>
      <c r="R60" s="109"/>
      <c r="S60" s="109"/>
      <c r="U60" s="152"/>
    </row>
    <row r="61" spans="2:21" ht="15.6" customHeight="1" x14ac:dyDescent="0.3">
      <c r="G61" s="215" t="s">
        <v>76</v>
      </c>
      <c r="H61" s="216">
        <f ca="1">XIRR(I60:P60,$I$5:$P$5)</f>
        <v>0.23509002327919012</v>
      </c>
      <c r="U61" s="152"/>
    </row>
    <row r="62" spans="2:21" ht="15.6" customHeight="1" x14ac:dyDescent="0.3">
      <c r="G62" s="215" t="s">
        <v>61</v>
      </c>
      <c r="H62" s="217">
        <f ca="1">SUM(I60:P60)</f>
        <v>234352711.49661574</v>
      </c>
      <c r="I62" s="37"/>
      <c r="U62" s="152"/>
    </row>
    <row r="63" spans="2:21" ht="15.6" customHeight="1" x14ac:dyDescent="0.3">
      <c r="G63" s="218" t="s">
        <v>62</v>
      </c>
      <c r="H63" s="219">
        <f ca="1">-SUM(L60:P60)/SUM(I60:K60)</f>
        <v>4.3019152344572325</v>
      </c>
      <c r="I63" s="20"/>
      <c r="U63" s="152"/>
    </row>
    <row r="64" spans="2:21" ht="15.6" customHeight="1" x14ac:dyDescent="0.3">
      <c r="G64" s="218" t="s">
        <v>77</v>
      </c>
      <c r="H64" s="217">
        <f ca="1">NPV(10%,J60:P60)+I60</f>
        <v>84840975.19839327</v>
      </c>
      <c r="I64" s="20"/>
      <c r="U64" s="152"/>
    </row>
    <row r="65" spans="1:21" ht="15.6" customHeight="1" x14ac:dyDescent="0.3">
      <c r="G65" s="34"/>
      <c r="H65" s="48"/>
      <c r="U65" s="152"/>
    </row>
    <row r="66" spans="1:21" ht="15.6" customHeight="1" x14ac:dyDescent="0.3">
      <c r="I66" s="49"/>
      <c r="J66" s="50"/>
      <c r="U66" s="152"/>
    </row>
    <row r="67" spans="1:21" ht="15.6" customHeight="1" x14ac:dyDescent="0.3">
      <c r="U67" s="152"/>
    </row>
    <row r="68" spans="1:21" ht="15.6" customHeight="1" x14ac:dyDescent="0.3">
      <c r="U68" s="152"/>
    </row>
    <row r="69" spans="1:21" ht="15.6" customHeight="1" x14ac:dyDescent="0.3">
      <c r="U69" s="152"/>
    </row>
    <row r="70" spans="1:21" ht="15.6" customHeight="1" x14ac:dyDescent="0.3">
      <c r="A70"/>
      <c r="F70" s="69"/>
      <c r="U70" s="152"/>
    </row>
    <row r="71" spans="1:21" ht="15.6" customHeight="1" x14ac:dyDescent="0.3">
      <c r="A71"/>
      <c r="F71" s="69"/>
      <c r="U71" s="152"/>
    </row>
    <row r="72" spans="1:21" ht="15.6" customHeight="1" x14ac:dyDescent="0.3">
      <c r="A72"/>
      <c r="F72" s="69"/>
      <c r="U72" s="152"/>
    </row>
    <row r="73" spans="1:21" ht="15.6" customHeight="1" x14ac:dyDescent="0.3">
      <c r="A73"/>
      <c r="F73" s="69"/>
      <c r="U73" s="152"/>
    </row>
    <row r="74" spans="1:21" ht="15.6" customHeight="1" x14ac:dyDescent="0.3">
      <c r="A74"/>
      <c r="F74" s="69"/>
      <c r="U74" s="152"/>
    </row>
    <row r="75" spans="1:21" ht="15.6" customHeight="1" x14ac:dyDescent="0.3">
      <c r="A75"/>
      <c r="F75" s="69"/>
      <c r="U75" s="152"/>
    </row>
    <row r="76" spans="1:21" ht="15.6" customHeight="1" x14ac:dyDescent="0.3">
      <c r="A76"/>
      <c r="F76" s="69"/>
      <c r="U76" s="152"/>
    </row>
    <row r="77" spans="1:21" ht="15.6" customHeight="1" x14ac:dyDescent="0.3">
      <c r="A77"/>
      <c r="F77" s="69"/>
      <c r="U77" s="152"/>
    </row>
    <row r="78" spans="1:21" ht="15.6" customHeight="1" x14ac:dyDescent="0.3">
      <c r="F78" s="69"/>
      <c r="G78"/>
      <c r="H78"/>
      <c r="I78"/>
      <c r="J78"/>
      <c r="K78"/>
      <c r="L78"/>
      <c r="U78" s="152"/>
    </row>
    <row r="79" spans="1:21" ht="15.6" customHeight="1" x14ac:dyDescent="0.3">
      <c r="F79" s="69"/>
      <c r="G79"/>
      <c r="H79"/>
      <c r="I79"/>
      <c r="J79"/>
      <c r="K79"/>
      <c r="L79"/>
      <c r="U79" s="152"/>
    </row>
    <row r="80" spans="1:21" ht="15.6" customHeight="1" x14ac:dyDescent="0.3">
      <c r="F80" s="69"/>
      <c r="G80"/>
      <c r="H80"/>
      <c r="I80"/>
      <c r="J80"/>
      <c r="K80"/>
      <c r="L80"/>
      <c r="U80" s="152"/>
    </row>
    <row r="81" spans="2:21" ht="15.6" customHeight="1" x14ac:dyDescent="0.3">
      <c r="F81" s="98"/>
      <c r="G81"/>
      <c r="H81"/>
      <c r="I81"/>
      <c r="J81"/>
      <c r="K81"/>
      <c r="L81"/>
      <c r="U81" s="152"/>
    </row>
    <row r="82" spans="2:21" ht="15.6" customHeight="1" x14ac:dyDescent="0.3">
      <c r="F82" s="99"/>
      <c r="G82"/>
      <c r="H82"/>
      <c r="I82"/>
      <c r="J82"/>
      <c r="K82"/>
      <c r="L82"/>
      <c r="U82" s="152"/>
    </row>
    <row r="83" spans="2:21" ht="15.6" customHeight="1" x14ac:dyDescent="0.3">
      <c r="F83" s="98"/>
      <c r="G83"/>
      <c r="H83"/>
      <c r="I83"/>
      <c r="J83"/>
      <c r="K83"/>
      <c r="L83"/>
      <c r="U83" s="152"/>
    </row>
    <row r="84" spans="2:21" ht="15.6" customHeight="1" x14ac:dyDescent="0.3">
      <c r="F84" s="98"/>
      <c r="G84"/>
      <c r="H84"/>
      <c r="I84"/>
      <c r="J84"/>
      <c r="K84"/>
      <c r="L84"/>
      <c r="U84" s="152"/>
    </row>
    <row r="85" spans="2:21" ht="15.6" customHeight="1" x14ac:dyDescent="0.3">
      <c r="F85" s="98"/>
      <c r="G85"/>
      <c r="H85"/>
      <c r="I85"/>
      <c r="J85"/>
      <c r="K85"/>
      <c r="L85"/>
      <c r="U85" s="152"/>
    </row>
    <row r="86" spans="2:21" ht="15.6" customHeight="1" x14ac:dyDescent="0.3">
      <c r="F86" s="99"/>
      <c r="G86"/>
      <c r="H86"/>
      <c r="I86"/>
      <c r="J86"/>
      <c r="K86"/>
      <c r="L86"/>
      <c r="U86" s="152"/>
    </row>
    <row r="87" spans="2:21" ht="15.6" customHeight="1" x14ac:dyDescent="0.25">
      <c r="F87" s="93"/>
      <c r="G87" s="93"/>
      <c r="H87" s="100"/>
      <c r="I87" s="99"/>
      <c r="J87" s="93"/>
      <c r="K87" s="100"/>
      <c r="L87" s="99"/>
      <c r="U87" s="152"/>
    </row>
    <row r="88" spans="2:21" ht="15.6" customHeight="1" x14ac:dyDescent="0.25">
      <c r="F88" s="99"/>
      <c r="G88" s="93"/>
      <c r="H88" s="97"/>
      <c r="I88" s="98"/>
      <c r="J88" s="93"/>
      <c r="K88" s="97"/>
      <c r="L88" s="98"/>
      <c r="U88" s="152"/>
    </row>
    <row r="89" spans="2:21" ht="15.6" customHeight="1" x14ac:dyDescent="0.25">
      <c r="F89" s="99"/>
      <c r="G89" s="93"/>
      <c r="H89" s="100"/>
      <c r="I89" s="99"/>
      <c r="J89" s="93"/>
      <c r="K89" s="100"/>
      <c r="L89" s="99"/>
      <c r="U89" s="152"/>
    </row>
    <row r="90" spans="2:21" ht="15.6" customHeight="1" x14ac:dyDescent="0.3">
      <c r="B90"/>
      <c r="C90"/>
      <c r="D90"/>
      <c r="E90" s="29"/>
      <c r="F90" s="98"/>
      <c r="G90" s="93"/>
      <c r="H90" s="97"/>
      <c r="I90" s="98"/>
      <c r="J90" s="93"/>
      <c r="K90" s="97"/>
      <c r="L90" s="98"/>
      <c r="U90" s="152"/>
    </row>
    <row r="91" spans="2:21" ht="15.6" customHeight="1" x14ac:dyDescent="0.3">
      <c r="B91"/>
      <c r="C91"/>
      <c r="D91"/>
      <c r="E91" s="29"/>
      <c r="F91" s="99"/>
      <c r="G91" s="93"/>
      <c r="H91" s="97"/>
      <c r="I91" s="98"/>
      <c r="J91" s="93"/>
      <c r="K91" s="97"/>
      <c r="L91" s="98"/>
      <c r="U91" s="152"/>
    </row>
    <row r="92" spans="2:21" ht="15.6" customHeight="1" x14ac:dyDescent="0.25">
      <c r="E92" s="29"/>
      <c r="F92" s="99"/>
      <c r="G92" s="93"/>
      <c r="H92" s="97"/>
      <c r="I92" s="98"/>
      <c r="J92" s="93"/>
      <c r="K92" s="97"/>
      <c r="L92" s="98"/>
      <c r="U92" s="152"/>
    </row>
    <row r="93" spans="2:21" ht="15.6" customHeight="1" x14ac:dyDescent="0.25">
      <c r="E93" s="29"/>
      <c r="F93" s="99"/>
      <c r="G93" s="93"/>
      <c r="H93" s="100"/>
      <c r="I93" s="99"/>
      <c r="J93" s="93"/>
      <c r="K93" s="100"/>
      <c r="L93" s="99"/>
      <c r="U93" s="152"/>
    </row>
    <row r="94" spans="2:21" ht="15.6" customHeight="1" x14ac:dyDescent="0.25">
      <c r="E94" s="39"/>
      <c r="F94" s="93"/>
      <c r="G94" s="93"/>
      <c r="H94" s="97"/>
      <c r="I94" s="93"/>
      <c r="J94" s="93"/>
      <c r="K94" s="97"/>
      <c r="L94" s="93"/>
      <c r="U94" s="152"/>
    </row>
    <row r="95" spans="2:21" ht="15.6" customHeight="1" x14ac:dyDescent="0.25">
      <c r="E95" s="39"/>
      <c r="F95" s="99"/>
      <c r="G95" s="93"/>
      <c r="H95" s="232"/>
      <c r="I95" s="99"/>
      <c r="J95" s="93"/>
      <c r="K95" s="232"/>
      <c r="L95" s="99"/>
      <c r="U95" s="152"/>
    </row>
    <row r="96" spans="2:21" ht="15.6" customHeight="1" x14ac:dyDescent="0.25">
      <c r="E96" s="29"/>
      <c r="F96" s="93"/>
      <c r="G96" s="93"/>
      <c r="H96" s="100"/>
      <c r="I96" s="99"/>
      <c r="J96" s="93"/>
      <c r="K96" s="100"/>
      <c r="L96" s="99"/>
      <c r="U96" s="152"/>
    </row>
    <row r="97" spans="2:12" ht="15.6" customHeight="1" x14ac:dyDescent="0.25">
      <c r="E97" s="42"/>
      <c r="F97" s="93"/>
      <c r="G97" s="93"/>
      <c r="H97" s="97"/>
      <c r="I97" s="98"/>
      <c r="J97" s="93"/>
      <c r="K97" s="97"/>
      <c r="L97" s="98"/>
    </row>
    <row r="98" spans="2:12" ht="15.6" customHeight="1" x14ac:dyDescent="0.25">
      <c r="B98" s="69"/>
      <c r="C98" s="69"/>
      <c r="D98" s="69"/>
      <c r="F98" s="99"/>
      <c r="G98" s="93"/>
      <c r="H98" s="100"/>
      <c r="I98" s="99"/>
      <c r="J98" s="93"/>
      <c r="K98" s="100"/>
      <c r="L98" s="99"/>
    </row>
    <row r="99" spans="2:12" ht="15.6" customHeight="1" x14ac:dyDescent="0.25">
      <c r="B99" s="69"/>
      <c r="C99" s="69"/>
      <c r="D99" s="69"/>
      <c r="E99" s="41"/>
      <c r="F99" s="98"/>
      <c r="G99" s="93"/>
      <c r="H99" s="100"/>
      <c r="I99" s="99"/>
      <c r="J99" s="93"/>
      <c r="K99" s="100"/>
      <c r="L99" s="99"/>
    </row>
    <row r="100" spans="2:12" ht="15.6" customHeight="1" x14ac:dyDescent="0.25">
      <c r="B100" s="69"/>
      <c r="C100" s="69"/>
      <c r="D100" s="69"/>
      <c r="E100" s="41"/>
      <c r="F100" s="98"/>
      <c r="G100" s="93"/>
      <c r="H100" s="101"/>
      <c r="I100" s="99"/>
      <c r="J100" s="93"/>
      <c r="K100" s="102"/>
      <c r="L100" s="99"/>
    </row>
    <row r="101" spans="2:12" ht="15.6" customHeight="1" x14ac:dyDescent="0.25">
      <c r="B101" s="69"/>
      <c r="C101" s="69"/>
      <c r="D101" s="69"/>
      <c r="F101" s="98"/>
      <c r="G101" s="93"/>
      <c r="H101" s="101"/>
      <c r="I101" s="93"/>
      <c r="J101" s="93"/>
      <c r="K101" s="101"/>
      <c r="L101" s="93"/>
    </row>
    <row r="102" spans="2:12" ht="15.6" customHeight="1" x14ac:dyDescent="0.25">
      <c r="B102" s="69"/>
      <c r="C102" s="69"/>
      <c r="D102" s="69"/>
      <c r="F102" s="99"/>
      <c r="G102" s="93"/>
      <c r="H102" s="100"/>
      <c r="I102" s="99"/>
      <c r="J102" s="93"/>
      <c r="K102" s="100"/>
      <c r="L102" s="99"/>
    </row>
    <row r="103" spans="2:12" ht="15.6" customHeight="1" x14ac:dyDescent="0.25">
      <c r="B103" s="69"/>
      <c r="C103" s="69"/>
      <c r="D103" s="69"/>
      <c r="F103" s="93"/>
      <c r="G103" s="93"/>
      <c r="H103" s="93"/>
      <c r="I103" s="93"/>
      <c r="J103" s="93"/>
      <c r="K103" s="93"/>
      <c r="L103" s="93"/>
    </row>
    <row r="104" spans="2:12" ht="15.6" customHeight="1" x14ac:dyDescent="0.25">
      <c r="B104" s="69"/>
      <c r="C104" s="69"/>
      <c r="D104" s="69"/>
      <c r="E104" s="39"/>
      <c r="F104" s="94"/>
      <c r="G104" s="93"/>
      <c r="H104" s="93"/>
      <c r="I104" s="93"/>
      <c r="J104" s="93"/>
      <c r="K104" s="102"/>
      <c r="L104" s="93"/>
    </row>
    <row r="105" spans="2:12" ht="15.6" customHeight="1" x14ac:dyDescent="0.25">
      <c r="B105" s="69"/>
      <c r="C105" s="69"/>
      <c r="D105" s="69"/>
      <c r="F105" s="103"/>
      <c r="G105" s="93"/>
      <c r="H105" s="100"/>
      <c r="I105" s="99"/>
      <c r="J105" s="93"/>
      <c r="K105" s="100"/>
      <c r="L105" s="99"/>
    </row>
    <row r="106" spans="2:12" ht="15.6" customHeight="1" x14ac:dyDescent="0.25">
      <c r="B106" s="69"/>
      <c r="C106" s="69"/>
      <c r="D106" s="69"/>
      <c r="E106" s="69"/>
      <c r="F106" s="102"/>
      <c r="G106" s="93"/>
      <c r="H106" s="233"/>
      <c r="I106" s="98"/>
      <c r="J106" s="93"/>
      <c r="K106" s="233"/>
      <c r="L106" s="98"/>
    </row>
    <row r="107" spans="2:12" ht="15.6" customHeight="1" x14ac:dyDescent="0.25">
      <c r="B107" s="69"/>
      <c r="C107" s="69"/>
      <c r="D107" s="69"/>
      <c r="E107" s="69"/>
      <c r="F107" s="103"/>
      <c r="G107" s="93"/>
      <c r="H107" s="233"/>
      <c r="I107" s="98"/>
      <c r="J107" s="93"/>
      <c r="K107" s="233"/>
      <c r="L107" s="98"/>
    </row>
    <row r="108" spans="2:12" ht="15.6" customHeight="1" x14ac:dyDescent="0.25">
      <c r="B108" s="69"/>
      <c r="C108" s="69"/>
      <c r="D108" s="69"/>
      <c r="E108" s="69"/>
      <c r="G108" s="93"/>
      <c r="H108" s="233"/>
      <c r="I108" s="98"/>
      <c r="J108" s="93"/>
      <c r="K108" s="233"/>
      <c r="L108" s="98"/>
    </row>
    <row r="109" spans="2:12" ht="15.6" customHeight="1" x14ac:dyDescent="0.25">
      <c r="E109" s="69"/>
      <c r="G109" s="93"/>
      <c r="H109" s="234"/>
      <c r="I109" s="99"/>
      <c r="J109" s="93"/>
      <c r="K109" s="100"/>
      <c r="L109" s="99"/>
    </row>
    <row r="110" spans="2:12" ht="15.6" customHeight="1" x14ac:dyDescent="0.25">
      <c r="E110" s="69"/>
      <c r="G110" s="93"/>
      <c r="H110" s="93"/>
      <c r="I110" s="93"/>
      <c r="J110" s="93"/>
      <c r="K110" s="93"/>
      <c r="L110" s="93"/>
    </row>
    <row r="111" spans="2:12" ht="15.6" customHeight="1" x14ac:dyDescent="0.25">
      <c r="E111" s="69"/>
      <c r="G111" s="93"/>
      <c r="H111" s="93"/>
      <c r="I111" s="93"/>
      <c r="J111" s="93"/>
    </row>
    <row r="112" spans="2:12" ht="15.6" customHeight="1" x14ac:dyDescent="0.25">
      <c r="E112" s="69"/>
      <c r="G112" s="93"/>
      <c r="H112" s="93"/>
      <c r="I112" s="93"/>
      <c r="J112" s="102"/>
    </row>
    <row r="113" spans="2:10" ht="15.6" customHeight="1" x14ac:dyDescent="0.25">
      <c r="E113" s="69"/>
      <c r="G113" s="93"/>
      <c r="H113" s="93"/>
      <c r="I113" s="103"/>
      <c r="J113" s="103"/>
    </row>
    <row r="114" spans="2:10" ht="15.6" customHeight="1" x14ac:dyDescent="0.25">
      <c r="E114" s="69"/>
      <c r="G114" s="93"/>
      <c r="H114" s="93"/>
      <c r="I114" s="103"/>
      <c r="J114" s="103"/>
    </row>
    <row r="115" spans="2:10" ht="15.6" customHeight="1" x14ac:dyDescent="0.25">
      <c r="E115" s="69"/>
    </row>
    <row r="116" spans="2:10" ht="15.6" customHeight="1" x14ac:dyDescent="0.25">
      <c r="E116" s="69"/>
    </row>
    <row r="117" spans="2:10" ht="15.6" customHeight="1" x14ac:dyDescent="0.3"/>
    <row r="118" spans="2:10" ht="15.6" customHeight="1" x14ac:dyDescent="0.3"/>
    <row r="119" spans="2:10" ht="15.6" customHeight="1" x14ac:dyDescent="0.25">
      <c r="B119" s="93"/>
      <c r="C119" s="93"/>
      <c r="D119" s="93"/>
    </row>
    <row r="120" spans="2:10" ht="15.6" customHeight="1" x14ac:dyDescent="0.3"/>
    <row r="121" spans="2:10" ht="15.6" customHeight="1" x14ac:dyDescent="0.3"/>
    <row r="122" spans="2:10" ht="15.6" customHeight="1" x14ac:dyDescent="0.3"/>
    <row r="123" spans="2:10" ht="15.6" customHeight="1" x14ac:dyDescent="0.25">
      <c r="B123" s="69"/>
      <c r="C123" s="69"/>
      <c r="D123" s="69"/>
    </row>
    <row r="124" spans="2:10" ht="15.6" customHeight="1" x14ac:dyDescent="0.25">
      <c r="B124" s="69"/>
      <c r="C124" s="69"/>
      <c r="D124" s="69"/>
    </row>
    <row r="125" spans="2:10" ht="15.6" customHeight="1" x14ac:dyDescent="0.25">
      <c r="B125" s="69"/>
      <c r="C125" s="69"/>
      <c r="D125" s="69"/>
    </row>
    <row r="126" spans="2:10" ht="15.6" customHeight="1" x14ac:dyDescent="0.25">
      <c r="B126" s="69"/>
      <c r="C126" s="69"/>
      <c r="D126" s="69"/>
    </row>
    <row r="127" spans="2:10" ht="15.6" customHeight="1" x14ac:dyDescent="0.25">
      <c r="B127" s="69"/>
      <c r="C127" s="69"/>
      <c r="D127" s="69"/>
      <c r="E127" s="100"/>
    </row>
    <row r="128" spans="2:10" ht="15.6" customHeight="1" x14ac:dyDescent="0.25">
      <c r="B128" s="69"/>
      <c r="C128" s="69"/>
      <c r="D128" s="69"/>
    </row>
    <row r="129" spans="2:5" ht="15.6" customHeight="1" x14ac:dyDescent="0.25">
      <c r="B129" s="69"/>
      <c r="C129" s="69"/>
      <c r="D129" s="69"/>
    </row>
    <row r="130" spans="2:5" ht="15.6" customHeight="1" x14ac:dyDescent="0.25">
      <c r="B130" s="69"/>
      <c r="C130" s="69"/>
      <c r="D130" s="69"/>
    </row>
    <row r="131" spans="2:5" ht="15.6" customHeight="1" x14ac:dyDescent="0.25">
      <c r="B131" s="69"/>
      <c r="C131" s="69"/>
      <c r="D131" s="69"/>
      <c r="E131" s="69"/>
    </row>
    <row r="132" spans="2:5" ht="15.6" customHeight="1" x14ac:dyDescent="0.25">
      <c r="B132" s="69"/>
      <c r="C132" s="69"/>
      <c r="D132" s="69"/>
      <c r="E132" s="69"/>
    </row>
    <row r="133" spans="2:5" ht="15.6" customHeight="1" x14ac:dyDescent="0.25">
      <c r="B133" s="69"/>
      <c r="C133" s="69"/>
      <c r="D133" s="69"/>
      <c r="E133" s="69"/>
    </row>
    <row r="134" spans="2:5" ht="15.6" customHeight="1" x14ac:dyDescent="0.25">
      <c r="B134" s="69"/>
      <c r="C134" s="69"/>
      <c r="D134" s="69"/>
      <c r="E134" s="69"/>
    </row>
    <row r="135" spans="2:5" ht="15.6" customHeight="1" x14ac:dyDescent="0.25">
      <c r="B135" s="69"/>
      <c r="C135" s="69"/>
      <c r="D135" s="69"/>
      <c r="E135" s="69"/>
    </row>
    <row r="136" spans="2:5" ht="15.6" customHeight="1" x14ac:dyDescent="0.25">
      <c r="E136" s="69"/>
    </row>
    <row r="137" spans="2:5" ht="15.6" customHeight="1" x14ac:dyDescent="0.25">
      <c r="E137" s="69"/>
    </row>
    <row r="138" spans="2:5" ht="15.6" customHeight="1" x14ac:dyDescent="0.25">
      <c r="E138" s="69"/>
    </row>
    <row r="139" spans="2:5" ht="15.6" customHeight="1" x14ac:dyDescent="0.25">
      <c r="E139" s="69"/>
    </row>
    <row r="140" spans="2:5" ht="15.6" customHeight="1" x14ac:dyDescent="0.25">
      <c r="E140" s="69"/>
    </row>
    <row r="141" spans="2:5" ht="15.6" customHeight="1" x14ac:dyDescent="0.25">
      <c r="E141" s="69"/>
    </row>
    <row r="142" spans="2:5" ht="15.6" customHeight="1" x14ac:dyDescent="0.25">
      <c r="E142" s="69"/>
    </row>
    <row r="143" spans="2:5" ht="15.6" customHeight="1" x14ac:dyDescent="0.25">
      <c r="E143" s="69"/>
    </row>
    <row r="144" spans="2:5" ht="15.6" customHeight="1" x14ac:dyDescent="0.3"/>
    <row r="145" ht="15.6" customHeight="1" x14ac:dyDescent="0.3"/>
    <row r="146" ht="15.6" customHeight="1" x14ac:dyDescent="0.3"/>
    <row r="147" ht="15.6" customHeight="1" x14ac:dyDescent="0.3"/>
    <row r="148" ht="15.6" customHeight="1" x14ac:dyDescent="0.3"/>
    <row r="149" ht="15.6" customHeight="1" x14ac:dyDescent="0.3"/>
    <row r="150" ht="15.6" customHeight="1" x14ac:dyDescent="0.3"/>
    <row r="151" ht="15.6" customHeight="1" x14ac:dyDescent="0.3"/>
    <row r="152" ht="15.6" customHeight="1" x14ac:dyDescent="0.3"/>
    <row r="153" ht="15.6" customHeight="1" x14ac:dyDescent="0.3"/>
    <row r="154" ht="15.6" customHeight="1" x14ac:dyDescent="0.3"/>
    <row r="155" ht="15.6" customHeight="1" x14ac:dyDescent="0.3"/>
    <row r="156" ht="15.6" customHeight="1" x14ac:dyDescent="0.3"/>
    <row r="157" ht="15.6" customHeight="1" x14ac:dyDescent="0.3"/>
    <row r="158" ht="15.6" customHeight="1" x14ac:dyDescent="0.3"/>
    <row r="159" ht="15.6" customHeight="1" x14ac:dyDescent="0.3"/>
    <row r="160" ht="15.6" customHeight="1" x14ac:dyDescent="0.3"/>
    <row r="161" ht="15.6" customHeight="1" x14ac:dyDescent="0.3"/>
    <row r="162" ht="15.6" customHeight="1" x14ac:dyDescent="0.3"/>
    <row r="163" ht="15.6" customHeight="1" x14ac:dyDescent="0.3"/>
    <row r="164" ht="15.6" customHeight="1" x14ac:dyDescent="0.3"/>
    <row r="165" ht="15.6" customHeight="1" x14ac:dyDescent="0.3"/>
    <row r="166" ht="15.6" customHeight="1" x14ac:dyDescent="0.3"/>
    <row r="167" ht="15.6" customHeight="1" x14ac:dyDescent="0.3"/>
    <row r="168" ht="15.6" customHeight="1" x14ac:dyDescent="0.3"/>
    <row r="169" ht="15.6" customHeight="1" x14ac:dyDescent="0.3"/>
    <row r="170" ht="15.6" customHeight="1" x14ac:dyDescent="0.3"/>
    <row r="171" ht="15.6" customHeight="1" x14ac:dyDescent="0.3"/>
    <row r="172" ht="15.6" customHeight="1" x14ac:dyDescent="0.3"/>
    <row r="173" ht="15.6" customHeight="1" x14ac:dyDescent="0.3"/>
    <row r="174" ht="15.6" customHeight="1" x14ac:dyDescent="0.3"/>
    <row r="175" ht="15.6" customHeight="1" x14ac:dyDescent="0.3"/>
    <row r="176" ht="15.6" customHeight="1" x14ac:dyDescent="0.3"/>
    <row r="177" ht="15.6" customHeight="1" x14ac:dyDescent="0.3"/>
    <row r="178" ht="15.6" customHeight="1" x14ac:dyDescent="0.3"/>
    <row r="179" ht="15.6" customHeight="1" x14ac:dyDescent="0.3"/>
    <row r="180" ht="15.6" customHeight="1" x14ac:dyDescent="0.3"/>
    <row r="181" ht="15.6" customHeight="1" x14ac:dyDescent="0.3"/>
    <row r="182" ht="15.6" customHeight="1" x14ac:dyDescent="0.3"/>
    <row r="183" ht="15.6" customHeight="1" x14ac:dyDescent="0.3"/>
    <row r="184" ht="15.6" customHeight="1" x14ac:dyDescent="0.3"/>
    <row r="185" ht="15.6" customHeight="1" x14ac:dyDescent="0.3"/>
    <row r="186" ht="15.6" customHeight="1" x14ac:dyDescent="0.3"/>
    <row r="187" ht="15.6" customHeight="1" x14ac:dyDescent="0.3"/>
    <row r="188" ht="15.6" customHeight="1" x14ac:dyDescent="0.3"/>
    <row r="189" ht="15.6" customHeight="1" x14ac:dyDescent="0.3"/>
    <row r="190" ht="15.6" customHeight="1" x14ac:dyDescent="0.3"/>
    <row r="191" ht="15.6" customHeight="1" x14ac:dyDescent="0.3"/>
    <row r="192" ht="15.6" customHeight="1" x14ac:dyDescent="0.3"/>
    <row r="193" ht="15.6" customHeight="1" x14ac:dyDescent="0.3"/>
    <row r="194" ht="15.6" customHeight="1" x14ac:dyDescent="0.3"/>
    <row r="195" ht="15.6" customHeight="1" x14ac:dyDescent="0.3"/>
    <row r="196" ht="15.6" customHeight="1" x14ac:dyDescent="0.3"/>
    <row r="197" ht="15.6" customHeight="1" x14ac:dyDescent="0.3"/>
    <row r="198" ht="15.6" customHeight="1" x14ac:dyDescent="0.3"/>
    <row r="199" ht="15.6" customHeight="1" x14ac:dyDescent="0.3"/>
    <row r="200" ht="15.6" customHeight="1" x14ac:dyDescent="0.3"/>
    <row r="201" ht="15.6" customHeight="1" x14ac:dyDescent="0.3"/>
    <row r="202" ht="15.6" customHeight="1" x14ac:dyDescent="0.3"/>
    <row r="203" ht="15.6" customHeight="1" x14ac:dyDescent="0.3"/>
    <row r="204" ht="15.6" customHeight="1" x14ac:dyDescent="0.3"/>
    <row r="205" ht="15.6" customHeight="1" x14ac:dyDescent="0.3"/>
    <row r="206" ht="15.6" customHeight="1" x14ac:dyDescent="0.3"/>
    <row r="207" ht="15.6" customHeight="1" x14ac:dyDescent="0.3"/>
    <row r="208" ht="15.6" customHeight="1" x14ac:dyDescent="0.3"/>
    <row r="209" ht="15.6" customHeight="1" x14ac:dyDescent="0.3"/>
    <row r="210" ht="15.6" customHeight="1" x14ac:dyDescent="0.3"/>
    <row r="211" ht="15.6" customHeight="1" x14ac:dyDescent="0.3"/>
    <row r="212" ht="15.6" customHeight="1" x14ac:dyDescent="0.3"/>
    <row r="213" ht="15.6" customHeight="1" x14ac:dyDescent="0.3"/>
    <row r="214" ht="15.6" customHeight="1" x14ac:dyDescent="0.3"/>
    <row r="215" ht="15.6" customHeight="1" x14ac:dyDescent="0.3"/>
    <row r="216" ht="15.6" customHeight="1" x14ac:dyDescent="0.3"/>
    <row r="217" ht="15.6" customHeight="1" x14ac:dyDescent="0.3"/>
    <row r="218" ht="15.6" customHeight="1" x14ac:dyDescent="0.3"/>
    <row r="219" ht="15.6" customHeight="1" x14ac:dyDescent="0.3"/>
    <row r="220" ht="15.6" customHeight="1" x14ac:dyDescent="0.3"/>
    <row r="221" ht="15.6" customHeight="1" x14ac:dyDescent="0.3"/>
    <row r="222" ht="15.6" customHeight="1" x14ac:dyDescent="0.3"/>
    <row r="223" ht="15.6" customHeight="1" x14ac:dyDescent="0.3"/>
    <row r="224" ht="15.6" customHeight="1" x14ac:dyDescent="0.3"/>
    <row r="225" ht="15.6" customHeight="1" x14ac:dyDescent="0.3"/>
    <row r="226" ht="15.6" customHeight="1" x14ac:dyDescent="0.3"/>
    <row r="227" ht="15.6" customHeight="1" x14ac:dyDescent="0.3"/>
    <row r="228" ht="15.6" customHeight="1" x14ac:dyDescent="0.3"/>
    <row r="229" ht="15.6" customHeight="1" x14ac:dyDescent="0.3"/>
    <row r="230" ht="15.6" customHeight="1" x14ac:dyDescent="0.3"/>
    <row r="231" ht="15.6" customHeight="1" x14ac:dyDescent="0.3"/>
    <row r="232" ht="15.6" customHeight="1" x14ac:dyDescent="0.3"/>
    <row r="233" ht="15.6" customHeight="1" x14ac:dyDescent="0.3"/>
    <row r="234" ht="15.6" customHeight="1" x14ac:dyDescent="0.3"/>
    <row r="235" ht="15.6" customHeight="1" x14ac:dyDescent="0.3"/>
    <row r="236" ht="15.6" customHeight="1" x14ac:dyDescent="0.3"/>
    <row r="237" ht="15.6" customHeight="1" x14ac:dyDescent="0.3"/>
    <row r="238" ht="15.6" customHeight="1" x14ac:dyDescent="0.3"/>
    <row r="239" ht="15.6" customHeight="1" x14ac:dyDescent="0.3"/>
    <row r="240" ht="15.6" customHeight="1" x14ac:dyDescent="0.3"/>
    <row r="241" ht="15.6" customHeight="1" x14ac:dyDescent="0.3"/>
    <row r="242" ht="15.6" customHeight="1" x14ac:dyDescent="0.3"/>
    <row r="243" ht="15.6" customHeight="1" x14ac:dyDescent="0.3"/>
    <row r="244" ht="15.6" customHeight="1" x14ac:dyDescent="0.3"/>
    <row r="245" ht="15.6" customHeight="1" x14ac:dyDescent="0.3"/>
    <row r="246" ht="15.6" customHeight="1" x14ac:dyDescent="0.3"/>
    <row r="247" ht="15.6" customHeight="1" x14ac:dyDescent="0.3"/>
    <row r="248" ht="15.6" customHeight="1" x14ac:dyDescent="0.3"/>
    <row r="249" ht="15.6" customHeight="1" x14ac:dyDescent="0.3"/>
    <row r="250" ht="15.6" customHeight="1" x14ac:dyDescent="0.3"/>
    <row r="251" ht="15.6" customHeight="1" x14ac:dyDescent="0.3"/>
    <row r="252" ht="15.6" customHeight="1" x14ac:dyDescent="0.3"/>
    <row r="253" ht="15.6" customHeight="1" x14ac:dyDescent="0.3"/>
    <row r="254" ht="15.6" customHeight="1" x14ac:dyDescent="0.3"/>
    <row r="255" ht="15.6" customHeight="1" x14ac:dyDescent="0.3"/>
    <row r="256" ht="15.6" customHeight="1" x14ac:dyDescent="0.3"/>
    <row r="257" ht="15.6" customHeight="1" x14ac:dyDescent="0.3"/>
    <row r="258" ht="15.6" customHeight="1" x14ac:dyDescent="0.3"/>
    <row r="259" ht="15.6" customHeight="1" x14ac:dyDescent="0.3"/>
    <row r="260" ht="15.6" customHeight="1" x14ac:dyDescent="0.3"/>
    <row r="261" ht="15.6" customHeight="1" x14ac:dyDescent="0.3"/>
    <row r="262" ht="15.6" customHeight="1" x14ac:dyDescent="0.3"/>
    <row r="263" ht="15.6" customHeight="1" x14ac:dyDescent="0.3"/>
    <row r="264" ht="15.6" customHeight="1" x14ac:dyDescent="0.3"/>
    <row r="265" ht="15.6" customHeight="1" x14ac:dyDescent="0.3"/>
    <row r="266" ht="15.6" customHeight="1" x14ac:dyDescent="0.3"/>
    <row r="267" ht="15.6" customHeight="1" x14ac:dyDescent="0.3"/>
    <row r="268" ht="15.6" customHeight="1" x14ac:dyDescent="0.3"/>
    <row r="269" ht="15.6" customHeight="1" x14ac:dyDescent="0.3"/>
    <row r="270" ht="15.6" customHeight="1" x14ac:dyDescent="0.3"/>
    <row r="271" ht="15.6" customHeight="1" x14ac:dyDescent="0.3"/>
    <row r="272" ht="15.6" customHeight="1" x14ac:dyDescent="0.3"/>
    <row r="273" ht="15.6" customHeight="1" x14ac:dyDescent="0.3"/>
    <row r="274" ht="15.6" customHeight="1" x14ac:dyDescent="0.3"/>
    <row r="275" ht="15.6" customHeight="1" x14ac:dyDescent="0.3"/>
    <row r="276" ht="15.6" customHeight="1" x14ac:dyDescent="0.3"/>
    <row r="277" ht="15.6" customHeight="1" x14ac:dyDescent="0.3"/>
    <row r="278" ht="15.6" customHeight="1" x14ac:dyDescent="0.3"/>
    <row r="279" ht="15.6" customHeight="1" x14ac:dyDescent="0.3"/>
    <row r="280" ht="15.6" customHeight="1" x14ac:dyDescent="0.3"/>
    <row r="281" ht="15.6" customHeight="1" x14ac:dyDescent="0.3"/>
    <row r="282" ht="15.6" customHeight="1" x14ac:dyDescent="0.3"/>
    <row r="283" ht="15.6" customHeight="1" x14ac:dyDescent="0.3"/>
    <row r="284" ht="15.6" customHeight="1" x14ac:dyDescent="0.3"/>
    <row r="285" ht="15.6" customHeight="1" x14ac:dyDescent="0.3"/>
    <row r="286" ht="15.6" customHeight="1" x14ac:dyDescent="0.3"/>
    <row r="287" ht="15.6" customHeight="1" x14ac:dyDescent="0.3"/>
    <row r="288" ht="15.6" customHeight="1" x14ac:dyDescent="0.3"/>
    <row r="289" ht="15.6" customHeight="1" x14ac:dyDescent="0.3"/>
    <row r="290" ht="15.6" customHeight="1" x14ac:dyDescent="0.3"/>
    <row r="291" ht="15.6" customHeight="1" x14ac:dyDescent="0.3"/>
    <row r="292" ht="15.6" customHeight="1" x14ac:dyDescent="0.3"/>
    <row r="293" ht="15.6" customHeight="1" x14ac:dyDescent="0.3"/>
    <row r="294" ht="15.6" customHeight="1" x14ac:dyDescent="0.3"/>
    <row r="295" ht="15.6" customHeight="1" x14ac:dyDescent="0.3"/>
    <row r="296" ht="15.6" customHeight="1" x14ac:dyDescent="0.3"/>
    <row r="297" ht="15.6" customHeight="1" x14ac:dyDescent="0.3"/>
    <row r="298" ht="15.6" customHeight="1" x14ac:dyDescent="0.3"/>
    <row r="299" ht="15.6" customHeight="1" x14ac:dyDescent="0.3"/>
    <row r="300" ht="15.6" customHeight="1" x14ac:dyDescent="0.3"/>
    <row r="301" ht="15.6" customHeight="1" x14ac:dyDescent="0.3"/>
    <row r="302" ht="15.6" customHeight="1" x14ac:dyDescent="0.3"/>
    <row r="303" ht="15.6" customHeight="1" x14ac:dyDescent="0.3"/>
    <row r="304" ht="15.6" customHeight="1" x14ac:dyDescent="0.3"/>
    <row r="305" ht="15.6" customHeight="1" x14ac:dyDescent="0.3"/>
    <row r="306" ht="15.6" customHeight="1" x14ac:dyDescent="0.3"/>
    <row r="307" ht="15.6" customHeight="1" x14ac:dyDescent="0.3"/>
    <row r="308" ht="15.6" customHeight="1" x14ac:dyDescent="0.3"/>
    <row r="309" ht="15.6" customHeight="1" x14ac:dyDescent="0.3"/>
    <row r="310" ht="15.6" customHeight="1" x14ac:dyDescent="0.3"/>
    <row r="311" ht="15.6" customHeight="1" x14ac:dyDescent="0.3"/>
    <row r="312" ht="15.6" customHeight="1" x14ac:dyDescent="0.3"/>
    <row r="313" ht="15.6" customHeight="1" x14ac:dyDescent="0.3"/>
    <row r="314" ht="15.6" customHeight="1" x14ac:dyDescent="0.3"/>
    <row r="315" ht="15.6" customHeight="1" x14ac:dyDescent="0.3"/>
    <row r="316" ht="15.6" customHeight="1" x14ac:dyDescent="0.3"/>
    <row r="317" ht="15.6" customHeight="1" x14ac:dyDescent="0.3"/>
    <row r="318" ht="15.6" customHeight="1" x14ac:dyDescent="0.3"/>
    <row r="319" ht="15.6" customHeight="1" x14ac:dyDescent="0.3"/>
    <row r="320" ht="15.6" customHeight="1" x14ac:dyDescent="0.3"/>
    <row r="321" ht="15.6" customHeight="1" x14ac:dyDescent="0.3"/>
    <row r="322" ht="15.6" customHeight="1" x14ac:dyDescent="0.3"/>
    <row r="323" ht="15.6" customHeight="1" x14ac:dyDescent="0.3"/>
    <row r="324" ht="15.6" customHeight="1" x14ac:dyDescent="0.3"/>
    <row r="325" ht="15.6" customHeight="1" x14ac:dyDescent="0.3"/>
    <row r="326" ht="15.6" customHeight="1" x14ac:dyDescent="0.3"/>
    <row r="327" ht="15.6" customHeight="1" x14ac:dyDescent="0.3"/>
    <row r="328" ht="15.6" customHeight="1" x14ac:dyDescent="0.3"/>
    <row r="329" ht="15.6" customHeight="1" x14ac:dyDescent="0.3"/>
    <row r="330" ht="15.6" customHeight="1" x14ac:dyDescent="0.3"/>
    <row r="331" ht="15.6" customHeight="1" x14ac:dyDescent="0.3"/>
    <row r="332" ht="15.6" customHeight="1" x14ac:dyDescent="0.3"/>
    <row r="333" ht="15.6" customHeight="1" x14ac:dyDescent="0.3"/>
    <row r="334" ht="15.6" customHeight="1" x14ac:dyDescent="0.3"/>
    <row r="335" ht="15.6" customHeight="1" x14ac:dyDescent="0.3"/>
    <row r="336" ht="15.6" customHeight="1" x14ac:dyDescent="0.3"/>
    <row r="337" ht="15.6" customHeight="1" x14ac:dyDescent="0.3"/>
    <row r="338" ht="15.6" customHeight="1" x14ac:dyDescent="0.3"/>
    <row r="339" ht="15.6" customHeight="1" x14ac:dyDescent="0.3"/>
    <row r="340" ht="15.6" customHeight="1" x14ac:dyDescent="0.3"/>
    <row r="341" ht="15.6" customHeight="1" x14ac:dyDescent="0.3"/>
    <row r="342" ht="15.6" customHeight="1" x14ac:dyDescent="0.3"/>
    <row r="343" ht="15.6" customHeight="1" x14ac:dyDescent="0.3"/>
    <row r="344" ht="15.6" customHeight="1" x14ac:dyDescent="0.3"/>
    <row r="345" ht="15.6" customHeight="1" x14ac:dyDescent="0.3"/>
    <row r="346" ht="15.6" customHeight="1" x14ac:dyDescent="0.3"/>
    <row r="347" ht="15.6" customHeight="1" x14ac:dyDescent="0.3"/>
    <row r="348" ht="15.6" customHeight="1" x14ac:dyDescent="0.3"/>
    <row r="349" ht="15.6" customHeight="1" x14ac:dyDescent="0.3"/>
    <row r="350" ht="15.6" customHeight="1" x14ac:dyDescent="0.3"/>
    <row r="351" ht="15.6" customHeight="1" x14ac:dyDescent="0.3"/>
    <row r="352" ht="15.6" customHeight="1" x14ac:dyDescent="0.3"/>
    <row r="353" ht="15.6" customHeight="1" x14ac:dyDescent="0.3"/>
    <row r="354" ht="15.6" customHeight="1" x14ac:dyDescent="0.3"/>
    <row r="355" ht="15.6" customHeight="1" x14ac:dyDescent="0.3"/>
    <row r="356" ht="15.6" customHeight="1" x14ac:dyDescent="0.3"/>
    <row r="357" ht="15.6" customHeight="1" x14ac:dyDescent="0.3"/>
    <row r="358" ht="15.6" customHeight="1" x14ac:dyDescent="0.3"/>
    <row r="359" ht="15.6" customHeight="1" x14ac:dyDescent="0.3"/>
    <row r="360" ht="15.6" customHeight="1" x14ac:dyDescent="0.3"/>
    <row r="361" ht="15.6" customHeight="1" x14ac:dyDescent="0.3"/>
    <row r="362" ht="15.6" customHeight="1" x14ac:dyDescent="0.3"/>
    <row r="363" ht="15.6" customHeight="1" x14ac:dyDescent="0.3"/>
    <row r="364" ht="15.6" customHeight="1" x14ac:dyDescent="0.3"/>
    <row r="365" ht="15.6" customHeight="1" x14ac:dyDescent="0.3"/>
    <row r="366" ht="15.6" customHeight="1" x14ac:dyDescent="0.3"/>
    <row r="367" ht="15.6" customHeight="1" x14ac:dyDescent="0.3"/>
    <row r="368" ht="15.6" customHeight="1" x14ac:dyDescent="0.3"/>
    <row r="369" ht="15.6" customHeight="1" x14ac:dyDescent="0.3"/>
    <row r="370" ht="15.6" customHeight="1" x14ac:dyDescent="0.3"/>
    <row r="371" ht="15.6" customHeight="1" x14ac:dyDescent="0.3"/>
    <row r="372" ht="15.6" customHeight="1" x14ac:dyDescent="0.3"/>
    <row r="373" ht="15.6" customHeight="1" x14ac:dyDescent="0.3"/>
    <row r="374" ht="15.6" customHeight="1" x14ac:dyDescent="0.3"/>
    <row r="375" ht="15.6" customHeight="1" x14ac:dyDescent="0.3"/>
    <row r="376" ht="15.6" customHeight="1" x14ac:dyDescent="0.3"/>
    <row r="377" ht="15.6" customHeight="1" x14ac:dyDescent="0.3"/>
    <row r="378" ht="15.6" customHeight="1" x14ac:dyDescent="0.3"/>
    <row r="379" ht="15.6" customHeight="1" x14ac:dyDescent="0.3"/>
    <row r="380" ht="15.6" customHeight="1" x14ac:dyDescent="0.3"/>
    <row r="381" ht="15.6" customHeight="1" x14ac:dyDescent="0.3"/>
    <row r="382" ht="15.6" customHeight="1" x14ac:dyDescent="0.3"/>
    <row r="383" ht="15.6" customHeight="1" x14ac:dyDescent="0.3"/>
    <row r="384" ht="15.6" customHeight="1" x14ac:dyDescent="0.3"/>
    <row r="385" ht="15.6" customHeight="1" x14ac:dyDescent="0.3"/>
    <row r="386" ht="15.6" customHeight="1" x14ac:dyDescent="0.3"/>
    <row r="387" ht="15.6" customHeight="1" x14ac:dyDescent="0.3"/>
    <row r="388" ht="15.6" customHeight="1" x14ac:dyDescent="0.3"/>
    <row r="389" ht="15.6" customHeight="1" x14ac:dyDescent="0.3"/>
    <row r="390" ht="15.6" customHeight="1" x14ac:dyDescent="0.3"/>
    <row r="391" ht="15.6" customHeight="1" x14ac:dyDescent="0.3"/>
    <row r="392" ht="15.6" customHeight="1" x14ac:dyDescent="0.3"/>
    <row r="393" ht="15.6" customHeight="1" x14ac:dyDescent="0.3"/>
    <row r="394" ht="15.6" customHeight="1" x14ac:dyDescent="0.3"/>
    <row r="395" ht="15.6" customHeight="1" x14ac:dyDescent="0.3"/>
    <row r="396" ht="15.6" customHeight="1" x14ac:dyDescent="0.3"/>
    <row r="397" ht="15.6" customHeight="1" x14ac:dyDescent="0.3"/>
    <row r="398" ht="15.6" customHeight="1" x14ac:dyDescent="0.3"/>
    <row r="399" ht="15.6" customHeight="1" x14ac:dyDescent="0.3"/>
    <row r="400" ht="15.6" customHeight="1" x14ac:dyDescent="0.3"/>
    <row r="401" ht="15.6" customHeight="1" x14ac:dyDescent="0.3"/>
    <row r="402" ht="15.6" customHeight="1" x14ac:dyDescent="0.3"/>
    <row r="403" ht="15.6" customHeight="1" x14ac:dyDescent="0.3"/>
    <row r="404" ht="15.6" customHeight="1" x14ac:dyDescent="0.3"/>
    <row r="405" ht="15.6" customHeight="1" x14ac:dyDescent="0.3"/>
    <row r="406" ht="15.6" customHeight="1" x14ac:dyDescent="0.3"/>
    <row r="407" ht="15.6" customHeight="1" x14ac:dyDescent="0.3"/>
    <row r="408" ht="15.6" customHeight="1" x14ac:dyDescent="0.3"/>
    <row r="409" ht="15.6" customHeight="1" x14ac:dyDescent="0.3"/>
    <row r="410" ht="15.6" customHeight="1" x14ac:dyDescent="0.3"/>
    <row r="411" ht="15.6" customHeight="1" x14ac:dyDescent="0.3"/>
    <row r="412" ht="15.6" customHeight="1" x14ac:dyDescent="0.3"/>
    <row r="413" ht="15.6" customHeight="1" x14ac:dyDescent="0.3"/>
    <row r="414" ht="15.6" customHeight="1" x14ac:dyDescent="0.3"/>
    <row r="415" ht="15.6" customHeight="1" x14ac:dyDescent="0.3"/>
    <row r="416" ht="15.6" customHeight="1" x14ac:dyDescent="0.3"/>
    <row r="417" ht="15.6" customHeight="1" x14ac:dyDescent="0.3"/>
    <row r="418" ht="15.6" customHeight="1" x14ac:dyDescent="0.3"/>
    <row r="419" ht="15.6" customHeight="1" x14ac:dyDescent="0.3"/>
    <row r="420" ht="15.6" customHeight="1" x14ac:dyDescent="0.3"/>
    <row r="421" ht="15.6" customHeight="1" x14ac:dyDescent="0.3"/>
    <row r="422" ht="15.6" customHeight="1" x14ac:dyDescent="0.3"/>
    <row r="423" ht="15.6" customHeight="1" x14ac:dyDescent="0.3"/>
    <row r="424" ht="15.6" customHeight="1" x14ac:dyDescent="0.3"/>
    <row r="425" ht="15.6" customHeight="1" x14ac:dyDescent="0.3"/>
    <row r="426" ht="15.6" customHeight="1" x14ac:dyDescent="0.3"/>
    <row r="427" ht="15.6" customHeight="1" x14ac:dyDescent="0.3"/>
    <row r="428" ht="15.6" customHeight="1" x14ac:dyDescent="0.3"/>
    <row r="429" ht="15.6" customHeight="1" x14ac:dyDescent="0.3"/>
    <row r="430" ht="15.6" customHeight="1" x14ac:dyDescent="0.3"/>
    <row r="431" ht="15.6" customHeight="1" x14ac:dyDescent="0.3"/>
    <row r="432" ht="15.6" customHeight="1" x14ac:dyDescent="0.3"/>
    <row r="433" ht="15.6" customHeight="1" x14ac:dyDescent="0.3"/>
    <row r="434" ht="15.6" customHeight="1" x14ac:dyDescent="0.3"/>
    <row r="435" ht="15.6" customHeight="1" x14ac:dyDescent="0.3"/>
    <row r="436" ht="15.6" customHeight="1" x14ac:dyDescent="0.3"/>
    <row r="437" ht="15.6" customHeight="1" x14ac:dyDescent="0.3"/>
    <row r="438" ht="15.6" customHeight="1" x14ac:dyDescent="0.3"/>
    <row r="439" ht="15.6" customHeight="1" x14ac:dyDescent="0.3"/>
    <row r="440" ht="15.6" customHeight="1" x14ac:dyDescent="0.3"/>
    <row r="441" ht="15.6" customHeight="1" x14ac:dyDescent="0.3"/>
    <row r="442" ht="15.6" customHeight="1" x14ac:dyDescent="0.3"/>
    <row r="443" ht="15.6" customHeight="1" x14ac:dyDescent="0.3"/>
    <row r="444" ht="15.6" customHeight="1" x14ac:dyDescent="0.3"/>
    <row r="445" ht="15.6" customHeight="1" x14ac:dyDescent="0.3"/>
    <row r="446" ht="15.6" customHeight="1" x14ac:dyDescent="0.3"/>
    <row r="447" ht="15.6" customHeight="1" x14ac:dyDescent="0.3"/>
    <row r="448" ht="15.6" customHeight="1" x14ac:dyDescent="0.3"/>
    <row r="449" ht="15.6" customHeight="1" x14ac:dyDescent="0.3"/>
    <row r="450" ht="15.6" customHeight="1" x14ac:dyDescent="0.3"/>
    <row r="451" ht="15.6" customHeight="1" x14ac:dyDescent="0.3"/>
    <row r="452" ht="15.6" customHeight="1" x14ac:dyDescent="0.3"/>
    <row r="453" ht="15.6" customHeight="1" x14ac:dyDescent="0.3"/>
    <row r="454" ht="15.6" customHeight="1" x14ac:dyDescent="0.3"/>
    <row r="455" ht="15.6" customHeight="1" x14ac:dyDescent="0.3"/>
    <row r="456" ht="15.6" customHeight="1" x14ac:dyDescent="0.3"/>
    <row r="457" ht="15.6" customHeight="1" x14ac:dyDescent="0.3"/>
    <row r="458" ht="15.6" customHeight="1" x14ac:dyDescent="0.3"/>
    <row r="459" ht="15.6" customHeight="1" x14ac:dyDescent="0.3"/>
    <row r="460" ht="15.6" customHeight="1" x14ac:dyDescent="0.3"/>
    <row r="461" ht="15.6" customHeight="1" x14ac:dyDescent="0.3"/>
    <row r="462" ht="15.6" customHeight="1" x14ac:dyDescent="0.3"/>
    <row r="463" ht="15.6" customHeight="1" x14ac:dyDescent="0.3"/>
    <row r="464" ht="15.6" customHeight="1" x14ac:dyDescent="0.3"/>
    <row r="465" ht="15.6" customHeight="1" x14ac:dyDescent="0.3"/>
    <row r="466" ht="15.6" customHeight="1" x14ac:dyDescent="0.3"/>
    <row r="467" ht="15.6" customHeight="1" x14ac:dyDescent="0.3"/>
    <row r="468" ht="15.6" customHeight="1" x14ac:dyDescent="0.3"/>
    <row r="469" ht="15.6" customHeight="1" x14ac:dyDescent="0.3"/>
    <row r="470" ht="15.6" customHeight="1" x14ac:dyDescent="0.3"/>
    <row r="471" ht="15.6" customHeight="1" x14ac:dyDescent="0.3"/>
    <row r="472" ht="15.6" customHeight="1" x14ac:dyDescent="0.3"/>
    <row r="473" ht="15.6" customHeight="1" x14ac:dyDescent="0.3"/>
    <row r="474" ht="15.6" customHeight="1" x14ac:dyDescent="0.3"/>
    <row r="475" ht="15.6" customHeight="1" x14ac:dyDescent="0.3"/>
    <row r="476" ht="15.6" customHeight="1" x14ac:dyDescent="0.3"/>
    <row r="477" ht="15.6" customHeight="1" x14ac:dyDescent="0.3"/>
    <row r="478" ht="15.6" customHeight="1" x14ac:dyDescent="0.3"/>
    <row r="479" ht="15.6" customHeight="1" x14ac:dyDescent="0.3"/>
    <row r="480" ht="15.6" customHeight="1" x14ac:dyDescent="0.3"/>
    <row r="481" ht="15.6" customHeight="1" x14ac:dyDescent="0.3"/>
    <row r="482" ht="15.6" customHeight="1" x14ac:dyDescent="0.3"/>
    <row r="483" ht="15.6" customHeight="1" x14ac:dyDescent="0.3"/>
    <row r="484" ht="15.6" customHeight="1" x14ac:dyDescent="0.3"/>
    <row r="485" ht="15.6" customHeight="1" x14ac:dyDescent="0.3"/>
    <row r="486" ht="15.6" customHeight="1" x14ac:dyDescent="0.3"/>
    <row r="487" ht="15.6" customHeight="1" x14ac:dyDescent="0.3"/>
    <row r="488" ht="15.6" customHeight="1" x14ac:dyDescent="0.3"/>
    <row r="489" ht="15.6" customHeight="1" x14ac:dyDescent="0.3"/>
    <row r="490" ht="15.6" customHeight="1" x14ac:dyDescent="0.3"/>
    <row r="491" ht="15.6" customHeight="1" x14ac:dyDescent="0.3"/>
    <row r="492" ht="15.6" customHeight="1" x14ac:dyDescent="0.3"/>
    <row r="493" ht="15.6" customHeight="1" x14ac:dyDescent="0.3"/>
    <row r="494" ht="15.6" customHeight="1" x14ac:dyDescent="0.3"/>
    <row r="495" ht="15.6" customHeight="1" x14ac:dyDescent="0.3"/>
    <row r="496" ht="15.6" customHeight="1" x14ac:dyDescent="0.3"/>
    <row r="497" ht="15.6" customHeight="1" x14ac:dyDescent="0.3"/>
    <row r="498" ht="15.6" customHeight="1" x14ac:dyDescent="0.3"/>
    <row r="499" ht="15.6" customHeight="1" x14ac:dyDescent="0.3"/>
    <row r="500" ht="15.6" customHeight="1" x14ac:dyDescent="0.3"/>
    <row r="501" ht="15.6" customHeight="1" x14ac:dyDescent="0.3"/>
    <row r="502" ht="15.6" customHeight="1" x14ac:dyDescent="0.3"/>
    <row r="503" ht="15.6" customHeight="1" x14ac:dyDescent="0.3"/>
    <row r="504" ht="15.6" customHeight="1" x14ac:dyDescent="0.3"/>
    <row r="505" ht="15.6" customHeight="1" x14ac:dyDescent="0.3"/>
    <row r="506" ht="15.6" customHeight="1" x14ac:dyDescent="0.3"/>
    <row r="507" ht="15.6" customHeight="1" x14ac:dyDescent="0.3"/>
    <row r="508" ht="15.6" customHeight="1" x14ac:dyDescent="0.3"/>
    <row r="509" ht="15.6" customHeight="1" x14ac:dyDescent="0.3"/>
    <row r="510" ht="15.6" customHeight="1" x14ac:dyDescent="0.3"/>
    <row r="511" ht="15.6" customHeight="1" x14ac:dyDescent="0.3"/>
    <row r="512" ht="15.6" customHeight="1" x14ac:dyDescent="0.3"/>
    <row r="513" ht="15.6" customHeight="1" x14ac:dyDescent="0.3"/>
    <row r="514" ht="15.6" customHeight="1" x14ac:dyDescent="0.3"/>
    <row r="515" ht="15.6" customHeight="1" x14ac:dyDescent="0.3"/>
    <row r="516" ht="15.6" customHeight="1" x14ac:dyDescent="0.3"/>
    <row r="517" ht="15.6" customHeight="1" x14ac:dyDescent="0.3"/>
    <row r="518" ht="15.6" customHeight="1" x14ac:dyDescent="0.3"/>
    <row r="519" ht="15.6" customHeight="1" x14ac:dyDescent="0.3"/>
    <row r="520" ht="15.6" customHeight="1" x14ac:dyDescent="0.3"/>
    <row r="521" ht="15.6" customHeight="1" x14ac:dyDescent="0.3"/>
    <row r="522" ht="15.6" customHeight="1" x14ac:dyDescent="0.3"/>
    <row r="523" ht="15.6" customHeight="1" x14ac:dyDescent="0.3"/>
    <row r="524" ht="15.6" customHeight="1" x14ac:dyDescent="0.3"/>
    <row r="525" ht="15.6" customHeight="1" x14ac:dyDescent="0.3"/>
    <row r="526" ht="15.6" customHeight="1" x14ac:dyDescent="0.3"/>
    <row r="527" ht="15.6" customHeight="1" x14ac:dyDescent="0.3"/>
    <row r="528" ht="15.6" customHeight="1" x14ac:dyDescent="0.3"/>
    <row r="529" ht="15.6" customHeight="1" x14ac:dyDescent="0.3"/>
    <row r="530" ht="15.6" customHeight="1" x14ac:dyDescent="0.3"/>
    <row r="531" ht="15.6" customHeight="1" x14ac:dyDescent="0.3"/>
    <row r="532" ht="15.6" customHeight="1" x14ac:dyDescent="0.3"/>
    <row r="533" ht="15.6" customHeight="1" x14ac:dyDescent="0.3"/>
    <row r="534" ht="15.6" customHeight="1" x14ac:dyDescent="0.3"/>
    <row r="535" ht="15.6" customHeight="1" x14ac:dyDescent="0.3"/>
    <row r="536" ht="15.6" customHeight="1" x14ac:dyDescent="0.3"/>
    <row r="537" ht="15.6" customHeight="1" x14ac:dyDescent="0.3"/>
    <row r="538" ht="15.6" customHeight="1" x14ac:dyDescent="0.3"/>
    <row r="539" ht="15.6" customHeight="1" x14ac:dyDescent="0.3"/>
    <row r="540" ht="15.6" customHeight="1" x14ac:dyDescent="0.3"/>
    <row r="541" ht="15.6" customHeight="1" x14ac:dyDescent="0.3"/>
    <row r="542" ht="15.6" customHeight="1" x14ac:dyDescent="0.3"/>
    <row r="543" ht="15.6" customHeight="1" x14ac:dyDescent="0.3"/>
    <row r="544" ht="15.6" customHeight="1" x14ac:dyDescent="0.3"/>
    <row r="545" ht="15.6" customHeight="1" x14ac:dyDescent="0.3"/>
    <row r="546" ht="15.6" customHeight="1" x14ac:dyDescent="0.3"/>
    <row r="547" ht="15.6" customHeight="1" x14ac:dyDescent="0.3"/>
    <row r="548" ht="15.6" customHeight="1" x14ac:dyDescent="0.3"/>
    <row r="549" ht="15.6" customHeight="1" x14ac:dyDescent="0.3"/>
    <row r="550" ht="15.6" customHeight="1" x14ac:dyDescent="0.3"/>
    <row r="551" ht="15.6" customHeight="1" x14ac:dyDescent="0.3"/>
    <row r="552" ht="15.6" customHeight="1" x14ac:dyDescent="0.3"/>
    <row r="553" ht="15.6" customHeight="1" x14ac:dyDescent="0.3"/>
    <row r="554" ht="15.6" customHeight="1" x14ac:dyDescent="0.3"/>
    <row r="555" ht="15.6" customHeight="1" x14ac:dyDescent="0.3"/>
    <row r="556" ht="15.6" customHeight="1" x14ac:dyDescent="0.3"/>
    <row r="557" ht="15.6" customHeight="1" x14ac:dyDescent="0.3"/>
    <row r="558" ht="15.6" customHeight="1" x14ac:dyDescent="0.3"/>
    <row r="559" ht="15.6" customHeight="1" x14ac:dyDescent="0.3"/>
    <row r="560" ht="15.6" customHeight="1" x14ac:dyDescent="0.3"/>
    <row r="561" ht="15.6" customHeight="1" x14ac:dyDescent="0.3"/>
    <row r="562" ht="15.6" customHeight="1" x14ac:dyDescent="0.3"/>
    <row r="563" ht="15.6" customHeight="1" x14ac:dyDescent="0.3"/>
    <row r="564" ht="15.6" customHeight="1" x14ac:dyDescent="0.3"/>
    <row r="565" ht="15.6" customHeight="1" x14ac:dyDescent="0.3"/>
    <row r="566" ht="15.6" customHeight="1" x14ac:dyDescent="0.3"/>
    <row r="567" ht="15.6" customHeight="1" x14ac:dyDescent="0.3"/>
    <row r="568" ht="15.6" customHeight="1" x14ac:dyDescent="0.3"/>
    <row r="569" ht="15.6" customHeight="1" x14ac:dyDescent="0.3"/>
    <row r="570" ht="15.6" customHeight="1" x14ac:dyDescent="0.3"/>
    <row r="571" ht="15.6" customHeight="1" x14ac:dyDescent="0.3"/>
    <row r="572" ht="15.6" customHeight="1" x14ac:dyDescent="0.3"/>
    <row r="573" ht="15.6" customHeight="1" x14ac:dyDescent="0.3"/>
    <row r="574" ht="15.6" customHeight="1" x14ac:dyDescent="0.3"/>
    <row r="575" ht="15.6" customHeight="1" x14ac:dyDescent="0.3"/>
    <row r="576" ht="15.6" customHeight="1" x14ac:dyDescent="0.3"/>
    <row r="577" ht="15.6" customHeight="1" x14ac:dyDescent="0.3"/>
    <row r="578" ht="15.6" customHeight="1" x14ac:dyDescent="0.3"/>
    <row r="579" ht="15.6" customHeight="1" x14ac:dyDescent="0.3"/>
    <row r="580" ht="15.6" customHeight="1" x14ac:dyDescent="0.3"/>
    <row r="581" ht="15.6" customHeight="1" x14ac:dyDescent="0.3"/>
    <row r="582" ht="15.6" customHeight="1" x14ac:dyDescent="0.3"/>
    <row r="583" ht="15.6" customHeight="1" x14ac:dyDescent="0.3"/>
    <row r="584" ht="15.6" customHeight="1" x14ac:dyDescent="0.3"/>
    <row r="585" ht="15.6" customHeight="1" x14ac:dyDescent="0.3"/>
    <row r="586" ht="15.6" customHeight="1" x14ac:dyDescent="0.3"/>
    <row r="587" ht="15.6" customHeight="1" x14ac:dyDescent="0.3"/>
    <row r="588" ht="15.6" customHeight="1" x14ac:dyDescent="0.3"/>
    <row r="589" ht="15.6" customHeight="1" x14ac:dyDescent="0.3"/>
    <row r="590" ht="15.6" customHeight="1" x14ac:dyDescent="0.3"/>
    <row r="591" ht="15.6" customHeight="1" x14ac:dyDescent="0.3"/>
    <row r="592" ht="15.6" customHeight="1" x14ac:dyDescent="0.3"/>
    <row r="593" ht="15.6" customHeight="1" x14ac:dyDescent="0.3"/>
    <row r="594" ht="15.6" customHeight="1" x14ac:dyDescent="0.3"/>
    <row r="595" ht="15.6" customHeight="1" x14ac:dyDescent="0.3"/>
    <row r="596" ht="15.6" customHeight="1" x14ac:dyDescent="0.3"/>
    <row r="597" ht="15.6" customHeight="1" x14ac:dyDescent="0.3"/>
    <row r="598" ht="15.6" customHeight="1" x14ac:dyDescent="0.3"/>
    <row r="599" ht="15.6" customHeight="1" x14ac:dyDescent="0.3"/>
    <row r="600" ht="15.6" customHeight="1" x14ac:dyDescent="0.3"/>
    <row r="601" ht="15.6" customHeight="1" x14ac:dyDescent="0.3"/>
    <row r="602" ht="15.6" customHeight="1" x14ac:dyDescent="0.3"/>
    <row r="603" ht="15.6" customHeight="1" x14ac:dyDescent="0.3"/>
    <row r="604" ht="15.6" customHeight="1" x14ac:dyDescent="0.3"/>
    <row r="605" ht="15.6" customHeight="1" x14ac:dyDescent="0.3"/>
    <row r="606" ht="15.6" customHeight="1" x14ac:dyDescent="0.3"/>
    <row r="607" ht="15.6" customHeight="1" x14ac:dyDescent="0.3"/>
    <row r="608" ht="15.6" customHeight="1" x14ac:dyDescent="0.3"/>
    <row r="609" ht="15.6" customHeight="1" x14ac:dyDescent="0.3"/>
    <row r="610" ht="15.6" customHeight="1" x14ac:dyDescent="0.3"/>
    <row r="611" ht="15.6" customHeight="1" x14ac:dyDescent="0.3"/>
    <row r="612" ht="15.6" customHeight="1" x14ac:dyDescent="0.3"/>
    <row r="613" ht="15.6" customHeight="1" x14ac:dyDescent="0.3"/>
    <row r="614" ht="15.6" customHeight="1" x14ac:dyDescent="0.3"/>
    <row r="615" ht="15.6" customHeight="1" x14ac:dyDescent="0.3"/>
    <row r="616" ht="15.6" customHeight="1" x14ac:dyDescent="0.3"/>
    <row r="617" ht="15.6" customHeight="1" x14ac:dyDescent="0.3"/>
    <row r="618" ht="15.6" customHeight="1" x14ac:dyDescent="0.3"/>
    <row r="619" ht="15.6" customHeight="1" x14ac:dyDescent="0.3"/>
    <row r="620" ht="15.6" customHeight="1" x14ac:dyDescent="0.3"/>
    <row r="621" ht="15.6" customHeight="1" x14ac:dyDescent="0.3"/>
    <row r="622" ht="15.6" customHeight="1" x14ac:dyDescent="0.3"/>
    <row r="623" ht="15.6" customHeight="1" x14ac:dyDescent="0.3"/>
    <row r="624" ht="15.6" customHeight="1" x14ac:dyDescent="0.3"/>
    <row r="625" ht="15.6" customHeight="1" x14ac:dyDescent="0.3"/>
    <row r="626" ht="15.6" customHeight="1" x14ac:dyDescent="0.3"/>
    <row r="627" ht="15.6" customHeight="1" x14ac:dyDescent="0.3"/>
    <row r="628" ht="15.6" customHeight="1" x14ac:dyDescent="0.3"/>
    <row r="629" ht="15.6" customHeight="1" x14ac:dyDescent="0.3"/>
    <row r="630" ht="15.6" customHeight="1" x14ac:dyDescent="0.3"/>
    <row r="631" ht="15.6" customHeight="1" x14ac:dyDescent="0.3"/>
    <row r="632" ht="15.6" customHeight="1" x14ac:dyDescent="0.3"/>
    <row r="633" ht="15.6" customHeight="1" x14ac:dyDescent="0.3"/>
    <row r="634" ht="15.6" customHeight="1" x14ac:dyDescent="0.3"/>
    <row r="635" ht="15.6" customHeight="1" x14ac:dyDescent="0.3"/>
    <row r="636" ht="15.6" customHeight="1" x14ac:dyDescent="0.3"/>
    <row r="637" ht="15.6" customHeight="1" x14ac:dyDescent="0.3"/>
    <row r="638" ht="15.6" customHeight="1" x14ac:dyDescent="0.3"/>
    <row r="639" ht="15.6" customHeight="1" x14ac:dyDescent="0.3"/>
    <row r="640" ht="15.6" customHeight="1" x14ac:dyDescent="0.3"/>
    <row r="641" ht="15.6" customHeight="1" x14ac:dyDescent="0.3"/>
    <row r="642" ht="15.6" customHeight="1" x14ac:dyDescent="0.3"/>
    <row r="643" ht="15.6" customHeight="1" x14ac:dyDescent="0.3"/>
    <row r="644" ht="15.6" customHeight="1" x14ac:dyDescent="0.3"/>
    <row r="645" ht="15.6" customHeight="1" x14ac:dyDescent="0.3"/>
    <row r="646" ht="15.6" customHeight="1" x14ac:dyDescent="0.3"/>
    <row r="647" ht="15.6" customHeight="1" x14ac:dyDescent="0.3"/>
    <row r="648" ht="15.6" customHeight="1" x14ac:dyDescent="0.3"/>
    <row r="649" ht="15.6" customHeight="1" x14ac:dyDescent="0.3"/>
    <row r="650" ht="15.6" customHeight="1" x14ac:dyDescent="0.3"/>
    <row r="651" ht="15.6" customHeight="1" x14ac:dyDescent="0.3"/>
    <row r="652" ht="15.6" customHeight="1" x14ac:dyDescent="0.3"/>
    <row r="653" ht="15.6" customHeight="1" x14ac:dyDescent="0.3"/>
    <row r="654" ht="15.6" customHeight="1" x14ac:dyDescent="0.3"/>
    <row r="655" ht="15.6" customHeight="1" x14ac:dyDescent="0.3"/>
    <row r="656" ht="15.6" customHeight="1" x14ac:dyDescent="0.3"/>
    <row r="657" ht="15.6" customHeight="1" x14ac:dyDescent="0.3"/>
    <row r="658" ht="15.6" customHeight="1" x14ac:dyDescent="0.3"/>
    <row r="659" ht="15.6" customHeight="1" x14ac:dyDescent="0.3"/>
    <row r="660" ht="15.6" customHeight="1" x14ac:dyDescent="0.3"/>
    <row r="661" ht="15.6" customHeight="1" x14ac:dyDescent="0.3"/>
    <row r="662" ht="15.6" customHeight="1" x14ac:dyDescent="0.3"/>
    <row r="663" ht="15.6" customHeight="1" x14ac:dyDescent="0.3"/>
    <row r="664" ht="15.6" customHeight="1" x14ac:dyDescent="0.3"/>
    <row r="665" ht="15.6" customHeight="1" x14ac:dyDescent="0.3"/>
    <row r="666" ht="15.6" customHeight="1" x14ac:dyDescent="0.3"/>
    <row r="667" ht="15.6" customHeight="1" x14ac:dyDescent="0.3"/>
    <row r="668" ht="15.6" customHeight="1" x14ac:dyDescent="0.3"/>
    <row r="669" ht="15.6" customHeight="1" x14ac:dyDescent="0.3"/>
    <row r="670" ht="15.6" customHeight="1" x14ac:dyDescent="0.3"/>
    <row r="671" ht="15.6" customHeight="1" x14ac:dyDescent="0.3"/>
    <row r="672" ht="15.6" customHeight="1" x14ac:dyDescent="0.3"/>
    <row r="673" ht="15.6" customHeight="1" x14ac:dyDescent="0.3"/>
    <row r="674" ht="15.6" customHeight="1" x14ac:dyDescent="0.3"/>
    <row r="675" ht="15.6" customHeight="1" x14ac:dyDescent="0.3"/>
    <row r="676" ht="15.6" customHeight="1" x14ac:dyDescent="0.3"/>
    <row r="677" ht="15.6" customHeight="1" x14ac:dyDescent="0.3"/>
    <row r="678" ht="15.6" customHeight="1" x14ac:dyDescent="0.3"/>
    <row r="679" ht="15.6" customHeight="1" x14ac:dyDescent="0.3"/>
    <row r="680" ht="15.6" customHeight="1" x14ac:dyDescent="0.3"/>
    <row r="681" ht="15.6" customHeight="1" x14ac:dyDescent="0.3"/>
    <row r="682" ht="15.6" customHeight="1" x14ac:dyDescent="0.3"/>
    <row r="683" ht="15.6" customHeight="1" x14ac:dyDescent="0.3"/>
    <row r="684" ht="15.6" customHeight="1" x14ac:dyDescent="0.3"/>
    <row r="685" ht="15.6" customHeight="1" x14ac:dyDescent="0.3"/>
    <row r="686" ht="15.6" customHeight="1" x14ac:dyDescent="0.3"/>
    <row r="687" ht="15.6" customHeight="1" x14ac:dyDescent="0.3"/>
    <row r="688" ht="15.6" customHeight="1" x14ac:dyDescent="0.3"/>
    <row r="689" ht="15.6" customHeight="1" x14ac:dyDescent="0.3"/>
    <row r="690" ht="15.6" customHeight="1" x14ac:dyDescent="0.3"/>
    <row r="691" ht="15.6" customHeight="1" x14ac:dyDescent="0.3"/>
    <row r="692" ht="15.6" customHeight="1" x14ac:dyDescent="0.3"/>
    <row r="693" ht="15.6" customHeight="1" x14ac:dyDescent="0.3"/>
    <row r="694" ht="15.6" customHeight="1" x14ac:dyDescent="0.3"/>
    <row r="695" ht="15.6" customHeight="1" x14ac:dyDescent="0.3"/>
    <row r="696" ht="15.6" customHeight="1" x14ac:dyDescent="0.3"/>
    <row r="697" ht="15.6" customHeight="1" x14ac:dyDescent="0.3"/>
    <row r="698" ht="15.6" customHeight="1" x14ac:dyDescent="0.3"/>
    <row r="699" ht="15.6" customHeight="1" x14ac:dyDescent="0.3"/>
    <row r="700" ht="15.6" customHeight="1" x14ac:dyDescent="0.3"/>
    <row r="701" ht="15.6" customHeight="1" x14ac:dyDescent="0.3"/>
    <row r="702" ht="15.6" customHeight="1" x14ac:dyDescent="0.3"/>
    <row r="703" ht="15.6" customHeight="1" x14ac:dyDescent="0.3"/>
    <row r="704" ht="15.6" customHeight="1" x14ac:dyDescent="0.3"/>
    <row r="705" ht="15.6" customHeight="1" x14ac:dyDescent="0.3"/>
    <row r="706" ht="15.6" customHeight="1" x14ac:dyDescent="0.3"/>
    <row r="707" ht="15.6" customHeight="1" x14ac:dyDescent="0.3"/>
    <row r="708" ht="15.6" customHeight="1" x14ac:dyDescent="0.3"/>
    <row r="709" ht="15.6" customHeight="1" x14ac:dyDescent="0.3"/>
    <row r="710" ht="15.6" customHeight="1" x14ac:dyDescent="0.3"/>
    <row r="711" ht="15.6" customHeight="1" x14ac:dyDescent="0.3"/>
    <row r="712" ht="15.6" customHeight="1" x14ac:dyDescent="0.3"/>
    <row r="713" ht="15.6" customHeight="1" x14ac:dyDescent="0.3"/>
    <row r="714" ht="15.6" customHeight="1" x14ac:dyDescent="0.3"/>
    <row r="715" ht="15.6" customHeight="1" x14ac:dyDescent="0.3"/>
    <row r="716" ht="15.6" customHeight="1" x14ac:dyDescent="0.3"/>
    <row r="717" ht="15.6" customHeight="1" x14ac:dyDescent="0.3"/>
    <row r="718" ht="15.6" customHeight="1" x14ac:dyDescent="0.3"/>
    <row r="719" ht="15.6" customHeight="1" x14ac:dyDescent="0.3"/>
    <row r="720" ht="15.6" customHeight="1" x14ac:dyDescent="0.3"/>
    <row r="721" ht="15.6" customHeight="1" x14ac:dyDescent="0.3"/>
    <row r="722" ht="15.6" customHeight="1" x14ac:dyDescent="0.3"/>
    <row r="723" ht="15.6" customHeight="1" x14ac:dyDescent="0.3"/>
    <row r="724" ht="15.6" customHeight="1" x14ac:dyDescent="0.3"/>
    <row r="725" ht="15.6" customHeight="1" x14ac:dyDescent="0.3"/>
    <row r="726" ht="15.6" customHeight="1" x14ac:dyDescent="0.3"/>
    <row r="727" ht="15.6" customHeight="1" x14ac:dyDescent="0.3"/>
    <row r="728" ht="15.6" customHeight="1" x14ac:dyDescent="0.3"/>
    <row r="729" ht="15.6" customHeight="1" x14ac:dyDescent="0.3"/>
    <row r="730" ht="15.6" customHeight="1" x14ac:dyDescent="0.3"/>
    <row r="731" ht="15.6" customHeight="1" x14ac:dyDescent="0.3"/>
    <row r="732" ht="15.6" customHeight="1" x14ac:dyDescent="0.3"/>
    <row r="733" ht="15.6" customHeight="1" x14ac:dyDescent="0.3"/>
    <row r="734" ht="15.6" customHeight="1" x14ac:dyDescent="0.3"/>
    <row r="735" ht="15.6" customHeight="1" x14ac:dyDescent="0.3"/>
    <row r="736" ht="15.6" customHeight="1" x14ac:dyDescent="0.3"/>
    <row r="737" ht="15.6" customHeight="1" x14ac:dyDescent="0.3"/>
    <row r="738" ht="15.6" customHeight="1" x14ac:dyDescent="0.3"/>
    <row r="739" ht="15.6" customHeight="1" x14ac:dyDescent="0.3"/>
    <row r="740" ht="15.6" customHeight="1" x14ac:dyDescent="0.3"/>
    <row r="741" ht="15.6" customHeight="1" x14ac:dyDescent="0.3"/>
    <row r="742" ht="15.6" customHeight="1" x14ac:dyDescent="0.3"/>
    <row r="743" ht="15.6" customHeight="1" x14ac:dyDescent="0.3"/>
    <row r="744" ht="15.6" customHeight="1" x14ac:dyDescent="0.3"/>
    <row r="745" ht="15.6" customHeight="1" x14ac:dyDescent="0.3"/>
    <row r="746" ht="15.6" customHeight="1" x14ac:dyDescent="0.3"/>
    <row r="747" ht="15.6" customHeight="1" x14ac:dyDescent="0.3"/>
    <row r="748" ht="15.6" customHeight="1" x14ac:dyDescent="0.3"/>
    <row r="749" ht="15.6" customHeight="1" x14ac:dyDescent="0.3"/>
    <row r="750" ht="15.6" customHeight="1" x14ac:dyDescent="0.3"/>
    <row r="751" ht="15.6" customHeight="1" x14ac:dyDescent="0.3"/>
    <row r="752" ht="15.6" customHeight="1" x14ac:dyDescent="0.3"/>
    <row r="753" ht="15.6" customHeight="1" x14ac:dyDescent="0.3"/>
    <row r="754" ht="15.6" customHeight="1" x14ac:dyDescent="0.3"/>
    <row r="755" ht="15.6" customHeight="1" x14ac:dyDescent="0.3"/>
    <row r="756" ht="15.6" customHeight="1" x14ac:dyDescent="0.3"/>
    <row r="757" ht="15.6" customHeight="1" x14ac:dyDescent="0.3"/>
    <row r="758" ht="15.6" customHeight="1" x14ac:dyDescent="0.3"/>
    <row r="759" ht="15.6" customHeight="1" x14ac:dyDescent="0.3"/>
    <row r="760" ht="15.6" customHeight="1" x14ac:dyDescent="0.3"/>
    <row r="761" ht="15.6" customHeight="1" x14ac:dyDescent="0.3"/>
    <row r="762" ht="15.6" customHeight="1" x14ac:dyDescent="0.3"/>
    <row r="763" ht="15.6" customHeight="1" x14ac:dyDescent="0.3"/>
    <row r="764" ht="15.6" customHeight="1" x14ac:dyDescent="0.3"/>
    <row r="765" ht="15.6" customHeight="1" x14ac:dyDescent="0.3"/>
    <row r="766" ht="15.6" customHeight="1" x14ac:dyDescent="0.3"/>
    <row r="767" ht="15.6" customHeight="1" x14ac:dyDescent="0.3"/>
    <row r="768" ht="15.6" customHeight="1" x14ac:dyDescent="0.3"/>
    <row r="769" ht="15.6" customHeight="1" x14ac:dyDescent="0.3"/>
    <row r="770" ht="15.6" customHeight="1" x14ac:dyDescent="0.3"/>
    <row r="771" ht="15.6" customHeight="1" x14ac:dyDescent="0.3"/>
    <row r="772" ht="15.6" customHeight="1" x14ac:dyDescent="0.3"/>
    <row r="773" ht="15.6" customHeight="1" x14ac:dyDescent="0.3"/>
    <row r="774" ht="15.6" customHeight="1" x14ac:dyDescent="0.3"/>
    <row r="775" ht="15.6" customHeight="1" x14ac:dyDescent="0.3"/>
    <row r="776" ht="15.6" customHeight="1" x14ac:dyDescent="0.3"/>
    <row r="777" ht="15.6" customHeight="1" x14ac:dyDescent="0.3"/>
    <row r="778" ht="15.6" customHeight="1" x14ac:dyDescent="0.3"/>
    <row r="779" ht="15.6" customHeight="1" x14ac:dyDescent="0.3"/>
    <row r="780" ht="15.6" customHeight="1" x14ac:dyDescent="0.3"/>
    <row r="781" ht="15.6" customHeight="1" x14ac:dyDescent="0.3"/>
    <row r="782" ht="15.6" customHeight="1" x14ac:dyDescent="0.3"/>
    <row r="783" ht="15.6" customHeight="1" x14ac:dyDescent="0.3"/>
    <row r="784" ht="15.6" customHeight="1" x14ac:dyDescent="0.3"/>
    <row r="785" ht="15.6" customHeight="1" x14ac:dyDescent="0.3"/>
    <row r="786" ht="15.6" customHeight="1" x14ac:dyDescent="0.3"/>
    <row r="787" ht="15.6" customHeight="1" x14ac:dyDescent="0.3"/>
    <row r="788" ht="15.6" customHeight="1" x14ac:dyDescent="0.3"/>
    <row r="789" ht="15.6" customHeight="1" x14ac:dyDescent="0.3"/>
    <row r="790" ht="15.6" customHeight="1" x14ac:dyDescent="0.3"/>
    <row r="791" ht="15.6" customHeight="1" x14ac:dyDescent="0.3"/>
    <row r="792" ht="15.6" customHeight="1" x14ac:dyDescent="0.3"/>
    <row r="793" ht="15.6" customHeight="1" x14ac:dyDescent="0.3"/>
    <row r="794" ht="15.6" customHeight="1" x14ac:dyDescent="0.3"/>
    <row r="795" ht="15.6" customHeight="1" x14ac:dyDescent="0.3"/>
    <row r="796" ht="15.6" customHeight="1" x14ac:dyDescent="0.3"/>
    <row r="797" ht="15.6" customHeight="1" x14ac:dyDescent="0.3"/>
    <row r="798" ht="15.6" customHeight="1" x14ac:dyDescent="0.3"/>
    <row r="799" ht="15.6" customHeight="1" x14ac:dyDescent="0.3"/>
    <row r="800" ht="15.6" customHeight="1" x14ac:dyDescent="0.3"/>
    <row r="801" ht="15.6" customHeight="1" x14ac:dyDescent="0.3"/>
    <row r="802" ht="15.6" customHeight="1" x14ac:dyDescent="0.3"/>
    <row r="803" ht="15.6" customHeight="1" x14ac:dyDescent="0.3"/>
    <row r="804" ht="15.6" customHeight="1" x14ac:dyDescent="0.3"/>
    <row r="805" ht="15.6" customHeight="1" x14ac:dyDescent="0.3"/>
    <row r="806" ht="15.6" customHeight="1" x14ac:dyDescent="0.3"/>
    <row r="807" ht="15.6" customHeight="1" x14ac:dyDescent="0.3"/>
    <row r="808" ht="15.6" customHeight="1" x14ac:dyDescent="0.3"/>
    <row r="809" ht="15.6" customHeight="1" x14ac:dyDescent="0.3"/>
    <row r="810" ht="15.6" customHeight="1" x14ac:dyDescent="0.3"/>
    <row r="811" ht="15.6" customHeight="1" x14ac:dyDescent="0.3"/>
    <row r="812" ht="15.6" customHeight="1" x14ac:dyDescent="0.3"/>
    <row r="813" ht="15.6" customHeight="1" x14ac:dyDescent="0.3"/>
    <row r="814" ht="15.6" customHeight="1" x14ac:dyDescent="0.3"/>
    <row r="815" ht="15.6" customHeight="1" x14ac:dyDescent="0.3"/>
    <row r="816" ht="15.6" customHeight="1" x14ac:dyDescent="0.3"/>
    <row r="817" ht="15.6" customHeight="1" x14ac:dyDescent="0.3"/>
    <row r="818" ht="15.6" customHeight="1" x14ac:dyDescent="0.3"/>
    <row r="819" ht="15.6" customHeight="1" x14ac:dyDescent="0.3"/>
    <row r="820" ht="15.6" customHeight="1" x14ac:dyDescent="0.3"/>
    <row r="821" ht="15.6" customHeight="1" x14ac:dyDescent="0.3"/>
    <row r="822" ht="15.6" customHeight="1" x14ac:dyDescent="0.3"/>
    <row r="823" ht="15.6" customHeight="1" x14ac:dyDescent="0.3"/>
    <row r="824" ht="15.6" customHeight="1" x14ac:dyDescent="0.3"/>
    <row r="825" ht="15.6" customHeight="1" x14ac:dyDescent="0.3"/>
    <row r="826" ht="15.6" customHeight="1" x14ac:dyDescent="0.3"/>
    <row r="827" ht="15.6" customHeight="1" x14ac:dyDescent="0.3"/>
    <row r="828" ht="15.6" customHeight="1" x14ac:dyDescent="0.3"/>
    <row r="829" ht="15.6" customHeight="1" x14ac:dyDescent="0.3"/>
    <row r="830" ht="15.6" customHeight="1" x14ac:dyDescent="0.3"/>
    <row r="831" ht="15.6" customHeight="1" x14ac:dyDescent="0.3"/>
    <row r="832" ht="15.6" customHeight="1" x14ac:dyDescent="0.3"/>
    <row r="833" ht="15.6" customHeight="1" x14ac:dyDescent="0.3"/>
    <row r="834" ht="15.6" customHeight="1" x14ac:dyDescent="0.3"/>
    <row r="835" ht="15.6" customHeight="1" x14ac:dyDescent="0.3"/>
    <row r="836" ht="15.6" customHeight="1" x14ac:dyDescent="0.3"/>
    <row r="837" ht="15.6" customHeight="1" x14ac:dyDescent="0.3"/>
    <row r="838" ht="15.6" customHeight="1" x14ac:dyDescent="0.3"/>
    <row r="839" ht="15.6" customHeight="1" x14ac:dyDescent="0.3"/>
    <row r="840" ht="15.6" customHeight="1" x14ac:dyDescent="0.3"/>
    <row r="841" ht="15.6" customHeight="1" x14ac:dyDescent="0.3"/>
    <row r="842" ht="15.6" customHeight="1" x14ac:dyDescent="0.3"/>
    <row r="843" ht="15.6" customHeight="1" x14ac:dyDescent="0.3"/>
    <row r="844" ht="15.6" customHeight="1" x14ac:dyDescent="0.3"/>
    <row r="845" ht="15.6" customHeight="1" x14ac:dyDescent="0.3"/>
    <row r="846" ht="15.6" customHeight="1" x14ac:dyDescent="0.3"/>
    <row r="847" ht="15.6" customHeight="1" x14ac:dyDescent="0.3"/>
    <row r="848" ht="15.6" customHeight="1" x14ac:dyDescent="0.3"/>
    <row r="849" ht="15.6" customHeight="1" x14ac:dyDescent="0.3"/>
    <row r="850" ht="15.6" customHeight="1" x14ac:dyDescent="0.3"/>
    <row r="851" ht="15.6" customHeight="1" x14ac:dyDescent="0.3"/>
    <row r="852" ht="15.6" customHeight="1" x14ac:dyDescent="0.3"/>
    <row r="853" ht="15.6" customHeight="1" x14ac:dyDescent="0.3"/>
    <row r="854" ht="15.6" customHeight="1" x14ac:dyDescent="0.3"/>
    <row r="855" ht="15.6" customHeight="1" x14ac:dyDescent="0.3"/>
    <row r="856" ht="15.6" customHeight="1" x14ac:dyDescent="0.3"/>
    <row r="857" ht="15.6" customHeight="1" x14ac:dyDescent="0.3"/>
    <row r="858" ht="15.6" customHeight="1" x14ac:dyDescent="0.3"/>
    <row r="859" ht="15.6" customHeight="1" x14ac:dyDescent="0.3"/>
    <row r="860" ht="15.6" customHeight="1" x14ac:dyDescent="0.3"/>
    <row r="861" ht="15.6" customHeight="1" x14ac:dyDescent="0.3"/>
    <row r="862" ht="15.6" customHeight="1" x14ac:dyDescent="0.3"/>
    <row r="863" ht="15.6" customHeight="1" x14ac:dyDescent="0.3"/>
    <row r="864" ht="15.6" customHeight="1" x14ac:dyDescent="0.3"/>
    <row r="865" ht="15.6" customHeight="1" x14ac:dyDescent="0.3"/>
    <row r="866" ht="15.6" customHeight="1" x14ac:dyDescent="0.3"/>
    <row r="867" ht="15.6" customHeight="1" x14ac:dyDescent="0.3"/>
    <row r="868" ht="15.6" customHeight="1" x14ac:dyDescent="0.3"/>
    <row r="869" ht="15.6" customHeight="1" x14ac:dyDescent="0.3"/>
    <row r="870" ht="15.6" customHeight="1" x14ac:dyDescent="0.3"/>
    <row r="871" ht="15.6" customHeight="1" x14ac:dyDescent="0.3"/>
    <row r="872" ht="15.6" customHeight="1" x14ac:dyDescent="0.3"/>
    <row r="873" ht="15.6" customHeight="1" x14ac:dyDescent="0.3"/>
    <row r="874" ht="15.6" customHeight="1" x14ac:dyDescent="0.3"/>
    <row r="875" ht="15.6" customHeight="1" x14ac:dyDescent="0.3"/>
    <row r="876" ht="15.6" customHeight="1" x14ac:dyDescent="0.3"/>
    <row r="877" ht="15.6" customHeight="1" x14ac:dyDescent="0.3"/>
    <row r="878" ht="15.6" customHeight="1" x14ac:dyDescent="0.3"/>
    <row r="879" ht="15.6" customHeight="1" x14ac:dyDescent="0.3"/>
    <row r="880" ht="15.6" customHeight="1" x14ac:dyDescent="0.3"/>
    <row r="881" ht="15.6" customHeight="1" x14ac:dyDescent="0.3"/>
    <row r="882" ht="15.6" customHeight="1" x14ac:dyDescent="0.3"/>
    <row r="883" ht="15.6" customHeight="1" x14ac:dyDescent="0.3"/>
    <row r="884" ht="15.6" customHeight="1" x14ac:dyDescent="0.3"/>
    <row r="885" ht="15.6" customHeight="1" x14ac:dyDescent="0.3"/>
    <row r="886" ht="15.6" customHeight="1" x14ac:dyDescent="0.3"/>
    <row r="887" ht="15.6" customHeight="1" x14ac:dyDescent="0.3"/>
    <row r="888" ht="15.6" customHeight="1" x14ac:dyDescent="0.3"/>
    <row r="889" ht="15.6" customHeight="1" x14ac:dyDescent="0.3"/>
    <row r="890" ht="15.6" customHeight="1" x14ac:dyDescent="0.3"/>
    <row r="891" ht="15.6" customHeight="1" x14ac:dyDescent="0.3"/>
    <row r="892" ht="15.6" customHeight="1" x14ac:dyDescent="0.3"/>
    <row r="893" ht="15.6" customHeight="1" x14ac:dyDescent="0.3"/>
    <row r="894" ht="15.6" customHeight="1" x14ac:dyDescent="0.3"/>
    <row r="895" ht="15.6" customHeight="1" x14ac:dyDescent="0.3"/>
    <row r="896" ht="15.6" customHeight="1" x14ac:dyDescent="0.3"/>
    <row r="897" ht="15.6" customHeight="1" x14ac:dyDescent="0.3"/>
    <row r="898" ht="15.6" customHeight="1" x14ac:dyDescent="0.3"/>
    <row r="899" ht="15.6" customHeight="1" x14ac:dyDescent="0.3"/>
    <row r="900" ht="15.6" customHeight="1" x14ac:dyDescent="0.3"/>
    <row r="901" ht="15.6" customHeight="1" x14ac:dyDescent="0.3"/>
    <row r="902" ht="15.6" customHeight="1" x14ac:dyDescent="0.3"/>
    <row r="903" ht="15.6" customHeight="1" x14ac:dyDescent="0.3"/>
    <row r="904" ht="15.6" customHeight="1" x14ac:dyDescent="0.3"/>
    <row r="905" ht="15.6" customHeight="1" x14ac:dyDescent="0.3"/>
    <row r="906" ht="15.6" customHeight="1" x14ac:dyDescent="0.3"/>
    <row r="907" ht="15.6" customHeight="1" x14ac:dyDescent="0.3"/>
    <row r="908" ht="15.6" customHeight="1" x14ac:dyDescent="0.3"/>
    <row r="909" ht="15.6" customHeight="1" x14ac:dyDescent="0.3"/>
    <row r="910" ht="15.6" customHeight="1" x14ac:dyDescent="0.3"/>
    <row r="911" ht="15.6" customHeight="1" x14ac:dyDescent="0.3"/>
    <row r="912" ht="15.6" customHeight="1" x14ac:dyDescent="0.3"/>
    <row r="913" ht="15.6" customHeight="1" x14ac:dyDescent="0.3"/>
    <row r="914" ht="15.6" customHeight="1" x14ac:dyDescent="0.3"/>
    <row r="915" ht="15.6" customHeight="1" x14ac:dyDescent="0.3"/>
    <row r="916" ht="15.6" customHeight="1" x14ac:dyDescent="0.3"/>
    <row r="917" ht="15.6" customHeight="1" x14ac:dyDescent="0.3"/>
    <row r="918" ht="15.6" customHeight="1" x14ac:dyDescent="0.3"/>
    <row r="919" ht="15.6" customHeight="1" x14ac:dyDescent="0.3"/>
    <row r="920" ht="15.6" customHeight="1" x14ac:dyDescent="0.3"/>
    <row r="921" ht="15.6" customHeight="1" x14ac:dyDescent="0.3"/>
    <row r="922" ht="15.6" customHeight="1" x14ac:dyDescent="0.3"/>
    <row r="923" ht="15.6" customHeight="1" x14ac:dyDescent="0.3"/>
    <row r="924" ht="15.6" customHeight="1" x14ac:dyDescent="0.3"/>
    <row r="925" ht="15.6" customHeight="1" x14ac:dyDescent="0.3"/>
    <row r="926" ht="15.6" customHeight="1" x14ac:dyDescent="0.3"/>
    <row r="927" ht="15.6" customHeight="1" x14ac:dyDescent="0.3"/>
    <row r="928" ht="15.6" customHeight="1" x14ac:dyDescent="0.3"/>
    <row r="929" ht="15.6" customHeight="1" x14ac:dyDescent="0.3"/>
    <row r="930" ht="15.6" customHeight="1" x14ac:dyDescent="0.3"/>
    <row r="931" ht="15.6" customHeight="1" x14ac:dyDescent="0.3"/>
    <row r="932" ht="15.6" customHeight="1" x14ac:dyDescent="0.3"/>
    <row r="933" ht="15.6" customHeight="1" x14ac:dyDescent="0.3"/>
    <row r="934" ht="15.6" customHeight="1" x14ac:dyDescent="0.3"/>
    <row r="935" ht="15.6" customHeight="1" x14ac:dyDescent="0.3"/>
    <row r="936" ht="15.6" customHeight="1" x14ac:dyDescent="0.3"/>
    <row r="937" ht="15.6" customHeight="1" x14ac:dyDescent="0.3"/>
    <row r="938" ht="15.6" customHeight="1" x14ac:dyDescent="0.3"/>
    <row r="939" ht="15.6" customHeight="1" x14ac:dyDescent="0.3"/>
    <row r="940" ht="15.6" customHeight="1" x14ac:dyDescent="0.3"/>
    <row r="941" ht="15.6" customHeight="1" x14ac:dyDescent="0.3"/>
    <row r="942" ht="15.6" customHeight="1" x14ac:dyDescent="0.3"/>
    <row r="943" ht="15.6" customHeight="1" x14ac:dyDescent="0.3"/>
    <row r="944" ht="15.6" customHeight="1" x14ac:dyDescent="0.3"/>
    <row r="945" ht="15.6" customHeight="1" x14ac:dyDescent="0.3"/>
    <row r="946" ht="15.6" customHeight="1" x14ac:dyDescent="0.3"/>
    <row r="947" ht="15.6" customHeight="1" x14ac:dyDescent="0.3"/>
    <row r="948" ht="15.6" customHeight="1" x14ac:dyDescent="0.3"/>
    <row r="949" ht="15.6" customHeight="1" x14ac:dyDescent="0.3"/>
    <row r="950" ht="15.6" customHeight="1" x14ac:dyDescent="0.3"/>
    <row r="951" ht="15.6" customHeight="1" x14ac:dyDescent="0.3"/>
    <row r="952" ht="15.6" customHeight="1" x14ac:dyDescent="0.3"/>
    <row r="953" ht="15.6" customHeight="1" x14ac:dyDescent="0.3"/>
    <row r="954" ht="15.6" customHeight="1" x14ac:dyDescent="0.3"/>
    <row r="955" ht="15.6" customHeight="1" x14ac:dyDescent="0.3"/>
    <row r="956" ht="15.6" customHeight="1" x14ac:dyDescent="0.3"/>
    <row r="957" ht="15.6" customHeight="1" x14ac:dyDescent="0.3"/>
    <row r="958" ht="15.6" customHeight="1" x14ac:dyDescent="0.3"/>
    <row r="959" ht="15.6" customHeight="1" x14ac:dyDescent="0.3"/>
    <row r="960" ht="15.6" customHeight="1" x14ac:dyDescent="0.3"/>
    <row r="961" ht="15.6" customHeight="1" x14ac:dyDescent="0.3"/>
    <row r="962" ht="15.6" customHeight="1" x14ac:dyDescent="0.3"/>
    <row r="963" ht="15.6" customHeight="1" x14ac:dyDescent="0.3"/>
    <row r="964" ht="15.6" customHeight="1" x14ac:dyDescent="0.3"/>
    <row r="965" ht="15.6" customHeight="1" x14ac:dyDescent="0.3"/>
    <row r="966" ht="15.6" customHeight="1" x14ac:dyDescent="0.3"/>
    <row r="967" ht="15.6" customHeight="1" x14ac:dyDescent="0.3"/>
    <row r="968" ht="15.6" customHeight="1" x14ac:dyDescent="0.3"/>
    <row r="969" ht="15.6" customHeight="1" x14ac:dyDescent="0.3"/>
    <row r="970" ht="15.6" customHeight="1" x14ac:dyDescent="0.3"/>
    <row r="971" ht="15.6" customHeight="1" x14ac:dyDescent="0.3"/>
    <row r="972" ht="15.6" customHeight="1" x14ac:dyDescent="0.3"/>
    <row r="973" ht="15.6" customHeight="1" x14ac:dyDescent="0.3"/>
    <row r="974" ht="15.6" customHeight="1" x14ac:dyDescent="0.3"/>
    <row r="975" ht="15.6" customHeight="1" x14ac:dyDescent="0.3"/>
    <row r="976" ht="15.6" customHeight="1" x14ac:dyDescent="0.3"/>
    <row r="977" ht="15.6" customHeight="1" x14ac:dyDescent="0.3"/>
    <row r="978" ht="15.6" customHeight="1" x14ac:dyDescent="0.3"/>
    <row r="979" ht="15.6" customHeight="1" x14ac:dyDescent="0.3"/>
    <row r="980" ht="15.6" customHeight="1" x14ac:dyDescent="0.3"/>
    <row r="981" ht="15.6" customHeight="1" x14ac:dyDescent="0.3"/>
    <row r="982" ht="15.6" customHeight="1" x14ac:dyDescent="0.3"/>
    <row r="983" ht="15.6" customHeight="1" x14ac:dyDescent="0.3"/>
    <row r="984" ht="15.6" customHeight="1" x14ac:dyDescent="0.3"/>
    <row r="985" ht="15.6" customHeight="1" x14ac:dyDescent="0.3"/>
    <row r="986" ht="15.6" customHeight="1" x14ac:dyDescent="0.3"/>
    <row r="987" ht="15.6" customHeight="1" x14ac:dyDescent="0.3"/>
    <row r="988" ht="15.6" customHeight="1" x14ac:dyDescent="0.3"/>
    <row r="989" ht="15.6" customHeight="1" x14ac:dyDescent="0.3"/>
    <row r="990" ht="15.6" customHeight="1" x14ac:dyDescent="0.3"/>
    <row r="991" ht="15.6" customHeight="1" x14ac:dyDescent="0.3"/>
    <row r="992" ht="15.6" customHeight="1" x14ac:dyDescent="0.3"/>
    <row r="993" ht="15.6" customHeight="1" x14ac:dyDescent="0.3"/>
    <row r="994" ht="15.6" customHeight="1" x14ac:dyDescent="0.3"/>
    <row r="995" ht="15.6" customHeight="1" x14ac:dyDescent="0.3"/>
    <row r="996" ht="15.6" customHeight="1" x14ac:dyDescent="0.3"/>
    <row r="997" ht="15.6" customHeight="1" x14ac:dyDescent="0.3"/>
    <row r="998" ht="15.6" customHeight="1" x14ac:dyDescent="0.3"/>
    <row r="999" ht="15.6" customHeight="1" x14ac:dyDescent="0.3"/>
    <row r="1000" ht="15.6" customHeight="1" x14ac:dyDescent="0.3"/>
    <row r="1001" ht="15.6" customHeight="1" x14ac:dyDescent="0.3"/>
    <row r="1002" ht="15.6" customHeight="1" x14ac:dyDescent="0.3"/>
    <row r="1003" ht="15.6" customHeight="1" x14ac:dyDescent="0.3"/>
    <row r="1004" ht="15.6" customHeight="1" x14ac:dyDescent="0.3"/>
    <row r="1005" ht="15.6" customHeight="1" x14ac:dyDescent="0.3"/>
    <row r="1006" ht="15.6" customHeight="1" x14ac:dyDescent="0.3"/>
    <row r="1007" ht="15.6" customHeight="1" x14ac:dyDescent="0.3"/>
    <row r="1008" ht="15.6" customHeight="1" x14ac:dyDescent="0.3"/>
    <row r="1009" ht="15.6" customHeight="1" x14ac:dyDescent="0.3"/>
    <row r="1010" ht="15.6" customHeight="1" x14ac:dyDescent="0.3"/>
    <row r="1011" ht="15.6" customHeight="1" x14ac:dyDescent="0.3"/>
    <row r="1012" ht="15.6" customHeight="1" x14ac:dyDescent="0.3"/>
    <row r="1013" ht="15.6" customHeight="1" x14ac:dyDescent="0.3"/>
    <row r="1014" ht="15.6" customHeight="1" x14ac:dyDescent="0.3"/>
    <row r="1015" ht="15.6" customHeight="1" x14ac:dyDescent="0.3"/>
    <row r="1016" ht="15.6" customHeight="1" x14ac:dyDescent="0.3"/>
    <row r="1017" ht="15.6" customHeight="1" x14ac:dyDescent="0.3"/>
    <row r="1018" ht="15.6" customHeight="1" x14ac:dyDescent="0.3"/>
    <row r="1019" ht="15.6" customHeight="1" x14ac:dyDescent="0.3"/>
    <row r="1020" ht="15.6" customHeight="1" x14ac:dyDescent="0.3"/>
    <row r="1021" ht="15.6" customHeight="1" x14ac:dyDescent="0.3"/>
    <row r="1022" ht="15.6" customHeight="1" x14ac:dyDescent="0.3"/>
    <row r="1023" ht="15.6" customHeight="1" x14ac:dyDescent="0.3"/>
    <row r="1024" ht="15.6" customHeight="1" x14ac:dyDescent="0.3"/>
    <row r="1025" ht="15.6" customHeight="1" x14ac:dyDescent="0.3"/>
    <row r="1026" ht="15.6" customHeight="1" x14ac:dyDescent="0.3"/>
    <row r="1027" ht="15.6" customHeight="1" x14ac:dyDescent="0.3"/>
    <row r="1028" ht="15.6" customHeight="1" x14ac:dyDescent="0.3"/>
    <row r="1029" ht="15.6" customHeight="1" x14ac:dyDescent="0.3"/>
    <row r="1030" ht="15.6" customHeight="1" x14ac:dyDescent="0.3"/>
    <row r="1031" ht="15.6" customHeight="1" x14ac:dyDescent="0.3"/>
    <row r="1032" ht="15.6" customHeight="1" x14ac:dyDescent="0.3"/>
    <row r="1033" ht="15.6" customHeight="1" x14ac:dyDescent="0.3"/>
    <row r="1034" ht="15.6" customHeight="1" x14ac:dyDescent="0.3"/>
    <row r="1035" ht="15.6" customHeight="1" x14ac:dyDescent="0.3"/>
    <row r="1036" ht="15.6" customHeight="1" x14ac:dyDescent="0.3"/>
    <row r="1037" ht="15.6" customHeight="1" x14ac:dyDescent="0.3"/>
  </sheetData>
  <mergeCells count="1">
    <mergeCell ref="J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886B2-44EA-417C-9D11-FCE7845C44C9}">
  <dimension ref="B2:J28"/>
  <sheetViews>
    <sheetView showGridLines="0" workbookViewId="0">
      <selection activeCell="E31" sqref="E31"/>
    </sheetView>
  </sheetViews>
  <sheetFormatPr defaultRowHeight="14.4" x14ac:dyDescent="0.3"/>
  <cols>
    <col min="2" max="5" width="15.6640625" customWidth="1"/>
    <col min="6" max="6" width="6.88671875" customWidth="1"/>
    <col min="7" max="10" width="15.6640625" customWidth="1"/>
  </cols>
  <sheetData>
    <row r="2" spans="2:10" x14ac:dyDescent="0.3">
      <c r="B2" s="208" t="s">
        <v>78</v>
      </c>
      <c r="C2" s="208"/>
      <c r="D2" s="208"/>
      <c r="E2" s="209"/>
      <c r="G2" s="208" t="s">
        <v>79</v>
      </c>
      <c r="H2" s="208"/>
      <c r="I2" s="208"/>
      <c r="J2" s="209"/>
    </row>
    <row r="3" spans="2:10" x14ac:dyDescent="0.3">
      <c r="B3" s="205" t="s">
        <v>80</v>
      </c>
      <c r="C3" s="206" t="s">
        <v>81</v>
      </c>
      <c r="D3" s="207" t="s">
        <v>2</v>
      </c>
      <c r="E3" s="207" t="s">
        <v>27</v>
      </c>
      <c r="G3" s="221"/>
      <c r="H3" s="221"/>
      <c r="I3" s="133" t="s">
        <v>2</v>
      </c>
      <c r="J3" s="133" t="s">
        <v>27</v>
      </c>
    </row>
    <row r="4" spans="2:10" x14ac:dyDescent="0.3">
      <c r="B4" s="1" t="s">
        <v>24</v>
      </c>
      <c r="C4" s="96"/>
      <c r="D4" s="121">
        <f>E4*Rents!$C$4</f>
        <v>9650000</v>
      </c>
      <c r="E4" s="224">
        <f>IF($C$3="Base",Rents!$D$4,Rents!$G$17)</f>
        <v>96.5</v>
      </c>
      <c r="G4" s="1" t="s">
        <v>24</v>
      </c>
      <c r="H4" s="1"/>
      <c r="I4" s="18">
        <f>'Annual CF'!Q13</f>
        <v>11678762.943050003</v>
      </c>
      <c r="J4" s="105">
        <f>I4/Rents!C4</f>
        <v>116.78762943050003</v>
      </c>
    </row>
    <row r="5" spans="2:10" x14ac:dyDescent="0.3">
      <c r="B5" s="1" t="s">
        <v>28</v>
      </c>
      <c r="C5" s="214"/>
      <c r="D5" s="122">
        <f>E5*Rents!$C$9</f>
        <v>16137000</v>
      </c>
      <c r="E5" s="225">
        <f>IF($C$3="Base",Rents!$D$9,Rents!$G$17)</f>
        <v>99</v>
      </c>
      <c r="G5" s="1" t="s">
        <v>28</v>
      </c>
      <c r="H5" s="1"/>
      <c r="I5" s="18">
        <f>'Annual CF'!Q15</f>
        <v>19529554.156683724</v>
      </c>
      <c r="J5" s="105">
        <f>I5/Rents!C9</f>
        <v>119.81321568517622</v>
      </c>
    </row>
    <row r="6" spans="2:10" x14ac:dyDescent="0.3">
      <c r="B6" s="1" t="s">
        <v>82</v>
      </c>
      <c r="C6" s="97"/>
      <c r="D6" s="122">
        <f ca="1">-D15</f>
        <v>2570455.2269887547</v>
      </c>
      <c r="E6" s="123">
        <f ca="1">D6/'Annual CF'!$E$14</f>
        <v>9.7735940189686499</v>
      </c>
      <c r="G6" s="1" t="s">
        <v>82</v>
      </c>
      <c r="H6" s="1"/>
      <c r="I6" s="18">
        <f>'Annual CF'!Q19</f>
        <v>2953086.5324178198</v>
      </c>
      <c r="J6" s="105">
        <f>I6/'Annual CF'!$E$14</f>
        <v>11.228465902729353</v>
      </c>
    </row>
    <row r="7" spans="2:10" x14ac:dyDescent="0.3">
      <c r="B7" s="116" t="s">
        <v>83</v>
      </c>
      <c r="C7" s="116"/>
      <c r="D7" s="124">
        <f ca="1">SUM(D4:D6)</f>
        <v>28357455.226988755</v>
      </c>
      <c r="E7" s="125">
        <f ca="1">D7/'Annual CF'!$E$14</f>
        <v>107.82302367676333</v>
      </c>
      <c r="G7" s="116" t="s">
        <v>83</v>
      </c>
      <c r="H7" s="27"/>
      <c r="I7" s="44">
        <f>SUM(I4:I6)</f>
        <v>34161403.632151544</v>
      </c>
      <c r="J7" s="273">
        <f>I7/'Annual CF'!$E$14</f>
        <v>129.89126856331384</v>
      </c>
    </row>
    <row r="8" spans="2:10" x14ac:dyDescent="0.3">
      <c r="B8" s="93" t="s">
        <v>84</v>
      </c>
      <c r="C8" s="120">
        <f>IF(C3="Base",1%,1.5%)</f>
        <v>0.01</v>
      </c>
      <c r="D8" s="122">
        <f ca="1">-C8*D7</f>
        <v>-283574.55226988759</v>
      </c>
      <c r="E8" s="123">
        <f ca="1">D8/'Annual CF'!$E$14</f>
        <v>-1.0782302367676333</v>
      </c>
      <c r="G8" s="93" t="s">
        <v>84</v>
      </c>
      <c r="H8" s="1"/>
      <c r="I8" s="18">
        <f>'Annual CF'!Q22</f>
        <v>-341614.03632151557</v>
      </c>
      <c r="J8" s="105">
        <f>I8/'Annual CF'!$E$14</f>
        <v>-1.298912685633139</v>
      </c>
    </row>
    <row r="9" spans="2:10" x14ac:dyDescent="0.3">
      <c r="B9" s="116" t="s">
        <v>85</v>
      </c>
      <c r="C9" s="116"/>
      <c r="D9" s="124">
        <f ca="1">SUM(D7:D8)</f>
        <v>28073880.674718868</v>
      </c>
      <c r="E9" s="125">
        <f ca="1">D9/'Annual CF'!$E$14</f>
        <v>106.74479343999569</v>
      </c>
      <c r="G9" s="116" t="s">
        <v>85</v>
      </c>
      <c r="H9" s="27"/>
      <c r="I9" s="44">
        <f>SUM(I7:I8)</f>
        <v>33819789.595830031</v>
      </c>
      <c r="J9" s="273">
        <f>I9/'Annual CF'!$E$14</f>
        <v>128.59235587768072</v>
      </c>
    </row>
    <row r="10" spans="2:10" x14ac:dyDescent="0.3">
      <c r="B10" s="1"/>
      <c r="C10" s="150"/>
      <c r="D10" s="36"/>
      <c r="E10" s="126"/>
      <c r="G10" s="1"/>
      <c r="H10" s="1"/>
      <c r="I10" s="1"/>
      <c r="J10" s="105"/>
    </row>
    <row r="11" spans="2:10" x14ac:dyDescent="0.3">
      <c r="B11" s="93" t="s">
        <v>86</v>
      </c>
      <c r="C11" s="104">
        <v>0.2</v>
      </c>
      <c r="D11" s="122">
        <f>-C11*D4</f>
        <v>-1930000</v>
      </c>
      <c r="E11" s="123">
        <f>D11/'Annual CF'!$E$14</f>
        <v>-7.338403041825095</v>
      </c>
      <c r="G11" s="93" t="s">
        <v>86</v>
      </c>
      <c r="H11" s="1"/>
      <c r="I11" s="18">
        <f>'Annual CF'!Q25</f>
        <v>-2273005.1312379604</v>
      </c>
      <c r="J11" s="105">
        <f>I11/'Annual CF'!$E$14</f>
        <v>-8.6426050617412944</v>
      </c>
    </row>
    <row r="12" spans="2:10" x14ac:dyDescent="0.3">
      <c r="B12" s="139" t="s">
        <v>40</v>
      </c>
      <c r="C12" s="104">
        <v>1</v>
      </c>
      <c r="D12" s="122">
        <f>-D11</f>
        <v>1930000</v>
      </c>
      <c r="E12" s="123">
        <f>D12/'Annual CF'!$E$14</f>
        <v>7.338403041825095</v>
      </c>
      <c r="G12" s="139" t="s">
        <v>40</v>
      </c>
      <c r="H12" s="1"/>
      <c r="I12" s="18">
        <f>'Annual CF'!Q26</f>
        <v>2273005.1312379604</v>
      </c>
      <c r="J12" s="105">
        <f>I12/'Annual CF'!$E$14</f>
        <v>8.6426050617412944</v>
      </c>
    </row>
    <row r="13" spans="2:10" x14ac:dyDescent="0.3">
      <c r="B13" s="93" t="s">
        <v>87</v>
      </c>
      <c r="C13" s="104">
        <v>0.04</v>
      </c>
      <c r="D13" s="122">
        <f ca="1">-C13*D9</f>
        <v>-1122955.2269887547</v>
      </c>
      <c r="E13" s="123">
        <f ca="1">D13/'Annual CF'!$E$14</f>
        <v>-4.269791737599828</v>
      </c>
      <c r="G13" s="93" t="s">
        <v>87</v>
      </c>
      <c r="H13" s="1"/>
      <c r="I13" s="18">
        <f>'Annual CF'!Q27</f>
        <v>-1248332.6839893491</v>
      </c>
      <c r="J13" s="105">
        <f>I13/'Annual CF'!$E$14</f>
        <v>-4.7465121064233804</v>
      </c>
    </row>
    <row r="14" spans="2:10" x14ac:dyDescent="0.3">
      <c r="B14" s="93" t="s">
        <v>88</v>
      </c>
      <c r="C14" s="104">
        <v>0.15</v>
      </c>
      <c r="D14" s="122">
        <f>-C14*$D$4</f>
        <v>-1447500</v>
      </c>
      <c r="E14" s="127">
        <f>D14/'Annual CF'!$E$14</f>
        <v>-5.503802281368821</v>
      </c>
      <c r="G14" s="93" t="s">
        <v>88</v>
      </c>
      <c r="H14" s="1"/>
      <c r="I14" s="18">
        <f>'Annual CF'!Q28</f>
        <v>-1704753.8484284701</v>
      </c>
      <c r="J14" s="105">
        <f>I14/'Annual CF'!$E$14</f>
        <v>-6.4819537963059695</v>
      </c>
    </row>
    <row r="15" spans="2:10" x14ac:dyDescent="0.3">
      <c r="B15" s="116" t="s">
        <v>89</v>
      </c>
      <c r="C15" s="116"/>
      <c r="D15" s="124">
        <f ca="1">SUM(D11:D14)</f>
        <v>-2570455.2269887547</v>
      </c>
      <c r="E15" s="128">
        <f ca="1">D15/'Annual CF'!$E$14</f>
        <v>-9.7735940189686499</v>
      </c>
      <c r="G15" s="116" t="s">
        <v>89</v>
      </c>
      <c r="H15" s="27"/>
      <c r="I15" s="44">
        <f>SUM(I11:I14)</f>
        <v>-2953086.5324178189</v>
      </c>
      <c r="J15" s="273">
        <f>I15/'Annual CF'!$E$14</f>
        <v>-11.228465902729349</v>
      </c>
    </row>
    <row r="16" spans="2:10" x14ac:dyDescent="0.3">
      <c r="B16" s="93"/>
      <c r="C16" s="93"/>
      <c r="D16" s="122"/>
      <c r="E16" s="127"/>
      <c r="G16" s="93"/>
      <c r="H16" s="1"/>
      <c r="I16" s="1"/>
      <c r="J16" s="29"/>
    </row>
    <row r="17" spans="2:10" x14ac:dyDescent="0.3">
      <c r="B17" s="116" t="s">
        <v>46</v>
      </c>
      <c r="C17" s="116"/>
      <c r="D17" s="124">
        <f ca="1">SUM(D9,D15)</f>
        <v>25503425.447730113</v>
      </c>
      <c r="E17" s="125">
        <f ca="1">D17/'Annual CF'!$E$14</f>
        <v>96.971199421027052</v>
      </c>
      <c r="G17" s="116" t="s">
        <v>46</v>
      </c>
      <c r="H17" s="27"/>
      <c r="I17" s="124">
        <f>SUM(I9,I15)</f>
        <v>30866703.063412212</v>
      </c>
      <c r="J17" s="125">
        <f>I17/'Annual CF'!$E$14</f>
        <v>117.36388997495138</v>
      </c>
    </row>
    <row r="18" spans="2:10" x14ac:dyDescent="0.3">
      <c r="B18" s="93"/>
      <c r="C18" s="93"/>
      <c r="D18" s="122"/>
      <c r="E18" s="123"/>
      <c r="G18" s="1"/>
      <c r="H18" s="1"/>
      <c r="I18" s="1"/>
      <c r="J18" s="29"/>
    </row>
    <row r="19" spans="2:10" x14ac:dyDescent="0.3">
      <c r="B19" s="27" t="s">
        <v>35</v>
      </c>
      <c r="C19" s="238"/>
      <c r="D19" s="124">
        <f>'Annual CF'!$D$21</f>
        <v>353446245</v>
      </c>
      <c r="E19" s="125">
        <f>D19/'Annual CF'!$E$14</f>
        <v>1343.9020722433461</v>
      </c>
      <c r="G19" s="27" t="s">
        <v>35</v>
      </c>
      <c r="H19" s="238"/>
      <c r="I19" s="124">
        <f>'Annual CF'!$D$21</f>
        <v>353446245</v>
      </c>
      <c r="J19" s="125">
        <f>I19/'Annual CF'!$E$14</f>
        <v>1343.9020722433461</v>
      </c>
    </row>
    <row r="20" spans="2:10" x14ac:dyDescent="0.3">
      <c r="B20" s="93"/>
      <c r="C20" s="93"/>
      <c r="D20" s="122"/>
      <c r="E20" s="123"/>
      <c r="G20" s="1"/>
      <c r="H20" s="1"/>
      <c r="I20" s="1"/>
    </row>
    <row r="21" spans="2:10" x14ac:dyDescent="0.3">
      <c r="B21" s="95" t="s">
        <v>90</v>
      </c>
      <c r="C21" s="95"/>
      <c r="D21" s="129">
        <f>'Boston Sales'!F1</f>
        <v>5.1421347014083213E-2</v>
      </c>
      <c r="E21" s="130"/>
      <c r="G21" s="93" t="s">
        <v>91</v>
      </c>
      <c r="H21" s="93"/>
      <c r="I21" s="101">
        <f>I17/I19</f>
        <v>8.7330686066313168E-2</v>
      </c>
    </row>
    <row r="22" spans="2:10" x14ac:dyDescent="0.3">
      <c r="B22" s="118" t="s">
        <v>92</v>
      </c>
      <c r="C22" s="118"/>
      <c r="D22" s="131">
        <f ca="1">D17/D21</f>
        <v>495969610.4566313</v>
      </c>
      <c r="E22" s="132">
        <f ca="1">D22/'Annual CF'!$E$14</f>
        <v>1885.8160093408035</v>
      </c>
      <c r="G22" s="118" t="s">
        <v>93</v>
      </c>
      <c r="H22" s="13"/>
      <c r="I22" s="119">
        <f>I21/'Annual CF'!D42-1</f>
        <v>0.49484204883637806</v>
      </c>
    </row>
    <row r="23" spans="2:10" x14ac:dyDescent="0.3">
      <c r="B23" s="1"/>
      <c r="C23" s="41"/>
      <c r="D23" s="42"/>
      <c r="E23" s="31"/>
      <c r="J23" s="29"/>
    </row>
    <row r="24" spans="2:10" x14ac:dyDescent="0.3">
      <c r="B24" s="93" t="s">
        <v>94</v>
      </c>
      <c r="C24" s="93"/>
      <c r="D24" s="204">
        <v>0.4</v>
      </c>
      <c r="E24" s="93"/>
      <c r="J24" s="29"/>
    </row>
    <row r="25" spans="2:10" x14ac:dyDescent="0.3">
      <c r="B25" s="93" t="s">
        <v>95</v>
      </c>
      <c r="C25" s="93"/>
      <c r="D25" s="101">
        <f>D21*(1+D24)</f>
        <v>7.1989885819716493E-2</v>
      </c>
      <c r="E25" s="99"/>
      <c r="G25" s="1"/>
      <c r="H25" s="1"/>
      <c r="I25" s="1"/>
      <c r="J25" s="29"/>
    </row>
    <row r="26" spans="2:10" x14ac:dyDescent="0.3">
      <c r="B26" s="93" t="s">
        <v>96</v>
      </c>
      <c r="C26" s="93"/>
      <c r="D26" s="101">
        <f ca="1">D17/D19</f>
        <v>7.2156447574453969E-2</v>
      </c>
      <c r="E26" s="93"/>
    </row>
    <row r="27" spans="2:10" x14ac:dyDescent="0.3">
      <c r="B27" s="118" t="s">
        <v>97</v>
      </c>
      <c r="C27" s="13"/>
      <c r="D27" s="119">
        <f ca="1">D26/D21-1</f>
        <v>0.40323915580608682</v>
      </c>
      <c r="E27" s="29"/>
    </row>
    <row r="28" spans="2:10" x14ac:dyDescent="0.3">
      <c r="B28" s="93"/>
      <c r="C28" s="1"/>
      <c r="D28" s="101"/>
      <c r="E28" s="29"/>
    </row>
  </sheetData>
  <dataValidations disablePrompts="1" count="1">
    <dataValidation type="list" allowBlank="1" showInputMessage="1" showErrorMessage="1" sqref="C3" xr:uid="{77D387C3-7EE9-4CC8-BBA2-48C68DF4F84E}">
      <formula1>"Base,Downside"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4974B-0BB2-4EEF-B907-4A9D0C0DCEED}">
  <dimension ref="B1:O1035"/>
  <sheetViews>
    <sheetView showGridLines="0" workbookViewId="0">
      <selection activeCell="D13" sqref="D13"/>
    </sheetView>
  </sheetViews>
  <sheetFormatPr defaultColWidth="12.5546875" defaultRowHeight="13.2" x14ac:dyDescent="0.3"/>
  <cols>
    <col min="1" max="1" width="12.5546875" style="1"/>
    <col min="2" max="2" width="28.6640625" style="1" bestFit="1" customWidth="1"/>
    <col min="3" max="3" width="13.6640625" style="1" customWidth="1"/>
    <col min="4" max="4" width="26.5546875" style="1" customWidth="1"/>
    <col min="5" max="5" width="5.5546875" style="1" customWidth="1"/>
    <col min="6" max="6" width="12.5546875" style="1"/>
    <col min="7" max="7" width="30.44140625" style="1" customWidth="1"/>
    <col min="8" max="8" width="15.6640625" style="2" customWidth="1"/>
    <col min="9" max="14" width="15.6640625" style="1" customWidth="1"/>
    <col min="15" max="16384" width="12.5546875" style="1"/>
  </cols>
  <sheetData>
    <row r="1" spans="2:15" ht="15.6" customHeight="1" x14ac:dyDescent="0.3"/>
    <row r="2" spans="2:15" ht="15.6" customHeight="1" x14ac:dyDescent="0.3">
      <c r="B2" s="3" t="s">
        <v>18</v>
      </c>
      <c r="C2" s="3"/>
      <c r="D2" s="3"/>
      <c r="G2" s="4"/>
      <c r="H2" s="5" t="s">
        <v>2</v>
      </c>
      <c r="I2" s="6" t="s">
        <v>3</v>
      </c>
      <c r="J2" s="276" t="s">
        <v>4</v>
      </c>
      <c r="K2" s="277"/>
      <c r="L2" s="278" t="s">
        <v>98</v>
      </c>
      <c r="M2" s="277"/>
      <c r="N2" s="277"/>
      <c r="O2" s="7" t="s">
        <v>0</v>
      </c>
    </row>
    <row r="3" spans="2:15" ht="15.6" customHeight="1" x14ac:dyDescent="0.3">
      <c r="B3" s="57" t="s">
        <v>19</v>
      </c>
      <c r="C3" s="57"/>
      <c r="D3" s="58" t="s">
        <v>20</v>
      </c>
      <c r="G3" s="8" t="s">
        <v>10</v>
      </c>
      <c r="H3" s="10"/>
      <c r="I3" s="8">
        <v>0</v>
      </c>
      <c r="J3" s="8">
        <f>I3+1</f>
        <v>1</v>
      </c>
      <c r="K3" s="8">
        <f t="shared" ref="K3:N3" si="0">J3+1</f>
        <v>2</v>
      </c>
      <c r="L3" s="8">
        <f t="shared" si="0"/>
        <v>3</v>
      </c>
      <c r="M3" s="8">
        <f t="shared" si="0"/>
        <v>4</v>
      </c>
      <c r="N3" s="8">
        <f t="shared" si="0"/>
        <v>5</v>
      </c>
      <c r="O3" s="7" t="s">
        <v>0</v>
      </c>
    </row>
    <row r="4" spans="2:15" ht="15.6" customHeight="1" x14ac:dyDescent="0.3">
      <c r="G4" s="1" t="s">
        <v>11</v>
      </c>
      <c r="H4" s="11"/>
      <c r="I4" s="12">
        <f ca="1">D5</f>
        <v>45271</v>
      </c>
      <c r="J4" s="12">
        <f t="shared" ref="J4:N4" ca="1" si="1">I5+1</f>
        <v>45272</v>
      </c>
      <c r="K4" s="12">
        <f t="shared" ca="1" si="1"/>
        <v>45638</v>
      </c>
      <c r="L4" s="12">
        <f t="shared" ca="1" si="1"/>
        <v>46003</v>
      </c>
      <c r="M4" s="12">
        <f t="shared" ca="1" si="1"/>
        <v>46368</v>
      </c>
      <c r="N4" s="12">
        <f t="shared" ca="1" si="1"/>
        <v>46733</v>
      </c>
      <c r="O4" s="7" t="s">
        <v>0</v>
      </c>
    </row>
    <row r="5" spans="2:15" ht="15.6" customHeight="1" x14ac:dyDescent="0.3">
      <c r="B5" s="8" t="s">
        <v>9</v>
      </c>
      <c r="C5" s="19"/>
      <c r="D5" s="226">
        <f ca="1">TODAY()</f>
        <v>45271</v>
      </c>
      <c r="G5" s="13" t="s">
        <v>13</v>
      </c>
      <c r="H5" s="14"/>
      <c r="I5" s="15">
        <f ca="1">I4</f>
        <v>45271</v>
      </c>
      <c r="J5" s="15">
        <f t="shared" ref="J5:N5" ca="1" si="2">EDATE(J4,12)-1</f>
        <v>45637</v>
      </c>
      <c r="K5" s="15">
        <f t="shared" ca="1" si="2"/>
        <v>46002</v>
      </c>
      <c r="L5" s="15">
        <f t="shared" ca="1" si="2"/>
        <v>46367</v>
      </c>
      <c r="M5" s="15">
        <f t="shared" ca="1" si="2"/>
        <v>46732</v>
      </c>
      <c r="N5" s="15">
        <f t="shared" ca="1" si="2"/>
        <v>47098</v>
      </c>
      <c r="O5" s="7" t="s">
        <v>0</v>
      </c>
    </row>
    <row r="6" spans="2:15" ht="15.6" customHeight="1" x14ac:dyDescent="0.3">
      <c r="B6" s="1" t="s">
        <v>4</v>
      </c>
      <c r="D6" s="151">
        <v>2</v>
      </c>
      <c r="H6" s="11"/>
      <c r="O6" s="7" t="s">
        <v>0</v>
      </c>
    </row>
    <row r="7" spans="2:15" ht="15.6" customHeight="1" x14ac:dyDescent="0.3">
      <c r="B7" s="13" t="s">
        <v>98</v>
      </c>
      <c r="C7" s="22"/>
      <c r="D7" s="227">
        <v>3</v>
      </c>
      <c r="E7" s="16"/>
      <c r="G7" s="1" t="str">
        <f>B13</f>
        <v>Land Cost</v>
      </c>
      <c r="H7" s="17">
        <f t="shared" ref="H7:H9" si="3">SUM(I7:K7)</f>
        <v>-85000000</v>
      </c>
      <c r="I7" s="18">
        <f>-D13</f>
        <v>-85000000</v>
      </c>
      <c r="J7" s="18"/>
      <c r="K7" s="18"/>
      <c r="L7" s="18"/>
      <c r="M7" s="18"/>
      <c r="N7" s="18"/>
      <c r="O7" s="7" t="s">
        <v>0</v>
      </c>
    </row>
    <row r="8" spans="2:15" ht="15.6" customHeight="1" x14ac:dyDescent="0.3">
      <c r="C8" s="23"/>
      <c r="D8" s="16"/>
      <c r="E8" s="20"/>
      <c r="G8" s="1" t="str">
        <f>B14</f>
        <v>Development Cost | Existing</v>
      </c>
      <c r="H8" s="17">
        <f t="shared" si="3"/>
        <v>-97800000</v>
      </c>
      <c r="I8" s="18"/>
      <c r="J8" s="18">
        <f>-$D14/$D$6</f>
        <v>-48900000</v>
      </c>
      <c r="K8" s="18">
        <f>-$D$14/$D$6</f>
        <v>-48900000</v>
      </c>
      <c r="L8" s="18"/>
      <c r="M8" s="18"/>
      <c r="N8" s="18"/>
      <c r="O8" s="7" t="s">
        <v>0</v>
      </c>
    </row>
    <row r="9" spans="2:15" ht="15.6" customHeight="1" x14ac:dyDescent="0.3">
      <c r="B9" s="8" t="s">
        <v>22</v>
      </c>
      <c r="C9" s="24"/>
      <c r="D9" s="59">
        <v>163000</v>
      </c>
      <c r="E9" s="21"/>
      <c r="G9" s="1" t="str">
        <f>B15</f>
        <v>Development Cost | New Construction</v>
      </c>
      <c r="H9" s="17">
        <f t="shared" si="3"/>
        <v>-90000000</v>
      </c>
      <c r="I9" s="18"/>
      <c r="J9" s="18">
        <f>-$D15/$D$6</f>
        <v>-45000000</v>
      </c>
      <c r="K9" s="18">
        <f>-$D15/$D$6</f>
        <v>-45000000</v>
      </c>
      <c r="L9" s="18"/>
      <c r="M9" s="18"/>
      <c r="N9" s="18"/>
      <c r="O9" s="7" t="s">
        <v>0</v>
      </c>
    </row>
    <row r="10" spans="2:15" ht="15.6" customHeight="1" x14ac:dyDescent="0.3">
      <c r="B10" s="1" t="s">
        <v>23</v>
      </c>
      <c r="C10" s="20"/>
      <c r="D10" s="239">
        <v>100000</v>
      </c>
      <c r="E10" s="21"/>
      <c r="G10" s="27" t="s">
        <v>21</v>
      </c>
      <c r="H10" s="60">
        <f>SUM(I10:N10)</f>
        <v>-272800000</v>
      </c>
      <c r="I10" s="61">
        <f t="shared" ref="I10:J10" si="4">SUM(I7:I9)</f>
        <v>-85000000</v>
      </c>
      <c r="J10" s="61">
        <f t="shared" si="4"/>
        <v>-93900000</v>
      </c>
      <c r="K10" s="61">
        <f>SUM(K7:K9)</f>
        <v>-93900000</v>
      </c>
      <c r="L10" s="61">
        <f t="shared" ref="L10:N10" si="5">SUM(L7:L9)</f>
        <v>0</v>
      </c>
      <c r="M10" s="61">
        <f t="shared" si="5"/>
        <v>0</v>
      </c>
      <c r="N10" s="61">
        <f t="shared" si="5"/>
        <v>0</v>
      </c>
      <c r="O10" s="7" t="s">
        <v>0</v>
      </c>
    </row>
    <row r="11" spans="2:15" ht="15.6" customHeight="1" x14ac:dyDescent="0.3">
      <c r="B11" s="27" t="s">
        <v>99</v>
      </c>
      <c r="C11" s="30"/>
      <c r="D11" s="30">
        <f>SUM(D9:D10)</f>
        <v>263000</v>
      </c>
      <c r="E11" s="20"/>
      <c r="H11" s="11"/>
      <c r="I11" s="18"/>
      <c r="J11" s="18"/>
      <c r="K11" s="18"/>
      <c r="L11" s="18"/>
      <c r="M11" s="18"/>
      <c r="N11" s="18"/>
      <c r="O11" s="7" t="s">
        <v>0</v>
      </c>
    </row>
    <row r="12" spans="2:15" ht="15.6" customHeight="1" x14ac:dyDescent="0.3">
      <c r="C12" s="20"/>
      <c r="D12" s="20"/>
      <c r="E12" s="25"/>
      <c r="G12" s="1" t="s">
        <v>100</v>
      </c>
      <c r="H12" s="17">
        <f>SUM(I12:N12)</f>
        <v>394500000</v>
      </c>
      <c r="I12" s="18"/>
      <c r="J12" s="18"/>
      <c r="K12" s="18"/>
      <c r="L12" s="36">
        <f>$D$24/$D$7</f>
        <v>131500000</v>
      </c>
      <c r="M12" s="36">
        <f>$D$24/$D$7</f>
        <v>131500000</v>
      </c>
      <c r="N12" s="36">
        <f>$D$24/$D$7</f>
        <v>131500000</v>
      </c>
      <c r="O12" s="7" t="s">
        <v>0</v>
      </c>
    </row>
    <row r="13" spans="2:15" ht="15.6" customHeight="1" x14ac:dyDescent="0.3">
      <c r="B13" s="8" t="s">
        <v>29</v>
      </c>
      <c r="C13" s="8"/>
      <c r="D13" s="33">
        <v>85000000</v>
      </c>
      <c r="G13" s="1" t="s">
        <v>101</v>
      </c>
      <c r="H13" s="17">
        <f>SUM(I13:N13)</f>
        <v>-5000000</v>
      </c>
      <c r="I13" s="18"/>
      <c r="J13" s="18"/>
      <c r="K13" s="18"/>
      <c r="L13" s="18">
        <f>-$D$29/$D$7</f>
        <v>-1666666.6666666667</v>
      </c>
      <c r="M13" s="18">
        <f>-$D$29/$D$7</f>
        <v>-1666666.6666666667</v>
      </c>
      <c r="N13" s="18">
        <f>-$D$29/$D$7</f>
        <v>-1666666.6666666667</v>
      </c>
      <c r="O13" s="7" t="s">
        <v>0</v>
      </c>
    </row>
    <row r="14" spans="2:15" ht="15.6" customHeight="1" x14ac:dyDescent="0.3">
      <c r="B14" s="1" t="s">
        <v>32</v>
      </c>
      <c r="C14" s="223">
        <f>'Alternative Use Analysis'!$B$4</f>
        <v>600</v>
      </c>
      <c r="D14" s="29">
        <f>C14*D9</f>
        <v>97800000</v>
      </c>
      <c r="E14" s="25"/>
      <c r="G14" s="1" t="s">
        <v>102</v>
      </c>
      <c r="H14" s="17">
        <f>SUM(I14:N14)</f>
        <v>-23670000</v>
      </c>
      <c r="I14" s="18"/>
      <c r="J14" s="18"/>
      <c r="K14" s="18"/>
      <c r="L14" s="18">
        <f>-L12*$D$27</f>
        <v>-7890000</v>
      </c>
      <c r="M14" s="18">
        <f>-M12*$D$27</f>
        <v>-7890000</v>
      </c>
      <c r="N14" s="18">
        <f>-N12*$D$27</f>
        <v>-7890000</v>
      </c>
      <c r="O14" s="7" t="s">
        <v>0</v>
      </c>
    </row>
    <row r="15" spans="2:15" ht="15.6" customHeight="1" x14ac:dyDescent="0.3">
      <c r="B15" s="1" t="s">
        <v>33</v>
      </c>
      <c r="C15" s="223">
        <f>'Alternative Use Analysis'!$E$3</f>
        <v>900</v>
      </c>
      <c r="D15" s="29">
        <f>C15*D10</f>
        <v>90000000</v>
      </c>
      <c r="E15" s="20"/>
      <c r="G15" s="27" t="s">
        <v>103</v>
      </c>
      <c r="H15" s="35">
        <f>SUM(H12:H14)</f>
        <v>365830000</v>
      </c>
      <c r="I15" s="61">
        <f t="shared" ref="I15:N15" si="6">SUM(I12:I14)</f>
        <v>0</v>
      </c>
      <c r="J15" s="61">
        <f t="shared" si="6"/>
        <v>0</v>
      </c>
      <c r="K15" s="61">
        <f t="shared" si="6"/>
        <v>0</v>
      </c>
      <c r="L15" s="44">
        <f t="shared" si="6"/>
        <v>121943333.33333333</v>
      </c>
      <c r="M15" s="61">
        <f t="shared" si="6"/>
        <v>121943333.33333333</v>
      </c>
      <c r="N15" s="61">
        <f t="shared" si="6"/>
        <v>121943333.33333333</v>
      </c>
      <c r="O15" s="7" t="s">
        <v>0</v>
      </c>
    </row>
    <row r="16" spans="2:15" ht="15.6" customHeight="1" x14ac:dyDescent="0.3">
      <c r="B16" s="27" t="s">
        <v>35</v>
      </c>
      <c r="C16" s="27"/>
      <c r="D16" s="38">
        <f>SUM(D13:D15)</f>
        <v>272800000</v>
      </c>
      <c r="E16" s="20"/>
      <c r="H16" s="11"/>
      <c r="I16" s="18"/>
      <c r="J16" s="18"/>
      <c r="K16" s="18"/>
      <c r="L16" s="18"/>
      <c r="M16" s="18"/>
      <c r="N16" s="18"/>
      <c r="O16" s="7" t="s">
        <v>0</v>
      </c>
    </row>
    <row r="17" spans="2:15" ht="15.6" customHeight="1" x14ac:dyDescent="0.3">
      <c r="E17" s="20"/>
      <c r="G17" s="27" t="s">
        <v>59</v>
      </c>
      <c r="H17" s="43">
        <f>SUM(I17:N17)</f>
        <v>93029999.99999997</v>
      </c>
      <c r="I17" s="44">
        <f>SUM(I10,I15)</f>
        <v>-85000000</v>
      </c>
      <c r="J17" s="44">
        <f t="shared" ref="J17:N17" si="7">SUM(J10,J15)</f>
        <v>-93900000</v>
      </c>
      <c r="K17" s="44">
        <f t="shared" si="7"/>
        <v>-93900000</v>
      </c>
      <c r="L17" s="44">
        <f t="shared" si="7"/>
        <v>121943333.33333333</v>
      </c>
      <c r="M17" s="44">
        <f t="shared" si="7"/>
        <v>121943333.33333333</v>
      </c>
      <c r="N17" s="44">
        <f t="shared" si="7"/>
        <v>121943333.33333333</v>
      </c>
      <c r="O17" s="7" t="s">
        <v>0</v>
      </c>
    </row>
    <row r="18" spans="2:15" ht="15.6" customHeight="1" x14ac:dyDescent="0.3">
      <c r="B18" s="8" t="s">
        <v>41</v>
      </c>
      <c r="C18" s="8"/>
      <c r="D18" s="228">
        <v>0.7</v>
      </c>
      <c r="E18" s="28"/>
      <c r="G18" s="215" t="s">
        <v>60</v>
      </c>
      <c r="H18" s="229">
        <f ca="1">XIRR(I17:N17,$I$5:$N$5)</f>
        <v>0.10389446616172793</v>
      </c>
      <c r="I18" s="18"/>
      <c r="J18" s="18"/>
      <c r="K18" s="18"/>
      <c r="L18" s="18"/>
      <c r="M18" s="18"/>
      <c r="N18" s="18"/>
      <c r="O18" s="7" t="s">
        <v>0</v>
      </c>
    </row>
    <row r="19" spans="2:15" ht="15.6" customHeight="1" x14ac:dyDescent="0.3">
      <c r="B19" s="1" t="s">
        <v>42</v>
      </c>
      <c r="D19" s="114">
        <v>0.5</v>
      </c>
      <c r="E19" s="29"/>
      <c r="G19" s="215" t="s">
        <v>61</v>
      </c>
      <c r="H19" s="230">
        <f>SUM(I17:N17)</f>
        <v>93029999.99999997</v>
      </c>
      <c r="I19" s="18"/>
      <c r="J19" s="18"/>
      <c r="K19" s="18"/>
      <c r="L19" s="18"/>
      <c r="M19" s="18"/>
      <c r="N19" s="18"/>
      <c r="O19" s="7" t="s">
        <v>0</v>
      </c>
    </row>
    <row r="20" spans="2:15" ht="15.6" customHeight="1" x14ac:dyDescent="0.3">
      <c r="B20" s="1" t="s">
        <v>104</v>
      </c>
      <c r="C20" s="41"/>
      <c r="D20" s="29">
        <f>MIN(D18*D16,D19*D24)</f>
        <v>190960000</v>
      </c>
      <c r="E20" s="29"/>
      <c r="G20" s="218" t="s">
        <v>62</v>
      </c>
      <c r="H20" s="231">
        <f>-SUM(L17:N17)/SUM(I17:K17)</f>
        <v>1.3410190615835778</v>
      </c>
      <c r="I20" s="18"/>
      <c r="J20" s="18"/>
      <c r="K20" s="18"/>
      <c r="L20" s="18"/>
      <c r="M20" s="18"/>
      <c r="N20" s="18"/>
      <c r="O20" s="7" t="s">
        <v>0</v>
      </c>
    </row>
    <row r="21" spans="2:15" ht="15.6" customHeight="1" x14ac:dyDescent="0.3">
      <c r="B21" s="1" t="s">
        <v>67</v>
      </c>
      <c r="C21" s="53">
        <v>0.03</v>
      </c>
      <c r="D21" s="29">
        <f>C21*D20</f>
        <v>5728800</v>
      </c>
      <c r="E21" s="31"/>
      <c r="G21" s="218" t="s">
        <v>77</v>
      </c>
      <c r="H21" s="230">
        <f>NPV(10%,J17:N17)+I17</f>
        <v>2657042.3861591518</v>
      </c>
      <c r="I21" s="18"/>
      <c r="J21" s="18"/>
      <c r="K21" s="18"/>
      <c r="L21" s="18"/>
      <c r="M21" s="18"/>
      <c r="N21" s="18"/>
      <c r="O21" s="7" t="s">
        <v>0</v>
      </c>
    </row>
    <row r="22" spans="2:15" ht="15.6" customHeight="1" x14ac:dyDescent="0.3">
      <c r="B22" s="13" t="s">
        <v>105</v>
      </c>
      <c r="C22" s="148">
        <v>0.04</v>
      </c>
      <c r="D22" s="45">
        <f>C22*D20*D6</f>
        <v>15276800</v>
      </c>
      <c r="E22" s="29"/>
      <c r="G22" s="47"/>
      <c r="H22" s="46"/>
      <c r="I22" s="18"/>
      <c r="J22" s="18"/>
      <c r="K22" s="18"/>
      <c r="L22" s="18"/>
      <c r="M22" s="18"/>
      <c r="N22" s="18"/>
      <c r="O22" s="7" t="s">
        <v>0</v>
      </c>
    </row>
    <row r="23" spans="2:15" ht="15.6" customHeight="1" x14ac:dyDescent="0.3">
      <c r="C23" s="39"/>
      <c r="D23" s="39"/>
      <c r="E23" s="29"/>
      <c r="G23" s="1" t="s">
        <v>39</v>
      </c>
      <c r="H23" s="17">
        <f t="shared" ref="H23:H28" si="8">SUM(I23:N23)</f>
        <v>190960000</v>
      </c>
      <c r="I23" s="18"/>
      <c r="J23" s="18">
        <f>$D$20/$D$6</f>
        <v>95480000</v>
      </c>
      <c r="K23" s="18">
        <f>$D$20/$D$6</f>
        <v>95480000</v>
      </c>
      <c r="L23" s="18"/>
      <c r="M23" s="18"/>
      <c r="N23" s="18"/>
      <c r="O23" s="7" t="s">
        <v>0</v>
      </c>
    </row>
    <row r="24" spans="2:15" ht="15.6" customHeight="1" x14ac:dyDescent="0.3">
      <c r="B24" s="8" t="s">
        <v>106</v>
      </c>
      <c r="C24" s="9" t="s">
        <v>81</v>
      </c>
      <c r="D24" s="40">
        <f>IF(C24="Base",D11*'Alternative Use Analysis'!E6,D11*'Alternative Use Analysis'!E5)</f>
        <v>394500000</v>
      </c>
      <c r="E24" s="29"/>
      <c r="G24" s="1" t="s">
        <v>67</v>
      </c>
      <c r="H24" s="17">
        <f t="shared" si="8"/>
        <v>-5728800</v>
      </c>
      <c r="I24" s="18">
        <f>-D21</f>
        <v>-5728800</v>
      </c>
      <c r="J24" s="18"/>
      <c r="K24" s="18"/>
      <c r="L24" s="18"/>
      <c r="M24" s="18"/>
      <c r="N24" s="18"/>
      <c r="O24" s="7" t="s">
        <v>0</v>
      </c>
    </row>
    <row r="25" spans="2:15" ht="15.6" customHeight="1" x14ac:dyDescent="0.3">
      <c r="B25" s="1" t="s">
        <v>107</v>
      </c>
      <c r="C25" s="53">
        <v>0.5</v>
      </c>
      <c r="D25" s="42">
        <f>C25*D24</f>
        <v>197250000</v>
      </c>
      <c r="E25" s="31"/>
      <c r="G25" s="1" t="s">
        <v>68</v>
      </c>
      <c r="H25" s="17">
        <f t="shared" si="8"/>
        <v>-206236800</v>
      </c>
      <c r="I25" s="18"/>
      <c r="J25" s="18"/>
      <c r="K25" s="18">
        <f>-(D20+D22)</f>
        <v>-206236800</v>
      </c>
      <c r="L25" s="18"/>
      <c r="M25" s="18"/>
      <c r="N25" s="18"/>
      <c r="O25" s="7" t="s">
        <v>0</v>
      </c>
    </row>
    <row r="26" spans="2:15" ht="15.6" customHeight="1" x14ac:dyDescent="0.3">
      <c r="B26" s="1" t="s">
        <v>108</v>
      </c>
      <c r="D26" s="53">
        <v>0.1</v>
      </c>
      <c r="E26" s="21"/>
      <c r="G26" s="1" t="s">
        <v>109</v>
      </c>
      <c r="H26" s="17">
        <f>SUM(I26:N26)</f>
        <v>197250000</v>
      </c>
      <c r="I26" s="18"/>
      <c r="J26" s="18"/>
      <c r="K26" s="32">
        <f>D25</f>
        <v>197250000</v>
      </c>
      <c r="L26" s="18"/>
      <c r="M26" s="18"/>
      <c r="N26" s="18"/>
      <c r="O26" s="7" t="s">
        <v>0</v>
      </c>
    </row>
    <row r="27" spans="2:15" ht="15.6" customHeight="1" x14ac:dyDescent="0.3">
      <c r="B27" s="1" t="s">
        <v>102</v>
      </c>
      <c r="D27" s="53">
        <v>0.06</v>
      </c>
      <c r="F27" s="37"/>
      <c r="G27" s="1" t="s">
        <v>110</v>
      </c>
      <c r="H27" s="17">
        <f>SUM(I27:N27)</f>
        <v>39450000</v>
      </c>
      <c r="I27" s="18"/>
      <c r="J27" s="18"/>
      <c r="K27" s="18"/>
      <c r="L27" s="18">
        <f>K26*D26</f>
        <v>19725000</v>
      </c>
      <c r="M27" s="18">
        <f>$D$26*($K$26+M28)</f>
        <v>13150000</v>
      </c>
      <c r="N27" s="18">
        <f>$D$26*($K$26+N28+M28)</f>
        <v>6575000</v>
      </c>
    </row>
    <row r="28" spans="2:15" ht="15.6" customHeight="1" x14ac:dyDescent="0.3">
      <c r="B28" s="1" t="s">
        <v>111</v>
      </c>
      <c r="D28" s="53">
        <v>0.04</v>
      </c>
      <c r="E28" s="29"/>
      <c r="G28" s="1" t="s">
        <v>112</v>
      </c>
      <c r="H28" s="17">
        <f t="shared" si="8"/>
        <v>-197250000</v>
      </c>
      <c r="I28" s="18"/>
      <c r="J28" s="18"/>
      <c r="K28" s="18"/>
      <c r="L28" s="18">
        <f>-$K$26/COUNT($L$3:$N$3)</f>
        <v>-65750000</v>
      </c>
      <c r="M28" s="18">
        <f>-$K$26/COUNT($L$3:$N$3)</f>
        <v>-65750000</v>
      </c>
      <c r="N28" s="18">
        <f>-$K$26/COUNT($L$3:$N$3)</f>
        <v>-65750000</v>
      </c>
    </row>
    <row r="29" spans="2:15" ht="15.6" customHeight="1" x14ac:dyDescent="0.3">
      <c r="B29" s="13" t="s">
        <v>101</v>
      </c>
      <c r="C29" s="13"/>
      <c r="D29" s="51">
        <v>5000000</v>
      </c>
      <c r="E29" s="29"/>
      <c r="G29" s="27" t="s">
        <v>72</v>
      </c>
      <c r="H29" s="35">
        <f>SUM(H23:H28)</f>
        <v>18444400</v>
      </c>
      <c r="I29" s="61">
        <f t="shared" ref="I29:N29" si="9">SUM(I23:I28)</f>
        <v>-5728800</v>
      </c>
      <c r="J29" s="61">
        <f t="shared" si="9"/>
        <v>95480000</v>
      </c>
      <c r="K29" s="61">
        <f t="shared" si="9"/>
        <v>86493200</v>
      </c>
      <c r="L29" s="44">
        <f t="shared" si="9"/>
        <v>-46025000</v>
      </c>
      <c r="M29" s="44">
        <f t="shared" si="9"/>
        <v>-52600000</v>
      </c>
      <c r="N29" s="44">
        <f t="shared" si="9"/>
        <v>-59175000</v>
      </c>
    </row>
    <row r="30" spans="2:15" ht="15.6" customHeight="1" x14ac:dyDescent="0.3">
      <c r="E30" s="29"/>
      <c r="H30" s="11"/>
      <c r="I30" s="18"/>
      <c r="J30" s="18"/>
      <c r="K30" s="18"/>
      <c r="L30" s="18"/>
      <c r="M30" s="18"/>
      <c r="N30" s="18"/>
    </row>
    <row r="31" spans="2:15" ht="15.6" customHeight="1" x14ac:dyDescent="0.3">
      <c r="B31" s="3" t="s">
        <v>113</v>
      </c>
      <c r="C31" s="3"/>
      <c r="D31" s="3"/>
      <c r="E31" s="39"/>
      <c r="G31" s="27" t="s">
        <v>75</v>
      </c>
      <c r="H31" s="43">
        <f>SUM(I31:N31)</f>
        <v>111474399.99999999</v>
      </c>
      <c r="I31" s="44">
        <f t="shared" ref="I31:N31" si="10">SUM(I10,I29,I15)</f>
        <v>-90728800</v>
      </c>
      <c r="J31" s="44">
        <f t="shared" si="10"/>
        <v>1580000</v>
      </c>
      <c r="K31" s="44">
        <f t="shared" si="10"/>
        <v>-7406800</v>
      </c>
      <c r="L31" s="44">
        <f t="shared" si="10"/>
        <v>75918333.333333328</v>
      </c>
      <c r="M31" s="44">
        <f t="shared" si="10"/>
        <v>69343333.333333328</v>
      </c>
      <c r="N31" s="44">
        <f t="shared" si="10"/>
        <v>62768333.333333328</v>
      </c>
    </row>
    <row r="32" spans="2:15" ht="15.6" customHeight="1" x14ac:dyDescent="0.3">
      <c r="B32" s="1" t="s">
        <v>114</v>
      </c>
      <c r="D32" s="52">
        <v>51155730</v>
      </c>
      <c r="E32" s="39"/>
      <c r="G32" s="215" t="s">
        <v>76</v>
      </c>
      <c r="H32" s="229">
        <f ca="1">XIRR(I31:N31,$I$5:$N$5)</f>
        <v>0.226424378156662</v>
      </c>
    </row>
    <row r="33" spans="2:10" ht="15.6" customHeight="1" x14ac:dyDescent="0.3">
      <c r="B33" s="1" t="s">
        <v>115</v>
      </c>
      <c r="D33" s="53">
        <v>0.10646</v>
      </c>
      <c r="E33" s="29"/>
      <c r="G33" s="215" t="s">
        <v>61</v>
      </c>
      <c r="H33" s="230">
        <f>SUM(I31:N31)</f>
        <v>111474399.99999999</v>
      </c>
      <c r="I33" s="37"/>
    </row>
    <row r="34" spans="2:10" ht="15.6" customHeight="1" x14ac:dyDescent="0.3">
      <c r="B34" s="1" t="s">
        <v>116</v>
      </c>
      <c r="D34" s="18">
        <f>D32*D33</f>
        <v>5446039.0158000002</v>
      </c>
      <c r="E34" s="42"/>
      <c r="G34" s="218" t="s">
        <v>62</v>
      </c>
      <c r="H34" s="231">
        <f>-SUM(L31:N31)/SUM(I31:K31)</f>
        <v>2.1545099403866788</v>
      </c>
      <c r="I34" s="20"/>
    </row>
    <row r="35" spans="2:10" ht="15.6" customHeight="1" x14ac:dyDescent="0.3">
      <c r="B35" s="13" t="s">
        <v>117</v>
      </c>
      <c r="C35" s="13"/>
      <c r="D35" s="54">
        <v>0.02</v>
      </c>
      <c r="G35" s="218" t="s">
        <v>77</v>
      </c>
      <c r="H35" s="230">
        <f>NPV(10%,J31:N31)+I31</f>
        <v>47961435.101510227</v>
      </c>
      <c r="I35" s="20"/>
    </row>
    <row r="36" spans="2:10" ht="15.6" customHeight="1" x14ac:dyDescent="0.3">
      <c r="E36" s="41"/>
      <c r="G36" s="34"/>
      <c r="H36" s="48"/>
    </row>
    <row r="37" spans="2:10" ht="15.6" customHeight="1" x14ac:dyDescent="0.3">
      <c r="B37" s="8" t="s">
        <v>35</v>
      </c>
      <c r="C37" s="8"/>
      <c r="D37" s="40">
        <f>D16</f>
        <v>272800000</v>
      </c>
      <c r="E37" s="41"/>
      <c r="G37" s="62" t="s">
        <v>63</v>
      </c>
      <c r="H37" s="65"/>
      <c r="I37" s="49"/>
      <c r="J37" s="50"/>
    </row>
    <row r="38" spans="2:10" ht="15.6" customHeight="1" x14ac:dyDescent="0.3">
      <c r="B38" s="1" t="s">
        <v>36</v>
      </c>
      <c r="D38" s="29">
        <f>SUM(D21:D22)</f>
        <v>21005600</v>
      </c>
      <c r="G38" s="63" t="s">
        <v>65</v>
      </c>
      <c r="H38" s="31">
        <f>D20</f>
        <v>190960000</v>
      </c>
    </row>
    <row r="39" spans="2:10" ht="15.6" customHeight="1" x14ac:dyDescent="0.3">
      <c r="B39" s="27" t="s">
        <v>37</v>
      </c>
      <c r="C39" s="27"/>
      <c r="D39" s="56">
        <f>SUM(D37:D38)</f>
        <v>293805600</v>
      </c>
      <c r="G39" s="1" t="s">
        <v>66</v>
      </c>
      <c r="H39" s="31">
        <f>D39-H38</f>
        <v>102845600</v>
      </c>
    </row>
    <row r="40" spans="2:10" ht="15.6" customHeight="1" x14ac:dyDescent="0.3">
      <c r="B40" s="1" t="s">
        <v>118</v>
      </c>
      <c r="D40" s="67">
        <f>D39/D11</f>
        <v>1117.1315589353612</v>
      </c>
      <c r="G40" s="27" t="s">
        <v>2</v>
      </c>
      <c r="H40" s="38">
        <f>SUM(H38:H39)</f>
        <v>293805600</v>
      </c>
    </row>
    <row r="41" spans="2:10" ht="15.6" customHeight="1" x14ac:dyDescent="0.3">
      <c r="E41" s="39"/>
      <c r="H41" s="26"/>
    </row>
    <row r="42" spans="2:10" ht="15.6" customHeight="1" x14ac:dyDescent="0.3">
      <c r="G42" s="62" t="s">
        <v>69</v>
      </c>
      <c r="H42" s="66"/>
    </row>
    <row r="43" spans="2:10" ht="15.6" customHeight="1" x14ac:dyDescent="0.3">
      <c r="G43" s="63" t="s">
        <v>119</v>
      </c>
      <c r="H43" s="31">
        <f>SUM(D13:D13)</f>
        <v>85000000</v>
      </c>
    </row>
    <row r="44" spans="2:10" ht="15.6" customHeight="1" x14ac:dyDescent="0.3">
      <c r="G44" s="1" t="s">
        <v>32</v>
      </c>
      <c r="H44" s="31">
        <f>SUM(D14:D14)</f>
        <v>97800000</v>
      </c>
    </row>
    <row r="45" spans="2:10" ht="15.6" customHeight="1" x14ac:dyDescent="0.3">
      <c r="D45" s="55"/>
      <c r="G45" s="1" t="s">
        <v>33</v>
      </c>
      <c r="H45" s="31">
        <f>SUM(D15:D15)</f>
        <v>90000000</v>
      </c>
    </row>
    <row r="46" spans="2:10" ht="15.6" customHeight="1" x14ac:dyDescent="0.3">
      <c r="G46" s="1" t="s">
        <v>120</v>
      </c>
      <c r="H46" s="31">
        <f>SUM(D21:D22)</f>
        <v>21005600</v>
      </c>
    </row>
    <row r="47" spans="2:10" ht="15.6" customHeight="1" x14ac:dyDescent="0.3">
      <c r="G47" s="27" t="s">
        <v>2</v>
      </c>
      <c r="H47" s="38">
        <f>SUM(H43:H46)</f>
        <v>293805600</v>
      </c>
    </row>
    <row r="48" spans="2:10" ht="15.6" customHeight="1" x14ac:dyDescent="0.3"/>
    <row r="49" spans="5:5" ht="15.6" customHeight="1" x14ac:dyDescent="0.3">
      <c r="E49" s="39"/>
    </row>
    <row r="50" spans="5:5" ht="15.6" customHeight="1" x14ac:dyDescent="0.3"/>
    <row r="51" spans="5:5" ht="15.6" customHeight="1" x14ac:dyDescent="0.3">
      <c r="E51" s="55"/>
    </row>
    <row r="52" spans="5:5" ht="15.6" customHeight="1" x14ac:dyDescent="0.3"/>
    <row r="53" spans="5:5" ht="15.6" customHeight="1" x14ac:dyDescent="0.3"/>
    <row r="54" spans="5:5" ht="15.6" customHeight="1" x14ac:dyDescent="0.3"/>
    <row r="55" spans="5:5" ht="15.6" customHeight="1" x14ac:dyDescent="0.3"/>
    <row r="56" spans="5:5" ht="15.6" customHeight="1" x14ac:dyDescent="0.3"/>
    <row r="57" spans="5:5" ht="15.6" customHeight="1" x14ac:dyDescent="0.3"/>
    <row r="58" spans="5:5" ht="15.6" customHeight="1" x14ac:dyDescent="0.3"/>
    <row r="59" spans="5:5" ht="15.6" customHeight="1" x14ac:dyDescent="0.3"/>
    <row r="60" spans="5:5" ht="15.6" customHeight="1" x14ac:dyDescent="0.3"/>
    <row r="61" spans="5:5" ht="15.6" customHeight="1" x14ac:dyDescent="0.3"/>
    <row r="62" spans="5:5" ht="15.6" customHeight="1" x14ac:dyDescent="0.3"/>
    <row r="63" spans="5:5" ht="15.6" customHeight="1" x14ac:dyDescent="0.3"/>
    <row r="64" spans="5:5" ht="15.6" customHeight="1" x14ac:dyDescent="0.3"/>
    <row r="65" ht="15.6" customHeight="1" x14ac:dyDescent="0.3"/>
    <row r="66" ht="15.6" customHeight="1" x14ac:dyDescent="0.3"/>
    <row r="67" ht="15.6" customHeight="1" x14ac:dyDescent="0.3"/>
    <row r="68" ht="15.6" customHeight="1" x14ac:dyDescent="0.3"/>
    <row r="69" ht="15.6" customHeight="1" x14ac:dyDescent="0.3"/>
    <row r="70" ht="15.6" customHeight="1" x14ac:dyDescent="0.3"/>
    <row r="71" ht="15.6" customHeight="1" x14ac:dyDescent="0.3"/>
    <row r="72" ht="15.6" customHeight="1" x14ac:dyDescent="0.3"/>
    <row r="73" ht="15.6" customHeight="1" x14ac:dyDescent="0.3"/>
    <row r="74" ht="15.6" customHeight="1" x14ac:dyDescent="0.3"/>
    <row r="75" ht="15.6" customHeight="1" x14ac:dyDescent="0.3"/>
    <row r="76" ht="15.6" customHeight="1" x14ac:dyDescent="0.3"/>
    <row r="77" ht="15.6" customHeight="1" x14ac:dyDescent="0.3"/>
    <row r="78" ht="15.6" customHeight="1" x14ac:dyDescent="0.3"/>
    <row r="79" ht="15.6" customHeight="1" x14ac:dyDescent="0.3"/>
    <row r="80" ht="15.6" customHeight="1" x14ac:dyDescent="0.3"/>
    <row r="81" ht="15.6" customHeight="1" x14ac:dyDescent="0.3"/>
    <row r="82" ht="15.6" customHeight="1" x14ac:dyDescent="0.3"/>
    <row r="83" ht="15.6" customHeight="1" x14ac:dyDescent="0.3"/>
    <row r="84" ht="15.6" customHeight="1" x14ac:dyDescent="0.3"/>
    <row r="85" ht="15.6" customHeight="1" x14ac:dyDescent="0.3"/>
    <row r="86" ht="15.6" customHeight="1" x14ac:dyDescent="0.3"/>
    <row r="87" ht="15.6" customHeight="1" x14ac:dyDescent="0.3"/>
    <row r="88" ht="15.6" customHeight="1" x14ac:dyDescent="0.3"/>
    <row r="89" ht="15.6" customHeight="1" x14ac:dyDescent="0.3"/>
    <row r="90" ht="15.6" customHeight="1" x14ac:dyDescent="0.3"/>
    <row r="91" ht="15.6" customHeight="1" x14ac:dyDescent="0.3"/>
    <row r="92" ht="15.6" customHeight="1" x14ac:dyDescent="0.3"/>
    <row r="93" ht="15.6" customHeight="1" x14ac:dyDescent="0.3"/>
    <row r="94" ht="15.6" customHeight="1" x14ac:dyDescent="0.3"/>
    <row r="95" ht="15.6" customHeight="1" x14ac:dyDescent="0.3"/>
    <row r="96" ht="15.6" customHeight="1" x14ac:dyDescent="0.3"/>
    <row r="97" ht="15.6" customHeight="1" x14ac:dyDescent="0.3"/>
    <row r="98" ht="15.6" customHeight="1" x14ac:dyDescent="0.3"/>
    <row r="99" ht="15.6" customHeight="1" x14ac:dyDescent="0.3"/>
    <row r="100" ht="15.6" customHeight="1" x14ac:dyDescent="0.3"/>
    <row r="101" ht="15.6" customHeight="1" x14ac:dyDescent="0.3"/>
    <row r="102" ht="15.6" customHeight="1" x14ac:dyDescent="0.3"/>
    <row r="103" ht="15.6" customHeight="1" x14ac:dyDescent="0.3"/>
    <row r="104" ht="15.6" customHeight="1" x14ac:dyDescent="0.3"/>
    <row r="105" ht="15.6" customHeight="1" x14ac:dyDescent="0.3"/>
    <row r="106" ht="15.6" customHeight="1" x14ac:dyDescent="0.3"/>
    <row r="107" ht="15.6" customHeight="1" x14ac:dyDescent="0.3"/>
    <row r="108" ht="15.6" customHeight="1" x14ac:dyDescent="0.3"/>
    <row r="109" ht="15.6" customHeight="1" x14ac:dyDescent="0.3"/>
    <row r="110" ht="15.6" customHeight="1" x14ac:dyDescent="0.3"/>
    <row r="111" ht="15.6" customHeight="1" x14ac:dyDescent="0.3"/>
    <row r="112" ht="15.6" customHeight="1" x14ac:dyDescent="0.3"/>
    <row r="113" ht="15.6" customHeight="1" x14ac:dyDescent="0.3"/>
    <row r="114" ht="15.6" customHeight="1" x14ac:dyDescent="0.3"/>
    <row r="115" ht="15.6" customHeight="1" x14ac:dyDescent="0.3"/>
    <row r="116" ht="15.6" customHeight="1" x14ac:dyDescent="0.3"/>
    <row r="117" ht="15.6" customHeight="1" x14ac:dyDescent="0.3"/>
    <row r="118" ht="15.6" customHeight="1" x14ac:dyDescent="0.3"/>
    <row r="119" ht="15.6" customHeight="1" x14ac:dyDescent="0.3"/>
    <row r="120" ht="15.6" customHeight="1" x14ac:dyDescent="0.3"/>
    <row r="121" ht="15.6" customHeight="1" x14ac:dyDescent="0.3"/>
    <row r="122" ht="15.6" customHeight="1" x14ac:dyDescent="0.3"/>
    <row r="123" ht="15.6" customHeight="1" x14ac:dyDescent="0.3"/>
    <row r="124" ht="15.6" customHeight="1" x14ac:dyDescent="0.3"/>
    <row r="125" ht="15.6" customHeight="1" x14ac:dyDescent="0.3"/>
    <row r="126" ht="15.6" customHeight="1" x14ac:dyDescent="0.3"/>
    <row r="127" ht="15.6" customHeight="1" x14ac:dyDescent="0.3"/>
    <row r="128" ht="15.6" customHeight="1" x14ac:dyDescent="0.3"/>
    <row r="129" ht="15.6" customHeight="1" x14ac:dyDescent="0.3"/>
    <row r="130" ht="15.6" customHeight="1" x14ac:dyDescent="0.3"/>
    <row r="131" ht="15.6" customHeight="1" x14ac:dyDescent="0.3"/>
    <row r="132" ht="15.6" customHeight="1" x14ac:dyDescent="0.3"/>
    <row r="133" ht="15.6" customHeight="1" x14ac:dyDescent="0.3"/>
    <row r="134" ht="15.6" customHeight="1" x14ac:dyDescent="0.3"/>
    <row r="135" ht="15.6" customHeight="1" x14ac:dyDescent="0.3"/>
    <row r="136" ht="15.6" customHeight="1" x14ac:dyDescent="0.3"/>
    <row r="137" ht="15.6" customHeight="1" x14ac:dyDescent="0.3"/>
    <row r="138" ht="15.6" customHeight="1" x14ac:dyDescent="0.3"/>
    <row r="139" ht="15.6" customHeight="1" x14ac:dyDescent="0.3"/>
    <row r="140" ht="15.6" customHeight="1" x14ac:dyDescent="0.3"/>
    <row r="141" ht="15.6" customHeight="1" x14ac:dyDescent="0.3"/>
    <row r="142" ht="15.6" customHeight="1" x14ac:dyDescent="0.3"/>
    <row r="143" ht="15.6" customHeight="1" x14ac:dyDescent="0.3"/>
    <row r="144" ht="15.6" customHeight="1" x14ac:dyDescent="0.3"/>
    <row r="145" ht="15.6" customHeight="1" x14ac:dyDescent="0.3"/>
    <row r="146" ht="15.6" customHeight="1" x14ac:dyDescent="0.3"/>
    <row r="147" ht="15.6" customHeight="1" x14ac:dyDescent="0.3"/>
    <row r="148" ht="15.6" customHeight="1" x14ac:dyDescent="0.3"/>
    <row r="149" ht="15.6" customHeight="1" x14ac:dyDescent="0.3"/>
    <row r="150" ht="15.6" customHeight="1" x14ac:dyDescent="0.3"/>
    <row r="151" ht="15.6" customHeight="1" x14ac:dyDescent="0.3"/>
    <row r="152" ht="15.6" customHeight="1" x14ac:dyDescent="0.3"/>
    <row r="153" ht="15.6" customHeight="1" x14ac:dyDescent="0.3"/>
    <row r="154" ht="15.6" customHeight="1" x14ac:dyDescent="0.3"/>
    <row r="155" ht="15.6" customHeight="1" x14ac:dyDescent="0.3"/>
    <row r="156" ht="15.6" customHeight="1" x14ac:dyDescent="0.3"/>
    <row r="157" ht="15.6" customHeight="1" x14ac:dyDescent="0.3"/>
    <row r="158" ht="15.6" customHeight="1" x14ac:dyDescent="0.3"/>
    <row r="159" ht="15.6" customHeight="1" x14ac:dyDescent="0.3"/>
    <row r="160" ht="15.6" customHeight="1" x14ac:dyDescent="0.3"/>
    <row r="161" ht="15.6" customHeight="1" x14ac:dyDescent="0.3"/>
    <row r="162" ht="15.6" customHeight="1" x14ac:dyDescent="0.3"/>
    <row r="163" ht="15.6" customHeight="1" x14ac:dyDescent="0.3"/>
    <row r="164" ht="15.6" customHeight="1" x14ac:dyDescent="0.3"/>
    <row r="165" ht="15.6" customHeight="1" x14ac:dyDescent="0.3"/>
    <row r="166" ht="15.6" customHeight="1" x14ac:dyDescent="0.3"/>
    <row r="167" ht="15.6" customHeight="1" x14ac:dyDescent="0.3"/>
    <row r="168" ht="15.6" customHeight="1" x14ac:dyDescent="0.3"/>
    <row r="169" ht="15.6" customHeight="1" x14ac:dyDescent="0.3"/>
    <row r="170" ht="15.6" customHeight="1" x14ac:dyDescent="0.3"/>
    <row r="171" ht="15.6" customHeight="1" x14ac:dyDescent="0.3"/>
    <row r="172" ht="15.6" customHeight="1" x14ac:dyDescent="0.3"/>
    <row r="173" ht="15.6" customHeight="1" x14ac:dyDescent="0.3"/>
    <row r="174" ht="15.6" customHeight="1" x14ac:dyDescent="0.3"/>
    <row r="175" ht="15.6" customHeight="1" x14ac:dyDescent="0.3"/>
    <row r="176" ht="15.6" customHeight="1" x14ac:dyDescent="0.3"/>
    <row r="177" ht="15.6" customHeight="1" x14ac:dyDescent="0.3"/>
    <row r="178" ht="15.6" customHeight="1" x14ac:dyDescent="0.3"/>
    <row r="179" ht="15.6" customHeight="1" x14ac:dyDescent="0.3"/>
    <row r="180" ht="15.6" customHeight="1" x14ac:dyDescent="0.3"/>
    <row r="181" ht="15.6" customHeight="1" x14ac:dyDescent="0.3"/>
    <row r="182" ht="15.6" customHeight="1" x14ac:dyDescent="0.3"/>
    <row r="183" ht="15.6" customHeight="1" x14ac:dyDescent="0.3"/>
    <row r="184" ht="15.6" customHeight="1" x14ac:dyDescent="0.3"/>
    <row r="185" ht="15.6" customHeight="1" x14ac:dyDescent="0.3"/>
    <row r="186" ht="15.6" customHeight="1" x14ac:dyDescent="0.3"/>
    <row r="187" ht="15.6" customHeight="1" x14ac:dyDescent="0.3"/>
    <row r="188" ht="15.6" customHeight="1" x14ac:dyDescent="0.3"/>
    <row r="189" ht="15.6" customHeight="1" x14ac:dyDescent="0.3"/>
    <row r="190" ht="15.6" customHeight="1" x14ac:dyDescent="0.3"/>
    <row r="191" ht="15.6" customHeight="1" x14ac:dyDescent="0.3"/>
    <row r="192" ht="15.6" customHeight="1" x14ac:dyDescent="0.3"/>
    <row r="193" ht="15.6" customHeight="1" x14ac:dyDescent="0.3"/>
    <row r="194" ht="15.6" customHeight="1" x14ac:dyDescent="0.3"/>
    <row r="195" ht="15.6" customHeight="1" x14ac:dyDescent="0.3"/>
    <row r="196" ht="15.6" customHeight="1" x14ac:dyDescent="0.3"/>
    <row r="197" ht="15.6" customHeight="1" x14ac:dyDescent="0.3"/>
    <row r="198" ht="15.6" customHeight="1" x14ac:dyDescent="0.3"/>
    <row r="199" ht="15.6" customHeight="1" x14ac:dyDescent="0.3"/>
    <row r="200" ht="15.6" customHeight="1" x14ac:dyDescent="0.3"/>
    <row r="201" ht="15.6" customHeight="1" x14ac:dyDescent="0.3"/>
    <row r="202" ht="15.6" customHeight="1" x14ac:dyDescent="0.3"/>
    <row r="203" ht="15.6" customHeight="1" x14ac:dyDescent="0.3"/>
    <row r="204" ht="15.6" customHeight="1" x14ac:dyDescent="0.3"/>
    <row r="205" ht="15.6" customHeight="1" x14ac:dyDescent="0.3"/>
    <row r="206" ht="15.6" customHeight="1" x14ac:dyDescent="0.3"/>
    <row r="207" ht="15.6" customHeight="1" x14ac:dyDescent="0.3"/>
    <row r="208" ht="15.6" customHeight="1" x14ac:dyDescent="0.3"/>
    <row r="209" ht="15.6" customHeight="1" x14ac:dyDescent="0.3"/>
    <row r="210" ht="15.6" customHeight="1" x14ac:dyDescent="0.3"/>
    <row r="211" ht="15.6" customHeight="1" x14ac:dyDescent="0.3"/>
    <row r="212" ht="15.6" customHeight="1" x14ac:dyDescent="0.3"/>
    <row r="213" ht="15.6" customHeight="1" x14ac:dyDescent="0.3"/>
    <row r="214" ht="15.6" customHeight="1" x14ac:dyDescent="0.3"/>
    <row r="215" ht="15.6" customHeight="1" x14ac:dyDescent="0.3"/>
    <row r="216" ht="15.6" customHeight="1" x14ac:dyDescent="0.3"/>
    <row r="217" ht="15.6" customHeight="1" x14ac:dyDescent="0.3"/>
    <row r="218" ht="15.6" customHeight="1" x14ac:dyDescent="0.3"/>
    <row r="219" ht="15.6" customHeight="1" x14ac:dyDescent="0.3"/>
    <row r="220" ht="15.6" customHeight="1" x14ac:dyDescent="0.3"/>
    <row r="221" ht="15.6" customHeight="1" x14ac:dyDescent="0.3"/>
    <row r="222" ht="15.6" customHeight="1" x14ac:dyDescent="0.3"/>
    <row r="223" ht="15.6" customHeight="1" x14ac:dyDescent="0.3"/>
    <row r="224" ht="15.6" customHeight="1" x14ac:dyDescent="0.3"/>
    <row r="225" ht="15.6" customHeight="1" x14ac:dyDescent="0.3"/>
    <row r="226" ht="15.6" customHeight="1" x14ac:dyDescent="0.3"/>
    <row r="227" ht="15.6" customHeight="1" x14ac:dyDescent="0.3"/>
    <row r="228" ht="15.6" customHeight="1" x14ac:dyDescent="0.3"/>
    <row r="229" ht="15.6" customHeight="1" x14ac:dyDescent="0.3"/>
    <row r="230" ht="15.6" customHeight="1" x14ac:dyDescent="0.3"/>
    <row r="231" ht="15.6" customHeight="1" x14ac:dyDescent="0.3"/>
    <row r="232" ht="15.6" customHeight="1" x14ac:dyDescent="0.3"/>
    <row r="233" ht="15.6" customHeight="1" x14ac:dyDescent="0.3"/>
    <row r="234" ht="15.6" customHeight="1" x14ac:dyDescent="0.3"/>
    <row r="235" ht="15.6" customHeight="1" x14ac:dyDescent="0.3"/>
    <row r="236" ht="15.6" customHeight="1" x14ac:dyDescent="0.3"/>
    <row r="237" ht="15.6" customHeight="1" x14ac:dyDescent="0.3"/>
    <row r="238" ht="15.6" customHeight="1" x14ac:dyDescent="0.3"/>
    <row r="239" ht="15.6" customHeight="1" x14ac:dyDescent="0.3"/>
    <row r="240" ht="15.6" customHeight="1" x14ac:dyDescent="0.3"/>
    <row r="241" ht="15.6" customHeight="1" x14ac:dyDescent="0.3"/>
    <row r="242" ht="15.6" customHeight="1" x14ac:dyDescent="0.3"/>
    <row r="243" ht="15.6" customHeight="1" x14ac:dyDescent="0.3"/>
    <row r="244" ht="15.6" customHeight="1" x14ac:dyDescent="0.3"/>
    <row r="245" ht="15.6" customHeight="1" x14ac:dyDescent="0.3"/>
    <row r="246" ht="15.6" customHeight="1" x14ac:dyDescent="0.3"/>
    <row r="247" ht="15.6" customHeight="1" x14ac:dyDescent="0.3"/>
    <row r="248" ht="15.6" customHeight="1" x14ac:dyDescent="0.3"/>
    <row r="249" ht="15.6" customHeight="1" x14ac:dyDescent="0.3"/>
    <row r="250" ht="15.6" customHeight="1" x14ac:dyDescent="0.3"/>
    <row r="251" ht="15.6" customHeight="1" x14ac:dyDescent="0.3"/>
    <row r="252" ht="15.6" customHeight="1" x14ac:dyDescent="0.3"/>
    <row r="253" ht="15.6" customHeight="1" x14ac:dyDescent="0.3"/>
    <row r="254" ht="15.6" customHeight="1" x14ac:dyDescent="0.3"/>
    <row r="255" ht="15.6" customHeight="1" x14ac:dyDescent="0.3"/>
    <row r="256" ht="15.6" customHeight="1" x14ac:dyDescent="0.3"/>
    <row r="257" ht="15.6" customHeight="1" x14ac:dyDescent="0.3"/>
    <row r="258" ht="15.6" customHeight="1" x14ac:dyDescent="0.3"/>
    <row r="259" ht="15.6" customHeight="1" x14ac:dyDescent="0.3"/>
    <row r="260" ht="15.6" customHeight="1" x14ac:dyDescent="0.3"/>
    <row r="261" ht="15.6" customHeight="1" x14ac:dyDescent="0.3"/>
    <row r="262" ht="15.6" customHeight="1" x14ac:dyDescent="0.3"/>
    <row r="263" ht="15.6" customHeight="1" x14ac:dyDescent="0.3"/>
    <row r="264" ht="15.6" customHeight="1" x14ac:dyDescent="0.3"/>
    <row r="265" ht="15.6" customHeight="1" x14ac:dyDescent="0.3"/>
    <row r="266" ht="15.6" customHeight="1" x14ac:dyDescent="0.3"/>
    <row r="267" ht="15.6" customHeight="1" x14ac:dyDescent="0.3"/>
    <row r="268" ht="15.6" customHeight="1" x14ac:dyDescent="0.3"/>
    <row r="269" ht="15.6" customHeight="1" x14ac:dyDescent="0.3"/>
    <row r="270" ht="15.6" customHeight="1" x14ac:dyDescent="0.3"/>
    <row r="271" ht="15.6" customHeight="1" x14ac:dyDescent="0.3"/>
    <row r="272" ht="15.6" customHeight="1" x14ac:dyDescent="0.3"/>
    <row r="273" ht="15.6" customHeight="1" x14ac:dyDescent="0.3"/>
    <row r="274" ht="15.6" customHeight="1" x14ac:dyDescent="0.3"/>
    <row r="275" ht="15.6" customHeight="1" x14ac:dyDescent="0.3"/>
    <row r="276" ht="15.6" customHeight="1" x14ac:dyDescent="0.3"/>
    <row r="277" ht="15.6" customHeight="1" x14ac:dyDescent="0.3"/>
    <row r="278" ht="15.6" customHeight="1" x14ac:dyDescent="0.3"/>
    <row r="279" ht="15.6" customHeight="1" x14ac:dyDescent="0.3"/>
    <row r="280" ht="15.6" customHeight="1" x14ac:dyDescent="0.3"/>
    <row r="281" ht="15.6" customHeight="1" x14ac:dyDescent="0.3"/>
    <row r="282" ht="15.6" customHeight="1" x14ac:dyDescent="0.3"/>
    <row r="283" ht="15.6" customHeight="1" x14ac:dyDescent="0.3"/>
    <row r="284" ht="15.6" customHeight="1" x14ac:dyDescent="0.3"/>
    <row r="285" ht="15.6" customHeight="1" x14ac:dyDescent="0.3"/>
    <row r="286" ht="15.6" customHeight="1" x14ac:dyDescent="0.3"/>
    <row r="287" ht="15.6" customHeight="1" x14ac:dyDescent="0.3"/>
    <row r="288" ht="15.6" customHeight="1" x14ac:dyDescent="0.3"/>
    <row r="289" ht="15.6" customHeight="1" x14ac:dyDescent="0.3"/>
    <row r="290" ht="15.6" customHeight="1" x14ac:dyDescent="0.3"/>
    <row r="291" ht="15.6" customHeight="1" x14ac:dyDescent="0.3"/>
    <row r="292" ht="15.6" customHeight="1" x14ac:dyDescent="0.3"/>
    <row r="293" ht="15.6" customHeight="1" x14ac:dyDescent="0.3"/>
    <row r="294" ht="15.6" customHeight="1" x14ac:dyDescent="0.3"/>
    <row r="295" ht="15.6" customHeight="1" x14ac:dyDescent="0.3"/>
    <row r="296" ht="15.6" customHeight="1" x14ac:dyDescent="0.3"/>
    <row r="297" ht="15.6" customHeight="1" x14ac:dyDescent="0.3"/>
    <row r="298" ht="15.6" customHeight="1" x14ac:dyDescent="0.3"/>
    <row r="299" ht="15.6" customHeight="1" x14ac:dyDescent="0.3"/>
    <row r="300" ht="15.6" customHeight="1" x14ac:dyDescent="0.3"/>
    <row r="301" ht="15.6" customHeight="1" x14ac:dyDescent="0.3"/>
    <row r="302" ht="15.6" customHeight="1" x14ac:dyDescent="0.3"/>
    <row r="303" ht="15.6" customHeight="1" x14ac:dyDescent="0.3"/>
    <row r="304" ht="15.6" customHeight="1" x14ac:dyDescent="0.3"/>
    <row r="305" ht="15.6" customHeight="1" x14ac:dyDescent="0.3"/>
    <row r="306" ht="15.6" customHeight="1" x14ac:dyDescent="0.3"/>
    <row r="307" ht="15.6" customHeight="1" x14ac:dyDescent="0.3"/>
    <row r="308" ht="15.6" customHeight="1" x14ac:dyDescent="0.3"/>
    <row r="309" ht="15.6" customHeight="1" x14ac:dyDescent="0.3"/>
    <row r="310" ht="15.6" customHeight="1" x14ac:dyDescent="0.3"/>
    <row r="311" ht="15.6" customHeight="1" x14ac:dyDescent="0.3"/>
    <row r="312" ht="15.6" customHeight="1" x14ac:dyDescent="0.3"/>
    <row r="313" ht="15.6" customHeight="1" x14ac:dyDescent="0.3"/>
    <row r="314" ht="15.6" customHeight="1" x14ac:dyDescent="0.3"/>
    <row r="315" ht="15.6" customHeight="1" x14ac:dyDescent="0.3"/>
    <row r="316" ht="15.6" customHeight="1" x14ac:dyDescent="0.3"/>
    <row r="317" ht="15.6" customHeight="1" x14ac:dyDescent="0.3"/>
    <row r="318" ht="15.6" customHeight="1" x14ac:dyDescent="0.3"/>
    <row r="319" ht="15.6" customHeight="1" x14ac:dyDescent="0.3"/>
    <row r="320" ht="15.6" customHeight="1" x14ac:dyDescent="0.3"/>
    <row r="321" ht="15.6" customHeight="1" x14ac:dyDescent="0.3"/>
    <row r="322" ht="15.6" customHeight="1" x14ac:dyDescent="0.3"/>
    <row r="323" ht="15.6" customHeight="1" x14ac:dyDescent="0.3"/>
    <row r="324" ht="15.6" customHeight="1" x14ac:dyDescent="0.3"/>
    <row r="325" ht="15.6" customHeight="1" x14ac:dyDescent="0.3"/>
    <row r="326" ht="15.6" customHeight="1" x14ac:dyDescent="0.3"/>
    <row r="327" ht="15.6" customHeight="1" x14ac:dyDescent="0.3"/>
    <row r="328" ht="15.6" customHeight="1" x14ac:dyDescent="0.3"/>
    <row r="329" ht="15.6" customHeight="1" x14ac:dyDescent="0.3"/>
    <row r="330" ht="15.6" customHeight="1" x14ac:dyDescent="0.3"/>
    <row r="331" ht="15.6" customHeight="1" x14ac:dyDescent="0.3"/>
    <row r="332" ht="15.6" customHeight="1" x14ac:dyDescent="0.3"/>
    <row r="333" ht="15.6" customHeight="1" x14ac:dyDescent="0.3"/>
    <row r="334" ht="15.6" customHeight="1" x14ac:dyDescent="0.3"/>
    <row r="335" ht="15.6" customHeight="1" x14ac:dyDescent="0.3"/>
    <row r="336" ht="15.6" customHeight="1" x14ac:dyDescent="0.3"/>
    <row r="337" ht="15.6" customHeight="1" x14ac:dyDescent="0.3"/>
    <row r="338" ht="15.6" customHeight="1" x14ac:dyDescent="0.3"/>
    <row r="339" ht="15.6" customHeight="1" x14ac:dyDescent="0.3"/>
    <row r="340" ht="15.6" customHeight="1" x14ac:dyDescent="0.3"/>
    <row r="341" ht="15.6" customHeight="1" x14ac:dyDescent="0.3"/>
    <row r="342" ht="15.6" customHeight="1" x14ac:dyDescent="0.3"/>
    <row r="343" ht="15.6" customHeight="1" x14ac:dyDescent="0.3"/>
    <row r="344" ht="15.6" customHeight="1" x14ac:dyDescent="0.3"/>
    <row r="345" ht="15.6" customHeight="1" x14ac:dyDescent="0.3"/>
    <row r="346" ht="15.6" customHeight="1" x14ac:dyDescent="0.3"/>
    <row r="347" ht="15.6" customHeight="1" x14ac:dyDescent="0.3"/>
    <row r="348" ht="15.6" customHeight="1" x14ac:dyDescent="0.3"/>
    <row r="349" ht="15.6" customHeight="1" x14ac:dyDescent="0.3"/>
    <row r="350" ht="15.6" customHeight="1" x14ac:dyDescent="0.3"/>
    <row r="351" ht="15.6" customHeight="1" x14ac:dyDescent="0.3"/>
    <row r="352" ht="15.6" customHeight="1" x14ac:dyDescent="0.3"/>
    <row r="353" ht="15.6" customHeight="1" x14ac:dyDescent="0.3"/>
    <row r="354" ht="15.6" customHeight="1" x14ac:dyDescent="0.3"/>
    <row r="355" ht="15.6" customHeight="1" x14ac:dyDescent="0.3"/>
    <row r="356" ht="15.6" customHeight="1" x14ac:dyDescent="0.3"/>
    <row r="357" ht="15.6" customHeight="1" x14ac:dyDescent="0.3"/>
    <row r="358" ht="15.6" customHeight="1" x14ac:dyDescent="0.3"/>
    <row r="359" ht="15.6" customHeight="1" x14ac:dyDescent="0.3"/>
    <row r="360" ht="15.6" customHeight="1" x14ac:dyDescent="0.3"/>
    <row r="361" ht="15.6" customHeight="1" x14ac:dyDescent="0.3"/>
    <row r="362" ht="15.6" customHeight="1" x14ac:dyDescent="0.3"/>
    <row r="363" ht="15.6" customHeight="1" x14ac:dyDescent="0.3"/>
    <row r="364" ht="15.6" customHeight="1" x14ac:dyDescent="0.3"/>
    <row r="365" ht="15.6" customHeight="1" x14ac:dyDescent="0.3"/>
    <row r="366" ht="15.6" customHeight="1" x14ac:dyDescent="0.3"/>
    <row r="367" ht="15.6" customHeight="1" x14ac:dyDescent="0.3"/>
    <row r="368" ht="15.6" customHeight="1" x14ac:dyDescent="0.3"/>
    <row r="369" ht="15.6" customHeight="1" x14ac:dyDescent="0.3"/>
    <row r="370" ht="15.6" customHeight="1" x14ac:dyDescent="0.3"/>
    <row r="371" ht="15.6" customHeight="1" x14ac:dyDescent="0.3"/>
    <row r="372" ht="15.6" customHeight="1" x14ac:dyDescent="0.3"/>
    <row r="373" ht="15.6" customHeight="1" x14ac:dyDescent="0.3"/>
    <row r="374" ht="15.6" customHeight="1" x14ac:dyDescent="0.3"/>
    <row r="375" ht="15.6" customHeight="1" x14ac:dyDescent="0.3"/>
    <row r="376" ht="15.6" customHeight="1" x14ac:dyDescent="0.3"/>
    <row r="377" ht="15.6" customHeight="1" x14ac:dyDescent="0.3"/>
    <row r="378" ht="15.6" customHeight="1" x14ac:dyDescent="0.3"/>
    <row r="379" ht="15.6" customHeight="1" x14ac:dyDescent="0.3"/>
    <row r="380" ht="15.6" customHeight="1" x14ac:dyDescent="0.3"/>
    <row r="381" ht="15.6" customHeight="1" x14ac:dyDescent="0.3"/>
    <row r="382" ht="15.6" customHeight="1" x14ac:dyDescent="0.3"/>
    <row r="383" ht="15.6" customHeight="1" x14ac:dyDescent="0.3"/>
    <row r="384" ht="15.6" customHeight="1" x14ac:dyDescent="0.3"/>
    <row r="385" ht="15.6" customHeight="1" x14ac:dyDescent="0.3"/>
    <row r="386" ht="15.6" customHeight="1" x14ac:dyDescent="0.3"/>
    <row r="387" ht="15.6" customHeight="1" x14ac:dyDescent="0.3"/>
    <row r="388" ht="15.6" customHeight="1" x14ac:dyDescent="0.3"/>
    <row r="389" ht="15.6" customHeight="1" x14ac:dyDescent="0.3"/>
    <row r="390" ht="15.6" customHeight="1" x14ac:dyDescent="0.3"/>
    <row r="391" ht="15.6" customHeight="1" x14ac:dyDescent="0.3"/>
    <row r="392" ht="15.6" customHeight="1" x14ac:dyDescent="0.3"/>
    <row r="393" ht="15.6" customHeight="1" x14ac:dyDescent="0.3"/>
    <row r="394" ht="15.6" customHeight="1" x14ac:dyDescent="0.3"/>
    <row r="395" ht="15.6" customHeight="1" x14ac:dyDescent="0.3"/>
    <row r="396" ht="15.6" customHeight="1" x14ac:dyDescent="0.3"/>
    <row r="397" ht="15.6" customHeight="1" x14ac:dyDescent="0.3"/>
    <row r="398" ht="15.6" customHeight="1" x14ac:dyDescent="0.3"/>
    <row r="399" ht="15.6" customHeight="1" x14ac:dyDescent="0.3"/>
    <row r="400" ht="15.6" customHeight="1" x14ac:dyDescent="0.3"/>
    <row r="401" ht="15.6" customHeight="1" x14ac:dyDescent="0.3"/>
    <row r="402" ht="15.6" customHeight="1" x14ac:dyDescent="0.3"/>
    <row r="403" ht="15.6" customHeight="1" x14ac:dyDescent="0.3"/>
    <row r="404" ht="15.6" customHeight="1" x14ac:dyDescent="0.3"/>
    <row r="405" ht="15.6" customHeight="1" x14ac:dyDescent="0.3"/>
    <row r="406" ht="15.6" customHeight="1" x14ac:dyDescent="0.3"/>
    <row r="407" ht="15.6" customHeight="1" x14ac:dyDescent="0.3"/>
    <row r="408" ht="15.6" customHeight="1" x14ac:dyDescent="0.3"/>
    <row r="409" ht="15.6" customHeight="1" x14ac:dyDescent="0.3"/>
    <row r="410" ht="15.6" customHeight="1" x14ac:dyDescent="0.3"/>
    <row r="411" ht="15.6" customHeight="1" x14ac:dyDescent="0.3"/>
    <row r="412" ht="15.6" customHeight="1" x14ac:dyDescent="0.3"/>
    <row r="413" ht="15.6" customHeight="1" x14ac:dyDescent="0.3"/>
    <row r="414" ht="15.6" customHeight="1" x14ac:dyDescent="0.3"/>
    <row r="415" ht="15.6" customHeight="1" x14ac:dyDescent="0.3"/>
    <row r="416" ht="15.6" customHeight="1" x14ac:dyDescent="0.3"/>
    <row r="417" ht="15.6" customHeight="1" x14ac:dyDescent="0.3"/>
    <row r="418" ht="15.6" customHeight="1" x14ac:dyDescent="0.3"/>
    <row r="419" ht="15.6" customHeight="1" x14ac:dyDescent="0.3"/>
    <row r="420" ht="15.6" customHeight="1" x14ac:dyDescent="0.3"/>
    <row r="421" ht="15.6" customHeight="1" x14ac:dyDescent="0.3"/>
    <row r="422" ht="15.6" customHeight="1" x14ac:dyDescent="0.3"/>
    <row r="423" ht="15.6" customHeight="1" x14ac:dyDescent="0.3"/>
    <row r="424" ht="15.6" customHeight="1" x14ac:dyDescent="0.3"/>
    <row r="425" ht="15.6" customHeight="1" x14ac:dyDescent="0.3"/>
    <row r="426" ht="15.6" customHeight="1" x14ac:dyDescent="0.3"/>
    <row r="427" ht="15.6" customHeight="1" x14ac:dyDescent="0.3"/>
    <row r="428" ht="15.6" customHeight="1" x14ac:dyDescent="0.3"/>
    <row r="429" ht="15.6" customHeight="1" x14ac:dyDescent="0.3"/>
    <row r="430" ht="15.6" customHeight="1" x14ac:dyDescent="0.3"/>
    <row r="431" ht="15.6" customHeight="1" x14ac:dyDescent="0.3"/>
    <row r="432" ht="15.6" customHeight="1" x14ac:dyDescent="0.3"/>
    <row r="433" ht="15.6" customHeight="1" x14ac:dyDescent="0.3"/>
    <row r="434" ht="15.6" customHeight="1" x14ac:dyDescent="0.3"/>
    <row r="435" ht="15.6" customHeight="1" x14ac:dyDescent="0.3"/>
    <row r="436" ht="15.6" customHeight="1" x14ac:dyDescent="0.3"/>
    <row r="437" ht="15.6" customHeight="1" x14ac:dyDescent="0.3"/>
    <row r="438" ht="15.6" customHeight="1" x14ac:dyDescent="0.3"/>
    <row r="439" ht="15.6" customHeight="1" x14ac:dyDescent="0.3"/>
    <row r="440" ht="15.6" customHeight="1" x14ac:dyDescent="0.3"/>
    <row r="441" ht="15.6" customHeight="1" x14ac:dyDescent="0.3"/>
    <row r="442" ht="15.6" customHeight="1" x14ac:dyDescent="0.3"/>
    <row r="443" ht="15.6" customHeight="1" x14ac:dyDescent="0.3"/>
    <row r="444" ht="15.6" customHeight="1" x14ac:dyDescent="0.3"/>
    <row r="445" ht="15.6" customHeight="1" x14ac:dyDescent="0.3"/>
    <row r="446" ht="15.6" customHeight="1" x14ac:dyDescent="0.3"/>
    <row r="447" ht="15.6" customHeight="1" x14ac:dyDescent="0.3"/>
    <row r="448" ht="15.6" customHeight="1" x14ac:dyDescent="0.3"/>
    <row r="449" ht="15.6" customHeight="1" x14ac:dyDescent="0.3"/>
    <row r="450" ht="15.6" customHeight="1" x14ac:dyDescent="0.3"/>
    <row r="451" ht="15.6" customHeight="1" x14ac:dyDescent="0.3"/>
    <row r="452" ht="15.6" customHeight="1" x14ac:dyDescent="0.3"/>
    <row r="453" ht="15.6" customHeight="1" x14ac:dyDescent="0.3"/>
    <row r="454" ht="15.6" customHeight="1" x14ac:dyDescent="0.3"/>
    <row r="455" ht="15.6" customHeight="1" x14ac:dyDescent="0.3"/>
    <row r="456" ht="15.6" customHeight="1" x14ac:dyDescent="0.3"/>
    <row r="457" ht="15.6" customHeight="1" x14ac:dyDescent="0.3"/>
    <row r="458" ht="15.6" customHeight="1" x14ac:dyDescent="0.3"/>
    <row r="459" ht="15.6" customHeight="1" x14ac:dyDescent="0.3"/>
    <row r="460" ht="15.6" customHeight="1" x14ac:dyDescent="0.3"/>
    <row r="461" ht="15.6" customHeight="1" x14ac:dyDescent="0.3"/>
    <row r="462" ht="15.6" customHeight="1" x14ac:dyDescent="0.3"/>
    <row r="463" ht="15.6" customHeight="1" x14ac:dyDescent="0.3"/>
    <row r="464" ht="15.6" customHeight="1" x14ac:dyDescent="0.3"/>
    <row r="465" ht="15.6" customHeight="1" x14ac:dyDescent="0.3"/>
    <row r="466" ht="15.6" customHeight="1" x14ac:dyDescent="0.3"/>
    <row r="467" ht="15.6" customHeight="1" x14ac:dyDescent="0.3"/>
    <row r="468" ht="15.6" customHeight="1" x14ac:dyDescent="0.3"/>
    <row r="469" ht="15.6" customHeight="1" x14ac:dyDescent="0.3"/>
    <row r="470" ht="15.6" customHeight="1" x14ac:dyDescent="0.3"/>
    <row r="471" ht="15.6" customHeight="1" x14ac:dyDescent="0.3"/>
    <row r="472" ht="15.6" customHeight="1" x14ac:dyDescent="0.3"/>
    <row r="473" ht="15.6" customHeight="1" x14ac:dyDescent="0.3"/>
    <row r="474" ht="15.6" customHeight="1" x14ac:dyDescent="0.3"/>
    <row r="475" ht="15.6" customHeight="1" x14ac:dyDescent="0.3"/>
    <row r="476" ht="15.6" customHeight="1" x14ac:dyDescent="0.3"/>
    <row r="477" ht="15.6" customHeight="1" x14ac:dyDescent="0.3"/>
    <row r="478" ht="15.6" customHeight="1" x14ac:dyDescent="0.3"/>
    <row r="479" ht="15.6" customHeight="1" x14ac:dyDescent="0.3"/>
    <row r="480" ht="15.6" customHeight="1" x14ac:dyDescent="0.3"/>
    <row r="481" ht="15.6" customHeight="1" x14ac:dyDescent="0.3"/>
    <row r="482" ht="15.6" customHeight="1" x14ac:dyDescent="0.3"/>
    <row r="483" ht="15.6" customHeight="1" x14ac:dyDescent="0.3"/>
    <row r="484" ht="15.6" customHeight="1" x14ac:dyDescent="0.3"/>
    <row r="485" ht="15.6" customHeight="1" x14ac:dyDescent="0.3"/>
    <row r="486" ht="15.6" customHeight="1" x14ac:dyDescent="0.3"/>
    <row r="487" ht="15.6" customHeight="1" x14ac:dyDescent="0.3"/>
    <row r="488" ht="15.6" customHeight="1" x14ac:dyDescent="0.3"/>
    <row r="489" ht="15.6" customHeight="1" x14ac:dyDescent="0.3"/>
    <row r="490" ht="15.6" customHeight="1" x14ac:dyDescent="0.3"/>
    <row r="491" ht="15.6" customHeight="1" x14ac:dyDescent="0.3"/>
    <row r="492" ht="15.6" customHeight="1" x14ac:dyDescent="0.3"/>
    <row r="493" ht="15.6" customHeight="1" x14ac:dyDescent="0.3"/>
    <row r="494" ht="15.6" customHeight="1" x14ac:dyDescent="0.3"/>
    <row r="495" ht="15.6" customHeight="1" x14ac:dyDescent="0.3"/>
    <row r="496" ht="15.6" customHeight="1" x14ac:dyDescent="0.3"/>
    <row r="497" ht="15.6" customHeight="1" x14ac:dyDescent="0.3"/>
    <row r="498" ht="15.6" customHeight="1" x14ac:dyDescent="0.3"/>
    <row r="499" ht="15.6" customHeight="1" x14ac:dyDescent="0.3"/>
    <row r="500" ht="15.6" customHeight="1" x14ac:dyDescent="0.3"/>
    <row r="501" ht="15.6" customHeight="1" x14ac:dyDescent="0.3"/>
    <row r="502" ht="15.6" customHeight="1" x14ac:dyDescent="0.3"/>
    <row r="503" ht="15.6" customHeight="1" x14ac:dyDescent="0.3"/>
    <row r="504" ht="15.6" customHeight="1" x14ac:dyDescent="0.3"/>
    <row r="505" ht="15.6" customHeight="1" x14ac:dyDescent="0.3"/>
    <row r="506" ht="15.6" customHeight="1" x14ac:dyDescent="0.3"/>
    <row r="507" ht="15.6" customHeight="1" x14ac:dyDescent="0.3"/>
    <row r="508" ht="15.6" customHeight="1" x14ac:dyDescent="0.3"/>
    <row r="509" ht="15.6" customHeight="1" x14ac:dyDescent="0.3"/>
    <row r="510" ht="15.6" customHeight="1" x14ac:dyDescent="0.3"/>
    <row r="511" ht="15.6" customHeight="1" x14ac:dyDescent="0.3"/>
    <row r="512" ht="15.6" customHeight="1" x14ac:dyDescent="0.3"/>
    <row r="513" ht="15.6" customHeight="1" x14ac:dyDescent="0.3"/>
    <row r="514" ht="15.6" customHeight="1" x14ac:dyDescent="0.3"/>
    <row r="515" ht="15.6" customHeight="1" x14ac:dyDescent="0.3"/>
    <row r="516" ht="15.6" customHeight="1" x14ac:dyDescent="0.3"/>
    <row r="517" ht="15.6" customHeight="1" x14ac:dyDescent="0.3"/>
    <row r="518" ht="15.6" customHeight="1" x14ac:dyDescent="0.3"/>
    <row r="519" ht="15.6" customHeight="1" x14ac:dyDescent="0.3"/>
    <row r="520" ht="15.6" customHeight="1" x14ac:dyDescent="0.3"/>
    <row r="521" ht="15.6" customHeight="1" x14ac:dyDescent="0.3"/>
    <row r="522" ht="15.6" customHeight="1" x14ac:dyDescent="0.3"/>
    <row r="523" ht="15.6" customHeight="1" x14ac:dyDescent="0.3"/>
    <row r="524" ht="15.6" customHeight="1" x14ac:dyDescent="0.3"/>
    <row r="525" ht="15.6" customHeight="1" x14ac:dyDescent="0.3"/>
    <row r="526" ht="15.6" customHeight="1" x14ac:dyDescent="0.3"/>
    <row r="527" ht="15.6" customHeight="1" x14ac:dyDescent="0.3"/>
    <row r="528" ht="15.6" customHeight="1" x14ac:dyDescent="0.3"/>
    <row r="529" ht="15.6" customHeight="1" x14ac:dyDescent="0.3"/>
    <row r="530" ht="15.6" customHeight="1" x14ac:dyDescent="0.3"/>
    <row r="531" ht="15.6" customHeight="1" x14ac:dyDescent="0.3"/>
    <row r="532" ht="15.6" customHeight="1" x14ac:dyDescent="0.3"/>
    <row r="533" ht="15.6" customHeight="1" x14ac:dyDescent="0.3"/>
    <row r="534" ht="15.6" customHeight="1" x14ac:dyDescent="0.3"/>
    <row r="535" ht="15.6" customHeight="1" x14ac:dyDescent="0.3"/>
    <row r="536" ht="15.6" customHeight="1" x14ac:dyDescent="0.3"/>
    <row r="537" ht="15.6" customHeight="1" x14ac:dyDescent="0.3"/>
    <row r="538" ht="15.6" customHeight="1" x14ac:dyDescent="0.3"/>
    <row r="539" ht="15.6" customHeight="1" x14ac:dyDescent="0.3"/>
    <row r="540" ht="15.6" customHeight="1" x14ac:dyDescent="0.3"/>
    <row r="541" ht="15.6" customHeight="1" x14ac:dyDescent="0.3"/>
    <row r="542" ht="15.6" customHeight="1" x14ac:dyDescent="0.3"/>
    <row r="543" ht="15.6" customHeight="1" x14ac:dyDescent="0.3"/>
    <row r="544" ht="15.6" customHeight="1" x14ac:dyDescent="0.3"/>
    <row r="545" ht="15.6" customHeight="1" x14ac:dyDescent="0.3"/>
    <row r="546" ht="15.6" customHeight="1" x14ac:dyDescent="0.3"/>
    <row r="547" ht="15.6" customHeight="1" x14ac:dyDescent="0.3"/>
    <row r="548" ht="15.6" customHeight="1" x14ac:dyDescent="0.3"/>
    <row r="549" ht="15.6" customHeight="1" x14ac:dyDescent="0.3"/>
    <row r="550" ht="15.6" customHeight="1" x14ac:dyDescent="0.3"/>
    <row r="551" ht="15.6" customHeight="1" x14ac:dyDescent="0.3"/>
    <row r="552" ht="15.6" customHeight="1" x14ac:dyDescent="0.3"/>
    <row r="553" ht="15.6" customHeight="1" x14ac:dyDescent="0.3"/>
    <row r="554" ht="15.6" customHeight="1" x14ac:dyDescent="0.3"/>
    <row r="555" ht="15.6" customHeight="1" x14ac:dyDescent="0.3"/>
    <row r="556" ht="15.6" customHeight="1" x14ac:dyDescent="0.3"/>
    <row r="557" ht="15.6" customHeight="1" x14ac:dyDescent="0.3"/>
    <row r="558" ht="15.6" customHeight="1" x14ac:dyDescent="0.3"/>
    <row r="559" ht="15.6" customHeight="1" x14ac:dyDescent="0.3"/>
    <row r="560" ht="15.6" customHeight="1" x14ac:dyDescent="0.3"/>
    <row r="561" ht="15.6" customHeight="1" x14ac:dyDescent="0.3"/>
    <row r="562" ht="15.6" customHeight="1" x14ac:dyDescent="0.3"/>
    <row r="563" ht="15.6" customHeight="1" x14ac:dyDescent="0.3"/>
    <row r="564" ht="15.6" customHeight="1" x14ac:dyDescent="0.3"/>
    <row r="565" ht="15.6" customHeight="1" x14ac:dyDescent="0.3"/>
    <row r="566" ht="15.6" customHeight="1" x14ac:dyDescent="0.3"/>
    <row r="567" ht="15.6" customHeight="1" x14ac:dyDescent="0.3"/>
    <row r="568" ht="15.6" customHeight="1" x14ac:dyDescent="0.3"/>
    <row r="569" ht="15.6" customHeight="1" x14ac:dyDescent="0.3"/>
    <row r="570" ht="15.6" customHeight="1" x14ac:dyDescent="0.3"/>
    <row r="571" ht="15.6" customHeight="1" x14ac:dyDescent="0.3"/>
    <row r="572" ht="15.6" customHeight="1" x14ac:dyDescent="0.3"/>
    <row r="573" ht="15.6" customHeight="1" x14ac:dyDescent="0.3"/>
    <row r="574" ht="15.6" customHeight="1" x14ac:dyDescent="0.3"/>
    <row r="575" ht="15.6" customHeight="1" x14ac:dyDescent="0.3"/>
    <row r="576" ht="15.6" customHeight="1" x14ac:dyDescent="0.3"/>
    <row r="577" ht="15.6" customHeight="1" x14ac:dyDescent="0.3"/>
    <row r="578" ht="15.6" customHeight="1" x14ac:dyDescent="0.3"/>
    <row r="579" ht="15.6" customHeight="1" x14ac:dyDescent="0.3"/>
    <row r="580" ht="15.6" customHeight="1" x14ac:dyDescent="0.3"/>
    <row r="581" ht="15.6" customHeight="1" x14ac:dyDescent="0.3"/>
    <row r="582" ht="15.6" customHeight="1" x14ac:dyDescent="0.3"/>
    <row r="583" ht="15.6" customHeight="1" x14ac:dyDescent="0.3"/>
    <row r="584" ht="15.6" customHeight="1" x14ac:dyDescent="0.3"/>
    <row r="585" ht="15.6" customHeight="1" x14ac:dyDescent="0.3"/>
    <row r="586" ht="15.6" customHeight="1" x14ac:dyDescent="0.3"/>
    <row r="587" ht="15.6" customHeight="1" x14ac:dyDescent="0.3"/>
    <row r="588" ht="15.6" customHeight="1" x14ac:dyDescent="0.3"/>
    <row r="589" ht="15.6" customHeight="1" x14ac:dyDescent="0.3"/>
    <row r="590" ht="15.6" customHeight="1" x14ac:dyDescent="0.3"/>
    <row r="591" ht="15.6" customHeight="1" x14ac:dyDescent="0.3"/>
    <row r="592" ht="15.6" customHeight="1" x14ac:dyDescent="0.3"/>
    <row r="593" ht="15.6" customHeight="1" x14ac:dyDescent="0.3"/>
    <row r="594" ht="15.6" customHeight="1" x14ac:dyDescent="0.3"/>
    <row r="595" ht="15.6" customHeight="1" x14ac:dyDescent="0.3"/>
    <row r="596" ht="15.6" customHeight="1" x14ac:dyDescent="0.3"/>
    <row r="597" ht="15.6" customHeight="1" x14ac:dyDescent="0.3"/>
    <row r="598" ht="15.6" customHeight="1" x14ac:dyDescent="0.3"/>
    <row r="599" ht="15.6" customHeight="1" x14ac:dyDescent="0.3"/>
    <row r="600" ht="15.6" customHeight="1" x14ac:dyDescent="0.3"/>
    <row r="601" ht="15.6" customHeight="1" x14ac:dyDescent="0.3"/>
    <row r="602" ht="15.6" customHeight="1" x14ac:dyDescent="0.3"/>
    <row r="603" ht="15.6" customHeight="1" x14ac:dyDescent="0.3"/>
    <row r="604" ht="15.6" customHeight="1" x14ac:dyDescent="0.3"/>
    <row r="605" ht="15.6" customHeight="1" x14ac:dyDescent="0.3"/>
    <row r="606" ht="15.6" customHeight="1" x14ac:dyDescent="0.3"/>
    <row r="607" ht="15.6" customHeight="1" x14ac:dyDescent="0.3"/>
    <row r="608" ht="15.6" customHeight="1" x14ac:dyDescent="0.3"/>
    <row r="609" ht="15.6" customHeight="1" x14ac:dyDescent="0.3"/>
    <row r="610" ht="15.6" customHeight="1" x14ac:dyDescent="0.3"/>
    <row r="611" ht="15.6" customHeight="1" x14ac:dyDescent="0.3"/>
    <row r="612" ht="15.6" customHeight="1" x14ac:dyDescent="0.3"/>
    <row r="613" ht="15.6" customHeight="1" x14ac:dyDescent="0.3"/>
    <row r="614" ht="15.6" customHeight="1" x14ac:dyDescent="0.3"/>
    <row r="615" ht="15.6" customHeight="1" x14ac:dyDescent="0.3"/>
    <row r="616" ht="15.6" customHeight="1" x14ac:dyDescent="0.3"/>
    <row r="617" ht="15.6" customHeight="1" x14ac:dyDescent="0.3"/>
    <row r="618" ht="15.6" customHeight="1" x14ac:dyDescent="0.3"/>
    <row r="619" ht="15.6" customHeight="1" x14ac:dyDescent="0.3"/>
    <row r="620" ht="15.6" customHeight="1" x14ac:dyDescent="0.3"/>
    <row r="621" ht="15.6" customHeight="1" x14ac:dyDescent="0.3"/>
    <row r="622" ht="15.6" customHeight="1" x14ac:dyDescent="0.3"/>
    <row r="623" ht="15.6" customHeight="1" x14ac:dyDescent="0.3"/>
    <row r="624" ht="15.6" customHeight="1" x14ac:dyDescent="0.3"/>
    <row r="625" ht="15.6" customHeight="1" x14ac:dyDescent="0.3"/>
    <row r="626" ht="15.6" customHeight="1" x14ac:dyDescent="0.3"/>
    <row r="627" ht="15.6" customHeight="1" x14ac:dyDescent="0.3"/>
    <row r="628" ht="15.6" customHeight="1" x14ac:dyDescent="0.3"/>
    <row r="629" ht="15.6" customHeight="1" x14ac:dyDescent="0.3"/>
    <row r="630" ht="15.6" customHeight="1" x14ac:dyDescent="0.3"/>
    <row r="631" ht="15.6" customHeight="1" x14ac:dyDescent="0.3"/>
    <row r="632" ht="15.6" customHeight="1" x14ac:dyDescent="0.3"/>
    <row r="633" ht="15.6" customHeight="1" x14ac:dyDescent="0.3"/>
    <row r="634" ht="15.6" customHeight="1" x14ac:dyDescent="0.3"/>
    <row r="635" ht="15.6" customHeight="1" x14ac:dyDescent="0.3"/>
    <row r="636" ht="15.6" customHeight="1" x14ac:dyDescent="0.3"/>
    <row r="637" ht="15.6" customHeight="1" x14ac:dyDescent="0.3"/>
    <row r="638" ht="15.6" customHeight="1" x14ac:dyDescent="0.3"/>
    <row r="639" ht="15.6" customHeight="1" x14ac:dyDescent="0.3"/>
    <row r="640" ht="15.6" customHeight="1" x14ac:dyDescent="0.3"/>
    <row r="641" ht="15.6" customHeight="1" x14ac:dyDescent="0.3"/>
    <row r="642" ht="15.6" customHeight="1" x14ac:dyDescent="0.3"/>
    <row r="643" ht="15.6" customHeight="1" x14ac:dyDescent="0.3"/>
    <row r="644" ht="15.6" customHeight="1" x14ac:dyDescent="0.3"/>
    <row r="645" ht="15.6" customHeight="1" x14ac:dyDescent="0.3"/>
    <row r="646" ht="15.6" customHeight="1" x14ac:dyDescent="0.3"/>
    <row r="647" ht="15.6" customHeight="1" x14ac:dyDescent="0.3"/>
    <row r="648" ht="15.6" customHeight="1" x14ac:dyDescent="0.3"/>
    <row r="649" ht="15.6" customHeight="1" x14ac:dyDescent="0.3"/>
    <row r="650" ht="15.6" customHeight="1" x14ac:dyDescent="0.3"/>
    <row r="651" ht="15.6" customHeight="1" x14ac:dyDescent="0.3"/>
    <row r="652" ht="15.6" customHeight="1" x14ac:dyDescent="0.3"/>
    <row r="653" ht="15.6" customHeight="1" x14ac:dyDescent="0.3"/>
    <row r="654" ht="15.6" customHeight="1" x14ac:dyDescent="0.3"/>
    <row r="655" ht="15.6" customHeight="1" x14ac:dyDescent="0.3"/>
    <row r="656" ht="15.6" customHeight="1" x14ac:dyDescent="0.3"/>
    <row r="657" ht="15.6" customHeight="1" x14ac:dyDescent="0.3"/>
    <row r="658" ht="15.6" customHeight="1" x14ac:dyDescent="0.3"/>
    <row r="659" ht="15.6" customHeight="1" x14ac:dyDescent="0.3"/>
    <row r="660" ht="15.6" customHeight="1" x14ac:dyDescent="0.3"/>
    <row r="661" ht="15.6" customHeight="1" x14ac:dyDescent="0.3"/>
    <row r="662" ht="15.6" customHeight="1" x14ac:dyDescent="0.3"/>
    <row r="663" ht="15.6" customHeight="1" x14ac:dyDescent="0.3"/>
    <row r="664" ht="15.6" customHeight="1" x14ac:dyDescent="0.3"/>
    <row r="665" ht="15.6" customHeight="1" x14ac:dyDescent="0.3"/>
    <row r="666" ht="15.6" customHeight="1" x14ac:dyDescent="0.3"/>
    <row r="667" ht="15.6" customHeight="1" x14ac:dyDescent="0.3"/>
    <row r="668" ht="15.6" customHeight="1" x14ac:dyDescent="0.3"/>
    <row r="669" ht="15.6" customHeight="1" x14ac:dyDescent="0.3"/>
    <row r="670" ht="15.6" customHeight="1" x14ac:dyDescent="0.3"/>
    <row r="671" ht="15.6" customHeight="1" x14ac:dyDescent="0.3"/>
    <row r="672" ht="15.6" customHeight="1" x14ac:dyDescent="0.3"/>
    <row r="673" ht="15.6" customHeight="1" x14ac:dyDescent="0.3"/>
    <row r="674" ht="15.6" customHeight="1" x14ac:dyDescent="0.3"/>
    <row r="675" ht="15.6" customHeight="1" x14ac:dyDescent="0.3"/>
    <row r="676" ht="15.6" customHeight="1" x14ac:dyDescent="0.3"/>
    <row r="677" ht="15.6" customHeight="1" x14ac:dyDescent="0.3"/>
    <row r="678" ht="15.6" customHeight="1" x14ac:dyDescent="0.3"/>
    <row r="679" ht="15.6" customHeight="1" x14ac:dyDescent="0.3"/>
    <row r="680" ht="15.6" customHeight="1" x14ac:dyDescent="0.3"/>
    <row r="681" ht="15.6" customHeight="1" x14ac:dyDescent="0.3"/>
    <row r="682" ht="15.6" customHeight="1" x14ac:dyDescent="0.3"/>
    <row r="683" ht="15.6" customHeight="1" x14ac:dyDescent="0.3"/>
    <row r="684" ht="15.6" customHeight="1" x14ac:dyDescent="0.3"/>
    <row r="685" ht="15.6" customHeight="1" x14ac:dyDescent="0.3"/>
    <row r="686" ht="15.6" customHeight="1" x14ac:dyDescent="0.3"/>
    <row r="687" ht="15.6" customHeight="1" x14ac:dyDescent="0.3"/>
    <row r="688" ht="15.6" customHeight="1" x14ac:dyDescent="0.3"/>
    <row r="689" ht="15.6" customHeight="1" x14ac:dyDescent="0.3"/>
    <row r="690" ht="15.6" customHeight="1" x14ac:dyDescent="0.3"/>
    <row r="691" ht="15.6" customHeight="1" x14ac:dyDescent="0.3"/>
    <row r="692" ht="15.6" customHeight="1" x14ac:dyDescent="0.3"/>
    <row r="693" ht="15.6" customHeight="1" x14ac:dyDescent="0.3"/>
    <row r="694" ht="15.6" customHeight="1" x14ac:dyDescent="0.3"/>
    <row r="695" ht="15.6" customHeight="1" x14ac:dyDescent="0.3"/>
    <row r="696" ht="15.6" customHeight="1" x14ac:dyDescent="0.3"/>
    <row r="697" ht="15.6" customHeight="1" x14ac:dyDescent="0.3"/>
    <row r="698" ht="15.6" customHeight="1" x14ac:dyDescent="0.3"/>
    <row r="699" ht="15.6" customHeight="1" x14ac:dyDescent="0.3"/>
    <row r="700" ht="15.6" customHeight="1" x14ac:dyDescent="0.3"/>
    <row r="701" ht="15.6" customHeight="1" x14ac:dyDescent="0.3"/>
    <row r="702" ht="15.6" customHeight="1" x14ac:dyDescent="0.3"/>
    <row r="703" ht="15.6" customHeight="1" x14ac:dyDescent="0.3"/>
    <row r="704" ht="15.6" customHeight="1" x14ac:dyDescent="0.3"/>
    <row r="705" ht="15.6" customHeight="1" x14ac:dyDescent="0.3"/>
    <row r="706" ht="15.6" customHeight="1" x14ac:dyDescent="0.3"/>
    <row r="707" ht="15.6" customHeight="1" x14ac:dyDescent="0.3"/>
    <row r="708" ht="15.6" customHeight="1" x14ac:dyDescent="0.3"/>
    <row r="709" ht="15.6" customHeight="1" x14ac:dyDescent="0.3"/>
    <row r="710" ht="15.6" customHeight="1" x14ac:dyDescent="0.3"/>
    <row r="711" ht="15.6" customHeight="1" x14ac:dyDescent="0.3"/>
    <row r="712" ht="15.6" customHeight="1" x14ac:dyDescent="0.3"/>
    <row r="713" ht="15.6" customHeight="1" x14ac:dyDescent="0.3"/>
    <row r="714" ht="15.6" customHeight="1" x14ac:dyDescent="0.3"/>
    <row r="715" ht="15.6" customHeight="1" x14ac:dyDescent="0.3"/>
    <row r="716" ht="15.6" customHeight="1" x14ac:dyDescent="0.3"/>
    <row r="717" ht="15.6" customHeight="1" x14ac:dyDescent="0.3"/>
    <row r="718" ht="15.6" customHeight="1" x14ac:dyDescent="0.3"/>
    <row r="719" ht="15.6" customHeight="1" x14ac:dyDescent="0.3"/>
    <row r="720" ht="15.6" customHeight="1" x14ac:dyDescent="0.3"/>
    <row r="721" ht="15.6" customHeight="1" x14ac:dyDescent="0.3"/>
    <row r="722" ht="15.6" customHeight="1" x14ac:dyDescent="0.3"/>
    <row r="723" ht="15.6" customHeight="1" x14ac:dyDescent="0.3"/>
    <row r="724" ht="15.6" customHeight="1" x14ac:dyDescent="0.3"/>
    <row r="725" ht="15.6" customHeight="1" x14ac:dyDescent="0.3"/>
    <row r="726" ht="15.6" customHeight="1" x14ac:dyDescent="0.3"/>
    <row r="727" ht="15.6" customHeight="1" x14ac:dyDescent="0.3"/>
    <row r="728" ht="15.6" customHeight="1" x14ac:dyDescent="0.3"/>
    <row r="729" ht="15.6" customHeight="1" x14ac:dyDescent="0.3"/>
    <row r="730" ht="15.6" customHeight="1" x14ac:dyDescent="0.3"/>
    <row r="731" ht="15.6" customHeight="1" x14ac:dyDescent="0.3"/>
    <row r="732" ht="15.6" customHeight="1" x14ac:dyDescent="0.3"/>
    <row r="733" ht="15.6" customHeight="1" x14ac:dyDescent="0.3"/>
    <row r="734" ht="15.6" customHeight="1" x14ac:dyDescent="0.3"/>
    <row r="735" ht="15.6" customHeight="1" x14ac:dyDescent="0.3"/>
    <row r="736" ht="15.6" customHeight="1" x14ac:dyDescent="0.3"/>
    <row r="737" ht="15.6" customHeight="1" x14ac:dyDescent="0.3"/>
    <row r="738" ht="15.6" customHeight="1" x14ac:dyDescent="0.3"/>
    <row r="739" ht="15.6" customHeight="1" x14ac:dyDescent="0.3"/>
    <row r="740" ht="15.6" customHeight="1" x14ac:dyDescent="0.3"/>
    <row r="741" ht="15.6" customHeight="1" x14ac:dyDescent="0.3"/>
    <row r="742" ht="15.6" customHeight="1" x14ac:dyDescent="0.3"/>
    <row r="743" ht="15.6" customHeight="1" x14ac:dyDescent="0.3"/>
    <row r="744" ht="15.6" customHeight="1" x14ac:dyDescent="0.3"/>
    <row r="745" ht="15.6" customHeight="1" x14ac:dyDescent="0.3"/>
    <row r="746" ht="15.6" customHeight="1" x14ac:dyDescent="0.3"/>
    <row r="747" ht="15.6" customHeight="1" x14ac:dyDescent="0.3"/>
    <row r="748" ht="15.6" customHeight="1" x14ac:dyDescent="0.3"/>
    <row r="749" ht="15.6" customHeight="1" x14ac:dyDescent="0.3"/>
    <row r="750" ht="15.6" customHeight="1" x14ac:dyDescent="0.3"/>
    <row r="751" ht="15.6" customHeight="1" x14ac:dyDescent="0.3"/>
    <row r="752" ht="15.6" customHeight="1" x14ac:dyDescent="0.3"/>
    <row r="753" ht="15.6" customHeight="1" x14ac:dyDescent="0.3"/>
    <row r="754" ht="15.6" customHeight="1" x14ac:dyDescent="0.3"/>
    <row r="755" ht="15.6" customHeight="1" x14ac:dyDescent="0.3"/>
    <row r="756" ht="15.6" customHeight="1" x14ac:dyDescent="0.3"/>
    <row r="757" ht="15.6" customHeight="1" x14ac:dyDescent="0.3"/>
    <row r="758" ht="15.6" customHeight="1" x14ac:dyDescent="0.3"/>
    <row r="759" ht="15.6" customHeight="1" x14ac:dyDescent="0.3"/>
    <row r="760" ht="15.6" customHeight="1" x14ac:dyDescent="0.3"/>
    <row r="761" ht="15.6" customHeight="1" x14ac:dyDescent="0.3"/>
    <row r="762" ht="15.6" customHeight="1" x14ac:dyDescent="0.3"/>
    <row r="763" ht="15.6" customHeight="1" x14ac:dyDescent="0.3"/>
    <row r="764" ht="15.6" customHeight="1" x14ac:dyDescent="0.3"/>
    <row r="765" ht="15.6" customHeight="1" x14ac:dyDescent="0.3"/>
    <row r="766" ht="15.6" customHeight="1" x14ac:dyDescent="0.3"/>
    <row r="767" ht="15.6" customHeight="1" x14ac:dyDescent="0.3"/>
    <row r="768" ht="15.6" customHeight="1" x14ac:dyDescent="0.3"/>
    <row r="769" ht="15.6" customHeight="1" x14ac:dyDescent="0.3"/>
    <row r="770" ht="15.6" customHeight="1" x14ac:dyDescent="0.3"/>
    <row r="771" ht="15.6" customHeight="1" x14ac:dyDescent="0.3"/>
    <row r="772" ht="15.6" customHeight="1" x14ac:dyDescent="0.3"/>
    <row r="773" ht="15.6" customHeight="1" x14ac:dyDescent="0.3"/>
    <row r="774" ht="15.6" customHeight="1" x14ac:dyDescent="0.3"/>
    <row r="775" ht="15.6" customHeight="1" x14ac:dyDescent="0.3"/>
    <row r="776" ht="15.6" customHeight="1" x14ac:dyDescent="0.3"/>
    <row r="777" ht="15.6" customHeight="1" x14ac:dyDescent="0.3"/>
    <row r="778" ht="15.6" customHeight="1" x14ac:dyDescent="0.3"/>
    <row r="779" ht="15.6" customHeight="1" x14ac:dyDescent="0.3"/>
    <row r="780" ht="15.6" customHeight="1" x14ac:dyDescent="0.3"/>
    <row r="781" ht="15.6" customHeight="1" x14ac:dyDescent="0.3"/>
    <row r="782" ht="15.6" customHeight="1" x14ac:dyDescent="0.3"/>
    <row r="783" ht="15.6" customHeight="1" x14ac:dyDescent="0.3"/>
    <row r="784" ht="15.6" customHeight="1" x14ac:dyDescent="0.3"/>
    <row r="785" ht="15.6" customHeight="1" x14ac:dyDescent="0.3"/>
    <row r="786" ht="15.6" customHeight="1" x14ac:dyDescent="0.3"/>
    <row r="787" ht="15.6" customHeight="1" x14ac:dyDescent="0.3"/>
    <row r="788" ht="15.6" customHeight="1" x14ac:dyDescent="0.3"/>
    <row r="789" ht="15.6" customHeight="1" x14ac:dyDescent="0.3"/>
    <row r="790" ht="15.6" customHeight="1" x14ac:dyDescent="0.3"/>
    <row r="791" ht="15.6" customHeight="1" x14ac:dyDescent="0.3"/>
    <row r="792" ht="15.6" customHeight="1" x14ac:dyDescent="0.3"/>
    <row r="793" ht="15.6" customHeight="1" x14ac:dyDescent="0.3"/>
    <row r="794" ht="15.6" customHeight="1" x14ac:dyDescent="0.3"/>
    <row r="795" ht="15.6" customHeight="1" x14ac:dyDescent="0.3"/>
    <row r="796" ht="15.6" customHeight="1" x14ac:dyDescent="0.3"/>
    <row r="797" ht="15.6" customHeight="1" x14ac:dyDescent="0.3"/>
    <row r="798" ht="15.6" customHeight="1" x14ac:dyDescent="0.3"/>
    <row r="799" ht="15.6" customHeight="1" x14ac:dyDescent="0.3"/>
    <row r="800" ht="15.6" customHeight="1" x14ac:dyDescent="0.3"/>
    <row r="801" ht="15.6" customHeight="1" x14ac:dyDescent="0.3"/>
    <row r="802" ht="15.6" customHeight="1" x14ac:dyDescent="0.3"/>
    <row r="803" ht="15.6" customHeight="1" x14ac:dyDescent="0.3"/>
    <row r="804" ht="15.6" customHeight="1" x14ac:dyDescent="0.3"/>
    <row r="805" ht="15.6" customHeight="1" x14ac:dyDescent="0.3"/>
    <row r="806" ht="15.6" customHeight="1" x14ac:dyDescent="0.3"/>
    <row r="807" ht="15.6" customHeight="1" x14ac:dyDescent="0.3"/>
    <row r="808" ht="15.6" customHeight="1" x14ac:dyDescent="0.3"/>
    <row r="809" ht="15.6" customHeight="1" x14ac:dyDescent="0.3"/>
    <row r="810" ht="15.6" customHeight="1" x14ac:dyDescent="0.3"/>
    <row r="811" ht="15.6" customHeight="1" x14ac:dyDescent="0.3"/>
    <row r="812" ht="15.6" customHeight="1" x14ac:dyDescent="0.3"/>
    <row r="813" ht="15.6" customHeight="1" x14ac:dyDescent="0.3"/>
    <row r="814" ht="15.6" customHeight="1" x14ac:dyDescent="0.3"/>
    <row r="815" ht="15.6" customHeight="1" x14ac:dyDescent="0.3"/>
    <row r="816" ht="15.6" customHeight="1" x14ac:dyDescent="0.3"/>
    <row r="817" ht="15.6" customHeight="1" x14ac:dyDescent="0.3"/>
    <row r="818" ht="15.6" customHeight="1" x14ac:dyDescent="0.3"/>
    <row r="819" ht="15.6" customHeight="1" x14ac:dyDescent="0.3"/>
    <row r="820" ht="15.6" customHeight="1" x14ac:dyDescent="0.3"/>
    <row r="821" ht="15.6" customHeight="1" x14ac:dyDescent="0.3"/>
    <row r="822" ht="15.6" customHeight="1" x14ac:dyDescent="0.3"/>
    <row r="823" ht="15.6" customHeight="1" x14ac:dyDescent="0.3"/>
    <row r="824" ht="15.6" customHeight="1" x14ac:dyDescent="0.3"/>
    <row r="825" ht="15.6" customHeight="1" x14ac:dyDescent="0.3"/>
    <row r="826" ht="15.6" customHeight="1" x14ac:dyDescent="0.3"/>
    <row r="827" ht="15.6" customHeight="1" x14ac:dyDescent="0.3"/>
    <row r="828" ht="15.6" customHeight="1" x14ac:dyDescent="0.3"/>
    <row r="829" ht="15.6" customHeight="1" x14ac:dyDescent="0.3"/>
    <row r="830" ht="15.6" customHeight="1" x14ac:dyDescent="0.3"/>
    <row r="831" ht="15.6" customHeight="1" x14ac:dyDescent="0.3"/>
    <row r="832" ht="15.6" customHeight="1" x14ac:dyDescent="0.3"/>
    <row r="833" ht="15.6" customHeight="1" x14ac:dyDescent="0.3"/>
    <row r="834" ht="15.6" customHeight="1" x14ac:dyDescent="0.3"/>
    <row r="835" ht="15.6" customHeight="1" x14ac:dyDescent="0.3"/>
    <row r="836" ht="15.6" customHeight="1" x14ac:dyDescent="0.3"/>
    <row r="837" ht="15.6" customHeight="1" x14ac:dyDescent="0.3"/>
    <row r="838" ht="15.6" customHeight="1" x14ac:dyDescent="0.3"/>
    <row r="839" ht="15.6" customHeight="1" x14ac:dyDescent="0.3"/>
    <row r="840" ht="15.6" customHeight="1" x14ac:dyDescent="0.3"/>
    <row r="841" ht="15.6" customHeight="1" x14ac:dyDescent="0.3"/>
    <row r="842" ht="15.6" customHeight="1" x14ac:dyDescent="0.3"/>
    <row r="843" ht="15.6" customHeight="1" x14ac:dyDescent="0.3"/>
    <row r="844" ht="15.6" customHeight="1" x14ac:dyDescent="0.3"/>
    <row r="845" ht="15.6" customHeight="1" x14ac:dyDescent="0.3"/>
    <row r="846" ht="15.6" customHeight="1" x14ac:dyDescent="0.3"/>
    <row r="847" ht="15.6" customHeight="1" x14ac:dyDescent="0.3"/>
    <row r="848" ht="15.6" customHeight="1" x14ac:dyDescent="0.3"/>
    <row r="849" ht="15.6" customHeight="1" x14ac:dyDescent="0.3"/>
    <row r="850" ht="15.6" customHeight="1" x14ac:dyDescent="0.3"/>
    <row r="851" ht="15.6" customHeight="1" x14ac:dyDescent="0.3"/>
    <row r="852" ht="15.6" customHeight="1" x14ac:dyDescent="0.3"/>
    <row r="853" ht="15.6" customHeight="1" x14ac:dyDescent="0.3"/>
    <row r="854" ht="15.6" customHeight="1" x14ac:dyDescent="0.3"/>
    <row r="855" ht="15.6" customHeight="1" x14ac:dyDescent="0.3"/>
    <row r="856" ht="15.6" customHeight="1" x14ac:dyDescent="0.3"/>
    <row r="857" ht="15.6" customHeight="1" x14ac:dyDescent="0.3"/>
    <row r="858" ht="15.6" customHeight="1" x14ac:dyDescent="0.3"/>
    <row r="859" ht="15.6" customHeight="1" x14ac:dyDescent="0.3"/>
    <row r="860" ht="15.6" customHeight="1" x14ac:dyDescent="0.3"/>
    <row r="861" ht="15.6" customHeight="1" x14ac:dyDescent="0.3"/>
    <row r="862" ht="15.6" customHeight="1" x14ac:dyDescent="0.3"/>
    <row r="863" ht="15.6" customHeight="1" x14ac:dyDescent="0.3"/>
    <row r="864" ht="15.6" customHeight="1" x14ac:dyDescent="0.3"/>
    <row r="865" ht="15.6" customHeight="1" x14ac:dyDescent="0.3"/>
    <row r="866" ht="15.6" customHeight="1" x14ac:dyDescent="0.3"/>
    <row r="867" ht="15.6" customHeight="1" x14ac:dyDescent="0.3"/>
    <row r="868" ht="15.6" customHeight="1" x14ac:dyDescent="0.3"/>
    <row r="869" ht="15.6" customHeight="1" x14ac:dyDescent="0.3"/>
    <row r="870" ht="15.6" customHeight="1" x14ac:dyDescent="0.3"/>
    <row r="871" ht="15.6" customHeight="1" x14ac:dyDescent="0.3"/>
    <row r="872" ht="15.6" customHeight="1" x14ac:dyDescent="0.3"/>
    <row r="873" ht="15.6" customHeight="1" x14ac:dyDescent="0.3"/>
    <row r="874" ht="15.6" customHeight="1" x14ac:dyDescent="0.3"/>
    <row r="875" ht="15.6" customHeight="1" x14ac:dyDescent="0.3"/>
    <row r="876" ht="15.6" customHeight="1" x14ac:dyDescent="0.3"/>
    <row r="877" ht="15.6" customHeight="1" x14ac:dyDescent="0.3"/>
    <row r="878" ht="15.6" customHeight="1" x14ac:dyDescent="0.3"/>
    <row r="879" ht="15.6" customHeight="1" x14ac:dyDescent="0.3"/>
    <row r="880" ht="15.6" customHeight="1" x14ac:dyDescent="0.3"/>
    <row r="881" ht="15.6" customHeight="1" x14ac:dyDescent="0.3"/>
    <row r="882" ht="15.6" customHeight="1" x14ac:dyDescent="0.3"/>
    <row r="883" ht="15.6" customHeight="1" x14ac:dyDescent="0.3"/>
    <row r="884" ht="15.6" customHeight="1" x14ac:dyDescent="0.3"/>
    <row r="885" ht="15.6" customHeight="1" x14ac:dyDescent="0.3"/>
    <row r="886" ht="15.6" customHeight="1" x14ac:dyDescent="0.3"/>
    <row r="887" ht="15.6" customHeight="1" x14ac:dyDescent="0.3"/>
    <row r="888" ht="15.6" customHeight="1" x14ac:dyDescent="0.3"/>
    <row r="889" ht="15.6" customHeight="1" x14ac:dyDescent="0.3"/>
    <row r="890" ht="15.6" customHeight="1" x14ac:dyDescent="0.3"/>
    <row r="891" ht="15.6" customHeight="1" x14ac:dyDescent="0.3"/>
    <row r="892" ht="15.6" customHeight="1" x14ac:dyDescent="0.3"/>
    <row r="893" ht="15.6" customHeight="1" x14ac:dyDescent="0.3"/>
    <row r="894" ht="15.6" customHeight="1" x14ac:dyDescent="0.3"/>
    <row r="895" ht="15.6" customHeight="1" x14ac:dyDescent="0.3"/>
    <row r="896" ht="15.6" customHeight="1" x14ac:dyDescent="0.3"/>
    <row r="897" ht="15.6" customHeight="1" x14ac:dyDescent="0.3"/>
    <row r="898" ht="15.6" customHeight="1" x14ac:dyDescent="0.3"/>
    <row r="899" ht="15.6" customHeight="1" x14ac:dyDescent="0.3"/>
    <row r="900" ht="15.6" customHeight="1" x14ac:dyDescent="0.3"/>
    <row r="901" ht="15.6" customHeight="1" x14ac:dyDescent="0.3"/>
    <row r="902" ht="15.6" customHeight="1" x14ac:dyDescent="0.3"/>
    <row r="903" ht="15.6" customHeight="1" x14ac:dyDescent="0.3"/>
    <row r="904" ht="15.6" customHeight="1" x14ac:dyDescent="0.3"/>
    <row r="905" ht="15.6" customHeight="1" x14ac:dyDescent="0.3"/>
    <row r="906" ht="15.6" customHeight="1" x14ac:dyDescent="0.3"/>
    <row r="907" ht="15.6" customHeight="1" x14ac:dyDescent="0.3"/>
    <row r="908" ht="15.6" customHeight="1" x14ac:dyDescent="0.3"/>
    <row r="909" ht="15.6" customHeight="1" x14ac:dyDescent="0.3"/>
    <row r="910" ht="15.6" customHeight="1" x14ac:dyDescent="0.3"/>
    <row r="911" ht="15.6" customHeight="1" x14ac:dyDescent="0.3"/>
    <row r="912" ht="15.6" customHeight="1" x14ac:dyDescent="0.3"/>
    <row r="913" ht="15.6" customHeight="1" x14ac:dyDescent="0.3"/>
    <row r="914" ht="15.6" customHeight="1" x14ac:dyDescent="0.3"/>
    <row r="915" ht="15.6" customHeight="1" x14ac:dyDescent="0.3"/>
    <row r="916" ht="15.6" customHeight="1" x14ac:dyDescent="0.3"/>
    <row r="917" ht="15.6" customHeight="1" x14ac:dyDescent="0.3"/>
    <row r="918" ht="15.6" customHeight="1" x14ac:dyDescent="0.3"/>
    <row r="919" ht="15.6" customHeight="1" x14ac:dyDescent="0.3"/>
    <row r="920" ht="15.6" customHeight="1" x14ac:dyDescent="0.3"/>
    <row r="921" ht="15.6" customHeight="1" x14ac:dyDescent="0.3"/>
    <row r="922" ht="15.6" customHeight="1" x14ac:dyDescent="0.3"/>
    <row r="923" ht="15.6" customHeight="1" x14ac:dyDescent="0.3"/>
    <row r="924" ht="15.6" customHeight="1" x14ac:dyDescent="0.3"/>
    <row r="925" ht="15.6" customHeight="1" x14ac:dyDescent="0.3"/>
    <row r="926" ht="15.6" customHeight="1" x14ac:dyDescent="0.3"/>
    <row r="927" ht="15.6" customHeight="1" x14ac:dyDescent="0.3"/>
    <row r="928" ht="15.6" customHeight="1" x14ac:dyDescent="0.3"/>
    <row r="929" ht="15.6" customHeight="1" x14ac:dyDescent="0.3"/>
    <row r="930" ht="15.6" customHeight="1" x14ac:dyDescent="0.3"/>
    <row r="931" ht="15.6" customHeight="1" x14ac:dyDescent="0.3"/>
    <row r="932" ht="15.6" customHeight="1" x14ac:dyDescent="0.3"/>
    <row r="933" ht="15.6" customHeight="1" x14ac:dyDescent="0.3"/>
    <row r="934" ht="15.6" customHeight="1" x14ac:dyDescent="0.3"/>
    <row r="935" ht="15.6" customHeight="1" x14ac:dyDescent="0.3"/>
    <row r="936" ht="15.6" customHeight="1" x14ac:dyDescent="0.3"/>
    <row r="937" ht="15.6" customHeight="1" x14ac:dyDescent="0.3"/>
    <row r="938" ht="15.6" customHeight="1" x14ac:dyDescent="0.3"/>
    <row r="939" ht="15.6" customHeight="1" x14ac:dyDescent="0.3"/>
    <row r="940" ht="15.6" customHeight="1" x14ac:dyDescent="0.3"/>
    <row r="941" ht="15.6" customHeight="1" x14ac:dyDescent="0.3"/>
    <row r="942" ht="15.6" customHeight="1" x14ac:dyDescent="0.3"/>
    <row r="943" ht="15.6" customHeight="1" x14ac:dyDescent="0.3"/>
    <row r="944" ht="15.6" customHeight="1" x14ac:dyDescent="0.3"/>
    <row r="945" ht="15.6" customHeight="1" x14ac:dyDescent="0.3"/>
    <row r="946" ht="15.6" customHeight="1" x14ac:dyDescent="0.3"/>
    <row r="947" ht="15.6" customHeight="1" x14ac:dyDescent="0.3"/>
    <row r="948" ht="15.6" customHeight="1" x14ac:dyDescent="0.3"/>
    <row r="949" ht="15.6" customHeight="1" x14ac:dyDescent="0.3"/>
    <row r="950" ht="15.6" customHeight="1" x14ac:dyDescent="0.3"/>
    <row r="951" ht="15.6" customHeight="1" x14ac:dyDescent="0.3"/>
    <row r="952" ht="15.6" customHeight="1" x14ac:dyDescent="0.3"/>
    <row r="953" ht="15.6" customHeight="1" x14ac:dyDescent="0.3"/>
    <row r="954" ht="15.6" customHeight="1" x14ac:dyDescent="0.3"/>
    <row r="955" ht="15.6" customHeight="1" x14ac:dyDescent="0.3"/>
    <row r="956" ht="15.6" customHeight="1" x14ac:dyDescent="0.3"/>
    <row r="957" ht="15.6" customHeight="1" x14ac:dyDescent="0.3"/>
    <row r="958" ht="15.6" customHeight="1" x14ac:dyDescent="0.3"/>
    <row r="959" ht="15.6" customHeight="1" x14ac:dyDescent="0.3"/>
    <row r="960" ht="15.6" customHeight="1" x14ac:dyDescent="0.3"/>
    <row r="961" ht="15.6" customHeight="1" x14ac:dyDescent="0.3"/>
    <row r="962" ht="15.6" customHeight="1" x14ac:dyDescent="0.3"/>
    <row r="963" ht="15.6" customHeight="1" x14ac:dyDescent="0.3"/>
    <row r="964" ht="15.6" customHeight="1" x14ac:dyDescent="0.3"/>
    <row r="965" ht="15.6" customHeight="1" x14ac:dyDescent="0.3"/>
    <row r="966" ht="15.6" customHeight="1" x14ac:dyDescent="0.3"/>
    <row r="967" ht="15.6" customHeight="1" x14ac:dyDescent="0.3"/>
    <row r="968" ht="15.6" customHeight="1" x14ac:dyDescent="0.3"/>
    <row r="969" ht="15.6" customHeight="1" x14ac:dyDescent="0.3"/>
    <row r="970" ht="15.6" customHeight="1" x14ac:dyDescent="0.3"/>
    <row r="971" ht="15.6" customHeight="1" x14ac:dyDescent="0.3"/>
    <row r="972" ht="15.6" customHeight="1" x14ac:dyDescent="0.3"/>
    <row r="973" ht="15.6" customHeight="1" x14ac:dyDescent="0.3"/>
    <row r="974" ht="15.6" customHeight="1" x14ac:dyDescent="0.3"/>
    <row r="975" ht="15.6" customHeight="1" x14ac:dyDescent="0.3"/>
    <row r="976" ht="15.6" customHeight="1" x14ac:dyDescent="0.3"/>
    <row r="977" ht="15.6" customHeight="1" x14ac:dyDescent="0.3"/>
    <row r="978" ht="15.6" customHeight="1" x14ac:dyDescent="0.3"/>
    <row r="979" ht="15.6" customHeight="1" x14ac:dyDescent="0.3"/>
    <row r="980" ht="15.6" customHeight="1" x14ac:dyDescent="0.3"/>
    <row r="981" ht="15.6" customHeight="1" x14ac:dyDescent="0.3"/>
    <row r="982" ht="15.6" customHeight="1" x14ac:dyDescent="0.3"/>
    <row r="983" ht="15.6" customHeight="1" x14ac:dyDescent="0.3"/>
    <row r="984" ht="15.6" customHeight="1" x14ac:dyDescent="0.3"/>
    <row r="985" ht="15.6" customHeight="1" x14ac:dyDescent="0.3"/>
    <row r="986" ht="15.6" customHeight="1" x14ac:dyDescent="0.3"/>
    <row r="987" ht="15.6" customHeight="1" x14ac:dyDescent="0.3"/>
    <row r="988" ht="15.6" customHeight="1" x14ac:dyDescent="0.3"/>
    <row r="989" ht="15.6" customHeight="1" x14ac:dyDescent="0.3"/>
    <row r="990" ht="15.6" customHeight="1" x14ac:dyDescent="0.3"/>
    <row r="991" ht="15.6" customHeight="1" x14ac:dyDescent="0.3"/>
    <row r="992" ht="15.6" customHeight="1" x14ac:dyDescent="0.3"/>
    <row r="993" ht="15.6" customHeight="1" x14ac:dyDescent="0.3"/>
    <row r="994" ht="15.6" customHeight="1" x14ac:dyDescent="0.3"/>
    <row r="995" ht="15.6" customHeight="1" x14ac:dyDescent="0.3"/>
    <row r="996" ht="15.6" customHeight="1" x14ac:dyDescent="0.3"/>
    <row r="997" ht="15.6" customHeight="1" x14ac:dyDescent="0.3"/>
    <row r="998" ht="15.6" customHeight="1" x14ac:dyDescent="0.3"/>
    <row r="999" ht="15.6" customHeight="1" x14ac:dyDescent="0.3"/>
    <row r="1000" ht="15.6" customHeight="1" x14ac:dyDescent="0.3"/>
    <row r="1001" ht="15.6" customHeight="1" x14ac:dyDescent="0.3"/>
    <row r="1002" ht="15.6" customHeight="1" x14ac:dyDescent="0.3"/>
    <row r="1003" ht="15.6" customHeight="1" x14ac:dyDescent="0.3"/>
    <row r="1004" ht="15.6" customHeight="1" x14ac:dyDescent="0.3"/>
    <row r="1005" ht="15.6" customHeight="1" x14ac:dyDescent="0.3"/>
    <row r="1006" ht="15.6" customHeight="1" x14ac:dyDescent="0.3"/>
    <row r="1007" ht="15.6" customHeight="1" x14ac:dyDescent="0.3"/>
    <row r="1008" ht="15.6" customHeight="1" x14ac:dyDescent="0.3"/>
    <row r="1009" ht="15.6" customHeight="1" x14ac:dyDescent="0.3"/>
    <row r="1010" ht="15.6" customHeight="1" x14ac:dyDescent="0.3"/>
    <row r="1011" ht="15.6" customHeight="1" x14ac:dyDescent="0.3"/>
    <row r="1012" ht="15.6" customHeight="1" x14ac:dyDescent="0.3"/>
    <row r="1013" ht="15.6" customHeight="1" x14ac:dyDescent="0.3"/>
    <row r="1014" ht="15.6" customHeight="1" x14ac:dyDescent="0.3"/>
    <row r="1015" ht="15.6" customHeight="1" x14ac:dyDescent="0.3"/>
    <row r="1016" ht="15.6" customHeight="1" x14ac:dyDescent="0.3"/>
    <row r="1017" ht="15.6" customHeight="1" x14ac:dyDescent="0.3"/>
    <row r="1018" ht="15.6" customHeight="1" x14ac:dyDescent="0.3"/>
    <row r="1019" ht="15.6" customHeight="1" x14ac:dyDescent="0.3"/>
    <row r="1020" ht="15.6" customHeight="1" x14ac:dyDescent="0.3"/>
    <row r="1021" ht="15.6" customHeight="1" x14ac:dyDescent="0.3"/>
    <row r="1022" ht="15.6" customHeight="1" x14ac:dyDescent="0.3"/>
    <row r="1023" ht="15.6" customHeight="1" x14ac:dyDescent="0.3"/>
    <row r="1024" ht="15.6" customHeight="1" x14ac:dyDescent="0.3"/>
    <row r="1025" ht="15.6" customHeight="1" x14ac:dyDescent="0.3"/>
    <row r="1026" ht="15.6" customHeight="1" x14ac:dyDescent="0.3"/>
    <row r="1027" ht="15.6" customHeight="1" x14ac:dyDescent="0.3"/>
    <row r="1028" ht="15.6" customHeight="1" x14ac:dyDescent="0.3"/>
    <row r="1029" ht="15.6" customHeight="1" x14ac:dyDescent="0.3"/>
    <row r="1030" ht="15.6" customHeight="1" x14ac:dyDescent="0.3"/>
    <row r="1031" ht="15.6" customHeight="1" x14ac:dyDescent="0.3"/>
    <row r="1032" ht="15.6" customHeight="1" x14ac:dyDescent="0.3"/>
    <row r="1033" ht="15.6" customHeight="1" x14ac:dyDescent="0.3"/>
    <row r="1034" ht="15.6" customHeight="1" x14ac:dyDescent="0.3"/>
    <row r="1035" ht="15.6" customHeight="1" x14ac:dyDescent="0.3"/>
  </sheetData>
  <mergeCells count="2">
    <mergeCell ref="J2:K2"/>
    <mergeCell ref="L2:N2"/>
  </mergeCells>
  <dataValidations count="1">
    <dataValidation type="list" allowBlank="1" showInputMessage="1" showErrorMessage="1" sqref="C24" xr:uid="{393AAFD7-B6D5-46E2-860D-913A1CED3359}">
      <formula1>"Base,Downside"</formula1>
    </dataValidation>
  </dataValidations>
  <pageMargins left="0.7" right="0.7" top="0.75" bottom="0.75" header="0.3" footer="0.3"/>
  <extLst>
    <ext xmlns:x15="http://schemas.microsoft.com/office/spreadsheetml/2010/11/main" uri="{F7C9EE02-42E1-4005-9D12-6889AFFD525C}">
      <x15:webExtensions xmlns:xm="http://schemas.microsoft.com/office/excel/2006/main">
        <x15:webExtension appRef="{A60F7B71-B403-4EAC-9559-5CBF317AD7C6}">
          <xm:f>'Condo Alternative'!1:1048576</xm:f>
        </x15:webExtension>
        <x15:webExtension appRef="{35BE80E6-6F19-43A5-B0F4-86B05AADFD77}">
          <xm:f>'Condo Alternative'!XFD1048550:XFD1048575</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B65E-0E9D-4F57-B5CF-835FFE1F8FB0}">
  <dimension ref="B2:N23"/>
  <sheetViews>
    <sheetView showGridLines="0" workbookViewId="0"/>
  </sheetViews>
  <sheetFormatPr defaultColWidth="9.109375" defaultRowHeight="13.2" x14ac:dyDescent="0.25"/>
  <cols>
    <col min="1" max="1" width="9.109375" style="69"/>
    <col min="2" max="2" width="11.6640625" style="69" customWidth="1"/>
    <col min="3" max="13" width="15.6640625" style="69" customWidth="1"/>
    <col min="14" max="14" width="13" style="69" bestFit="1" customWidth="1"/>
    <col min="15" max="16384" width="9.109375" style="69"/>
  </cols>
  <sheetData>
    <row r="2" spans="2:14" ht="15" customHeight="1" x14ac:dyDescent="0.25">
      <c r="B2" s="255" t="s">
        <v>121</v>
      </c>
      <c r="C2" s="255"/>
      <c r="D2" s="255"/>
      <c r="E2" s="255"/>
      <c r="F2" s="255"/>
      <c r="G2" s="255"/>
      <c r="H2" s="255"/>
      <c r="I2" s="255"/>
      <c r="J2" s="255"/>
      <c r="K2" s="255"/>
      <c r="L2" s="255"/>
      <c r="M2" s="255"/>
      <c r="N2" s="256"/>
    </row>
    <row r="3" spans="2:14" ht="15" customHeight="1" x14ac:dyDescent="0.25">
      <c r="B3" s="177" t="s">
        <v>122</v>
      </c>
      <c r="C3" s="240" t="s">
        <v>123</v>
      </c>
      <c r="D3" s="240" t="s">
        <v>124</v>
      </c>
      <c r="E3" s="240" t="s">
        <v>125</v>
      </c>
      <c r="F3" s="240" t="s">
        <v>126</v>
      </c>
      <c r="G3" s="240" t="s">
        <v>127</v>
      </c>
      <c r="H3" s="241" t="s">
        <v>128</v>
      </c>
      <c r="I3" s="240" t="s">
        <v>129</v>
      </c>
      <c r="J3" s="240" t="s">
        <v>130</v>
      </c>
      <c r="K3" s="242" t="s">
        <v>131</v>
      </c>
      <c r="L3" s="242" t="s">
        <v>132</v>
      </c>
      <c r="M3" s="240" t="s">
        <v>133</v>
      </c>
      <c r="N3" s="243" t="s">
        <v>134</v>
      </c>
    </row>
    <row r="4" spans="2:14" ht="15" customHeight="1" x14ac:dyDescent="0.25">
      <c r="B4" s="245" t="s">
        <v>135</v>
      </c>
      <c r="C4" s="246">
        <v>100000</v>
      </c>
      <c r="D4" s="247">
        <v>96.5</v>
      </c>
      <c r="E4" s="248">
        <f t="shared" ref="E4" si="0">F4/12</f>
        <v>804166.66666666663</v>
      </c>
      <c r="F4" s="249">
        <f t="shared" ref="F4" si="1">C4*D4</f>
        <v>9650000</v>
      </c>
      <c r="G4" s="250">
        <v>45292</v>
      </c>
      <c r="H4" s="261">
        <v>12</v>
      </c>
      <c r="I4" s="251">
        <v>3</v>
      </c>
      <c r="J4" s="252">
        <v>3.5000000000000003E-2</v>
      </c>
      <c r="K4" s="274">
        <v>250</v>
      </c>
      <c r="L4" s="253">
        <v>0.02</v>
      </c>
      <c r="M4" s="254" t="s">
        <v>136</v>
      </c>
      <c r="N4" s="257">
        <f>F4*H4-(I4/12)*F4</f>
        <v>113387500</v>
      </c>
    </row>
    <row r="5" spans="2:14" ht="15" customHeight="1" x14ac:dyDescent="0.25">
      <c r="B5" s="244"/>
      <c r="C5" s="266">
        <f>C4/(C4+C9)</f>
        <v>0.38022813688212925</v>
      </c>
      <c r="D5" s="179"/>
      <c r="E5" s="180"/>
      <c r="F5" s="46"/>
      <c r="G5" s="181"/>
      <c r="H5" s="181"/>
      <c r="I5" s="182"/>
      <c r="J5" s="202" t="s">
        <v>53</v>
      </c>
      <c r="K5" s="275">
        <v>-200</v>
      </c>
      <c r="L5" s="183"/>
      <c r="M5" s="184"/>
    </row>
    <row r="6" spans="2:14" ht="15" customHeight="1" x14ac:dyDescent="0.25">
      <c r="B6" s="244"/>
      <c r="C6" s="178"/>
      <c r="D6" s="179"/>
      <c r="E6" s="180"/>
      <c r="F6" s="46"/>
      <c r="G6" s="181"/>
      <c r="H6" s="181"/>
      <c r="I6" s="182"/>
      <c r="J6" s="183"/>
      <c r="K6" s="183"/>
      <c r="L6" s="183"/>
      <c r="M6" s="184"/>
    </row>
    <row r="7" spans="2:14" ht="15" customHeight="1" x14ac:dyDescent="0.25">
      <c r="B7" s="255" t="s">
        <v>137</v>
      </c>
      <c r="C7" s="255"/>
      <c r="D7" s="255"/>
      <c r="E7" s="255"/>
      <c r="F7" s="255"/>
      <c r="G7" s="255"/>
      <c r="H7" s="255"/>
      <c r="I7" s="255"/>
      <c r="J7" s="255"/>
      <c r="K7" s="255"/>
      <c r="L7" s="255"/>
      <c r="M7" s="255"/>
      <c r="N7" s="256"/>
    </row>
    <row r="8" spans="2:14" ht="15" customHeight="1" x14ac:dyDescent="0.25">
      <c r="B8" s="177"/>
      <c r="C8" s="240" t="s">
        <v>123</v>
      </c>
      <c r="D8" s="240" t="s">
        <v>124</v>
      </c>
      <c r="E8" s="240" t="s">
        <v>125</v>
      </c>
      <c r="F8" s="240" t="s">
        <v>126</v>
      </c>
      <c r="G8" s="240" t="s">
        <v>138</v>
      </c>
      <c r="H8" s="241" t="s">
        <v>128</v>
      </c>
      <c r="I8" s="240" t="s">
        <v>129</v>
      </c>
      <c r="J8" s="240" t="s">
        <v>130</v>
      </c>
      <c r="K8" s="242" t="s">
        <v>131</v>
      </c>
      <c r="L8" s="242" t="s">
        <v>132</v>
      </c>
      <c r="M8" s="240" t="s">
        <v>133</v>
      </c>
      <c r="N8" s="243" t="s">
        <v>134</v>
      </c>
    </row>
    <row r="9" spans="2:14" ht="15" customHeight="1" x14ac:dyDescent="0.25">
      <c r="B9" s="258"/>
      <c r="C9" s="259">
        <f>'Annual CF'!E14-Rents!C4</f>
        <v>163000</v>
      </c>
      <c r="D9" s="247">
        <v>99</v>
      </c>
      <c r="E9" s="248">
        <f t="shared" ref="E9" si="2">F9/12</f>
        <v>1344750</v>
      </c>
      <c r="F9" s="249">
        <f t="shared" ref="F9" si="3">C9*D9</f>
        <v>16137000</v>
      </c>
      <c r="G9" s="260">
        <v>18</v>
      </c>
      <c r="H9" s="261">
        <v>7</v>
      </c>
      <c r="I9" s="251">
        <v>3</v>
      </c>
      <c r="J9" s="252">
        <v>3.5000000000000003E-2</v>
      </c>
      <c r="K9" s="274">
        <v>200</v>
      </c>
      <c r="L9" s="253">
        <v>0.02</v>
      </c>
      <c r="M9" s="254" t="s">
        <v>136</v>
      </c>
      <c r="N9" s="257">
        <f>F9*H9-(I9/12)*F9</f>
        <v>108924750</v>
      </c>
    </row>
    <row r="10" spans="2:14" ht="15" customHeight="1" x14ac:dyDescent="0.25">
      <c r="C10" s="178"/>
      <c r="D10" s="179"/>
      <c r="E10" s="180"/>
      <c r="F10" s="46"/>
      <c r="G10" s="181"/>
    </row>
    <row r="12" spans="2:14" x14ac:dyDescent="0.25">
      <c r="B12" s="68" t="s">
        <v>139</v>
      </c>
      <c r="C12" s="68"/>
    </row>
    <row r="13" spans="2:14" x14ac:dyDescent="0.25">
      <c r="B13" s="70"/>
      <c r="C13" s="70"/>
      <c r="D13" s="71"/>
      <c r="E13" s="71"/>
      <c r="F13" s="71"/>
      <c r="G13" s="92">
        <f>AVERAGE(G15:G21)</f>
        <v>97.657142857142858</v>
      </c>
      <c r="H13" s="71"/>
      <c r="I13" s="71"/>
      <c r="J13" s="110">
        <f>AVERAGE(J15:J21)</f>
        <v>2.6</v>
      </c>
      <c r="K13" s="72"/>
    </row>
    <row r="14" spans="2:14" x14ac:dyDescent="0.25">
      <c r="B14" s="73" t="s">
        <v>140</v>
      </c>
      <c r="C14" s="73" t="s">
        <v>141</v>
      </c>
      <c r="D14" s="74" t="s">
        <v>142</v>
      </c>
      <c r="E14" s="74" t="s">
        <v>25</v>
      </c>
      <c r="F14" s="74" t="s">
        <v>143</v>
      </c>
      <c r="G14" s="74" t="s">
        <v>144</v>
      </c>
      <c r="H14" s="74" t="s">
        <v>145</v>
      </c>
      <c r="I14" s="74" t="s">
        <v>146</v>
      </c>
      <c r="J14" s="73" t="s">
        <v>129</v>
      </c>
      <c r="K14" s="74" t="s">
        <v>131</v>
      </c>
    </row>
    <row r="15" spans="2:14" x14ac:dyDescent="0.25">
      <c r="B15" s="75" t="s">
        <v>147</v>
      </c>
      <c r="C15" s="76" t="s">
        <v>148</v>
      </c>
      <c r="D15" s="77" t="s">
        <v>149</v>
      </c>
      <c r="E15" s="78">
        <v>23038</v>
      </c>
      <c r="F15" s="78">
        <v>10</v>
      </c>
      <c r="G15" s="267">
        <v>87</v>
      </c>
      <c r="H15" s="79" t="s">
        <v>136</v>
      </c>
      <c r="I15" s="80">
        <v>2.5000000000000001E-2</v>
      </c>
      <c r="J15" s="113">
        <v>3</v>
      </c>
      <c r="K15" s="81" t="s">
        <v>150</v>
      </c>
    </row>
    <row r="16" spans="2:14" x14ac:dyDescent="0.25">
      <c r="B16" s="82" t="s">
        <v>151</v>
      </c>
      <c r="C16" s="82" t="s">
        <v>152</v>
      </c>
      <c r="D16" s="83">
        <v>43221</v>
      </c>
      <c r="E16" s="84">
        <v>12000</v>
      </c>
      <c r="F16" s="84" t="s">
        <v>153</v>
      </c>
      <c r="G16" s="85">
        <v>104</v>
      </c>
      <c r="H16" s="79" t="s">
        <v>136</v>
      </c>
      <c r="I16" s="86" t="s">
        <v>153</v>
      </c>
      <c r="J16" s="112"/>
      <c r="K16" s="87" t="s">
        <v>153</v>
      </c>
    </row>
    <row r="17" spans="2:11" x14ac:dyDescent="0.25">
      <c r="B17" s="82" t="s">
        <v>147</v>
      </c>
      <c r="C17" s="82" t="s">
        <v>148</v>
      </c>
      <c r="D17" s="83">
        <v>43132</v>
      </c>
      <c r="E17" s="84">
        <v>15094</v>
      </c>
      <c r="F17" s="84">
        <v>7</v>
      </c>
      <c r="G17" s="268">
        <v>80</v>
      </c>
      <c r="H17" s="79" t="s">
        <v>136</v>
      </c>
      <c r="I17" s="88">
        <v>2.5000000000000001E-2</v>
      </c>
      <c r="J17" s="111">
        <v>4</v>
      </c>
      <c r="K17" s="87" t="s">
        <v>150</v>
      </c>
    </row>
    <row r="18" spans="2:11" x14ac:dyDescent="0.25">
      <c r="B18" s="82" t="s">
        <v>154</v>
      </c>
      <c r="C18" s="82" t="s">
        <v>152</v>
      </c>
      <c r="D18" s="83">
        <v>42491</v>
      </c>
      <c r="E18" s="84">
        <v>4420</v>
      </c>
      <c r="F18" s="84">
        <v>5</v>
      </c>
      <c r="G18" s="85">
        <v>104</v>
      </c>
      <c r="H18" s="79" t="s">
        <v>136</v>
      </c>
      <c r="I18" s="88">
        <v>0.03</v>
      </c>
      <c r="J18" s="111">
        <v>3</v>
      </c>
      <c r="K18" s="87">
        <v>0</v>
      </c>
    </row>
    <row r="19" spans="2:11" x14ac:dyDescent="0.25">
      <c r="B19" s="82" t="s">
        <v>155</v>
      </c>
      <c r="C19" s="82" t="s">
        <v>152</v>
      </c>
      <c r="D19" s="83">
        <v>42036</v>
      </c>
      <c r="E19" s="84">
        <v>2175</v>
      </c>
      <c r="F19" s="84">
        <v>5</v>
      </c>
      <c r="G19" s="85">
        <v>109</v>
      </c>
      <c r="H19" s="79" t="s">
        <v>136</v>
      </c>
      <c r="I19" s="88">
        <v>3.5000000000000003E-2</v>
      </c>
      <c r="J19" s="111">
        <v>3</v>
      </c>
      <c r="K19" s="87">
        <v>0</v>
      </c>
    </row>
    <row r="20" spans="2:11" x14ac:dyDescent="0.25">
      <c r="B20" s="82" t="s">
        <v>156</v>
      </c>
      <c r="C20" s="82" t="s">
        <v>152</v>
      </c>
      <c r="D20" s="83" t="s">
        <v>153</v>
      </c>
      <c r="E20" s="84">
        <v>60186</v>
      </c>
      <c r="F20" s="84" t="s">
        <v>153</v>
      </c>
      <c r="G20" s="85">
        <v>101</v>
      </c>
      <c r="H20" s="79" t="s">
        <v>136</v>
      </c>
      <c r="I20" s="88" t="s">
        <v>153</v>
      </c>
      <c r="J20" s="111"/>
      <c r="K20" s="87" t="s">
        <v>153</v>
      </c>
    </row>
    <row r="21" spans="2:11" x14ac:dyDescent="0.25">
      <c r="B21" s="82" t="s">
        <v>147</v>
      </c>
      <c r="C21" s="82" t="s">
        <v>152</v>
      </c>
      <c r="D21" s="83" t="s">
        <v>153</v>
      </c>
      <c r="E21" s="84">
        <v>8000</v>
      </c>
      <c r="F21" s="84">
        <v>5</v>
      </c>
      <c r="G21" s="85">
        <v>98.6</v>
      </c>
      <c r="H21" s="79" t="s">
        <v>136</v>
      </c>
      <c r="I21" s="88">
        <v>3.5000000000000003E-2</v>
      </c>
      <c r="J21" s="111">
        <v>0</v>
      </c>
      <c r="K21" s="89">
        <v>300000</v>
      </c>
    </row>
    <row r="22" spans="2:11" x14ac:dyDescent="0.25">
      <c r="G22" s="90"/>
      <c r="H22" s="90"/>
    </row>
    <row r="23" spans="2:11" x14ac:dyDescent="0.25">
      <c r="B23" s="91"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92AF5-CEE2-4C8C-B50C-08E53C4E569E}">
  <dimension ref="B1:DU87"/>
  <sheetViews>
    <sheetView showGridLines="0" workbookViewId="0">
      <pane xSplit="3" ySplit="6" topLeftCell="D7" activePane="bottomRight" state="frozen"/>
      <selection pane="topRight" activeCell="D1" sqref="D1"/>
      <selection pane="bottomLeft" activeCell="A7" sqref="A7"/>
      <selection pane="bottomRight" activeCell="E50" sqref="E50"/>
    </sheetView>
  </sheetViews>
  <sheetFormatPr defaultColWidth="9.109375" defaultRowHeight="13.2" outlineLevelCol="1" x14ac:dyDescent="0.25"/>
  <cols>
    <col min="1" max="1" width="9.109375" style="69"/>
    <col min="2" max="2" width="32.88671875" style="69" bestFit="1" customWidth="1"/>
    <col min="3" max="3" width="15.44140625" style="69" customWidth="1"/>
    <col min="4" max="4" width="15.6640625" style="69" customWidth="1"/>
    <col min="5" max="26" width="15.6640625" style="69" customWidth="1" outlineLevel="1"/>
    <col min="27" max="160" width="15.6640625" style="69" customWidth="1"/>
    <col min="161" max="16384" width="9.109375" style="69"/>
  </cols>
  <sheetData>
    <row r="1" spans="2:125" x14ac:dyDescent="0.25">
      <c r="DU1" s="69" t="s">
        <v>0</v>
      </c>
    </row>
    <row r="2" spans="2:125" x14ac:dyDescent="0.25">
      <c r="B2" s="198"/>
      <c r="C2" s="198" t="s">
        <v>2</v>
      </c>
      <c r="D2" s="6" t="s">
        <v>3</v>
      </c>
      <c r="E2" s="235"/>
      <c r="F2" s="235"/>
      <c r="G2" s="235"/>
      <c r="H2" s="235"/>
      <c r="I2" s="235"/>
      <c r="J2" s="235"/>
      <c r="K2" s="235"/>
      <c r="L2" s="235"/>
      <c r="M2" s="235"/>
      <c r="N2" s="235"/>
      <c r="O2" s="235"/>
      <c r="P2" s="235"/>
      <c r="Q2" s="235"/>
      <c r="R2" s="235"/>
      <c r="S2" s="235"/>
      <c r="T2" s="235"/>
      <c r="U2" s="235"/>
      <c r="V2" s="235"/>
      <c r="W2" s="235"/>
      <c r="X2" s="235"/>
      <c r="Y2" s="235"/>
      <c r="Z2" s="235"/>
      <c r="AA2" s="235"/>
      <c r="AB2" s="235"/>
      <c r="AC2" s="106" t="s">
        <v>5</v>
      </c>
      <c r="AD2" s="106"/>
      <c r="AE2" s="106"/>
      <c r="AF2" s="106"/>
      <c r="AG2" s="106"/>
      <c r="AH2" s="106"/>
      <c r="AI2" s="106"/>
      <c r="AJ2" s="106"/>
      <c r="AK2" s="106"/>
      <c r="AL2" s="106"/>
      <c r="AM2" s="106"/>
      <c r="AN2" s="106"/>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c r="BV2" s="198"/>
      <c r="BW2" s="198"/>
      <c r="BX2" s="198"/>
      <c r="BY2" s="198"/>
      <c r="BZ2" s="198"/>
      <c r="CA2" s="198"/>
      <c r="CB2" s="198"/>
      <c r="CC2" s="198"/>
      <c r="CD2" s="198"/>
      <c r="CE2" s="198"/>
      <c r="CF2" s="198"/>
      <c r="CG2" s="198"/>
      <c r="CH2" s="198"/>
      <c r="CI2" s="198"/>
      <c r="CJ2" s="198"/>
      <c r="CK2" s="198"/>
      <c r="CL2" s="198"/>
      <c r="CM2" s="198"/>
      <c r="CN2" s="198"/>
      <c r="CO2" s="198"/>
      <c r="CP2" s="198"/>
      <c r="CQ2" s="198"/>
      <c r="CR2" s="198"/>
      <c r="CS2" s="198"/>
      <c r="CT2" s="198"/>
      <c r="CU2" s="198"/>
      <c r="CV2" s="198"/>
      <c r="CW2" s="198"/>
      <c r="CX2" s="198"/>
      <c r="CY2" s="198"/>
      <c r="CZ2" s="198"/>
      <c r="DA2" s="198"/>
      <c r="DB2" s="198"/>
      <c r="DC2" s="198"/>
      <c r="DD2" s="198"/>
      <c r="DE2" s="198"/>
      <c r="DF2" s="198"/>
      <c r="DG2" s="198"/>
      <c r="DH2" s="198"/>
      <c r="DI2" s="198"/>
      <c r="DJ2" s="198"/>
      <c r="DK2" s="198"/>
      <c r="DL2" s="198"/>
      <c r="DM2" s="198"/>
      <c r="DN2" s="198"/>
      <c r="DO2" s="198"/>
      <c r="DP2" s="198"/>
      <c r="DQ2" s="198"/>
      <c r="DR2" s="198"/>
      <c r="DS2" s="198"/>
      <c r="DT2" s="198"/>
      <c r="DU2" s="69" t="s">
        <v>0</v>
      </c>
    </row>
    <row r="3" spans="2:125" x14ac:dyDescent="0.25">
      <c r="B3" s="1" t="s">
        <v>10</v>
      </c>
      <c r="D3" s="1">
        <v>0</v>
      </c>
      <c r="E3" s="69">
        <v>1</v>
      </c>
      <c r="F3" s="69">
        <v>1</v>
      </c>
      <c r="G3" s="69">
        <v>1</v>
      </c>
      <c r="H3" s="69">
        <v>1</v>
      </c>
      <c r="I3" s="69">
        <v>1</v>
      </c>
      <c r="J3" s="69">
        <v>1</v>
      </c>
      <c r="K3" s="69">
        <v>1</v>
      </c>
      <c r="L3" s="69">
        <v>1</v>
      </c>
      <c r="M3" s="69">
        <v>1</v>
      </c>
      <c r="N3" s="69">
        <v>1</v>
      </c>
      <c r="O3" s="69">
        <v>1</v>
      </c>
      <c r="P3" s="69">
        <v>1</v>
      </c>
      <c r="Q3" s="69">
        <f>E3+1</f>
        <v>2</v>
      </c>
      <c r="R3" s="69">
        <f t="shared" ref="R3:BX3" si="0">F3+1</f>
        <v>2</v>
      </c>
      <c r="S3" s="69">
        <f t="shared" si="0"/>
        <v>2</v>
      </c>
      <c r="T3" s="69">
        <f t="shared" si="0"/>
        <v>2</v>
      </c>
      <c r="U3" s="69">
        <f t="shared" si="0"/>
        <v>2</v>
      </c>
      <c r="V3" s="69">
        <f t="shared" si="0"/>
        <v>2</v>
      </c>
      <c r="W3" s="69">
        <f t="shared" si="0"/>
        <v>2</v>
      </c>
      <c r="X3" s="69">
        <f t="shared" si="0"/>
        <v>2</v>
      </c>
      <c r="Y3" s="69">
        <f t="shared" si="0"/>
        <v>2</v>
      </c>
      <c r="Z3" s="69">
        <f t="shared" si="0"/>
        <v>2</v>
      </c>
      <c r="AA3" s="69">
        <f t="shared" si="0"/>
        <v>2</v>
      </c>
      <c r="AB3" s="69">
        <f t="shared" si="0"/>
        <v>2</v>
      </c>
      <c r="AC3" s="69">
        <f t="shared" si="0"/>
        <v>3</v>
      </c>
      <c r="AD3" s="69">
        <f t="shared" si="0"/>
        <v>3</v>
      </c>
      <c r="AE3" s="69">
        <f t="shared" si="0"/>
        <v>3</v>
      </c>
      <c r="AF3" s="69">
        <f t="shared" si="0"/>
        <v>3</v>
      </c>
      <c r="AG3" s="69">
        <f t="shared" si="0"/>
        <v>3</v>
      </c>
      <c r="AH3" s="69">
        <f t="shared" si="0"/>
        <v>3</v>
      </c>
      <c r="AI3" s="69">
        <f t="shared" si="0"/>
        <v>3</v>
      </c>
      <c r="AJ3" s="69">
        <f t="shared" si="0"/>
        <v>3</v>
      </c>
      <c r="AK3" s="69">
        <f t="shared" si="0"/>
        <v>3</v>
      </c>
      <c r="AL3" s="69">
        <f t="shared" si="0"/>
        <v>3</v>
      </c>
      <c r="AM3" s="69">
        <f t="shared" si="0"/>
        <v>3</v>
      </c>
      <c r="AN3" s="69">
        <f t="shared" si="0"/>
        <v>3</v>
      </c>
      <c r="AO3" s="69">
        <f t="shared" si="0"/>
        <v>4</v>
      </c>
      <c r="AP3" s="69">
        <f t="shared" si="0"/>
        <v>4</v>
      </c>
      <c r="AQ3" s="69">
        <f t="shared" si="0"/>
        <v>4</v>
      </c>
      <c r="AR3" s="69">
        <f t="shared" si="0"/>
        <v>4</v>
      </c>
      <c r="AS3" s="69">
        <f t="shared" si="0"/>
        <v>4</v>
      </c>
      <c r="AT3" s="69">
        <f t="shared" si="0"/>
        <v>4</v>
      </c>
      <c r="AU3" s="69">
        <f t="shared" si="0"/>
        <v>4</v>
      </c>
      <c r="AV3" s="69">
        <f t="shared" si="0"/>
        <v>4</v>
      </c>
      <c r="AW3" s="69">
        <f t="shared" si="0"/>
        <v>4</v>
      </c>
      <c r="AX3" s="69">
        <f t="shared" si="0"/>
        <v>4</v>
      </c>
      <c r="AY3" s="69">
        <f t="shared" si="0"/>
        <v>4</v>
      </c>
      <c r="AZ3" s="69">
        <f t="shared" si="0"/>
        <v>4</v>
      </c>
      <c r="BA3" s="69">
        <f t="shared" si="0"/>
        <v>5</v>
      </c>
      <c r="BB3" s="69">
        <f t="shared" si="0"/>
        <v>5</v>
      </c>
      <c r="BC3" s="69">
        <f t="shared" si="0"/>
        <v>5</v>
      </c>
      <c r="BD3" s="69">
        <f t="shared" si="0"/>
        <v>5</v>
      </c>
      <c r="BE3" s="69">
        <f t="shared" si="0"/>
        <v>5</v>
      </c>
      <c r="BF3" s="69">
        <f t="shared" si="0"/>
        <v>5</v>
      </c>
      <c r="BG3" s="69">
        <f t="shared" si="0"/>
        <v>5</v>
      </c>
      <c r="BH3" s="69">
        <f t="shared" si="0"/>
        <v>5</v>
      </c>
      <c r="BI3" s="69">
        <f t="shared" si="0"/>
        <v>5</v>
      </c>
      <c r="BJ3" s="69">
        <f t="shared" si="0"/>
        <v>5</v>
      </c>
      <c r="BK3" s="69">
        <f t="shared" si="0"/>
        <v>5</v>
      </c>
      <c r="BL3" s="69">
        <f t="shared" si="0"/>
        <v>5</v>
      </c>
      <c r="BM3" s="69">
        <f t="shared" si="0"/>
        <v>6</v>
      </c>
      <c r="BN3" s="69">
        <f t="shared" si="0"/>
        <v>6</v>
      </c>
      <c r="BO3" s="69">
        <f t="shared" si="0"/>
        <v>6</v>
      </c>
      <c r="BP3" s="69">
        <f t="shared" si="0"/>
        <v>6</v>
      </c>
      <c r="BQ3" s="69">
        <f t="shared" si="0"/>
        <v>6</v>
      </c>
      <c r="BR3" s="69">
        <f t="shared" si="0"/>
        <v>6</v>
      </c>
      <c r="BS3" s="69">
        <f t="shared" si="0"/>
        <v>6</v>
      </c>
      <c r="BT3" s="69">
        <f t="shared" si="0"/>
        <v>6</v>
      </c>
      <c r="BU3" s="69">
        <f t="shared" si="0"/>
        <v>6</v>
      </c>
      <c r="BV3" s="69">
        <f t="shared" si="0"/>
        <v>6</v>
      </c>
      <c r="BW3" s="69">
        <f t="shared" si="0"/>
        <v>6</v>
      </c>
      <c r="BX3" s="69">
        <f t="shared" si="0"/>
        <v>6</v>
      </c>
      <c r="BY3" s="69">
        <f t="shared" ref="BY3:CJ3" si="1">BM3+1</f>
        <v>7</v>
      </c>
      <c r="BZ3" s="69">
        <f t="shared" si="1"/>
        <v>7</v>
      </c>
      <c r="CA3" s="69">
        <f t="shared" si="1"/>
        <v>7</v>
      </c>
      <c r="CB3" s="69">
        <f t="shared" si="1"/>
        <v>7</v>
      </c>
      <c r="CC3" s="69">
        <f t="shared" si="1"/>
        <v>7</v>
      </c>
      <c r="CD3" s="69">
        <f t="shared" si="1"/>
        <v>7</v>
      </c>
      <c r="CE3" s="69">
        <f t="shared" si="1"/>
        <v>7</v>
      </c>
      <c r="CF3" s="69">
        <f t="shared" si="1"/>
        <v>7</v>
      </c>
      <c r="CG3" s="69">
        <f t="shared" si="1"/>
        <v>7</v>
      </c>
      <c r="CH3" s="69">
        <f t="shared" si="1"/>
        <v>7</v>
      </c>
      <c r="CI3" s="69">
        <f t="shared" si="1"/>
        <v>7</v>
      </c>
      <c r="CJ3" s="69">
        <f t="shared" si="1"/>
        <v>7</v>
      </c>
      <c r="CK3" s="69">
        <f t="shared" ref="CK3:DT3" si="2">BY3+1</f>
        <v>8</v>
      </c>
      <c r="CL3" s="69">
        <f t="shared" si="2"/>
        <v>8</v>
      </c>
      <c r="CM3" s="69">
        <f t="shared" si="2"/>
        <v>8</v>
      </c>
      <c r="CN3" s="69">
        <f t="shared" si="2"/>
        <v>8</v>
      </c>
      <c r="CO3" s="69">
        <f t="shared" si="2"/>
        <v>8</v>
      </c>
      <c r="CP3" s="69">
        <f t="shared" si="2"/>
        <v>8</v>
      </c>
      <c r="CQ3" s="69">
        <f t="shared" si="2"/>
        <v>8</v>
      </c>
      <c r="CR3" s="69">
        <f t="shared" si="2"/>
        <v>8</v>
      </c>
      <c r="CS3" s="69">
        <f t="shared" si="2"/>
        <v>8</v>
      </c>
      <c r="CT3" s="69">
        <f t="shared" si="2"/>
        <v>8</v>
      </c>
      <c r="CU3" s="69">
        <f t="shared" si="2"/>
        <v>8</v>
      </c>
      <c r="CV3" s="69">
        <f t="shared" si="2"/>
        <v>8</v>
      </c>
      <c r="CW3" s="69">
        <f t="shared" si="2"/>
        <v>9</v>
      </c>
      <c r="CX3" s="69">
        <f t="shared" si="2"/>
        <v>9</v>
      </c>
      <c r="CY3" s="69">
        <f t="shared" si="2"/>
        <v>9</v>
      </c>
      <c r="CZ3" s="69">
        <f t="shared" si="2"/>
        <v>9</v>
      </c>
      <c r="DA3" s="69">
        <f t="shared" si="2"/>
        <v>9</v>
      </c>
      <c r="DB3" s="69">
        <f t="shared" si="2"/>
        <v>9</v>
      </c>
      <c r="DC3" s="69">
        <f t="shared" si="2"/>
        <v>9</v>
      </c>
      <c r="DD3" s="69">
        <f t="shared" si="2"/>
        <v>9</v>
      </c>
      <c r="DE3" s="69">
        <f t="shared" si="2"/>
        <v>9</v>
      </c>
      <c r="DF3" s="69">
        <f t="shared" si="2"/>
        <v>9</v>
      </c>
      <c r="DG3" s="69">
        <f t="shared" si="2"/>
        <v>9</v>
      </c>
      <c r="DH3" s="69">
        <f t="shared" si="2"/>
        <v>9</v>
      </c>
      <c r="DI3" s="69">
        <f t="shared" si="2"/>
        <v>10</v>
      </c>
      <c r="DJ3" s="69">
        <f t="shared" si="2"/>
        <v>10</v>
      </c>
      <c r="DK3" s="69">
        <f t="shared" si="2"/>
        <v>10</v>
      </c>
      <c r="DL3" s="69">
        <f t="shared" si="2"/>
        <v>10</v>
      </c>
      <c r="DM3" s="69">
        <f t="shared" si="2"/>
        <v>10</v>
      </c>
      <c r="DN3" s="69">
        <f t="shared" si="2"/>
        <v>10</v>
      </c>
      <c r="DO3" s="69">
        <f t="shared" si="2"/>
        <v>10</v>
      </c>
      <c r="DP3" s="69">
        <f t="shared" si="2"/>
        <v>10</v>
      </c>
      <c r="DQ3" s="69">
        <f t="shared" si="2"/>
        <v>10</v>
      </c>
      <c r="DR3" s="69">
        <f t="shared" si="2"/>
        <v>10</v>
      </c>
      <c r="DS3" s="69">
        <f t="shared" si="2"/>
        <v>10</v>
      </c>
      <c r="DT3" s="69">
        <f t="shared" si="2"/>
        <v>10</v>
      </c>
      <c r="DU3" s="69" t="s">
        <v>0</v>
      </c>
    </row>
    <row r="4" spans="2:125" x14ac:dyDescent="0.25">
      <c r="B4" s="1" t="s">
        <v>158</v>
      </c>
      <c r="D4" s="69">
        <v>0</v>
      </c>
      <c r="E4" s="69">
        <f>D4+1</f>
        <v>1</v>
      </c>
      <c r="F4" s="69">
        <f t="shared" ref="F4:BQ4" si="3">E4+1</f>
        <v>2</v>
      </c>
      <c r="G4" s="69">
        <f t="shared" si="3"/>
        <v>3</v>
      </c>
      <c r="H4" s="69">
        <f t="shared" si="3"/>
        <v>4</v>
      </c>
      <c r="I4" s="69">
        <f t="shared" si="3"/>
        <v>5</v>
      </c>
      <c r="J4" s="69">
        <f t="shared" si="3"/>
        <v>6</v>
      </c>
      <c r="K4" s="69">
        <f t="shared" si="3"/>
        <v>7</v>
      </c>
      <c r="L4" s="69">
        <f t="shared" si="3"/>
        <v>8</v>
      </c>
      <c r="M4" s="69">
        <f t="shared" si="3"/>
        <v>9</v>
      </c>
      <c r="N4" s="69">
        <f t="shared" si="3"/>
        <v>10</v>
      </c>
      <c r="O4" s="69">
        <f t="shared" si="3"/>
        <v>11</v>
      </c>
      <c r="P4" s="69">
        <f t="shared" si="3"/>
        <v>12</v>
      </c>
      <c r="Q4" s="69">
        <f t="shared" si="3"/>
        <v>13</v>
      </c>
      <c r="R4" s="69">
        <f t="shared" si="3"/>
        <v>14</v>
      </c>
      <c r="S4" s="69">
        <f t="shared" si="3"/>
        <v>15</v>
      </c>
      <c r="T4" s="69">
        <f t="shared" si="3"/>
        <v>16</v>
      </c>
      <c r="U4" s="69">
        <f t="shared" si="3"/>
        <v>17</v>
      </c>
      <c r="V4" s="69">
        <f t="shared" si="3"/>
        <v>18</v>
      </c>
      <c r="W4" s="69">
        <f t="shared" si="3"/>
        <v>19</v>
      </c>
      <c r="X4" s="69">
        <f t="shared" si="3"/>
        <v>20</v>
      </c>
      <c r="Y4" s="69">
        <f t="shared" si="3"/>
        <v>21</v>
      </c>
      <c r="Z4" s="69">
        <f t="shared" si="3"/>
        <v>22</v>
      </c>
      <c r="AA4" s="69">
        <f t="shared" si="3"/>
        <v>23</v>
      </c>
      <c r="AB4" s="69">
        <f t="shared" si="3"/>
        <v>24</v>
      </c>
      <c r="AC4" s="69">
        <f t="shared" si="3"/>
        <v>25</v>
      </c>
      <c r="AD4" s="69">
        <f t="shared" si="3"/>
        <v>26</v>
      </c>
      <c r="AE4" s="69">
        <f t="shared" si="3"/>
        <v>27</v>
      </c>
      <c r="AF4" s="69">
        <f t="shared" si="3"/>
        <v>28</v>
      </c>
      <c r="AG4" s="69">
        <f t="shared" si="3"/>
        <v>29</v>
      </c>
      <c r="AH4" s="69">
        <f t="shared" si="3"/>
        <v>30</v>
      </c>
      <c r="AI4" s="69">
        <f t="shared" si="3"/>
        <v>31</v>
      </c>
      <c r="AJ4" s="69">
        <f t="shared" si="3"/>
        <v>32</v>
      </c>
      <c r="AK4" s="69">
        <f t="shared" si="3"/>
        <v>33</v>
      </c>
      <c r="AL4" s="69">
        <f t="shared" si="3"/>
        <v>34</v>
      </c>
      <c r="AM4" s="69">
        <f t="shared" si="3"/>
        <v>35</v>
      </c>
      <c r="AN4" s="69">
        <f t="shared" si="3"/>
        <v>36</v>
      </c>
      <c r="AO4" s="69">
        <f t="shared" si="3"/>
        <v>37</v>
      </c>
      <c r="AP4" s="69">
        <f t="shared" si="3"/>
        <v>38</v>
      </c>
      <c r="AQ4" s="69">
        <f t="shared" si="3"/>
        <v>39</v>
      </c>
      <c r="AR4" s="69">
        <f t="shared" si="3"/>
        <v>40</v>
      </c>
      <c r="AS4" s="69">
        <f t="shared" si="3"/>
        <v>41</v>
      </c>
      <c r="AT4" s="69">
        <f t="shared" si="3"/>
        <v>42</v>
      </c>
      <c r="AU4" s="69">
        <f t="shared" si="3"/>
        <v>43</v>
      </c>
      <c r="AV4" s="69">
        <f t="shared" si="3"/>
        <v>44</v>
      </c>
      <c r="AW4" s="69">
        <f t="shared" si="3"/>
        <v>45</v>
      </c>
      <c r="AX4" s="69">
        <f t="shared" si="3"/>
        <v>46</v>
      </c>
      <c r="AY4" s="69">
        <f t="shared" si="3"/>
        <v>47</v>
      </c>
      <c r="AZ4" s="69">
        <f t="shared" si="3"/>
        <v>48</v>
      </c>
      <c r="BA4" s="69">
        <f t="shared" si="3"/>
        <v>49</v>
      </c>
      <c r="BB4" s="69">
        <f t="shared" si="3"/>
        <v>50</v>
      </c>
      <c r="BC4" s="69">
        <f t="shared" si="3"/>
        <v>51</v>
      </c>
      <c r="BD4" s="69">
        <f t="shared" si="3"/>
        <v>52</v>
      </c>
      <c r="BE4" s="69">
        <f t="shared" si="3"/>
        <v>53</v>
      </c>
      <c r="BF4" s="69">
        <f t="shared" si="3"/>
        <v>54</v>
      </c>
      <c r="BG4" s="69">
        <f t="shared" si="3"/>
        <v>55</v>
      </c>
      <c r="BH4" s="69">
        <f t="shared" si="3"/>
        <v>56</v>
      </c>
      <c r="BI4" s="69">
        <f t="shared" si="3"/>
        <v>57</v>
      </c>
      <c r="BJ4" s="69">
        <f t="shared" si="3"/>
        <v>58</v>
      </c>
      <c r="BK4" s="69">
        <f t="shared" si="3"/>
        <v>59</v>
      </c>
      <c r="BL4" s="69">
        <f t="shared" si="3"/>
        <v>60</v>
      </c>
      <c r="BM4" s="69">
        <f t="shared" si="3"/>
        <v>61</v>
      </c>
      <c r="BN4" s="69">
        <f t="shared" si="3"/>
        <v>62</v>
      </c>
      <c r="BO4" s="69">
        <f t="shared" si="3"/>
        <v>63</v>
      </c>
      <c r="BP4" s="69">
        <f t="shared" si="3"/>
        <v>64</v>
      </c>
      <c r="BQ4" s="69">
        <f t="shared" si="3"/>
        <v>65</v>
      </c>
      <c r="BR4" s="69">
        <f t="shared" ref="BR4:CJ4" si="4">BQ4+1</f>
        <v>66</v>
      </c>
      <c r="BS4" s="69">
        <f t="shared" si="4"/>
        <v>67</v>
      </c>
      <c r="BT4" s="69">
        <f t="shared" si="4"/>
        <v>68</v>
      </c>
      <c r="BU4" s="69">
        <f t="shared" si="4"/>
        <v>69</v>
      </c>
      <c r="BV4" s="69">
        <f t="shared" si="4"/>
        <v>70</v>
      </c>
      <c r="BW4" s="69">
        <f t="shared" si="4"/>
        <v>71</v>
      </c>
      <c r="BX4" s="69">
        <f t="shared" si="4"/>
        <v>72</v>
      </c>
      <c r="BY4" s="69">
        <f>BX4+1</f>
        <v>73</v>
      </c>
      <c r="BZ4" s="69">
        <f t="shared" si="4"/>
        <v>74</v>
      </c>
      <c r="CA4" s="69">
        <f t="shared" si="4"/>
        <v>75</v>
      </c>
      <c r="CB4" s="69">
        <f t="shared" si="4"/>
        <v>76</v>
      </c>
      <c r="CC4" s="69">
        <f t="shared" si="4"/>
        <v>77</v>
      </c>
      <c r="CD4" s="69">
        <f t="shared" si="4"/>
        <v>78</v>
      </c>
      <c r="CE4" s="69">
        <f t="shared" si="4"/>
        <v>79</v>
      </c>
      <c r="CF4" s="69">
        <f t="shared" si="4"/>
        <v>80</v>
      </c>
      <c r="CG4" s="69">
        <f t="shared" si="4"/>
        <v>81</v>
      </c>
      <c r="CH4" s="69">
        <f t="shared" si="4"/>
        <v>82</v>
      </c>
      <c r="CI4" s="69">
        <f t="shared" si="4"/>
        <v>83</v>
      </c>
      <c r="CJ4" s="69">
        <f t="shared" si="4"/>
        <v>84</v>
      </c>
      <c r="CK4" s="69">
        <f t="shared" ref="CK4" si="5">CJ4+1</f>
        <v>85</v>
      </c>
      <c r="CL4" s="69">
        <f t="shared" ref="CL4" si="6">CK4+1</f>
        <v>86</v>
      </c>
      <c r="CM4" s="69">
        <f t="shared" ref="CM4" si="7">CL4+1</f>
        <v>87</v>
      </c>
      <c r="CN4" s="69">
        <f t="shared" ref="CN4" si="8">CM4+1</f>
        <v>88</v>
      </c>
      <c r="CO4" s="69">
        <f t="shared" ref="CO4" si="9">CN4+1</f>
        <v>89</v>
      </c>
      <c r="CP4" s="69">
        <f t="shared" ref="CP4" si="10">CO4+1</f>
        <v>90</v>
      </c>
      <c r="CQ4" s="69">
        <f t="shared" ref="CQ4" si="11">CP4+1</f>
        <v>91</v>
      </c>
      <c r="CR4" s="69">
        <f t="shared" ref="CR4" si="12">CQ4+1</f>
        <v>92</v>
      </c>
      <c r="CS4" s="69">
        <f t="shared" ref="CS4" si="13">CR4+1</f>
        <v>93</v>
      </c>
      <c r="CT4" s="69">
        <f t="shared" ref="CT4" si="14">CS4+1</f>
        <v>94</v>
      </c>
      <c r="CU4" s="69">
        <f t="shared" ref="CU4" si="15">CT4+1</f>
        <v>95</v>
      </c>
      <c r="CV4" s="69">
        <f t="shared" ref="CV4" si="16">CU4+1</f>
        <v>96</v>
      </c>
      <c r="CW4" s="69">
        <f t="shared" ref="CW4" si="17">CV4+1</f>
        <v>97</v>
      </c>
      <c r="CX4" s="69">
        <f t="shared" ref="CX4" si="18">CW4+1</f>
        <v>98</v>
      </c>
      <c r="CY4" s="69">
        <f t="shared" ref="CY4" si="19">CX4+1</f>
        <v>99</v>
      </c>
      <c r="CZ4" s="69">
        <f t="shared" ref="CZ4" si="20">CY4+1</f>
        <v>100</v>
      </c>
      <c r="DA4" s="69">
        <f t="shared" ref="DA4" si="21">CZ4+1</f>
        <v>101</v>
      </c>
      <c r="DB4" s="69">
        <f t="shared" ref="DB4" si="22">DA4+1</f>
        <v>102</v>
      </c>
      <c r="DC4" s="69">
        <f t="shared" ref="DC4" si="23">DB4+1</f>
        <v>103</v>
      </c>
      <c r="DD4" s="69">
        <f t="shared" ref="DD4" si="24">DC4+1</f>
        <v>104</v>
      </c>
      <c r="DE4" s="69">
        <f t="shared" ref="DE4" si="25">DD4+1</f>
        <v>105</v>
      </c>
      <c r="DF4" s="69">
        <f t="shared" ref="DF4" si="26">DE4+1</f>
        <v>106</v>
      </c>
      <c r="DG4" s="69">
        <f t="shared" ref="DG4" si="27">DF4+1</f>
        <v>107</v>
      </c>
      <c r="DH4" s="69">
        <f t="shared" ref="DH4" si="28">DG4+1</f>
        <v>108</v>
      </c>
      <c r="DI4" s="69">
        <f t="shared" ref="DI4" si="29">DH4+1</f>
        <v>109</v>
      </c>
      <c r="DJ4" s="69">
        <f t="shared" ref="DJ4" si="30">DI4+1</f>
        <v>110</v>
      </c>
      <c r="DK4" s="69">
        <f t="shared" ref="DK4" si="31">DJ4+1</f>
        <v>111</v>
      </c>
      <c r="DL4" s="69">
        <f t="shared" ref="DL4" si="32">DK4+1</f>
        <v>112</v>
      </c>
      <c r="DM4" s="69">
        <f t="shared" ref="DM4" si="33">DL4+1</f>
        <v>113</v>
      </c>
      <c r="DN4" s="69">
        <f t="shared" ref="DN4" si="34">DM4+1</f>
        <v>114</v>
      </c>
      <c r="DO4" s="69">
        <f t="shared" ref="DO4" si="35">DN4+1</f>
        <v>115</v>
      </c>
      <c r="DP4" s="69">
        <f t="shared" ref="DP4" si="36">DO4+1</f>
        <v>116</v>
      </c>
      <c r="DQ4" s="69">
        <f t="shared" ref="DQ4" si="37">DP4+1</f>
        <v>117</v>
      </c>
      <c r="DR4" s="69">
        <f t="shared" ref="DR4" si="38">DQ4+1</f>
        <v>118</v>
      </c>
      <c r="DS4" s="69">
        <f t="shared" ref="DS4" si="39">DR4+1</f>
        <v>119</v>
      </c>
      <c r="DT4" s="69">
        <f t="shared" ref="DT4" si="40">DS4+1</f>
        <v>120</v>
      </c>
      <c r="DU4" s="69" t="s">
        <v>0</v>
      </c>
    </row>
    <row r="5" spans="2:125" x14ac:dyDescent="0.25">
      <c r="B5" s="1" t="s">
        <v>11</v>
      </c>
      <c r="D5" s="12">
        <f ca="1">'Annual CF'!D3</f>
        <v>45271</v>
      </c>
      <c r="E5" s="176">
        <f ca="1">EOMONTH(D6,0)+1</f>
        <v>45292</v>
      </c>
      <c r="F5" s="176">
        <f ca="1">E6+1</f>
        <v>45323</v>
      </c>
      <c r="G5" s="176">
        <f t="shared" ref="G5:BR5" ca="1" si="41">F6+1</f>
        <v>45352</v>
      </c>
      <c r="H5" s="176">
        <f t="shared" ca="1" si="41"/>
        <v>45383</v>
      </c>
      <c r="I5" s="176">
        <f t="shared" ca="1" si="41"/>
        <v>45413</v>
      </c>
      <c r="J5" s="176">
        <f t="shared" ca="1" si="41"/>
        <v>45444</v>
      </c>
      <c r="K5" s="176">
        <f t="shared" ca="1" si="41"/>
        <v>45474</v>
      </c>
      <c r="L5" s="176">
        <f t="shared" ca="1" si="41"/>
        <v>45505</v>
      </c>
      <c r="M5" s="176">
        <f t="shared" ca="1" si="41"/>
        <v>45536</v>
      </c>
      <c r="N5" s="176">
        <f t="shared" ca="1" si="41"/>
        <v>45566</v>
      </c>
      <c r="O5" s="176">
        <f t="shared" ca="1" si="41"/>
        <v>45597</v>
      </c>
      <c r="P5" s="176">
        <f t="shared" ca="1" si="41"/>
        <v>45627</v>
      </c>
      <c r="Q5" s="176">
        <f t="shared" ca="1" si="41"/>
        <v>45658</v>
      </c>
      <c r="R5" s="176">
        <f t="shared" ca="1" si="41"/>
        <v>45689</v>
      </c>
      <c r="S5" s="176">
        <f t="shared" ca="1" si="41"/>
        <v>45717</v>
      </c>
      <c r="T5" s="176">
        <f t="shared" ca="1" si="41"/>
        <v>45748</v>
      </c>
      <c r="U5" s="176">
        <f t="shared" ca="1" si="41"/>
        <v>45778</v>
      </c>
      <c r="V5" s="176">
        <f t="shared" ca="1" si="41"/>
        <v>45809</v>
      </c>
      <c r="W5" s="176">
        <f t="shared" ca="1" si="41"/>
        <v>45839</v>
      </c>
      <c r="X5" s="176">
        <f t="shared" ca="1" si="41"/>
        <v>45870</v>
      </c>
      <c r="Y5" s="176">
        <f t="shared" ca="1" si="41"/>
        <v>45901</v>
      </c>
      <c r="Z5" s="176">
        <f t="shared" ca="1" si="41"/>
        <v>45931</v>
      </c>
      <c r="AA5" s="176">
        <f t="shared" ca="1" si="41"/>
        <v>45962</v>
      </c>
      <c r="AB5" s="176">
        <f t="shared" ca="1" si="41"/>
        <v>45992</v>
      </c>
      <c r="AC5" s="176">
        <f t="shared" ca="1" si="41"/>
        <v>46023</v>
      </c>
      <c r="AD5" s="176">
        <f t="shared" ca="1" si="41"/>
        <v>46054</v>
      </c>
      <c r="AE5" s="176">
        <f t="shared" ca="1" si="41"/>
        <v>46082</v>
      </c>
      <c r="AF5" s="176">
        <f t="shared" ca="1" si="41"/>
        <v>46113</v>
      </c>
      <c r="AG5" s="176">
        <f t="shared" ca="1" si="41"/>
        <v>46143</v>
      </c>
      <c r="AH5" s="176">
        <f t="shared" ca="1" si="41"/>
        <v>46174</v>
      </c>
      <c r="AI5" s="176">
        <f t="shared" ca="1" si="41"/>
        <v>46204</v>
      </c>
      <c r="AJ5" s="176">
        <f t="shared" ca="1" si="41"/>
        <v>46235</v>
      </c>
      <c r="AK5" s="176">
        <f t="shared" ca="1" si="41"/>
        <v>46266</v>
      </c>
      <c r="AL5" s="176">
        <f t="shared" ca="1" si="41"/>
        <v>46296</v>
      </c>
      <c r="AM5" s="176">
        <f t="shared" ca="1" si="41"/>
        <v>46327</v>
      </c>
      <c r="AN5" s="176">
        <f t="shared" ca="1" si="41"/>
        <v>46357</v>
      </c>
      <c r="AO5" s="176">
        <f t="shared" ca="1" si="41"/>
        <v>46388</v>
      </c>
      <c r="AP5" s="176">
        <f t="shared" ca="1" si="41"/>
        <v>46419</v>
      </c>
      <c r="AQ5" s="176">
        <f t="shared" ca="1" si="41"/>
        <v>46447</v>
      </c>
      <c r="AR5" s="176">
        <f t="shared" ca="1" si="41"/>
        <v>46478</v>
      </c>
      <c r="AS5" s="176">
        <f t="shared" ca="1" si="41"/>
        <v>46508</v>
      </c>
      <c r="AT5" s="176">
        <f t="shared" ca="1" si="41"/>
        <v>46539</v>
      </c>
      <c r="AU5" s="176">
        <f t="shared" ca="1" si="41"/>
        <v>46569</v>
      </c>
      <c r="AV5" s="176">
        <f t="shared" ca="1" si="41"/>
        <v>46600</v>
      </c>
      <c r="AW5" s="176">
        <f t="shared" ca="1" si="41"/>
        <v>46631</v>
      </c>
      <c r="AX5" s="176">
        <f t="shared" ca="1" si="41"/>
        <v>46661</v>
      </c>
      <c r="AY5" s="176">
        <f t="shared" ca="1" si="41"/>
        <v>46692</v>
      </c>
      <c r="AZ5" s="176">
        <f t="shared" ca="1" si="41"/>
        <v>46722</v>
      </c>
      <c r="BA5" s="176">
        <f t="shared" ca="1" si="41"/>
        <v>46753</v>
      </c>
      <c r="BB5" s="176">
        <f t="shared" ca="1" si="41"/>
        <v>46784</v>
      </c>
      <c r="BC5" s="176">
        <f t="shared" ca="1" si="41"/>
        <v>46813</v>
      </c>
      <c r="BD5" s="176">
        <f t="shared" ca="1" si="41"/>
        <v>46844</v>
      </c>
      <c r="BE5" s="176">
        <f t="shared" ca="1" si="41"/>
        <v>46874</v>
      </c>
      <c r="BF5" s="176">
        <f t="shared" ca="1" si="41"/>
        <v>46905</v>
      </c>
      <c r="BG5" s="176">
        <f t="shared" ca="1" si="41"/>
        <v>46935</v>
      </c>
      <c r="BH5" s="176">
        <f t="shared" ca="1" si="41"/>
        <v>46966</v>
      </c>
      <c r="BI5" s="176">
        <f t="shared" ca="1" si="41"/>
        <v>46997</v>
      </c>
      <c r="BJ5" s="176">
        <f t="shared" ca="1" si="41"/>
        <v>47027</v>
      </c>
      <c r="BK5" s="176">
        <f t="shared" ca="1" si="41"/>
        <v>47058</v>
      </c>
      <c r="BL5" s="176">
        <f t="shared" ca="1" si="41"/>
        <v>47088</v>
      </c>
      <c r="BM5" s="176">
        <f t="shared" ca="1" si="41"/>
        <v>47119</v>
      </c>
      <c r="BN5" s="176">
        <f t="shared" ca="1" si="41"/>
        <v>47150</v>
      </c>
      <c r="BO5" s="176">
        <f t="shared" ca="1" si="41"/>
        <v>47178</v>
      </c>
      <c r="BP5" s="176">
        <f t="shared" ca="1" si="41"/>
        <v>47209</v>
      </c>
      <c r="BQ5" s="176">
        <f t="shared" ca="1" si="41"/>
        <v>47239</v>
      </c>
      <c r="BR5" s="176">
        <f t="shared" ca="1" si="41"/>
        <v>47270</v>
      </c>
      <c r="BS5" s="176">
        <f t="shared" ref="BS5:CJ5" ca="1" si="42">BR6+1</f>
        <v>47300</v>
      </c>
      <c r="BT5" s="176">
        <f t="shared" ca="1" si="42"/>
        <v>47331</v>
      </c>
      <c r="BU5" s="176">
        <f t="shared" ca="1" si="42"/>
        <v>47362</v>
      </c>
      <c r="BV5" s="176">
        <f t="shared" ca="1" si="42"/>
        <v>47392</v>
      </c>
      <c r="BW5" s="176">
        <f t="shared" ca="1" si="42"/>
        <v>47423</v>
      </c>
      <c r="BX5" s="176">
        <f t="shared" ca="1" si="42"/>
        <v>47453</v>
      </c>
      <c r="BY5" s="176">
        <f ca="1">BX6+1</f>
        <v>47484</v>
      </c>
      <c r="BZ5" s="176">
        <f t="shared" ca="1" si="42"/>
        <v>47515</v>
      </c>
      <c r="CA5" s="176">
        <f t="shared" ca="1" si="42"/>
        <v>47543</v>
      </c>
      <c r="CB5" s="176">
        <f t="shared" ca="1" si="42"/>
        <v>47574</v>
      </c>
      <c r="CC5" s="176">
        <f t="shared" ca="1" si="42"/>
        <v>47604</v>
      </c>
      <c r="CD5" s="176">
        <f t="shared" ca="1" si="42"/>
        <v>47635</v>
      </c>
      <c r="CE5" s="176">
        <f t="shared" ca="1" si="42"/>
        <v>47665</v>
      </c>
      <c r="CF5" s="176">
        <f t="shared" ca="1" si="42"/>
        <v>47696</v>
      </c>
      <c r="CG5" s="176">
        <f t="shared" ca="1" si="42"/>
        <v>47727</v>
      </c>
      <c r="CH5" s="176">
        <f t="shared" ca="1" si="42"/>
        <v>47757</v>
      </c>
      <c r="CI5" s="176">
        <f t="shared" ca="1" si="42"/>
        <v>47788</v>
      </c>
      <c r="CJ5" s="176">
        <f t="shared" ca="1" si="42"/>
        <v>47818</v>
      </c>
      <c r="CK5" s="176">
        <f t="shared" ref="CK5" ca="1" si="43">CJ6+1</f>
        <v>47849</v>
      </c>
      <c r="CL5" s="176">
        <f t="shared" ref="CL5" ca="1" si="44">CK6+1</f>
        <v>47880</v>
      </c>
      <c r="CM5" s="176">
        <f t="shared" ref="CM5" ca="1" si="45">CL6+1</f>
        <v>47908</v>
      </c>
      <c r="CN5" s="176">
        <f t="shared" ref="CN5" ca="1" si="46">CM6+1</f>
        <v>47939</v>
      </c>
      <c r="CO5" s="176">
        <f t="shared" ref="CO5" ca="1" si="47">CN6+1</f>
        <v>47969</v>
      </c>
      <c r="CP5" s="176">
        <f t="shared" ref="CP5" ca="1" si="48">CO6+1</f>
        <v>48000</v>
      </c>
      <c r="CQ5" s="176">
        <f t="shared" ref="CQ5" ca="1" si="49">CP6+1</f>
        <v>48030</v>
      </c>
      <c r="CR5" s="176">
        <f t="shared" ref="CR5" ca="1" si="50">CQ6+1</f>
        <v>48061</v>
      </c>
      <c r="CS5" s="176">
        <f t="shared" ref="CS5" ca="1" si="51">CR6+1</f>
        <v>48092</v>
      </c>
      <c r="CT5" s="176">
        <f t="shared" ref="CT5" ca="1" si="52">CS6+1</f>
        <v>48122</v>
      </c>
      <c r="CU5" s="176">
        <f t="shared" ref="CU5" ca="1" si="53">CT6+1</f>
        <v>48153</v>
      </c>
      <c r="CV5" s="176">
        <f t="shared" ref="CV5" ca="1" si="54">CU6+1</f>
        <v>48183</v>
      </c>
      <c r="CW5" s="176">
        <f t="shared" ref="CW5" ca="1" si="55">CV6+1</f>
        <v>48214</v>
      </c>
      <c r="CX5" s="176">
        <f t="shared" ref="CX5" ca="1" si="56">CW6+1</f>
        <v>48245</v>
      </c>
      <c r="CY5" s="176">
        <f t="shared" ref="CY5" ca="1" si="57">CX6+1</f>
        <v>48274</v>
      </c>
      <c r="CZ5" s="176">
        <f t="shared" ref="CZ5" ca="1" si="58">CY6+1</f>
        <v>48305</v>
      </c>
      <c r="DA5" s="176">
        <f t="shared" ref="DA5" ca="1" si="59">CZ6+1</f>
        <v>48335</v>
      </c>
      <c r="DB5" s="176">
        <f t="shared" ref="DB5" ca="1" si="60">DA6+1</f>
        <v>48366</v>
      </c>
      <c r="DC5" s="176">
        <f t="shared" ref="DC5" ca="1" si="61">DB6+1</f>
        <v>48396</v>
      </c>
      <c r="DD5" s="176">
        <f t="shared" ref="DD5" ca="1" si="62">DC6+1</f>
        <v>48427</v>
      </c>
      <c r="DE5" s="176">
        <f t="shared" ref="DE5" ca="1" si="63">DD6+1</f>
        <v>48458</v>
      </c>
      <c r="DF5" s="176">
        <f t="shared" ref="DF5" ca="1" si="64">DE6+1</f>
        <v>48488</v>
      </c>
      <c r="DG5" s="176">
        <f t="shared" ref="DG5" ca="1" si="65">DF6+1</f>
        <v>48519</v>
      </c>
      <c r="DH5" s="176">
        <f t="shared" ref="DH5" ca="1" si="66">DG6+1</f>
        <v>48549</v>
      </c>
      <c r="DI5" s="176">
        <f t="shared" ref="DI5" ca="1" si="67">DH6+1</f>
        <v>48580</v>
      </c>
      <c r="DJ5" s="176">
        <f t="shared" ref="DJ5" ca="1" si="68">DI6+1</f>
        <v>48611</v>
      </c>
      <c r="DK5" s="176">
        <f t="shared" ref="DK5" ca="1" si="69">DJ6+1</f>
        <v>48639</v>
      </c>
      <c r="DL5" s="176">
        <f t="shared" ref="DL5" ca="1" si="70">DK6+1</f>
        <v>48670</v>
      </c>
      <c r="DM5" s="176">
        <f t="shared" ref="DM5" ca="1" si="71">DL6+1</f>
        <v>48700</v>
      </c>
      <c r="DN5" s="176">
        <f t="shared" ref="DN5" ca="1" si="72">DM6+1</f>
        <v>48731</v>
      </c>
      <c r="DO5" s="176">
        <f t="shared" ref="DO5" ca="1" si="73">DN6+1</f>
        <v>48761</v>
      </c>
      <c r="DP5" s="176">
        <f t="shared" ref="DP5" ca="1" si="74">DO6+1</f>
        <v>48792</v>
      </c>
      <c r="DQ5" s="176">
        <f t="shared" ref="DQ5" ca="1" si="75">DP6+1</f>
        <v>48823</v>
      </c>
      <c r="DR5" s="176">
        <f t="shared" ref="DR5" ca="1" si="76">DQ6+1</f>
        <v>48853</v>
      </c>
      <c r="DS5" s="176">
        <f t="shared" ref="DS5" ca="1" si="77">DR6+1</f>
        <v>48884</v>
      </c>
      <c r="DT5" s="176">
        <f t="shared" ref="DT5" ca="1" si="78">DS6+1</f>
        <v>48914</v>
      </c>
      <c r="DU5" s="69" t="s">
        <v>0</v>
      </c>
    </row>
    <row r="6" spans="2:125" x14ac:dyDescent="0.25">
      <c r="B6" s="13" t="s">
        <v>13</v>
      </c>
      <c r="C6" s="199"/>
      <c r="D6" s="15">
        <f ca="1">D5</f>
        <v>45271</v>
      </c>
      <c r="E6" s="200">
        <f ca="1">EOMONTH(E5,0)</f>
        <v>45322</v>
      </c>
      <c r="F6" s="200">
        <f ca="1">EOMONTH(F5,0)</f>
        <v>45351</v>
      </c>
      <c r="G6" s="200">
        <f t="shared" ref="G6:BR6" ca="1" si="79">EOMONTH(G5,0)</f>
        <v>45382</v>
      </c>
      <c r="H6" s="200">
        <f t="shared" ca="1" si="79"/>
        <v>45412</v>
      </c>
      <c r="I6" s="200">
        <f t="shared" ca="1" si="79"/>
        <v>45443</v>
      </c>
      <c r="J6" s="200">
        <f t="shared" ca="1" si="79"/>
        <v>45473</v>
      </c>
      <c r="K6" s="200">
        <f t="shared" ca="1" si="79"/>
        <v>45504</v>
      </c>
      <c r="L6" s="200">
        <f t="shared" ca="1" si="79"/>
        <v>45535</v>
      </c>
      <c r="M6" s="200">
        <f t="shared" ca="1" si="79"/>
        <v>45565</v>
      </c>
      <c r="N6" s="200">
        <f t="shared" ca="1" si="79"/>
        <v>45596</v>
      </c>
      <c r="O6" s="200">
        <f t="shared" ca="1" si="79"/>
        <v>45626</v>
      </c>
      <c r="P6" s="200">
        <f t="shared" ca="1" si="79"/>
        <v>45657</v>
      </c>
      <c r="Q6" s="200">
        <f t="shared" ca="1" si="79"/>
        <v>45688</v>
      </c>
      <c r="R6" s="200">
        <f t="shared" ca="1" si="79"/>
        <v>45716</v>
      </c>
      <c r="S6" s="200">
        <f t="shared" ca="1" si="79"/>
        <v>45747</v>
      </c>
      <c r="T6" s="200">
        <f t="shared" ca="1" si="79"/>
        <v>45777</v>
      </c>
      <c r="U6" s="200">
        <f t="shared" ca="1" si="79"/>
        <v>45808</v>
      </c>
      <c r="V6" s="200">
        <f t="shared" ca="1" si="79"/>
        <v>45838</v>
      </c>
      <c r="W6" s="200">
        <f t="shared" ca="1" si="79"/>
        <v>45869</v>
      </c>
      <c r="X6" s="200">
        <f t="shared" ca="1" si="79"/>
        <v>45900</v>
      </c>
      <c r="Y6" s="200">
        <f t="shared" ca="1" si="79"/>
        <v>45930</v>
      </c>
      <c r="Z6" s="200">
        <f t="shared" ca="1" si="79"/>
        <v>45961</v>
      </c>
      <c r="AA6" s="200">
        <f t="shared" ca="1" si="79"/>
        <v>45991</v>
      </c>
      <c r="AB6" s="200">
        <f t="shared" ca="1" si="79"/>
        <v>46022</v>
      </c>
      <c r="AC6" s="200">
        <f t="shared" ca="1" si="79"/>
        <v>46053</v>
      </c>
      <c r="AD6" s="200">
        <f t="shared" ca="1" si="79"/>
        <v>46081</v>
      </c>
      <c r="AE6" s="200">
        <f t="shared" ca="1" si="79"/>
        <v>46112</v>
      </c>
      <c r="AF6" s="200">
        <f t="shared" ca="1" si="79"/>
        <v>46142</v>
      </c>
      <c r="AG6" s="200">
        <f t="shared" ca="1" si="79"/>
        <v>46173</v>
      </c>
      <c r="AH6" s="200">
        <f t="shared" ca="1" si="79"/>
        <v>46203</v>
      </c>
      <c r="AI6" s="200">
        <f t="shared" ca="1" si="79"/>
        <v>46234</v>
      </c>
      <c r="AJ6" s="200">
        <f t="shared" ca="1" si="79"/>
        <v>46265</v>
      </c>
      <c r="AK6" s="200">
        <f t="shared" ca="1" si="79"/>
        <v>46295</v>
      </c>
      <c r="AL6" s="200">
        <f t="shared" ca="1" si="79"/>
        <v>46326</v>
      </c>
      <c r="AM6" s="200">
        <f t="shared" ca="1" si="79"/>
        <v>46356</v>
      </c>
      <c r="AN6" s="200">
        <f t="shared" ca="1" si="79"/>
        <v>46387</v>
      </c>
      <c r="AO6" s="200">
        <f t="shared" ca="1" si="79"/>
        <v>46418</v>
      </c>
      <c r="AP6" s="200">
        <f t="shared" ca="1" si="79"/>
        <v>46446</v>
      </c>
      <c r="AQ6" s="200">
        <f t="shared" ca="1" si="79"/>
        <v>46477</v>
      </c>
      <c r="AR6" s="200">
        <f t="shared" ca="1" si="79"/>
        <v>46507</v>
      </c>
      <c r="AS6" s="200">
        <f t="shared" ca="1" si="79"/>
        <v>46538</v>
      </c>
      <c r="AT6" s="200">
        <f t="shared" ca="1" si="79"/>
        <v>46568</v>
      </c>
      <c r="AU6" s="200">
        <f t="shared" ca="1" si="79"/>
        <v>46599</v>
      </c>
      <c r="AV6" s="200">
        <f t="shared" ca="1" si="79"/>
        <v>46630</v>
      </c>
      <c r="AW6" s="200">
        <f t="shared" ca="1" si="79"/>
        <v>46660</v>
      </c>
      <c r="AX6" s="200">
        <f t="shared" ca="1" si="79"/>
        <v>46691</v>
      </c>
      <c r="AY6" s="200">
        <f t="shared" ca="1" si="79"/>
        <v>46721</v>
      </c>
      <c r="AZ6" s="200">
        <f t="shared" ca="1" si="79"/>
        <v>46752</v>
      </c>
      <c r="BA6" s="200">
        <f t="shared" ca="1" si="79"/>
        <v>46783</v>
      </c>
      <c r="BB6" s="200">
        <f t="shared" ca="1" si="79"/>
        <v>46812</v>
      </c>
      <c r="BC6" s="200">
        <f t="shared" ca="1" si="79"/>
        <v>46843</v>
      </c>
      <c r="BD6" s="200">
        <f t="shared" ca="1" si="79"/>
        <v>46873</v>
      </c>
      <c r="BE6" s="200">
        <f t="shared" ca="1" si="79"/>
        <v>46904</v>
      </c>
      <c r="BF6" s="200">
        <f t="shared" ca="1" si="79"/>
        <v>46934</v>
      </c>
      <c r="BG6" s="200">
        <f t="shared" ca="1" si="79"/>
        <v>46965</v>
      </c>
      <c r="BH6" s="200">
        <f t="shared" ca="1" si="79"/>
        <v>46996</v>
      </c>
      <c r="BI6" s="200">
        <f t="shared" ca="1" si="79"/>
        <v>47026</v>
      </c>
      <c r="BJ6" s="200">
        <f t="shared" ca="1" si="79"/>
        <v>47057</v>
      </c>
      <c r="BK6" s="200">
        <f t="shared" ca="1" si="79"/>
        <v>47087</v>
      </c>
      <c r="BL6" s="200">
        <f t="shared" ca="1" si="79"/>
        <v>47118</v>
      </c>
      <c r="BM6" s="200">
        <f t="shared" ca="1" si="79"/>
        <v>47149</v>
      </c>
      <c r="BN6" s="200">
        <f t="shared" ca="1" si="79"/>
        <v>47177</v>
      </c>
      <c r="BO6" s="200">
        <f t="shared" ca="1" si="79"/>
        <v>47208</v>
      </c>
      <c r="BP6" s="200">
        <f t="shared" ca="1" si="79"/>
        <v>47238</v>
      </c>
      <c r="BQ6" s="200">
        <f t="shared" ca="1" si="79"/>
        <v>47269</v>
      </c>
      <c r="BR6" s="200">
        <f t="shared" ca="1" si="79"/>
        <v>47299</v>
      </c>
      <c r="BS6" s="200">
        <f t="shared" ref="BS6:CJ6" ca="1" si="80">EOMONTH(BS5,0)</f>
        <v>47330</v>
      </c>
      <c r="BT6" s="200">
        <f t="shared" ca="1" si="80"/>
        <v>47361</v>
      </c>
      <c r="BU6" s="200">
        <f t="shared" ca="1" si="80"/>
        <v>47391</v>
      </c>
      <c r="BV6" s="200">
        <f t="shared" ca="1" si="80"/>
        <v>47422</v>
      </c>
      <c r="BW6" s="200">
        <f t="shared" ca="1" si="80"/>
        <v>47452</v>
      </c>
      <c r="BX6" s="200">
        <f t="shared" ca="1" si="80"/>
        <v>47483</v>
      </c>
      <c r="BY6" s="200">
        <f t="shared" ca="1" si="80"/>
        <v>47514</v>
      </c>
      <c r="BZ6" s="200">
        <f t="shared" ca="1" si="80"/>
        <v>47542</v>
      </c>
      <c r="CA6" s="200">
        <f t="shared" ca="1" si="80"/>
        <v>47573</v>
      </c>
      <c r="CB6" s="200">
        <f t="shared" ca="1" si="80"/>
        <v>47603</v>
      </c>
      <c r="CC6" s="200">
        <f t="shared" ca="1" si="80"/>
        <v>47634</v>
      </c>
      <c r="CD6" s="200">
        <f t="shared" ca="1" si="80"/>
        <v>47664</v>
      </c>
      <c r="CE6" s="200">
        <f t="shared" ca="1" si="80"/>
        <v>47695</v>
      </c>
      <c r="CF6" s="200">
        <f t="shared" ca="1" si="80"/>
        <v>47726</v>
      </c>
      <c r="CG6" s="200">
        <f t="shared" ca="1" si="80"/>
        <v>47756</v>
      </c>
      <c r="CH6" s="200">
        <f t="shared" ca="1" si="80"/>
        <v>47787</v>
      </c>
      <c r="CI6" s="200">
        <f t="shared" ca="1" si="80"/>
        <v>47817</v>
      </c>
      <c r="CJ6" s="200">
        <f t="shared" ca="1" si="80"/>
        <v>47848</v>
      </c>
      <c r="CK6" s="200">
        <f t="shared" ref="CK6:DT6" ca="1" si="81">EOMONTH(CK5,0)</f>
        <v>47879</v>
      </c>
      <c r="CL6" s="200">
        <f t="shared" ca="1" si="81"/>
        <v>47907</v>
      </c>
      <c r="CM6" s="200">
        <f t="shared" ca="1" si="81"/>
        <v>47938</v>
      </c>
      <c r="CN6" s="200">
        <f t="shared" ca="1" si="81"/>
        <v>47968</v>
      </c>
      <c r="CO6" s="200">
        <f t="shared" ca="1" si="81"/>
        <v>47999</v>
      </c>
      <c r="CP6" s="200">
        <f t="shared" ca="1" si="81"/>
        <v>48029</v>
      </c>
      <c r="CQ6" s="200">
        <f t="shared" ca="1" si="81"/>
        <v>48060</v>
      </c>
      <c r="CR6" s="200">
        <f t="shared" ca="1" si="81"/>
        <v>48091</v>
      </c>
      <c r="CS6" s="200">
        <f t="shared" ca="1" si="81"/>
        <v>48121</v>
      </c>
      <c r="CT6" s="200">
        <f t="shared" ca="1" si="81"/>
        <v>48152</v>
      </c>
      <c r="CU6" s="200">
        <f t="shared" ca="1" si="81"/>
        <v>48182</v>
      </c>
      <c r="CV6" s="200">
        <f t="shared" ca="1" si="81"/>
        <v>48213</v>
      </c>
      <c r="CW6" s="200">
        <f t="shared" ca="1" si="81"/>
        <v>48244</v>
      </c>
      <c r="CX6" s="200">
        <f t="shared" ca="1" si="81"/>
        <v>48273</v>
      </c>
      <c r="CY6" s="200">
        <f t="shared" ca="1" si="81"/>
        <v>48304</v>
      </c>
      <c r="CZ6" s="200">
        <f t="shared" ca="1" si="81"/>
        <v>48334</v>
      </c>
      <c r="DA6" s="200">
        <f t="shared" ca="1" si="81"/>
        <v>48365</v>
      </c>
      <c r="DB6" s="200">
        <f t="shared" ca="1" si="81"/>
        <v>48395</v>
      </c>
      <c r="DC6" s="200">
        <f t="shared" ca="1" si="81"/>
        <v>48426</v>
      </c>
      <c r="DD6" s="200">
        <f t="shared" ca="1" si="81"/>
        <v>48457</v>
      </c>
      <c r="DE6" s="200">
        <f t="shared" ca="1" si="81"/>
        <v>48487</v>
      </c>
      <c r="DF6" s="200">
        <f t="shared" ca="1" si="81"/>
        <v>48518</v>
      </c>
      <c r="DG6" s="200">
        <f t="shared" ca="1" si="81"/>
        <v>48548</v>
      </c>
      <c r="DH6" s="200">
        <f t="shared" ca="1" si="81"/>
        <v>48579</v>
      </c>
      <c r="DI6" s="200">
        <f t="shared" ca="1" si="81"/>
        <v>48610</v>
      </c>
      <c r="DJ6" s="200">
        <f t="shared" ca="1" si="81"/>
        <v>48638</v>
      </c>
      <c r="DK6" s="200">
        <f t="shared" ca="1" si="81"/>
        <v>48669</v>
      </c>
      <c r="DL6" s="200">
        <f t="shared" ca="1" si="81"/>
        <v>48699</v>
      </c>
      <c r="DM6" s="200">
        <f t="shared" ca="1" si="81"/>
        <v>48730</v>
      </c>
      <c r="DN6" s="200">
        <f t="shared" ca="1" si="81"/>
        <v>48760</v>
      </c>
      <c r="DO6" s="200">
        <f t="shared" ca="1" si="81"/>
        <v>48791</v>
      </c>
      <c r="DP6" s="200">
        <f t="shared" ca="1" si="81"/>
        <v>48822</v>
      </c>
      <c r="DQ6" s="200">
        <f t="shared" ca="1" si="81"/>
        <v>48852</v>
      </c>
      <c r="DR6" s="200">
        <f t="shared" ca="1" si="81"/>
        <v>48883</v>
      </c>
      <c r="DS6" s="200">
        <f t="shared" ca="1" si="81"/>
        <v>48913</v>
      </c>
      <c r="DT6" s="200">
        <f t="shared" ca="1" si="81"/>
        <v>48944</v>
      </c>
      <c r="DU6" s="69" t="s">
        <v>0</v>
      </c>
    </row>
    <row r="7" spans="2:125" x14ac:dyDescent="0.25">
      <c r="B7" s="137" t="s">
        <v>159</v>
      </c>
      <c r="D7" s="12"/>
      <c r="F7" s="105"/>
      <c r="G7" s="105"/>
      <c r="H7" s="105"/>
      <c r="I7" s="105"/>
      <c r="J7" s="105"/>
      <c r="K7" s="105"/>
      <c r="L7" s="105"/>
      <c r="M7" s="105"/>
      <c r="N7" s="105"/>
      <c r="O7" s="105"/>
      <c r="P7" s="105"/>
      <c r="Q7" s="105"/>
      <c r="R7" s="105"/>
      <c r="S7" s="105"/>
      <c r="T7" s="105"/>
      <c r="U7" s="105"/>
      <c r="V7" s="105"/>
      <c r="W7" s="105"/>
      <c r="X7" s="105"/>
      <c r="Y7" s="105"/>
      <c r="Z7" s="105"/>
      <c r="AA7" s="105"/>
      <c r="AB7" s="105"/>
      <c r="AC7" s="185">
        <f>Rents!D4</f>
        <v>96.5</v>
      </c>
      <c r="AD7" s="105">
        <f>AC7*(1+AD$9)</f>
        <v>96.781458333333333</v>
      </c>
      <c r="AE7" s="105">
        <f t="shared" ref="AE7:AK7" si="82">AD7*(1+AE$9)</f>
        <v>97.063737586805559</v>
      </c>
      <c r="AF7" s="105">
        <f t="shared" si="82"/>
        <v>97.346840154767079</v>
      </c>
      <c r="AG7" s="105">
        <f t="shared" si="82"/>
        <v>97.630768438551812</v>
      </c>
      <c r="AH7" s="105">
        <f t="shared" si="82"/>
        <v>97.91552484649759</v>
      </c>
      <c r="AI7" s="105">
        <f t="shared" si="82"/>
        <v>98.201111793966547</v>
      </c>
      <c r="AJ7" s="105">
        <f t="shared" si="82"/>
        <v>98.487531703365619</v>
      </c>
      <c r="AK7" s="105">
        <f t="shared" si="82"/>
        <v>98.774787004167109</v>
      </c>
      <c r="AL7" s="105">
        <f t="shared" ref="AL7:BQ7" si="83">AK7*(1+AL$9)</f>
        <v>99.062880132929266</v>
      </c>
      <c r="AM7" s="105">
        <f t="shared" si="83"/>
        <v>99.351813533316971</v>
      </c>
      <c r="AN7" s="105">
        <f t="shared" si="83"/>
        <v>99.641589656122477</v>
      </c>
      <c r="AO7" s="105">
        <f t="shared" si="83"/>
        <v>99.932210959286166</v>
      </c>
      <c r="AP7" s="105">
        <f t="shared" si="83"/>
        <v>100.22367990791741</v>
      </c>
      <c r="AQ7" s="105">
        <f t="shared" si="83"/>
        <v>100.51599897431551</v>
      </c>
      <c r="AR7" s="105">
        <f t="shared" si="83"/>
        <v>100.80917063799059</v>
      </c>
      <c r="AS7" s="105">
        <f t="shared" si="83"/>
        <v>101.10319738568474</v>
      </c>
      <c r="AT7" s="105">
        <f t="shared" si="83"/>
        <v>101.39808171139299</v>
      </c>
      <c r="AU7" s="105">
        <f t="shared" si="83"/>
        <v>101.69382611638456</v>
      </c>
      <c r="AV7" s="105">
        <f t="shared" si="83"/>
        <v>101.99043310922401</v>
      </c>
      <c r="AW7" s="105">
        <f t="shared" si="83"/>
        <v>102.28790520579258</v>
      </c>
      <c r="AX7" s="105">
        <f t="shared" si="83"/>
        <v>102.58624492930947</v>
      </c>
      <c r="AY7" s="105">
        <f t="shared" si="83"/>
        <v>102.88545481035329</v>
      </c>
      <c r="AZ7" s="105">
        <f t="shared" si="83"/>
        <v>103.1855373868835</v>
      </c>
      <c r="BA7" s="105">
        <f t="shared" si="83"/>
        <v>103.48649520426191</v>
      </c>
      <c r="BB7" s="105">
        <f t="shared" si="83"/>
        <v>103.78833081527435</v>
      </c>
      <c r="BC7" s="105">
        <f t="shared" si="83"/>
        <v>104.09104678015224</v>
      </c>
      <c r="BD7" s="105">
        <f t="shared" si="83"/>
        <v>104.39464566659436</v>
      </c>
      <c r="BE7" s="105">
        <f t="shared" si="83"/>
        <v>104.69913004978859</v>
      </c>
      <c r="BF7" s="105">
        <f t="shared" si="83"/>
        <v>105.00450251243382</v>
      </c>
      <c r="BG7" s="105">
        <f t="shared" si="83"/>
        <v>105.31076564476174</v>
      </c>
      <c r="BH7" s="105">
        <f t="shared" si="83"/>
        <v>105.61792204455897</v>
      </c>
      <c r="BI7" s="105">
        <f t="shared" si="83"/>
        <v>105.92597431718893</v>
      </c>
      <c r="BJ7" s="105">
        <f t="shared" si="83"/>
        <v>106.23492507561407</v>
      </c>
      <c r="BK7" s="105">
        <f t="shared" si="83"/>
        <v>106.54477694041795</v>
      </c>
      <c r="BL7" s="105">
        <f t="shared" si="83"/>
        <v>106.85553253982751</v>
      </c>
      <c r="BM7" s="105">
        <f t="shared" si="83"/>
        <v>107.16719450973534</v>
      </c>
      <c r="BN7" s="105">
        <f t="shared" si="83"/>
        <v>107.47976549372207</v>
      </c>
      <c r="BO7" s="105">
        <f t="shared" si="83"/>
        <v>107.79324814307876</v>
      </c>
      <c r="BP7" s="105">
        <f t="shared" si="83"/>
        <v>108.1076451168294</v>
      </c>
      <c r="BQ7" s="105">
        <f t="shared" si="83"/>
        <v>108.42295908175349</v>
      </c>
      <c r="BR7" s="105">
        <f t="shared" ref="BR7:CJ7" si="84">BQ7*(1+BR$9)</f>
        <v>108.73919271240861</v>
      </c>
      <c r="BS7" s="105">
        <f t="shared" si="84"/>
        <v>109.05634869115313</v>
      </c>
      <c r="BT7" s="105">
        <f t="shared" si="84"/>
        <v>109.374429708169</v>
      </c>
      <c r="BU7" s="105">
        <f t="shared" si="84"/>
        <v>109.6934384614845</v>
      </c>
      <c r="BV7" s="105">
        <f t="shared" si="84"/>
        <v>110.01337765699716</v>
      </c>
      <c r="BW7" s="105">
        <f t="shared" si="84"/>
        <v>110.33425000849674</v>
      </c>
      <c r="BX7" s="105">
        <f t="shared" si="84"/>
        <v>110.65605823768819</v>
      </c>
      <c r="BY7" s="105">
        <f>BX7*(1+BY$9)</f>
        <v>110.97880507421478</v>
      </c>
      <c r="BZ7" s="105">
        <f t="shared" si="84"/>
        <v>111.30249325568124</v>
      </c>
      <c r="CA7" s="105">
        <f t="shared" si="84"/>
        <v>111.62712552767698</v>
      </c>
      <c r="CB7" s="105">
        <f t="shared" si="84"/>
        <v>111.95270464379938</v>
      </c>
      <c r="CC7" s="105">
        <f t="shared" si="84"/>
        <v>112.27923336567713</v>
      </c>
      <c r="CD7" s="105">
        <f t="shared" si="84"/>
        <v>112.60671446299369</v>
      </c>
      <c r="CE7" s="105">
        <f t="shared" si="84"/>
        <v>112.93515071351077</v>
      </c>
      <c r="CF7" s="105">
        <f t="shared" si="84"/>
        <v>113.26454490309185</v>
      </c>
      <c r="CG7" s="105">
        <f t="shared" si="84"/>
        <v>113.59489982572586</v>
      </c>
      <c r="CH7" s="105">
        <f t="shared" si="84"/>
        <v>113.9262182835509</v>
      </c>
      <c r="CI7" s="105">
        <f t="shared" si="84"/>
        <v>114.25850308687792</v>
      </c>
      <c r="CJ7" s="105">
        <f t="shared" si="84"/>
        <v>114.59175705421465</v>
      </c>
      <c r="CK7" s="105">
        <f t="shared" ref="CK7:CK8" si="85">CJ7*(1+CK$9)</f>
        <v>114.92598301228945</v>
      </c>
      <c r="CL7" s="105">
        <f t="shared" ref="CL7:CL8" si="86">CK7*(1+CL$9)</f>
        <v>115.2611837960753</v>
      </c>
      <c r="CM7" s="105">
        <f t="shared" ref="CM7:CM8" si="87">CL7*(1+CM$9)</f>
        <v>115.59736224881385</v>
      </c>
      <c r="CN7" s="105">
        <f t="shared" ref="CN7:CN8" si="88">CM7*(1+CN$9)</f>
        <v>115.93452122203956</v>
      </c>
      <c r="CO7" s="105">
        <f t="shared" ref="CO7:CO8" si="89">CN7*(1+CO$9)</f>
        <v>116.27266357560384</v>
      </c>
      <c r="CP7" s="105">
        <f t="shared" ref="CP7:CP8" si="90">CO7*(1+CP$9)</f>
        <v>116.61179217769936</v>
      </c>
      <c r="CQ7" s="105">
        <f t="shared" ref="CQ7:CQ8" si="91">CP7*(1+CQ$9)</f>
        <v>116.95190990488432</v>
      </c>
      <c r="CR7" s="105">
        <f t="shared" ref="CR7:CR8" si="92">CQ7*(1+CR$9)</f>
        <v>117.2930196421069</v>
      </c>
      <c r="CS7" s="105">
        <f t="shared" ref="CS7:CS8" si="93">CR7*(1+CS$9)</f>
        <v>117.63512428272971</v>
      </c>
      <c r="CT7" s="105">
        <f t="shared" ref="CT7:CT8" si="94">CS7*(1+CT$9)</f>
        <v>117.97822672855433</v>
      </c>
      <c r="CU7" s="105">
        <f t="shared" ref="CU7:CU8" si="95">CT7*(1+CU$9)</f>
        <v>118.32232988984595</v>
      </c>
      <c r="CV7" s="105">
        <f t="shared" ref="CV7:CV8" si="96">CU7*(1+CV$9)</f>
        <v>118.667436685358</v>
      </c>
      <c r="CW7" s="105">
        <f t="shared" ref="CW7:CW8" si="97">CV7*(1+CW$9)</f>
        <v>119.01355004235695</v>
      </c>
      <c r="CX7" s="105">
        <f t="shared" ref="CX7:CX8" si="98">CW7*(1+CX$9)</f>
        <v>119.36067289664716</v>
      </c>
      <c r="CY7" s="105">
        <f t="shared" ref="CY7:CY8" si="99">CX7*(1+CY$9)</f>
        <v>119.70880819259571</v>
      </c>
      <c r="CZ7" s="105">
        <f t="shared" ref="CZ7:CZ8" si="100">CY7*(1+CZ$9)</f>
        <v>120.05795888315745</v>
      </c>
      <c r="DA7" s="105">
        <f t="shared" ref="DA7:DA8" si="101">CZ7*(1+DA$9)</f>
        <v>120.4081279299</v>
      </c>
      <c r="DB7" s="105">
        <f t="shared" ref="DB7:DB8" si="102">DA7*(1+DB$9)</f>
        <v>120.75931830302888</v>
      </c>
      <c r="DC7" s="105">
        <f t="shared" ref="DC7:DC8" si="103">DB7*(1+DC$9)</f>
        <v>121.11153298141271</v>
      </c>
      <c r="DD7" s="105">
        <f t="shared" ref="DD7:DD8" si="104">DC7*(1+DD$9)</f>
        <v>121.46477495260849</v>
      </c>
      <c r="DE7" s="105">
        <f t="shared" ref="DE7:DE8" si="105">DD7*(1+DE$9)</f>
        <v>121.81904721288694</v>
      </c>
      <c r="DF7" s="105">
        <f t="shared" ref="DF7:DF8" si="106">DE7*(1+DF$9)</f>
        <v>122.17435276725786</v>
      </c>
      <c r="DG7" s="105">
        <f t="shared" ref="DG7:DG8" si="107">DF7*(1+DG$9)</f>
        <v>122.5306946294957</v>
      </c>
      <c r="DH7" s="105">
        <f t="shared" ref="DH7:DH8" si="108">DG7*(1+DH$9)</f>
        <v>122.88807582216506</v>
      </c>
      <c r="DI7" s="105">
        <f t="shared" ref="DI7:DI8" si="109">DH7*(1+DI$9)</f>
        <v>123.24649937664638</v>
      </c>
      <c r="DJ7" s="105">
        <f t="shared" ref="DJ7:DJ8" si="110">DI7*(1+DJ$9)</f>
        <v>123.6059683331616</v>
      </c>
      <c r="DK7" s="105">
        <f t="shared" ref="DK7:DK8" si="111">DJ7*(1+DK$9)</f>
        <v>123.96648574079998</v>
      </c>
      <c r="DL7" s="105">
        <f t="shared" ref="DL7:DL8" si="112">DK7*(1+DL$9)</f>
        <v>124.32805465754399</v>
      </c>
      <c r="DM7" s="105">
        <f t="shared" ref="DM7:DM8" si="113">DL7*(1+DM$9)</f>
        <v>124.69067815029516</v>
      </c>
      <c r="DN7" s="105">
        <f t="shared" ref="DN7:DN8" si="114">DM7*(1+DN$9)</f>
        <v>125.05435929490018</v>
      </c>
      <c r="DO7" s="105">
        <f t="shared" ref="DO7:DO8" si="115">DN7*(1+DO$9)</f>
        <v>125.41910117617698</v>
      </c>
      <c r="DP7" s="105">
        <f t="shared" ref="DP7:DP8" si="116">DO7*(1+DP$9)</f>
        <v>125.78490688794083</v>
      </c>
      <c r="DQ7" s="105">
        <f t="shared" ref="DQ7:DQ8" si="117">DP7*(1+DQ$9)</f>
        <v>126.15177953303066</v>
      </c>
      <c r="DR7" s="105">
        <f t="shared" ref="DR7:DR8" si="118">DQ7*(1+DR$9)</f>
        <v>126.51972222333534</v>
      </c>
      <c r="DS7" s="105">
        <f t="shared" ref="DS7:DS8" si="119">DR7*(1+DS$9)</f>
        <v>126.88873807982007</v>
      </c>
      <c r="DT7" s="105">
        <f t="shared" ref="DT7:DT8" si="120">DS7*(1+DT$9)</f>
        <v>127.25883023255288</v>
      </c>
      <c r="DU7" s="69" t="s">
        <v>0</v>
      </c>
    </row>
    <row r="8" spans="2:125" x14ac:dyDescent="0.25">
      <c r="B8" s="137" t="s">
        <v>160</v>
      </c>
      <c r="F8" s="105"/>
      <c r="G8" s="105"/>
      <c r="H8" s="105"/>
      <c r="I8" s="105"/>
      <c r="J8" s="105"/>
      <c r="K8" s="105"/>
      <c r="L8" s="105"/>
      <c r="M8" s="105"/>
      <c r="N8" s="105"/>
      <c r="O8" s="105"/>
      <c r="P8" s="105"/>
      <c r="Q8" s="105"/>
      <c r="R8" s="105"/>
      <c r="S8" s="105"/>
      <c r="T8" s="105"/>
      <c r="U8" s="105"/>
      <c r="V8" s="105"/>
      <c r="W8" s="105"/>
      <c r="X8" s="105"/>
      <c r="Y8" s="105"/>
      <c r="Z8" s="105"/>
      <c r="AA8" s="105"/>
      <c r="AB8" s="105"/>
      <c r="AC8" s="185">
        <f>Rents!D9</f>
        <v>99</v>
      </c>
      <c r="AD8" s="105">
        <f>AC8*(1+AD$9)</f>
        <v>99.288750000000007</v>
      </c>
      <c r="AE8" s="105">
        <f t="shared" ref="AE8:BR8" si="121">AD8*(1+AE$9)</f>
        <v>99.578342187500013</v>
      </c>
      <c r="AF8" s="105">
        <f t="shared" si="121"/>
        <v>99.868779018880218</v>
      </c>
      <c r="AG8" s="105">
        <f t="shared" si="121"/>
        <v>100.16006295768528</v>
      </c>
      <c r="AH8" s="105">
        <f t="shared" si="121"/>
        <v>100.45219647464521</v>
      </c>
      <c r="AI8" s="105">
        <f t="shared" si="121"/>
        <v>100.74518204769626</v>
      </c>
      <c r="AJ8" s="105">
        <f t="shared" si="121"/>
        <v>101.03902216200204</v>
      </c>
      <c r="AK8" s="105">
        <f t="shared" si="121"/>
        <v>101.33371930997455</v>
      </c>
      <c r="AL8" s="105">
        <f t="shared" si="121"/>
        <v>101.62927599129532</v>
      </c>
      <c r="AM8" s="105">
        <f t="shared" si="121"/>
        <v>101.92569471293659</v>
      </c>
      <c r="AN8" s="105">
        <f t="shared" si="121"/>
        <v>102.22297798918265</v>
      </c>
      <c r="AO8" s="105">
        <f t="shared" si="121"/>
        <v>102.52112834165111</v>
      </c>
      <c r="AP8" s="105">
        <f t="shared" si="121"/>
        <v>102.82014829931425</v>
      </c>
      <c r="AQ8" s="105">
        <f t="shared" si="121"/>
        <v>103.12004039852059</v>
      </c>
      <c r="AR8" s="105">
        <f t="shared" si="121"/>
        <v>103.42080718301628</v>
      </c>
      <c r="AS8" s="105">
        <f t="shared" si="121"/>
        <v>103.72245120396674</v>
      </c>
      <c r="AT8" s="105">
        <f t="shared" si="121"/>
        <v>104.02497501997831</v>
      </c>
      <c r="AU8" s="105">
        <f t="shared" si="121"/>
        <v>104.32838119711992</v>
      </c>
      <c r="AV8" s="105">
        <f t="shared" si="121"/>
        <v>104.63267230894486</v>
      </c>
      <c r="AW8" s="105">
        <f t="shared" si="121"/>
        <v>104.93785093651262</v>
      </c>
      <c r="AX8" s="105">
        <f t="shared" si="121"/>
        <v>105.24391966841078</v>
      </c>
      <c r="AY8" s="105">
        <f t="shared" si="121"/>
        <v>105.55088110077698</v>
      </c>
      <c r="AZ8" s="105">
        <f t="shared" si="121"/>
        <v>105.85873783732092</v>
      </c>
      <c r="BA8" s="105">
        <f t="shared" si="121"/>
        <v>106.16749248934644</v>
      </c>
      <c r="BB8" s="105">
        <f t="shared" si="121"/>
        <v>106.47714767577371</v>
      </c>
      <c r="BC8" s="105">
        <f t="shared" si="121"/>
        <v>106.78770602316138</v>
      </c>
      <c r="BD8" s="105">
        <f t="shared" si="121"/>
        <v>107.09917016572894</v>
      </c>
      <c r="BE8" s="105">
        <f t="shared" si="121"/>
        <v>107.41154274537898</v>
      </c>
      <c r="BF8" s="105">
        <f t="shared" si="121"/>
        <v>107.72482641171968</v>
      </c>
      <c r="BG8" s="105">
        <f t="shared" si="121"/>
        <v>108.03902382208719</v>
      </c>
      <c r="BH8" s="105">
        <f t="shared" si="121"/>
        <v>108.35413764156827</v>
      </c>
      <c r="BI8" s="105">
        <f t="shared" si="121"/>
        <v>108.67017054302285</v>
      </c>
      <c r="BJ8" s="105">
        <f t="shared" si="121"/>
        <v>108.98712520710667</v>
      </c>
      <c r="BK8" s="105">
        <f t="shared" si="121"/>
        <v>109.30500432229407</v>
      </c>
      <c r="BL8" s="105">
        <f t="shared" si="121"/>
        <v>109.62381058490077</v>
      </c>
      <c r="BM8" s="105">
        <f t="shared" si="121"/>
        <v>109.94354669910673</v>
      </c>
      <c r="BN8" s="105">
        <f t="shared" si="121"/>
        <v>110.26421537697912</v>
      </c>
      <c r="BO8" s="105">
        <f t="shared" si="121"/>
        <v>110.58581933849531</v>
      </c>
      <c r="BP8" s="105">
        <f t="shared" si="121"/>
        <v>110.90836131156593</v>
      </c>
      <c r="BQ8" s="105">
        <f t="shared" si="121"/>
        <v>111.23184403205799</v>
      </c>
      <c r="BR8" s="105">
        <f t="shared" si="121"/>
        <v>111.55627024381816</v>
      </c>
      <c r="BS8" s="105">
        <f t="shared" ref="BS8:CJ8" si="122">BR8*(1+BS$9)</f>
        <v>111.88164269869597</v>
      </c>
      <c r="BT8" s="105">
        <f t="shared" si="122"/>
        <v>112.20796415656717</v>
      </c>
      <c r="BU8" s="105">
        <f t="shared" si="122"/>
        <v>112.53523738535716</v>
      </c>
      <c r="BV8" s="105">
        <f t="shared" si="122"/>
        <v>112.86346516106445</v>
      </c>
      <c r="BW8" s="105">
        <f t="shared" si="122"/>
        <v>113.19265026778423</v>
      </c>
      <c r="BX8" s="105">
        <f t="shared" si="122"/>
        <v>113.52279549773193</v>
      </c>
      <c r="BY8" s="105">
        <f>BX8*(1+BY$9)</f>
        <v>113.85390365126699</v>
      </c>
      <c r="BZ8" s="105">
        <f t="shared" si="122"/>
        <v>114.18597753691652</v>
      </c>
      <c r="CA8" s="105">
        <f t="shared" si="122"/>
        <v>114.5190199713992</v>
      </c>
      <c r="CB8" s="105">
        <f t="shared" si="122"/>
        <v>114.85303377964912</v>
      </c>
      <c r="CC8" s="105">
        <f t="shared" si="122"/>
        <v>115.18802179483977</v>
      </c>
      <c r="CD8" s="105">
        <f t="shared" si="122"/>
        <v>115.52398685840805</v>
      </c>
      <c r="CE8" s="105">
        <f t="shared" si="122"/>
        <v>115.86093182007841</v>
      </c>
      <c r="CF8" s="105">
        <f t="shared" si="122"/>
        <v>116.19885953788697</v>
      </c>
      <c r="CG8" s="105">
        <f t="shared" si="122"/>
        <v>116.53777287820581</v>
      </c>
      <c r="CH8" s="105">
        <f t="shared" si="122"/>
        <v>116.87767471576726</v>
      </c>
      <c r="CI8" s="105">
        <f t="shared" si="122"/>
        <v>117.21856793368825</v>
      </c>
      <c r="CJ8" s="105">
        <f t="shared" si="122"/>
        <v>117.56045542349484</v>
      </c>
      <c r="CK8" s="105">
        <f t="shared" si="85"/>
        <v>117.90334008514671</v>
      </c>
      <c r="CL8" s="105">
        <f t="shared" si="86"/>
        <v>118.24722482706173</v>
      </c>
      <c r="CM8" s="105">
        <f t="shared" si="87"/>
        <v>118.59211256614066</v>
      </c>
      <c r="CN8" s="105">
        <f t="shared" si="88"/>
        <v>118.9380062277919</v>
      </c>
      <c r="CO8" s="105">
        <f t="shared" si="89"/>
        <v>119.2849087459563</v>
      </c>
      <c r="CP8" s="105">
        <f t="shared" si="90"/>
        <v>119.63282306313201</v>
      </c>
      <c r="CQ8" s="105">
        <f t="shared" si="91"/>
        <v>119.98175213039947</v>
      </c>
      <c r="CR8" s="105">
        <f t="shared" si="92"/>
        <v>120.33169890744647</v>
      </c>
      <c r="CS8" s="105">
        <f t="shared" si="93"/>
        <v>120.68266636259318</v>
      </c>
      <c r="CT8" s="105">
        <f t="shared" si="94"/>
        <v>121.03465747281741</v>
      </c>
      <c r="CU8" s="105">
        <f t="shared" si="95"/>
        <v>121.38767522377979</v>
      </c>
      <c r="CV8" s="105">
        <f t="shared" si="96"/>
        <v>121.74172260984915</v>
      </c>
      <c r="CW8" s="105">
        <f t="shared" si="97"/>
        <v>122.09680263412788</v>
      </c>
      <c r="CX8" s="105">
        <f t="shared" si="98"/>
        <v>122.45291830847742</v>
      </c>
      <c r="CY8" s="105">
        <f t="shared" si="99"/>
        <v>122.81007265354381</v>
      </c>
      <c r="CZ8" s="105">
        <f t="shared" si="100"/>
        <v>123.16826869878332</v>
      </c>
      <c r="DA8" s="105">
        <f t="shared" si="101"/>
        <v>123.52750948248811</v>
      </c>
      <c r="DB8" s="105">
        <f t="shared" si="102"/>
        <v>123.88779805181204</v>
      </c>
      <c r="DC8" s="105">
        <f t="shared" si="103"/>
        <v>124.2491374627965</v>
      </c>
      <c r="DD8" s="105">
        <f t="shared" si="104"/>
        <v>124.61153078039632</v>
      </c>
      <c r="DE8" s="105">
        <f t="shared" si="105"/>
        <v>124.97498107850581</v>
      </c>
      <c r="DF8" s="105">
        <f t="shared" si="106"/>
        <v>125.33949143998478</v>
      </c>
      <c r="DG8" s="105">
        <f t="shared" si="107"/>
        <v>125.70506495668474</v>
      </c>
      <c r="DH8" s="105">
        <f t="shared" si="108"/>
        <v>126.07170472947507</v>
      </c>
      <c r="DI8" s="105">
        <f t="shared" si="109"/>
        <v>126.43941386826938</v>
      </c>
      <c r="DJ8" s="105">
        <f t="shared" si="110"/>
        <v>126.80819549205184</v>
      </c>
      <c r="DK8" s="105">
        <f t="shared" si="111"/>
        <v>127.17805272890365</v>
      </c>
      <c r="DL8" s="105">
        <f t="shared" si="112"/>
        <v>127.54898871602963</v>
      </c>
      <c r="DM8" s="105">
        <f t="shared" si="113"/>
        <v>127.92100659978472</v>
      </c>
      <c r="DN8" s="105">
        <f t="shared" si="114"/>
        <v>128.29410953570076</v>
      </c>
      <c r="DO8" s="105">
        <f t="shared" si="115"/>
        <v>128.66830068851323</v>
      </c>
      <c r="DP8" s="105">
        <f t="shared" si="116"/>
        <v>129.04358323218807</v>
      </c>
      <c r="DQ8" s="105">
        <f t="shared" si="117"/>
        <v>129.41996034994861</v>
      </c>
      <c r="DR8" s="105">
        <f t="shared" si="118"/>
        <v>129.79743523430264</v>
      </c>
      <c r="DS8" s="105">
        <f t="shared" si="119"/>
        <v>130.17601108706936</v>
      </c>
      <c r="DT8" s="105">
        <f t="shared" si="120"/>
        <v>130.55569111940665</v>
      </c>
      <c r="DU8" s="69" t="s">
        <v>0</v>
      </c>
    </row>
    <row r="9" spans="2:125" x14ac:dyDescent="0.25">
      <c r="B9" s="137" t="s">
        <v>161</v>
      </c>
      <c r="F9" s="187"/>
      <c r="G9" s="187"/>
      <c r="H9" s="187"/>
      <c r="I9" s="187"/>
      <c r="J9" s="187"/>
      <c r="K9" s="187"/>
      <c r="L9" s="187"/>
      <c r="M9" s="187"/>
      <c r="N9" s="187"/>
      <c r="O9" s="187"/>
      <c r="P9" s="187"/>
      <c r="Q9" s="187"/>
      <c r="R9" s="187"/>
      <c r="S9" s="187"/>
      <c r="T9" s="187"/>
      <c r="U9" s="187"/>
      <c r="V9" s="187"/>
      <c r="W9" s="187"/>
      <c r="X9" s="187"/>
      <c r="Y9" s="187"/>
      <c r="Z9" s="187"/>
      <c r="AA9" s="187"/>
      <c r="AB9" s="187"/>
      <c r="AC9" s="187">
        <f>((Rents!$J$4*Rents!$C$4)+(Rents!$J$9*Rents!$C$9))/'Annual CF'!$E$14/12</f>
        <v>2.9166666666666677E-3</v>
      </c>
      <c r="AD9" s="187">
        <f>((Rents!$J$4*Rents!$C$4)+(Rents!$J$9*Rents!$C$9))/'Annual CF'!$E$14/12</f>
        <v>2.9166666666666677E-3</v>
      </c>
      <c r="AE9" s="187">
        <f>((Rents!$J$4*Rents!$C$4)+(Rents!$J$9*Rents!$C$9))/'Annual CF'!$E$14/12</f>
        <v>2.9166666666666677E-3</v>
      </c>
      <c r="AF9" s="187">
        <f>((Rents!$J$4*Rents!$C$4)+(Rents!$J$9*Rents!$C$9))/'Annual CF'!$E$14/12</f>
        <v>2.9166666666666677E-3</v>
      </c>
      <c r="AG9" s="187">
        <f>((Rents!$J$4*Rents!$C$4)+(Rents!$J$9*Rents!$C$9))/'Annual CF'!$E$14/12</f>
        <v>2.9166666666666677E-3</v>
      </c>
      <c r="AH9" s="187">
        <f>((Rents!$J$4*Rents!$C$4)+(Rents!$J$9*Rents!$C$9))/'Annual CF'!$E$14/12</f>
        <v>2.9166666666666677E-3</v>
      </c>
      <c r="AI9" s="187">
        <f>((Rents!$J$4*Rents!$C$4)+(Rents!$J$9*Rents!$C$9))/'Annual CF'!$E$14/12</f>
        <v>2.9166666666666677E-3</v>
      </c>
      <c r="AJ9" s="187">
        <f>((Rents!$J$4*Rents!$C$4)+(Rents!$J$9*Rents!$C$9))/'Annual CF'!$E$14/12</f>
        <v>2.9166666666666677E-3</v>
      </c>
      <c r="AK9" s="187">
        <f>((Rents!$J$4*Rents!$C$4)+(Rents!$J$9*Rents!$C$9))/'Annual CF'!$E$14/12</f>
        <v>2.9166666666666677E-3</v>
      </c>
      <c r="AL9" s="187">
        <f>((Rents!$J$4*Rents!$C$4)+(Rents!$J$9*Rents!$C$9))/'Annual CF'!$E$14/12</f>
        <v>2.9166666666666677E-3</v>
      </c>
      <c r="AM9" s="187">
        <f>((Rents!$J$4*Rents!$C$4)+(Rents!$J$9*Rents!$C$9))/'Annual CF'!$E$14/12</f>
        <v>2.9166666666666677E-3</v>
      </c>
      <c r="AN9" s="187">
        <f>((Rents!$J$4*Rents!$C$4)+(Rents!$J$9*Rents!$C$9))/'Annual CF'!$E$14/12</f>
        <v>2.9166666666666677E-3</v>
      </c>
      <c r="AO9" s="187">
        <f>((Rents!$J$4*Rents!$C$4)+(Rents!$J$9*Rents!$C$9))/'Annual CF'!$E$14/12</f>
        <v>2.9166666666666677E-3</v>
      </c>
      <c r="AP9" s="187">
        <f>((Rents!$J$4*Rents!$C$4)+(Rents!$J$9*Rents!$C$9))/'Annual CF'!$E$14/12</f>
        <v>2.9166666666666677E-3</v>
      </c>
      <c r="AQ9" s="187">
        <f>((Rents!$J$4*Rents!$C$4)+(Rents!$J$9*Rents!$C$9))/'Annual CF'!$E$14/12</f>
        <v>2.9166666666666677E-3</v>
      </c>
      <c r="AR9" s="187">
        <f>((Rents!$J$4*Rents!$C$4)+(Rents!$J$9*Rents!$C$9))/'Annual CF'!$E$14/12</f>
        <v>2.9166666666666677E-3</v>
      </c>
      <c r="AS9" s="187">
        <f>((Rents!$J$4*Rents!$C$4)+(Rents!$J$9*Rents!$C$9))/'Annual CF'!$E$14/12</f>
        <v>2.9166666666666677E-3</v>
      </c>
      <c r="AT9" s="187">
        <f>((Rents!$J$4*Rents!$C$4)+(Rents!$J$9*Rents!$C$9))/'Annual CF'!$E$14/12</f>
        <v>2.9166666666666677E-3</v>
      </c>
      <c r="AU9" s="187">
        <f>((Rents!$J$4*Rents!$C$4)+(Rents!$J$9*Rents!$C$9))/'Annual CF'!$E$14/12</f>
        <v>2.9166666666666677E-3</v>
      </c>
      <c r="AV9" s="187">
        <f>((Rents!$J$4*Rents!$C$4)+(Rents!$J$9*Rents!$C$9))/'Annual CF'!$E$14/12</f>
        <v>2.9166666666666677E-3</v>
      </c>
      <c r="AW9" s="187">
        <f>((Rents!$J$4*Rents!$C$4)+(Rents!$J$9*Rents!$C$9))/'Annual CF'!$E$14/12</f>
        <v>2.9166666666666677E-3</v>
      </c>
      <c r="AX9" s="187">
        <f>((Rents!$J$4*Rents!$C$4)+(Rents!$J$9*Rents!$C$9))/'Annual CF'!$E$14/12</f>
        <v>2.9166666666666677E-3</v>
      </c>
      <c r="AY9" s="187">
        <f>((Rents!$J$4*Rents!$C$4)+(Rents!$J$9*Rents!$C$9))/'Annual CF'!$E$14/12</f>
        <v>2.9166666666666677E-3</v>
      </c>
      <c r="AZ9" s="187">
        <f>((Rents!$J$4*Rents!$C$4)+(Rents!$J$9*Rents!$C$9))/'Annual CF'!$E$14/12</f>
        <v>2.9166666666666677E-3</v>
      </c>
      <c r="BA9" s="187">
        <f>((Rents!$J$4*Rents!$C$4)+(Rents!$J$9*Rents!$C$9))/'Annual CF'!$E$14/12</f>
        <v>2.9166666666666677E-3</v>
      </c>
      <c r="BB9" s="187">
        <f>((Rents!$J$4*Rents!$C$4)+(Rents!$J$9*Rents!$C$9))/'Annual CF'!$E$14/12</f>
        <v>2.9166666666666677E-3</v>
      </c>
      <c r="BC9" s="187">
        <f>((Rents!$J$4*Rents!$C$4)+(Rents!$J$9*Rents!$C$9))/'Annual CF'!$E$14/12</f>
        <v>2.9166666666666677E-3</v>
      </c>
      <c r="BD9" s="187">
        <f>((Rents!$J$4*Rents!$C$4)+(Rents!$J$9*Rents!$C$9))/'Annual CF'!$E$14/12</f>
        <v>2.9166666666666677E-3</v>
      </c>
      <c r="BE9" s="187">
        <f>((Rents!$J$4*Rents!$C$4)+(Rents!$J$9*Rents!$C$9))/'Annual CF'!$E$14/12</f>
        <v>2.9166666666666677E-3</v>
      </c>
      <c r="BF9" s="187">
        <f>((Rents!$J$4*Rents!$C$4)+(Rents!$J$9*Rents!$C$9))/'Annual CF'!$E$14/12</f>
        <v>2.9166666666666677E-3</v>
      </c>
      <c r="BG9" s="187">
        <f>((Rents!$J$4*Rents!$C$4)+(Rents!$J$9*Rents!$C$9))/'Annual CF'!$E$14/12</f>
        <v>2.9166666666666677E-3</v>
      </c>
      <c r="BH9" s="187">
        <f>((Rents!$J$4*Rents!$C$4)+(Rents!$J$9*Rents!$C$9))/'Annual CF'!$E$14/12</f>
        <v>2.9166666666666677E-3</v>
      </c>
      <c r="BI9" s="187">
        <f>((Rents!$J$4*Rents!$C$4)+(Rents!$J$9*Rents!$C$9))/'Annual CF'!$E$14/12</f>
        <v>2.9166666666666677E-3</v>
      </c>
      <c r="BJ9" s="187">
        <f>((Rents!$J$4*Rents!$C$4)+(Rents!$J$9*Rents!$C$9))/'Annual CF'!$E$14/12</f>
        <v>2.9166666666666677E-3</v>
      </c>
      <c r="BK9" s="187">
        <f>((Rents!$J$4*Rents!$C$4)+(Rents!$J$9*Rents!$C$9))/'Annual CF'!$E$14/12</f>
        <v>2.9166666666666677E-3</v>
      </c>
      <c r="BL9" s="187">
        <f>((Rents!$J$4*Rents!$C$4)+(Rents!$J$9*Rents!$C$9))/'Annual CF'!$E$14/12</f>
        <v>2.9166666666666677E-3</v>
      </c>
      <c r="BM9" s="187">
        <f>((Rents!$J$4*Rents!$C$4)+(Rents!$J$9*Rents!$C$9))/'Annual CF'!$E$14/12</f>
        <v>2.9166666666666677E-3</v>
      </c>
      <c r="BN9" s="187">
        <f>((Rents!$J$4*Rents!$C$4)+(Rents!$J$9*Rents!$C$9))/'Annual CF'!$E$14/12</f>
        <v>2.9166666666666677E-3</v>
      </c>
      <c r="BO9" s="187">
        <f>((Rents!$J$4*Rents!$C$4)+(Rents!$J$9*Rents!$C$9))/'Annual CF'!$E$14/12</f>
        <v>2.9166666666666677E-3</v>
      </c>
      <c r="BP9" s="187">
        <f>((Rents!$J$4*Rents!$C$4)+(Rents!$J$9*Rents!$C$9))/'Annual CF'!$E$14/12</f>
        <v>2.9166666666666677E-3</v>
      </c>
      <c r="BQ9" s="187">
        <f>((Rents!$J$4*Rents!$C$4)+(Rents!$J$9*Rents!$C$9))/'Annual CF'!$E$14/12</f>
        <v>2.9166666666666677E-3</v>
      </c>
      <c r="BR9" s="187">
        <f>((Rents!$J$4*Rents!$C$4)+(Rents!$J$9*Rents!$C$9))/'Annual CF'!$E$14/12</f>
        <v>2.9166666666666677E-3</v>
      </c>
      <c r="BS9" s="187">
        <f>((Rents!$J$4*Rents!$C$4)+(Rents!$J$9*Rents!$C$9))/'Annual CF'!$E$14/12</f>
        <v>2.9166666666666677E-3</v>
      </c>
      <c r="BT9" s="187">
        <f>((Rents!$J$4*Rents!$C$4)+(Rents!$J$9*Rents!$C$9))/'Annual CF'!$E$14/12</f>
        <v>2.9166666666666677E-3</v>
      </c>
      <c r="BU9" s="187">
        <f>((Rents!$J$4*Rents!$C$4)+(Rents!$J$9*Rents!$C$9))/'Annual CF'!$E$14/12</f>
        <v>2.9166666666666677E-3</v>
      </c>
      <c r="BV9" s="187">
        <f>((Rents!$J$4*Rents!$C$4)+(Rents!$J$9*Rents!$C$9))/'Annual CF'!$E$14/12</f>
        <v>2.9166666666666677E-3</v>
      </c>
      <c r="BW9" s="187">
        <f>((Rents!$J$4*Rents!$C$4)+(Rents!$J$9*Rents!$C$9))/'Annual CF'!$E$14/12</f>
        <v>2.9166666666666677E-3</v>
      </c>
      <c r="BX9" s="187">
        <f>((Rents!$J$4*Rents!$C$4)+(Rents!$J$9*Rents!$C$9))/'Annual CF'!$E$14/12</f>
        <v>2.9166666666666677E-3</v>
      </c>
      <c r="BY9" s="187">
        <f>((Rents!$J$4*Rents!$C$4)+(Rents!$J$9*Rents!$C$9))/'Annual CF'!$E$14/12</f>
        <v>2.9166666666666677E-3</v>
      </c>
      <c r="BZ9" s="187">
        <f>((Rents!$J$4*Rents!$C$4)+(Rents!$J$9*Rents!$C$9))/'Annual CF'!$E$14/12</f>
        <v>2.9166666666666677E-3</v>
      </c>
      <c r="CA9" s="187">
        <f>((Rents!$J$4*Rents!$C$4)+(Rents!$J$9*Rents!$C$9))/'Annual CF'!$E$14/12</f>
        <v>2.9166666666666677E-3</v>
      </c>
      <c r="CB9" s="187">
        <f>((Rents!$J$4*Rents!$C$4)+(Rents!$J$9*Rents!$C$9))/'Annual CF'!$E$14/12</f>
        <v>2.9166666666666677E-3</v>
      </c>
      <c r="CC9" s="187">
        <f>((Rents!$J$4*Rents!$C$4)+(Rents!$J$9*Rents!$C$9))/'Annual CF'!$E$14/12</f>
        <v>2.9166666666666677E-3</v>
      </c>
      <c r="CD9" s="187">
        <f>((Rents!$J$4*Rents!$C$4)+(Rents!$J$9*Rents!$C$9))/'Annual CF'!$E$14/12</f>
        <v>2.9166666666666677E-3</v>
      </c>
      <c r="CE9" s="187">
        <f>((Rents!$J$4*Rents!$C$4)+(Rents!$J$9*Rents!$C$9))/'Annual CF'!$E$14/12</f>
        <v>2.9166666666666677E-3</v>
      </c>
      <c r="CF9" s="187">
        <f>((Rents!$J$4*Rents!$C$4)+(Rents!$J$9*Rents!$C$9))/'Annual CF'!$E$14/12</f>
        <v>2.9166666666666677E-3</v>
      </c>
      <c r="CG9" s="187">
        <f>((Rents!$J$4*Rents!$C$4)+(Rents!$J$9*Rents!$C$9))/'Annual CF'!$E$14/12</f>
        <v>2.9166666666666677E-3</v>
      </c>
      <c r="CH9" s="187">
        <f>((Rents!$J$4*Rents!$C$4)+(Rents!$J$9*Rents!$C$9))/'Annual CF'!$E$14/12</f>
        <v>2.9166666666666677E-3</v>
      </c>
      <c r="CI9" s="187">
        <f>((Rents!$J$4*Rents!$C$4)+(Rents!$J$9*Rents!$C$9))/'Annual CF'!$E$14/12</f>
        <v>2.9166666666666677E-3</v>
      </c>
      <c r="CJ9" s="187">
        <f>((Rents!$J$4*Rents!$C$4)+(Rents!$J$9*Rents!$C$9))/'Annual CF'!$E$14/12</f>
        <v>2.9166666666666677E-3</v>
      </c>
      <c r="CK9" s="187">
        <f>((Rents!$J$4*Rents!$C$4)+(Rents!$J$9*Rents!$C$9))/'Annual CF'!$E$14/12</f>
        <v>2.9166666666666677E-3</v>
      </c>
      <c r="CL9" s="187">
        <f>((Rents!$J$4*Rents!$C$4)+(Rents!$J$9*Rents!$C$9))/'Annual CF'!$E$14/12</f>
        <v>2.9166666666666677E-3</v>
      </c>
      <c r="CM9" s="187">
        <f>((Rents!$J$4*Rents!$C$4)+(Rents!$J$9*Rents!$C$9))/'Annual CF'!$E$14/12</f>
        <v>2.9166666666666677E-3</v>
      </c>
      <c r="CN9" s="187">
        <f>((Rents!$J$4*Rents!$C$4)+(Rents!$J$9*Rents!$C$9))/'Annual CF'!$E$14/12</f>
        <v>2.9166666666666677E-3</v>
      </c>
      <c r="CO9" s="187">
        <f>((Rents!$J$4*Rents!$C$4)+(Rents!$J$9*Rents!$C$9))/'Annual CF'!$E$14/12</f>
        <v>2.9166666666666677E-3</v>
      </c>
      <c r="CP9" s="187">
        <f>((Rents!$J$4*Rents!$C$4)+(Rents!$J$9*Rents!$C$9))/'Annual CF'!$E$14/12</f>
        <v>2.9166666666666677E-3</v>
      </c>
      <c r="CQ9" s="187">
        <f>((Rents!$J$4*Rents!$C$4)+(Rents!$J$9*Rents!$C$9))/'Annual CF'!$E$14/12</f>
        <v>2.9166666666666677E-3</v>
      </c>
      <c r="CR9" s="187">
        <f>((Rents!$J$4*Rents!$C$4)+(Rents!$J$9*Rents!$C$9))/'Annual CF'!$E$14/12</f>
        <v>2.9166666666666677E-3</v>
      </c>
      <c r="CS9" s="187">
        <f>((Rents!$J$4*Rents!$C$4)+(Rents!$J$9*Rents!$C$9))/'Annual CF'!$E$14/12</f>
        <v>2.9166666666666677E-3</v>
      </c>
      <c r="CT9" s="187">
        <f>((Rents!$J$4*Rents!$C$4)+(Rents!$J$9*Rents!$C$9))/'Annual CF'!$E$14/12</f>
        <v>2.9166666666666677E-3</v>
      </c>
      <c r="CU9" s="187">
        <f>((Rents!$J$4*Rents!$C$4)+(Rents!$J$9*Rents!$C$9))/'Annual CF'!$E$14/12</f>
        <v>2.9166666666666677E-3</v>
      </c>
      <c r="CV9" s="187">
        <f>((Rents!$J$4*Rents!$C$4)+(Rents!$J$9*Rents!$C$9))/'Annual CF'!$E$14/12</f>
        <v>2.9166666666666677E-3</v>
      </c>
      <c r="CW9" s="187">
        <f>((Rents!$J$4*Rents!$C$4)+(Rents!$J$9*Rents!$C$9))/'Annual CF'!$E$14/12</f>
        <v>2.9166666666666677E-3</v>
      </c>
      <c r="CX9" s="187">
        <f>((Rents!$J$4*Rents!$C$4)+(Rents!$J$9*Rents!$C$9))/'Annual CF'!$E$14/12</f>
        <v>2.9166666666666677E-3</v>
      </c>
      <c r="CY9" s="187">
        <f>((Rents!$J$4*Rents!$C$4)+(Rents!$J$9*Rents!$C$9))/'Annual CF'!$E$14/12</f>
        <v>2.9166666666666677E-3</v>
      </c>
      <c r="CZ9" s="187">
        <f>((Rents!$J$4*Rents!$C$4)+(Rents!$J$9*Rents!$C$9))/'Annual CF'!$E$14/12</f>
        <v>2.9166666666666677E-3</v>
      </c>
      <c r="DA9" s="187">
        <f>((Rents!$J$4*Rents!$C$4)+(Rents!$J$9*Rents!$C$9))/'Annual CF'!$E$14/12</f>
        <v>2.9166666666666677E-3</v>
      </c>
      <c r="DB9" s="187">
        <f>((Rents!$J$4*Rents!$C$4)+(Rents!$J$9*Rents!$C$9))/'Annual CF'!$E$14/12</f>
        <v>2.9166666666666677E-3</v>
      </c>
      <c r="DC9" s="187">
        <f>((Rents!$J$4*Rents!$C$4)+(Rents!$J$9*Rents!$C$9))/'Annual CF'!$E$14/12</f>
        <v>2.9166666666666677E-3</v>
      </c>
      <c r="DD9" s="187">
        <f>((Rents!$J$4*Rents!$C$4)+(Rents!$J$9*Rents!$C$9))/'Annual CF'!$E$14/12</f>
        <v>2.9166666666666677E-3</v>
      </c>
      <c r="DE9" s="187">
        <f>((Rents!$J$4*Rents!$C$4)+(Rents!$J$9*Rents!$C$9))/'Annual CF'!$E$14/12</f>
        <v>2.9166666666666677E-3</v>
      </c>
      <c r="DF9" s="187">
        <f>((Rents!$J$4*Rents!$C$4)+(Rents!$J$9*Rents!$C$9))/'Annual CF'!$E$14/12</f>
        <v>2.9166666666666677E-3</v>
      </c>
      <c r="DG9" s="187">
        <f>((Rents!$J$4*Rents!$C$4)+(Rents!$J$9*Rents!$C$9))/'Annual CF'!$E$14/12</f>
        <v>2.9166666666666677E-3</v>
      </c>
      <c r="DH9" s="187">
        <f>((Rents!$J$4*Rents!$C$4)+(Rents!$J$9*Rents!$C$9))/'Annual CF'!$E$14/12</f>
        <v>2.9166666666666677E-3</v>
      </c>
      <c r="DI9" s="187">
        <f>((Rents!$J$4*Rents!$C$4)+(Rents!$J$9*Rents!$C$9))/'Annual CF'!$E$14/12</f>
        <v>2.9166666666666677E-3</v>
      </c>
      <c r="DJ9" s="187">
        <f>((Rents!$J$4*Rents!$C$4)+(Rents!$J$9*Rents!$C$9))/'Annual CF'!$E$14/12</f>
        <v>2.9166666666666677E-3</v>
      </c>
      <c r="DK9" s="187">
        <f>((Rents!$J$4*Rents!$C$4)+(Rents!$J$9*Rents!$C$9))/'Annual CF'!$E$14/12</f>
        <v>2.9166666666666677E-3</v>
      </c>
      <c r="DL9" s="187">
        <f>((Rents!$J$4*Rents!$C$4)+(Rents!$J$9*Rents!$C$9))/'Annual CF'!$E$14/12</f>
        <v>2.9166666666666677E-3</v>
      </c>
      <c r="DM9" s="187">
        <f>((Rents!$J$4*Rents!$C$4)+(Rents!$J$9*Rents!$C$9))/'Annual CF'!$E$14/12</f>
        <v>2.9166666666666677E-3</v>
      </c>
      <c r="DN9" s="187">
        <f>((Rents!$J$4*Rents!$C$4)+(Rents!$J$9*Rents!$C$9))/'Annual CF'!$E$14/12</f>
        <v>2.9166666666666677E-3</v>
      </c>
      <c r="DO9" s="187">
        <f>((Rents!$J$4*Rents!$C$4)+(Rents!$J$9*Rents!$C$9))/'Annual CF'!$E$14/12</f>
        <v>2.9166666666666677E-3</v>
      </c>
      <c r="DP9" s="187">
        <f>((Rents!$J$4*Rents!$C$4)+(Rents!$J$9*Rents!$C$9))/'Annual CF'!$E$14/12</f>
        <v>2.9166666666666677E-3</v>
      </c>
      <c r="DQ9" s="187">
        <f>((Rents!$J$4*Rents!$C$4)+(Rents!$J$9*Rents!$C$9))/'Annual CF'!$E$14/12</f>
        <v>2.9166666666666677E-3</v>
      </c>
      <c r="DR9" s="187">
        <f>((Rents!$J$4*Rents!$C$4)+(Rents!$J$9*Rents!$C$9))/'Annual CF'!$E$14/12</f>
        <v>2.9166666666666677E-3</v>
      </c>
      <c r="DS9" s="187">
        <f>((Rents!$J$4*Rents!$C$4)+(Rents!$J$9*Rents!$C$9))/'Annual CF'!$E$14/12</f>
        <v>2.9166666666666677E-3</v>
      </c>
      <c r="DT9" s="187">
        <f>((Rents!$J$4*Rents!$C$4)+(Rents!$J$9*Rents!$C$9))/'Annual CF'!$E$14/12</f>
        <v>2.9166666666666677E-3</v>
      </c>
      <c r="DU9" s="69" t="s">
        <v>0</v>
      </c>
    </row>
    <row r="10" spans="2:125" x14ac:dyDescent="0.25">
      <c r="B10" s="1"/>
      <c r="DU10" s="69" t="s">
        <v>0</v>
      </c>
    </row>
    <row r="11" spans="2:125" x14ac:dyDescent="0.25">
      <c r="B11" s="1"/>
      <c r="DU11" s="69" t="s">
        <v>0</v>
      </c>
    </row>
    <row r="12" spans="2:125" x14ac:dyDescent="0.25">
      <c r="B12" s="1" t="s">
        <v>29</v>
      </c>
      <c r="C12" s="18">
        <f>SUM(D12:CJ12)</f>
        <v>-120000000</v>
      </c>
      <c r="D12" s="18">
        <f>-'Annual CF'!D16</f>
        <v>-120000000</v>
      </c>
      <c r="DU12" s="69" t="s">
        <v>0</v>
      </c>
    </row>
    <row r="13" spans="2:125" x14ac:dyDescent="0.25">
      <c r="B13" s="1" t="s">
        <v>17</v>
      </c>
      <c r="C13" s="18">
        <f>SUM(D13:CJ13)</f>
        <v>-3600000</v>
      </c>
      <c r="D13" s="18">
        <f>-'Annual CF'!D17</f>
        <v>-3600000</v>
      </c>
      <c r="DU13" s="69" t="s">
        <v>0</v>
      </c>
    </row>
    <row r="14" spans="2:125" x14ac:dyDescent="0.25">
      <c r="B14" s="1" t="s">
        <v>32</v>
      </c>
      <c r="C14" s="18">
        <f>SUM(D14:CJ14)</f>
        <v>-97800000</v>
      </c>
      <c r="D14" s="1"/>
      <c r="E14" s="18">
        <f>-'Annual CF'!$D18/('Annual CF'!$D$4*12)</f>
        <v>-4075000</v>
      </c>
      <c r="F14" s="18">
        <f>-'Annual CF'!$D18/('Annual CF'!$D$4*12)</f>
        <v>-4075000</v>
      </c>
      <c r="G14" s="18">
        <f>-'Annual CF'!$D18/('Annual CF'!$D$4*12)</f>
        <v>-4075000</v>
      </c>
      <c r="H14" s="18">
        <f>-'Annual CF'!$D18/('Annual CF'!$D$4*12)</f>
        <v>-4075000</v>
      </c>
      <c r="I14" s="18">
        <f>-'Annual CF'!$D18/('Annual CF'!$D$4*12)</f>
        <v>-4075000</v>
      </c>
      <c r="J14" s="18">
        <f>-'Annual CF'!$D18/('Annual CF'!$D$4*12)</f>
        <v>-4075000</v>
      </c>
      <c r="K14" s="18">
        <f>-'Annual CF'!$D18/('Annual CF'!$D$4*12)</f>
        <v>-4075000</v>
      </c>
      <c r="L14" s="18">
        <f>-'Annual CF'!$D18/('Annual CF'!$D$4*12)</f>
        <v>-4075000</v>
      </c>
      <c r="M14" s="18">
        <f>-'Annual CF'!$D18/('Annual CF'!$D$4*12)</f>
        <v>-4075000</v>
      </c>
      <c r="N14" s="18">
        <f>-'Annual CF'!$D18/('Annual CF'!$D$4*12)</f>
        <v>-4075000</v>
      </c>
      <c r="O14" s="18">
        <f>-'Annual CF'!$D18/('Annual CF'!$D$4*12)</f>
        <v>-4075000</v>
      </c>
      <c r="P14" s="18">
        <f>-'Annual CF'!$D18/('Annual CF'!$D$4*12)</f>
        <v>-4075000</v>
      </c>
      <c r="Q14" s="18">
        <f>-'Annual CF'!$D18/('Annual CF'!$D$4*12)</f>
        <v>-4075000</v>
      </c>
      <c r="R14" s="18">
        <f>-'Annual CF'!$D18/('Annual CF'!$D$4*12)</f>
        <v>-4075000</v>
      </c>
      <c r="S14" s="18">
        <f>-'Annual CF'!$D18/('Annual CF'!$D$4*12)</f>
        <v>-4075000</v>
      </c>
      <c r="T14" s="18">
        <f>-'Annual CF'!$D18/('Annual CF'!$D$4*12)</f>
        <v>-4075000</v>
      </c>
      <c r="U14" s="18">
        <f>-'Annual CF'!$D18/('Annual CF'!$D$4*12)</f>
        <v>-4075000</v>
      </c>
      <c r="V14" s="18">
        <f>-'Annual CF'!$D18/('Annual CF'!$D$4*12)</f>
        <v>-4075000</v>
      </c>
      <c r="W14" s="18">
        <f>-'Annual CF'!$D18/('Annual CF'!$D$4*12)</f>
        <v>-4075000</v>
      </c>
      <c r="X14" s="18">
        <f>-'Annual CF'!$D18/('Annual CF'!$D$4*12)</f>
        <v>-4075000</v>
      </c>
      <c r="Y14" s="18">
        <f>-'Annual CF'!$D18/('Annual CF'!$D$4*12)</f>
        <v>-4075000</v>
      </c>
      <c r="Z14" s="18">
        <f>-'Annual CF'!$D18/('Annual CF'!$D$4*12)</f>
        <v>-4075000</v>
      </c>
      <c r="AA14" s="18">
        <f>-'Annual CF'!$D18/('Annual CF'!$D$4*12)</f>
        <v>-4075000</v>
      </c>
      <c r="AB14" s="18">
        <f>-'Annual CF'!$D18/('Annual CF'!$D$4*12)</f>
        <v>-4075000</v>
      </c>
      <c r="DU14" s="69" t="s">
        <v>0</v>
      </c>
    </row>
    <row r="15" spans="2:125" x14ac:dyDescent="0.25">
      <c r="B15" s="1" t="s">
        <v>33</v>
      </c>
      <c r="C15" s="18">
        <f>SUM(D15:CJ15)</f>
        <v>-90000000</v>
      </c>
      <c r="D15" s="18"/>
      <c r="E15" s="18">
        <f>-'Annual CF'!$D19/('Annual CF'!$D$4*12)</f>
        <v>-3750000</v>
      </c>
      <c r="F15" s="18">
        <f>-'Annual CF'!$D19/('Annual CF'!$D$4*12)</f>
        <v>-3750000</v>
      </c>
      <c r="G15" s="18">
        <f>-'Annual CF'!$D19/('Annual CF'!$D$4*12)</f>
        <v>-3750000</v>
      </c>
      <c r="H15" s="18">
        <f>-'Annual CF'!$D19/('Annual CF'!$D$4*12)</f>
        <v>-3750000</v>
      </c>
      <c r="I15" s="18">
        <f>-'Annual CF'!$D19/('Annual CF'!$D$4*12)</f>
        <v>-3750000</v>
      </c>
      <c r="J15" s="18">
        <f>-'Annual CF'!$D19/('Annual CF'!$D$4*12)</f>
        <v>-3750000</v>
      </c>
      <c r="K15" s="18">
        <f>-'Annual CF'!$D19/('Annual CF'!$D$4*12)</f>
        <v>-3750000</v>
      </c>
      <c r="L15" s="18">
        <f>-'Annual CF'!$D19/('Annual CF'!$D$4*12)</f>
        <v>-3750000</v>
      </c>
      <c r="M15" s="18">
        <f>-'Annual CF'!$D19/('Annual CF'!$D$4*12)</f>
        <v>-3750000</v>
      </c>
      <c r="N15" s="18">
        <f>-'Annual CF'!$D19/('Annual CF'!$D$4*12)</f>
        <v>-3750000</v>
      </c>
      <c r="O15" s="18">
        <f>-'Annual CF'!$D19/('Annual CF'!$D$4*12)</f>
        <v>-3750000</v>
      </c>
      <c r="P15" s="18">
        <f>-'Annual CF'!$D19/('Annual CF'!$D$4*12)</f>
        <v>-3750000</v>
      </c>
      <c r="Q15" s="18">
        <f>-'Annual CF'!$D19/('Annual CF'!$D$4*12)</f>
        <v>-3750000</v>
      </c>
      <c r="R15" s="18">
        <f>-'Annual CF'!$D19/('Annual CF'!$D$4*12)</f>
        <v>-3750000</v>
      </c>
      <c r="S15" s="18">
        <f>-'Annual CF'!$D19/('Annual CF'!$D$4*12)</f>
        <v>-3750000</v>
      </c>
      <c r="T15" s="18">
        <f>-'Annual CF'!$D19/('Annual CF'!$D$4*12)</f>
        <v>-3750000</v>
      </c>
      <c r="U15" s="18">
        <f>-'Annual CF'!$D19/('Annual CF'!$D$4*12)</f>
        <v>-3750000</v>
      </c>
      <c r="V15" s="18">
        <f>-'Annual CF'!$D19/('Annual CF'!$D$4*12)</f>
        <v>-3750000</v>
      </c>
      <c r="W15" s="18">
        <f>-'Annual CF'!$D19/('Annual CF'!$D$4*12)</f>
        <v>-3750000</v>
      </c>
      <c r="X15" s="18">
        <f>-'Annual CF'!$D19/('Annual CF'!$D$4*12)</f>
        <v>-3750000</v>
      </c>
      <c r="Y15" s="18">
        <f>-'Annual CF'!$D19/('Annual CF'!$D$4*12)</f>
        <v>-3750000</v>
      </c>
      <c r="Z15" s="18">
        <f>-'Annual CF'!$D19/('Annual CF'!$D$4*12)</f>
        <v>-3750000</v>
      </c>
      <c r="AA15" s="18">
        <f>-'Annual CF'!$D19/('Annual CF'!$D$4*12)</f>
        <v>-3750000</v>
      </c>
      <c r="AB15" s="18">
        <f>-'Annual CF'!$D19/('Annual CF'!$D$4*12)</f>
        <v>-3750000</v>
      </c>
      <c r="DU15" s="69" t="s">
        <v>0</v>
      </c>
    </row>
    <row r="16" spans="2:125" x14ac:dyDescent="0.25">
      <c r="B16" s="27" t="s">
        <v>21</v>
      </c>
      <c r="C16" s="61">
        <f>SUM(D16:CJ16)</f>
        <v>-311400000</v>
      </c>
      <c r="D16" s="61">
        <f>SUM(D12:D15)</f>
        <v>-123600000</v>
      </c>
      <c r="E16" s="61">
        <f t="shared" ref="E16:BP16" si="123">SUM(E12:E15)</f>
        <v>-7825000</v>
      </c>
      <c r="F16" s="61">
        <f t="shared" si="123"/>
        <v>-7825000</v>
      </c>
      <c r="G16" s="61">
        <f t="shared" si="123"/>
        <v>-7825000</v>
      </c>
      <c r="H16" s="61">
        <f t="shared" si="123"/>
        <v>-7825000</v>
      </c>
      <c r="I16" s="61">
        <f t="shared" si="123"/>
        <v>-7825000</v>
      </c>
      <c r="J16" s="61">
        <f t="shared" si="123"/>
        <v>-7825000</v>
      </c>
      <c r="K16" s="61">
        <f t="shared" si="123"/>
        <v>-7825000</v>
      </c>
      <c r="L16" s="61">
        <f t="shared" si="123"/>
        <v>-7825000</v>
      </c>
      <c r="M16" s="61">
        <f t="shared" si="123"/>
        <v>-7825000</v>
      </c>
      <c r="N16" s="61">
        <f t="shared" si="123"/>
        <v>-7825000</v>
      </c>
      <c r="O16" s="61">
        <f t="shared" si="123"/>
        <v>-7825000</v>
      </c>
      <c r="P16" s="61">
        <f t="shared" si="123"/>
        <v>-7825000</v>
      </c>
      <c r="Q16" s="61">
        <f t="shared" si="123"/>
        <v>-7825000</v>
      </c>
      <c r="R16" s="61">
        <f t="shared" si="123"/>
        <v>-7825000</v>
      </c>
      <c r="S16" s="61">
        <f t="shared" si="123"/>
        <v>-7825000</v>
      </c>
      <c r="T16" s="61">
        <f t="shared" si="123"/>
        <v>-7825000</v>
      </c>
      <c r="U16" s="61">
        <f t="shared" si="123"/>
        <v>-7825000</v>
      </c>
      <c r="V16" s="61">
        <f t="shared" si="123"/>
        <v>-7825000</v>
      </c>
      <c r="W16" s="61">
        <f t="shared" si="123"/>
        <v>-7825000</v>
      </c>
      <c r="X16" s="61">
        <f t="shared" si="123"/>
        <v>-7825000</v>
      </c>
      <c r="Y16" s="61">
        <f t="shared" si="123"/>
        <v>-7825000</v>
      </c>
      <c r="Z16" s="61">
        <f t="shared" si="123"/>
        <v>-7825000</v>
      </c>
      <c r="AA16" s="61">
        <f t="shared" si="123"/>
        <v>-7825000</v>
      </c>
      <c r="AB16" s="61">
        <f t="shared" si="123"/>
        <v>-7825000</v>
      </c>
      <c r="AC16" s="61">
        <f t="shared" si="123"/>
        <v>0</v>
      </c>
      <c r="AD16" s="61">
        <f t="shared" si="123"/>
        <v>0</v>
      </c>
      <c r="AE16" s="61">
        <f t="shared" si="123"/>
        <v>0</v>
      </c>
      <c r="AF16" s="61">
        <f t="shared" si="123"/>
        <v>0</v>
      </c>
      <c r="AG16" s="61">
        <f t="shared" si="123"/>
        <v>0</v>
      </c>
      <c r="AH16" s="61">
        <f t="shared" si="123"/>
        <v>0</v>
      </c>
      <c r="AI16" s="61">
        <f t="shared" si="123"/>
        <v>0</v>
      </c>
      <c r="AJ16" s="61">
        <f t="shared" si="123"/>
        <v>0</v>
      </c>
      <c r="AK16" s="61">
        <f t="shared" si="123"/>
        <v>0</v>
      </c>
      <c r="AL16" s="61">
        <f t="shared" si="123"/>
        <v>0</v>
      </c>
      <c r="AM16" s="61">
        <f t="shared" si="123"/>
        <v>0</v>
      </c>
      <c r="AN16" s="61">
        <f t="shared" si="123"/>
        <v>0</v>
      </c>
      <c r="AO16" s="61">
        <f t="shared" si="123"/>
        <v>0</v>
      </c>
      <c r="AP16" s="61">
        <f t="shared" si="123"/>
        <v>0</v>
      </c>
      <c r="AQ16" s="61">
        <f t="shared" si="123"/>
        <v>0</v>
      </c>
      <c r="AR16" s="61">
        <f t="shared" si="123"/>
        <v>0</v>
      </c>
      <c r="AS16" s="61">
        <f t="shared" si="123"/>
        <v>0</v>
      </c>
      <c r="AT16" s="61">
        <f t="shared" si="123"/>
        <v>0</v>
      </c>
      <c r="AU16" s="61">
        <f t="shared" si="123"/>
        <v>0</v>
      </c>
      <c r="AV16" s="61">
        <f t="shared" si="123"/>
        <v>0</v>
      </c>
      <c r="AW16" s="61">
        <f t="shared" si="123"/>
        <v>0</v>
      </c>
      <c r="AX16" s="61">
        <f t="shared" si="123"/>
        <v>0</v>
      </c>
      <c r="AY16" s="61">
        <f t="shared" si="123"/>
        <v>0</v>
      </c>
      <c r="AZ16" s="61">
        <f t="shared" si="123"/>
        <v>0</v>
      </c>
      <c r="BA16" s="61">
        <f t="shared" si="123"/>
        <v>0</v>
      </c>
      <c r="BB16" s="61">
        <f t="shared" si="123"/>
        <v>0</v>
      </c>
      <c r="BC16" s="61">
        <f t="shared" si="123"/>
        <v>0</v>
      </c>
      <c r="BD16" s="61">
        <f t="shared" si="123"/>
        <v>0</v>
      </c>
      <c r="BE16" s="61">
        <f t="shared" si="123"/>
        <v>0</v>
      </c>
      <c r="BF16" s="61">
        <f t="shared" si="123"/>
        <v>0</v>
      </c>
      <c r="BG16" s="61">
        <f t="shared" si="123"/>
        <v>0</v>
      </c>
      <c r="BH16" s="61">
        <f t="shared" si="123"/>
        <v>0</v>
      </c>
      <c r="BI16" s="61">
        <f t="shared" si="123"/>
        <v>0</v>
      </c>
      <c r="BJ16" s="61">
        <f t="shared" si="123"/>
        <v>0</v>
      </c>
      <c r="BK16" s="61">
        <f t="shared" si="123"/>
        <v>0</v>
      </c>
      <c r="BL16" s="61">
        <f t="shared" si="123"/>
        <v>0</v>
      </c>
      <c r="BM16" s="61">
        <f t="shared" si="123"/>
        <v>0</v>
      </c>
      <c r="BN16" s="61">
        <f t="shared" si="123"/>
        <v>0</v>
      </c>
      <c r="BO16" s="61">
        <f t="shared" si="123"/>
        <v>0</v>
      </c>
      <c r="BP16" s="61">
        <f t="shared" si="123"/>
        <v>0</v>
      </c>
      <c r="BQ16" s="61">
        <f t="shared" ref="BQ16:CJ16" si="124">SUM(BQ12:BQ15)</f>
        <v>0</v>
      </c>
      <c r="BR16" s="61">
        <f t="shared" si="124"/>
        <v>0</v>
      </c>
      <c r="BS16" s="61">
        <f t="shared" si="124"/>
        <v>0</v>
      </c>
      <c r="BT16" s="61">
        <f t="shared" si="124"/>
        <v>0</v>
      </c>
      <c r="BU16" s="61">
        <f t="shared" si="124"/>
        <v>0</v>
      </c>
      <c r="BV16" s="61">
        <f t="shared" si="124"/>
        <v>0</v>
      </c>
      <c r="BW16" s="61">
        <f t="shared" si="124"/>
        <v>0</v>
      </c>
      <c r="BX16" s="61">
        <f t="shared" si="124"/>
        <v>0</v>
      </c>
      <c r="BY16" s="61">
        <f t="shared" si="124"/>
        <v>0</v>
      </c>
      <c r="BZ16" s="61">
        <f t="shared" si="124"/>
        <v>0</v>
      </c>
      <c r="CA16" s="61">
        <f t="shared" si="124"/>
        <v>0</v>
      </c>
      <c r="CB16" s="61">
        <f t="shared" si="124"/>
        <v>0</v>
      </c>
      <c r="CC16" s="61">
        <f t="shared" si="124"/>
        <v>0</v>
      </c>
      <c r="CD16" s="61">
        <f t="shared" si="124"/>
        <v>0</v>
      </c>
      <c r="CE16" s="61">
        <f t="shared" si="124"/>
        <v>0</v>
      </c>
      <c r="CF16" s="61">
        <f t="shared" si="124"/>
        <v>0</v>
      </c>
      <c r="CG16" s="61">
        <f t="shared" si="124"/>
        <v>0</v>
      </c>
      <c r="CH16" s="61">
        <f t="shared" si="124"/>
        <v>0</v>
      </c>
      <c r="CI16" s="61">
        <f t="shared" si="124"/>
        <v>0</v>
      </c>
      <c r="CJ16" s="61">
        <f t="shared" si="124"/>
        <v>0</v>
      </c>
      <c r="CK16" s="61">
        <f t="shared" ref="CK16:DT16" si="125">SUM(CK12:CK15)</f>
        <v>0</v>
      </c>
      <c r="CL16" s="61">
        <f t="shared" si="125"/>
        <v>0</v>
      </c>
      <c r="CM16" s="61">
        <f t="shared" si="125"/>
        <v>0</v>
      </c>
      <c r="CN16" s="61">
        <f t="shared" si="125"/>
        <v>0</v>
      </c>
      <c r="CO16" s="61">
        <f t="shared" si="125"/>
        <v>0</v>
      </c>
      <c r="CP16" s="61">
        <f t="shared" si="125"/>
        <v>0</v>
      </c>
      <c r="CQ16" s="61">
        <f t="shared" si="125"/>
        <v>0</v>
      </c>
      <c r="CR16" s="61">
        <f t="shared" si="125"/>
        <v>0</v>
      </c>
      <c r="CS16" s="61">
        <f t="shared" si="125"/>
        <v>0</v>
      </c>
      <c r="CT16" s="61">
        <f t="shared" si="125"/>
        <v>0</v>
      </c>
      <c r="CU16" s="61">
        <f t="shared" si="125"/>
        <v>0</v>
      </c>
      <c r="CV16" s="61">
        <f t="shared" si="125"/>
        <v>0</v>
      </c>
      <c r="CW16" s="61">
        <f t="shared" si="125"/>
        <v>0</v>
      </c>
      <c r="CX16" s="61">
        <f t="shared" si="125"/>
        <v>0</v>
      </c>
      <c r="CY16" s="61">
        <f t="shared" si="125"/>
        <v>0</v>
      </c>
      <c r="CZ16" s="61">
        <f t="shared" si="125"/>
        <v>0</v>
      </c>
      <c r="DA16" s="61">
        <f t="shared" si="125"/>
        <v>0</v>
      </c>
      <c r="DB16" s="61">
        <f t="shared" si="125"/>
        <v>0</v>
      </c>
      <c r="DC16" s="61">
        <f t="shared" si="125"/>
        <v>0</v>
      </c>
      <c r="DD16" s="61">
        <f t="shared" si="125"/>
        <v>0</v>
      </c>
      <c r="DE16" s="61">
        <f t="shared" si="125"/>
        <v>0</v>
      </c>
      <c r="DF16" s="61">
        <f t="shared" si="125"/>
        <v>0</v>
      </c>
      <c r="DG16" s="61">
        <f t="shared" si="125"/>
        <v>0</v>
      </c>
      <c r="DH16" s="61">
        <f t="shared" si="125"/>
        <v>0</v>
      </c>
      <c r="DI16" s="61">
        <f t="shared" si="125"/>
        <v>0</v>
      </c>
      <c r="DJ16" s="61">
        <f t="shared" si="125"/>
        <v>0</v>
      </c>
      <c r="DK16" s="61">
        <f t="shared" si="125"/>
        <v>0</v>
      </c>
      <c r="DL16" s="61">
        <f t="shared" si="125"/>
        <v>0</v>
      </c>
      <c r="DM16" s="61">
        <f t="shared" si="125"/>
        <v>0</v>
      </c>
      <c r="DN16" s="61">
        <f t="shared" si="125"/>
        <v>0</v>
      </c>
      <c r="DO16" s="61">
        <f t="shared" si="125"/>
        <v>0</v>
      </c>
      <c r="DP16" s="61">
        <f t="shared" si="125"/>
        <v>0</v>
      </c>
      <c r="DQ16" s="61">
        <f t="shared" si="125"/>
        <v>0</v>
      </c>
      <c r="DR16" s="61">
        <f t="shared" si="125"/>
        <v>0</v>
      </c>
      <c r="DS16" s="61">
        <f t="shared" si="125"/>
        <v>0</v>
      </c>
      <c r="DT16" s="61">
        <f t="shared" si="125"/>
        <v>0</v>
      </c>
      <c r="DU16" s="69" t="s">
        <v>0</v>
      </c>
    </row>
    <row r="17" spans="2:125" x14ac:dyDescent="0.25">
      <c r="B17" s="1"/>
      <c r="DU17" s="69" t="s">
        <v>0</v>
      </c>
    </row>
    <row r="18" spans="2:125" x14ac:dyDescent="0.25">
      <c r="B18" s="1" t="s">
        <v>24</v>
      </c>
      <c r="C18" s="18">
        <f>SUM(D18:CJ18)</f>
        <v>52645665.749398038</v>
      </c>
      <c r="F18" s="188"/>
      <c r="G18" s="188"/>
      <c r="H18" s="188"/>
      <c r="I18" s="188"/>
      <c r="J18" s="188"/>
      <c r="K18" s="188"/>
      <c r="L18" s="188"/>
      <c r="M18" s="188"/>
      <c r="N18" s="188"/>
      <c r="O18" s="188"/>
      <c r="P18" s="188"/>
      <c r="Q18" s="188"/>
      <c r="R18" s="188"/>
      <c r="S18" s="188"/>
      <c r="T18" s="188"/>
      <c r="U18" s="188"/>
      <c r="V18" s="188"/>
      <c r="W18" s="188"/>
      <c r="X18" s="185"/>
      <c r="Y18" s="185"/>
      <c r="Z18" s="185"/>
      <c r="AA18" s="185"/>
      <c r="AB18" s="185"/>
      <c r="AC18" s="188">
        <f>AC7*Rents!$C$4/12</f>
        <v>804166.66666666663</v>
      </c>
      <c r="AD18" s="185">
        <f>AD7*Rents!$C$4/12</f>
        <v>806512.15277777787</v>
      </c>
      <c r="AE18" s="185">
        <f>AE7*Rents!$C$4/12</f>
        <v>808864.47989004629</v>
      </c>
      <c r="AF18" s="185">
        <f>AF7*Rents!$C$4/12</f>
        <v>811223.66795639228</v>
      </c>
      <c r="AG18" s="185">
        <f>AG7*Rents!$C$4/12</f>
        <v>813589.73698793177</v>
      </c>
      <c r="AH18" s="185">
        <f>AH7*Rents!$C$4/12</f>
        <v>815962.70705414657</v>
      </c>
      <c r="AI18" s="185">
        <f>AI7*Rents!$C$4/12</f>
        <v>818342.59828305466</v>
      </c>
      <c r="AJ18" s="185">
        <f>AJ7*Rents!$C$4/12</f>
        <v>820729.43086138007</v>
      </c>
      <c r="AK18" s="185">
        <f>AK7*Rents!$C$4/12</f>
        <v>823123.22503472585</v>
      </c>
      <c r="AL18" s="185">
        <f>AL7*Rents!$C$4/12</f>
        <v>825524.00110774394</v>
      </c>
      <c r="AM18" s="185">
        <f>AM7*Rents!$C$4/12</f>
        <v>827931.77944430802</v>
      </c>
      <c r="AN18" s="185">
        <f>AN7*Rents!$C$4/12</f>
        <v>830346.58046768734</v>
      </c>
      <c r="AO18" s="185">
        <f>AO7*Rents!$C$4/12</f>
        <v>832768.42466071807</v>
      </c>
      <c r="AP18" s="185">
        <f>AP7*Rents!$C$4/12</f>
        <v>835197.33256597852</v>
      </c>
      <c r="AQ18" s="185">
        <f>AQ7*Rents!$C$4/12</f>
        <v>837633.32478596258</v>
      </c>
      <c r="AR18" s="185">
        <f>AR7*Rents!$C$4/12</f>
        <v>840076.42198325496</v>
      </c>
      <c r="AS18" s="185">
        <f>AS7*Rents!$C$4/12</f>
        <v>842526.6448807061</v>
      </c>
      <c r="AT18" s="185">
        <f>AT7*Rents!$C$4/12</f>
        <v>844984.01426160836</v>
      </c>
      <c r="AU18" s="185">
        <f>AU7*Rents!$C$4/12</f>
        <v>847448.55096987134</v>
      </c>
      <c r="AV18" s="185">
        <f>AV7*Rents!$C$4/12</f>
        <v>849920.27591020009</v>
      </c>
      <c r="AW18" s="185">
        <f>AW7*Rents!$C$4/12</f>
        <v>852399.21004827146</v>
      </c>
      <c r="AX18" s="185">
        <f>AX7*Rents!$C$4/12</f>
        <v>854885.37441091228</v>
      </c>
      <c r="AY18" s="185">
        <f>AY7*Rents!$C$4/12</f>
        <v>857378.79008627741</v>
      </c>
      <c r="AZ18" s="185">
        <f>AZ7*Rents!$C$4/12</f>
        <v>859879.47822402918</v>
      </c>
      <c r="BA18" s="185">
        <f>BA7*Rents!$C$4/12</f>
        <v>862387.46003551595</v>
      </c>
      <c r="BB18" s="185">
        <f>BB7*Rents!$C$4/12</f>
        <v>864902.7567939529</v>
      </c>
      <c r="BC18" s="185">
        <f>BC7*Rents!$C$4/12</f>
        <v>867425.38983460201</v>
      </c>
      <c r="BD18" s="185">
        <f>BD7*Rents!$C$4/12</f>
        <v>869955.38055495301</v>
      </c>
      <c r="BE18" s="185">
        <f>BE7*Rents!$C$4/12</f>
        <v>872492.75041490502</v>
      </c>
      <c r="BF18" s="185">
        <f>BF7*Rents!$C$4/12</f>
        <v>875037.52093694836</v>
      </c>
      <c r="BG18" s="185">
        <f>BG7*Rents!$C$4/12</f>
        <v>877589.71370634797</v>
      </c>
      <c r="BH18" s="185">
        <f>BH7*Rents!$C$4/12</f>
        <v>880149.35037132481</v>
      </c>
      <c r="BI18" s="185">
        <f>BI7*Rents!$C$4/12</f>
        <v>882716.45264324115</v>
      </c>
      <c r="BJ18" s="185">
        <f>BJ7*Rents!$C$4/12</f>
        <v>885291.042296784</v>
      </c>
      <c r="BK18" s="185">
        <f>BK7*Rents!$C$4/12</f>
        <v>887873.14117014955</v>
      </c>
      <c r="BL18" s="185">
        <f>BL7*Rents!$C$4/12</f>
        <v>890462.77116522926</v>
      </c>
      <c r="BM18" s="185">
        <f>BM7*Rents!$C$4/12</f>
        <v>893059.95424779446</v>
      </c>
      <c r="BN18" s="185">
        <f>BN7*Rents!$C$4/12</f>
        <v>895664.71244768391</v>
      </c>
      <c r="BO18" s="185">
        <f>BO7*Rents!$C$4/12</f>
        <v>898277.0678589897</v>
      </c>
      <c r="BP18" s="185">
        <f>BP7*Rents!$C$4/12</f>
        <v>900897.04264024505</v>
      </c>
      <c r="BQ18" s="185">
        <f>BQ7*Rents!$C$4/12</f>
        <v>903524.65901461244</v>
      </c>
      <c r="BR18" s="185">
        <f>BR7*Rents!$C$4/12</f>
        <v>906159.93927007169</v>
      </c>
      <c r="BS18" s="185">
        <f>BS7*Rents!$C$4/12</f>
        <v>908802.90575960942</v>
      </c>
      <c r="BT18" s="185">
        <f>BT7*Rents!$C$4/12</f>
        <v>911453.58090140845</v>
      </c>
      <c r="BU18" s="185">
        <f>BU7*Rents!$C$4/12</f>
        <v>914111.98717903753</v>
      </c>
      <c r="BV18" s="185">
        <f>BV7*Rents!$C$4/12</f>
        <v>916778.14714164298</v>
      </c>
      <c r="BW18" s="185">
        <f>BW7*Rents!$C$4/12</f>
        <v>919452.0834041395</v>
      </c>
      <c r="BX18" s="185">
        <f>BX7*Rents!$C$4/12</f>
        <v>922133.81864740152</v>
      </c>
      <c r="BY18" s="185">
        <f>BY7*Rents!$C$4/12</f>
        <v>924823.3756184564</v>
      </c>
      <c r="BZ18" s="185">
        <f>BZ7*Rents!$C$4/12</f>
        <v>927520.77713067702</v>
      </c>
      <c r="CA18" s="185">
        <f>CA7*Rents!$C$4/12</f>
        <v>930226.04606397485</v>
      </c>
      <c r="CB18" s="185">
        <f>CB7*Rents!$C$4/12</f>
        <v>932939.20536499482</v>
      </c>
      <c r="CC18" s="185">
        <f>CC7*Rents!$C$4/12</f>
        <v>935660.27804730937</v>
      </c>
      <c r="CD18" s="185">
        <f>CD7*Rents!$C$4/12</f>
        <v>938389.28719161404</v>
      </c>
      <c r="CE18" s="185">
        <f>CE7*Rents!$C$4/12</f>
        <v>941126.25594592316</v>
      </c>
      <c r="CF18" s="185">
        <f>CF7*Rents!$C$4/12</f>
        <v>943871.20752576541</v>
      </c>
      <c r="CG18" s="185">
        <f>CG7*Rents!$C$4/12</f>
        <v>946624.16521438211</v>
      </c>
      <c r="CH18" s="185">
        <f>CH7*Rents!$C$4/12</f>
        <v>949385.15236292407</v>
      </c>
      <c r="CI18" s="185">
        <f>CI7*Rents!$C$4/12</f>
        <v>952154.19239064946</v>
      </c>
      <c r="CJ18" s="185">
        <f>CJ7*Rents!$C$4/12</f>
        <v>954931.308785122</v>
      </c>
      <c r="CK18" s="185">
        <f>CK7*Rents!$C$4/12</f>
        <v>957716.52510241198</v>
      </c>
      <c r="CL18" s="185">
        <f>CL7*Rents!$C$4/12</f>
        <v>960509.86496729415</v>
      </c>
      <c r="CM18" s="185">
        <f>CM7*Rents!$C$4/12</f>
        <v>963311.35207344871</v>
      </c>
      <c r="CN18" s="185">
        <f>CN7*Rents!$C$4/12</f>
        <v>966121.01018366311</v>
      </c>
      <c r="CO18" s="185">
        <f>CO7*Rents!$C$4/12</f>
        <v>968938.86313003208</v>
      </c>
      <c r="CP18" s="185">
        <f>CP7*Rents!$C$4/12</f>
        <v>971764.93481416127</v>
      </c>
      <c r="CQ18" s="185">
        <f>CQ7*Rents!$C$4/12</f>
        <v>974599.2492073694</v>
      </c>
      <c r="CR18" s="185">
        <f>CR7*Rents!$C$4/12</f>
        <v>977441.83035089076</v>
      </c>
      <c r="CS18" s="185">
        <f>CS7*Rents!$C$4/12</f>
        <v>980292.70235608087</v>
      </c>
      <c r="CT18" s="185">
        <f>CT7*Rents!$C$4/12</f>
        <v>983151.88940461946</v>
      </c>
      <c r="CU18" s="185">
        <f>CU7*Rents!$C$4/12</f>
        <v>986019.41574871622</v>
      </c>
      <c r="CV18" s="185">
        <f>CV7*Rents!$C$4/12</f>
        <v>988895.30571131676</v>
      </c>
      <c r="CW18" s="185">
        <f>CW7*Rents!$C$4/12</f>
        <v>991779.583686308</v>
      </c>
      <c r="CX18" s="185">
        <f>CX7*Rents!$C$4/12</f>
        <v>994672.27413872629</v>
      </c>
      <c r="CY18" s="185">
        <f>CY7*Rents!$C$4/12</f>
        <v>997573.40160496428</v>
      </c>
      <c r="CZ18" s="185">
        <f>CZ7*Rents!$C$4/12</f>
        <v>1000482.9906929787</v>
      </c>
      <c r="DA18" s="185">
        <f>DA7*Rents!$C$4/12</f>
        <v>1003401.0660825</v>
      </c>
      <c r="DB18" s="185">
        <f>DB7*Rents!$C$4/12</f>
        <v>1006327.6525252407</v>
      </c>
      <c r="DC18" s="185">
        <f>DC7*Rents!$C$4/12</f>
        <v>1009262.7748451059</v>
      </c>
      <c r="DD18" s="185">
        <f>DD7*Rents!$C$4/12</f>
        <v>1012206.4579384042</v>
      </c>
      <c r="DE18" s="185">
        <f>DE7*Rents!$C$4/12</f>
        <v>1015158.7267740578</v>
      </c>
      <c r="DF18" s="185">
        <f>DF7*Rents!$C$4/12</f>
        <v>1018119.6063938155</v>
      </c>
      <c r="DG18" s="185">
        <f>DG7*Rents!$C$4/12</f>
        <v>1021089.1219124642</v>
      </c>
      <c r="DH18" s="185">
        <f>DH7*Rents!$C$4/12</f>
        <v>1024067.2985180422</v>
      </c>
      <c r="DI18" s="185">
        <f>DI7*Rents!$C$4/12</f>
        <v>1027054.1614720533</v>
      </c>
      <c r="DJ18" s="185">
        <f>DJ7*Rents!$C$4/12</f>
        <v>1030049.73610968</v>
      </c>
      <c r="DK18" s="185">
        <f>DK7*Rents!$C$4/12</f>
        <v>1033054.0478399998</v>
      </c>
      <c r="DL18" s="185">
        <f>DL7*Rents!$C$4/12</f>
        <v>1036067.1221461999</v>
      </c>
      <c r="DM18" s="185">
        <f>DM7*Rents!$C$4/12</f>
        <v>1039088.9845857929</v>
      </c>
      <c r="DN18" s="185">
        <f>DN7*Rents!$C$4/12</f>
        <v>1042119.6607908349</v>
      </c>
      <c r="DO18" s="185">
        <f>DO7*Rents!$C$4/12</f>
        <v>1045159.1764681415</v>
      </c>
      <c r="DP18" s="185">
        <f>DP7*Rents!$C$4/12</f>
        <v>1048207.557399507</v>
      </c>
      <c r="DQ18" s="185">
        <f>DQ7*Rents!$C$4/12</f>
        <v>1051264.8294419223</v>
      </c>
      <c r="DR18" s="185">
        <f>DR7*Rents!$C$4/12</f>
        <v>1054331.0185277944</v>
      </c>
      <c r="DS18" s="185">
        <f>DS7*Rents!$C$4/12</f>
        <v>1057406.1506651673</v>
      </c>
      <c r="DT18" s="185">
        <f>DT7*Rents!$C$4/12</f>
        <v>1060490.2519379407</v>
      </c>
      <c r="DU18" s="69" t="s">
        <v>0</v>
      </c>
    </row>
    <row r="19" spans="2:125" x14ac:dyDescent="0.25">
      <c r="B19" s="1" t="s">
        <v>26</v>
      </c>
      <c r="C19" s="18">
        <f>SUM(D19:CJ19)</f>
        <v>-2419543.2993344907</v>
      </c>
      <c r="F19" s="188"/>
      <c r="G19" s="188"/>
      <c r="H19" s="188"/>
      <c r="I19" s="188"/>
      <c r="J19" s="188"/>
      <c r="K19" s="188"/>
      <c r="L19" s="188"/>
      <c r="M19" s="188"/>
      <c r="N19" s="188"/>
      <c r="O19" s="188"/>
      <c r="P19" s="188"/>
      <c r="Q19" s="188"/>
      <c r="R19" s="188"/>
      <c r="S19" s="188"/>
      <c r="T19" s="188"/>
      <c r="U19" s="188"/>
      <c r="V19" s="188"/>
      <c r="W19" s="188"/>
      <c r="X19" s="188"/>
      <c r="Y19" s="188"/>
      <c r="Z19" s="188"/>
      <c r="AA19" s="188"/>
      <c r="AB19" s="188"/>
      <c r="AC19" s="188">
        <f>IF(AC4-('Annual CF'!$D$4*12)&gt;Rents!$I$4,0,-AC18)</f>
        <v>-804166.66666666663</v>
      </c>
      <c r="AD19" s="188">
        <f>IF(AD4-('Annual CF'!$D$4*12)&gt;Rents!$I$4,0,-AD18)</f>
        <v>-806512.15277777787</v>
      </c>
      <c r="AE19" s="188">
        <f>IF(AE4-('Annual CF'!$D$4*12)&gt;Rents!$I$4,0,-AE18)</f>
        <v>-808864.47989004629</v>
      </c>
      <c r="AF19" s="188">
        <f>IF(AF4-('Annual CF'!$D$4*12)&gt;Rents!$I$4,0,-AF18)</f>
        <v>0</v>
      </c>
      <c r="AG19" s="188">
        <f>IF(AG4-('Annual CF'!$D$4*12)&gt;Rents!$I$4,0,-AG18)</f>
        <v>0</v>
      </c>
      <c r="AH19" s="188">
        <f>IF(AH4-('Annual CF'!$D$4*12)&gt;Rents!$I$4,0,-AH18)</f>
        <v>0</v>
      </c>
      <c r="AI19" s="188">
        <f>IF(AI4-('Annual CF'!$D$4*12)&gt;Rents!$I$4,0,-AI18)</f>
        <v>0</v>
      </c>
      <c r="AJ19" s="188">
        <f>IF(AJ4-('Annual CF'!$D$4*12)&gt;Rents!$I$4,0,-AJ18)</f>
        <v>0</v>
      </c>
      <c r="AK19" s="188">
        <f>IF(AK4-('Annual CF'!$D$4*12)&gt;Rents!$I$4,0,-AK18)</f>
        <v>0</v>
      </c>
      <c r="AL19" s="188">
        <f>IF(AL4-('Annual CF'!$D$4*12)&gt;Rents!$I$4,0,-AL18)</f>
        <v>0</v>
      </c>
      <c r="AM19" s="188">
        <f>IF(AM4-('Annual CF'!$D$4*12)&gt;Rents!$I$4,0,-AM18)</f>
        <v>0</v>
      </c>
      <c r="AN19" s="188">
        <f>IF(AN4-('Annual CF'!$D$4*12)&gt;Rents!$I$4,0,-AN18)</f>
        <v>0</v>
      </c>
      <c r="AO19" s="188">
        <f>IF(AO4-('Annual CF'!$D$4*12)&gt;Rents!$I$4,0,-AO18)</f>
        <v>0</v>
      </c>
      <c r="AP19" s="188">
        <f>IF(AP4-('Annual CF'!$D$4*12)&gt;Rents!$I$4,0,-AP18)</f>
        <v>0</v>
      </c>
      <c r="AQ19" s="188">
        <f>IF(AQ4-('Annual CF'!$D$4*12)&gt;Rents!$I$4,0,-AQ18)</f>
        <v>0</v>
      </c>
      <c r="AR19" s="188">
        <f>IF(AR4-('Annual CF'!$D$4*12)&gt;Rents!$I$4,0,-AR18)</f>
        <v>0</v>
      </c>
      <c r="AS19" s="188">
        <f>IF(AS4-('Annual CF'!$D$4*12)&gt;Rents!$I$4,0,-AS18)</f>
        <v>0</v>
      </c>
      <c r="AT19" s="188">
        <f>IF(AT4-('Annual CF'!$D$4*12)&gt;Rents!$I$4,0,-AT18)</f>
        <v>0</v>
      </c>
      <c r="AU19" s="188">
        <f>IF(AU4-('Annual CF'!$D$4*12)&gt;Rents!$I$4,0,-AU18)</f>
        <v>0</v>
      </c>
      <c r="AV19" s="188">
        <f>IF(AV4-('Annual CF'!$D$4*12)&gt;Rents!$I$4,0,-AV18)</f>
        <v>0</v>
      </c>
      <c r="AW19" s="188">
        <f>IF(AW4-('Annual CF'!$D$4*12)&gt;Rents!$I$4,0,-AW18)</f>
        <v>0</v>
      </c>
      <c r="AX19" s="188">
        <f>IF(AX4-('Annual CF'!$D$4*12)&gt;Rents!$I$4,0,-AX18)</f>
        <v>0</v>
      </c>
      <c r="AY19" s="188">
        <f>IF(AY4-('Annual CF'!$D$4*12)&gt;Rents!$I$4,0,-AY18)</f>
        <v>0</v>
      </c>
      <c r="AZ19" s="188">
        <f>IF(AZ4-('Annual CF'!$D$4*12)&gt;Rents!$I$4,0,-AZ18)</f>
        <v>0</v>
      </c>
      <c r="BA19" s="188">
        <f>IF(BA4-('Annual CF'!$D$4*12)&gt;Rents!$I$4,0,-BA18)</f>
        <v>0</v>
      </c>
      <c r="BB19" s="188">
        <f>IF(BB4-('Annual CF'!$D$4*12)&gt;Rents!$I$4,0,-BB18)</f>
        <v>0</v>
      </c>
      <c r="BC19" s="188">
        <f>IF(BC4-('Annual CF'!$D$4*12)&gt;Rents!$I$4,0,-BC18)</f>
        <v>0</v>
      </c>
      <c r="BD19" s="188">
        <f>IF(BD4-('Annual CF'!$D$4*12)&gt;Rents!$I$4,0,-BD18)</f>
        <v>0</v>
      </c>
      <c r="BE19" s="188">
        <f>IF(BE4-('Annual CF'!$D$4*12)&gt;Rents!$I$4,0,-BE18)</f>
        <v>0</v>
      </c>
      <c r="BF19" s="188">
        <f>IF(BF4-('Annual CF'!$D$4*12)&gt;Rents!$I$4,0,-BF18)</f>
        <v>0</v>
      </c>
      <c r="BG19" s="188">
        <f>IF(BG4-('Annual CF'!$D$4*12)&gt;Rents!$I$4,0,-BG18)</f>
        <v>0</v>
      </c>
      <c r="BH19" s="188">
        <f>IF(BH4-('Annual CF'!$D$4*12)&gt;Rents!$I$4,0,-BH18)</f>
        <v>0</v>
      </c>
      <c r="BI19" s="188">
        <f>IF(BI4-('Annual CF'!$D$4*12)&gt;Rents!$I$4,0,-BI18)</f>
        <v>0</v>
      </c>
      <c r="BJ19" s="188">
        <f>IF(BJ4-('Annual CF'!$D$4*12)&gt;Rents!$I$4,0,-BJ18)</f>
        <v>0</v>
      </c>
      <c r="BK19" s="188">
        <f>IF(BK4-('Annual CF'!$D$4*12)&gt;Rents!$I$4,0,-BK18)</f>
        <v>0</v>
      </c>
      <c r="BL19" s="188">
        <f>IF(BL4-('Annual CF'!$D$4*12)&gt;Rents!$I$4,0,-BL18)</f>
        <v>0</v>
      </c>
      <c r="BM19" s="188">
        <f>IF(BM4-('Annual CF'!$D$4*12)&gt;Rents!$I$4,0,-BM18)</f>
        <v>0</v>
      </c>
      <c r="BN19" s="188">
        <f>IF(BN4-('Annual CF'!$D$4*12)&gt;Rents!$I$4,0,-BN18)</f>
        <v>0</v>
      </c>
      <c r="BO19" s="188">
        <f>IF(BO4-('Annual CF'!$D$4*12)&gt;Rents!$I$4,0,-BO18)</f>
        <v>0</v>
      </c>
      <c r="BP19" s="188">
        <f>IF(BP4-('Annual CF'!$D$4*12)&gt;Rents!$I$4,0,-BP18)</f>
        <v>0</v>
      </c>
      <c r="BQ19" s="188">
        <f>IF(BQ4-('Annual CF'!$D$4*12)&gt;Rents!$I$4,0,-BQ18)</f>
        <v>0</v>
      </c>
      <c r="BR19" s="188">
        <f>IF(BR4-('Annual CF'!$D$4*12)&gt;Rents!$I$4,0,-BR18)</f>
        <v>0</v>
      </c>
      <c r="BS19" s="188">
        <f>IF(BS4-('Annual CF'!$D$4*12)&gt;Rents!$I$4,0,-BS18)</f>
        <v>0</v>
      </c>
      <c r="BT19" s="188">
        <f>IF(BT4-('Annual CF'!$D$4*12)&gt;Rents!$I$4,0,-BT18)</f>
        <v>0</v>
      </c>
      <c r="BU19" s="188">
        <f>IF(BU4-('Annual CF'!$D$4*12)&gt;Rents!$I$4,0,-BU18)</f>
        <v>0</v>
      </c>
      <c r="BV19" s="188">
        <f>IF(BV4-('Annual CF'!$D$4*12)&gt;Rents!$I$4,0,-BV18)</f>
        <v>0</v>
      </c>
      <c r="BW19" s="188">
        <f>IF(BW4-('Annual CF'!$D$4*12)&gt;Rents!$I$4,0,-BW18)</f>
        <v>0</v>
      </c>
      <c r="BX19" s="188">
        <f>IF(BX4-('Annual CF'!$D$4*12)&gt;Rents!$I$4,0,-BX18)</f>
        <v>0</v>
      </c>
      <c r="BY19" s="188">
        <f>IF(BY4-('Annual CF'!$D$4*12)&gt;Rents!$I$4,0,-BY18)</f>
        <v>0</v>
      </c>
      <c r="BZ19" s="188">
        <f>IF(BZ4-('Annual CF'!$D$4*12)&gt;Rents!$I$4,0,-BZ18)</f>
        <v>0</v>
      </c>
      <c r="CA19" s="188">
        <f>IF(CA4-('Annual CF'!$D$4*12)&gt;Rents!$I$4,0,-CA18)</f>
        <v>0</v>
      </c>
      <c r="CB19" s="188">
        <f>IF(CB4-('Annual CF'!$D$4*12)&gt;Rents!$I$4,0,-CB18)</f>
        <v>0</v>
      </c>
      <c r="CC19" s="188">
        <f>IF(CC4-('Annual CF'!$D$4*12)&gt;Rents!$I$4,0,-CC18)</f>
        <v>0</v>
      </c>
      <c r="CD19" s="188">
        <f>IF(CD4-('Annual CF'!$D$4*12)&gt;Rents!$I$4,0,-CD18)</f>
        <v>0</v>
      </c>
      <c r="CE19" s="188">
        <f>IF(CE4-('Annual CF'!$D$4*12)&gt;Rents!$I$4,0,-CE18)</f>
        <v>0</v>
      </c>
      <c r="CF19" s="188">
        <f>IF(CF4-('Annual CF'!$D$4*12)&gt;Rents!$I$4,0,-CF18)</f>
        <v>0</v>
      </c>
      <c r="CG19" s="188">
        <f>IF(CG4-('Annual CF'!$D$4*12)&gt;Rents!$I$4,0,-CG18)</f>
        <v>0</v>
      </c>
      <c r="CH19" s="188">
        <f>IF(CH4-('Annual CF'!$D$4*12)&gt;Rents!$I$4,0,-CH18)</f>
        <v>0</v>
      </c>
      <c r="CI19" s="188">
        <f>IF(CI4-('Annual CF'!$D$4*12)&gt;Rents!$I$4,0,-CI18)</f>
        <v>0</v>
      </c>
      <c r="CJ19" s="188">
        <f>IF(CJ4-('Annual CF'!$D$4*12)&gt;Rents!$I$4,0,-CJ18)</f>
        <v>0</v>
      </c>
      <c r="CK19" s="188">
        <f>IF(CK4-('Annual CF'!$D$4*12)&gt;Rents!$I$4,0,-CK18)</f>
        <v>0</v>
      </c>
      <c r="CL19" s="188">
        <f>IF(CL4-('Annual CF'!$D$4*12)&gt;Rents!$I$4,0,-CL18)</f>
        <v>0</v>
      </c>
      <c r="CM19" s="188">
        <f>IF(CM4-('Annual CF'!$D$4*12)&gt;Rents!$I$4,0,-CM18)</f>
        <v>0</v>
      </c>
      <c r="CN19" s="188">
        <f>IF(CN4-('Annual CF'!$D$4*12)&gt;Rents!$I$4,0,-CN18)</f>
        <v>0</v>
      </c>
      <c r="CO19" s="188">
        <f>IF(CO4-('Annual CF'!$D$4*12)&gt;Rents!$I$4,0,-CO18)</f>
        <v>0</v>
      </c>
      <c r="CP19" s="188">
        <f>IF(CP4-('Annual CF'!$D$4*12)&gt;Rents!$I$4,0,-CP18)</f>
        <v>0</v>
      </c>
      <c r="CQ19" s="188">
        <f>IF(CQ4-('Annual CF'!$D$4*12)&gt;Rents!$I$4,0,-CQ18)</f>
        <v>0</v>
      </c>
      <c r="CR19" s="188">
        <f>IF(CR4-('Annual CF'!$D$4*12)&gt;Rents!$I$4,0,-CR18)</f>
        <v>0</v>
      </c>
      <c r="CS19" s="188">
        <f>IF(CS4-('Annual CF'!$D$4*12)&gt;Rents!$I$4,0,-CS18)</f>
        <v>0</v>
      </c>
      <c r="CT19" s="188">
        <f>IF(CT4-('Annual CF'!$D$4*12)&gt;Rents!$I$4,0,-CT18)</f>
        <v>0</v>
      </c>
      <c r="CU19" s="188">
        <f>IF(CU4-('Annual CF'!$D$4*12)&gt;Rents!$I$4,0,-CU18)</f>
        <v>0</v>
      </c>
      <c r="CV19" s="188">
        <f>IF(CV4-('Annual CF'!$D$4*12)&gt;Rents!$I$4,0,-CV18)</f>
        <v>0</v>
      </c>
      <c r="CW19" s="188">
        <f>IF(CW4-('Annual CF'!$D$4*12)&gt;Rents!$I$4,0,-CW18)</f>
        <v>0</v>
      </c>
      <c r="CX19" s="188">
        <f>IF(CX4-('Annual CF'!$D$4*12)&gt;Rents!$I$4,0,-CX18)</f>
        <v>0</v>
      </c>
      <c r="CY19" s="188">
        <f>IF(CY4-('Annual CF'!$D$4*12)&gt;Rents!$I$4,0,-CY18)</f>
        <v>0</v>
      </c>
      <c r="CZ19" s="188">
        <f>IF(CZ4-('Annual CF'!$D$4*12)&gt;Rents!$I$4,0,-CZ18)</f>
        <v>0</v>
      </c>
      <c r="DA19" s="188">
        <f>IF(DA4-('Annual CF'!$D$4*12)&gt;Rents!$I$4,0,-DA18)</f>
        <v>0</v>
      </c>
      <c r="DB19" s="188">
        <f>IF(DB4-('Annual CF'!$D$4*12)&gt;Rents!$I$4,0,-DB18)</f>
        <v>0</v>
      </c>
      <c r="DC19" s="188">
        <f>IF(DC4-('Annual CF'!$D$4*12)&gt;Rents!$I$4,0,-DC18)</f>
        <v>0</v>
      </c>
      <c r="DD19" s="188">
        <f>IF(DD4-('Annual CF'!$D$4*12)&gt;Rents!$I$4,0,-DD18)</f>
        <v>0</v>
      </c>
      <c r="DE19" s="188">
        <f>IF(DE4-('Annual CF'!$D$4*12)&gt;Rents!$I$4,0,-DE18)</f>
        <v>0</v>
      </c>
      <c r="DF19" s="188">
        <f>IF(DF4-('Annual CF'!$D$4*12)&gt;Rents!$I$4,0,-DF18)</f>
        <v>0</v>
      </c>
      <c r="DG19" s="188">
        <f>IF(DG4-('Annual CF'!$D$4*12)&gt;Rents!$I$4,0,-DG18)</f>
        <v>0</v>
      </c>
      <c r="DH19" s="188">
        <f>IF(DH4-('Annual CF'!$D$4*12)&gt;Rents!$I$4,0,-DH18)</f>
        <v>0</v>
      </c>
      <c r="DI19" s="188">
        <f>IF(DI4-('Annual CF'!$D$4*12)&gt;Rents!$I$4,0,-DI18)</f>
        <v>0</v>
      </c>
      <c r="DJ19" s="188">
        <f>IF(DJ4-('Annual CF'!$D$4*12)&gt;Rents!$I$4,0,-DJ18)</f>
        <v>0</v>
      </c>
      <c r="DK19" s="188">
        <f>IF(DK4-('Annual CF'!$D$4*12)&gt;Rents!$I$4,0,-DK18)</f>
        <v>0</v>
      </c>
      <c r="DL19" s="188">
        <f>IF(DL4-('Annual CF'!$D$4*12)&gt;Rents!$I$4,0,-DL18)</f>
        <v>0</v>
      </c>
      <c r="DM19" s="188">
        <f>IF(DM4-('Annual CF'!$D$4*12)&gt;Rents!$I$4,0,-DM18)</f>
        <v>0</v>
      </c>
      <c r="DN19" s="188">
        <f>IF(DN4-('Annual CF'!$D$4*12)&gt;Rents!$I$4,0,-DN18)</f>
        <v>0</v>
      </c>
      <c r="DO19" s="188">
        <f>IF(DO4-('Annual CF'!$D$4*12)&gt;Rents!$I$4,0,-DO18)</f>
        <v>0</v>
      </c>
      <c r="DP19" s="188">
        <f>IF(DP4-('Annual CF'!$D$4*12)&gt;Rents!$I$4,0,-DP18)</f>
        <v>0</v>
      </c>
      <c r="DQ19" s="188">
        <f>IF(DQ4-('Annual CF'!$D$4*12)&gt;Rents!$I$4,0,-DQ18)</f>
        <v>0</v>
      </c>
      <c r="DR19" s="188">
        <f>IF(DR4-('Annual CF'!$D$4*12)&gt;Rents!$I$4,0,-DR18)</f>
        <v>0</v>
      </c>
      <c r="DS19" s="188">
        <f>IF(DS4-('Annual CF'!$D$4*12)&gt;Rents!$I$4,0,-DS18)</f>
        <v>0</v>
      </c>
      <c r="DT19" s="188">
        <f>IF(DT4-('Annual CF'!$D$4*12)&gt;Rents!$I$4,0,-DT18)</f>
        <v>0</v>
      </c>
      <c r="DU19" s="69" t="s">
        <v>0</v>
      </c>
    </row>
    <row r="20" spans="2:125" x14ac:dyDescent="0.25">
      <c r="B20" s="1" t="s">
        <v>28</v>
      </c>
      <c r="C20" s="18">
        <f>SUM(D20:CJ20)</f>
        <v>86765513.587015837</v>
      </c>
      <c r="F20" s="188"/>
      <c r="G20" s="188"/>
      <c r="H20" s="188"/>
      <c r="I20" s="188"/>
      <c r="J20" s="188"/>
      <c r="K20" s="188"/>
      <c r="L20" s="188"/>
      <c r="M20" s="188"/>
      <c r="N20" s="188"/>
      <c r="O20" s="188"/>
      <c r="P20" s="188"/>
      <c r="Q20" s="188"/>
      <c r="R20" s="188"/>
      <c r="S20" s="188"/>
      <c r="T20" s="188"/>
      <c r="U20" s="188"/>
      <c r="V20" s="188"/>
      <c r="W20" s="188"/>
      <c r="X20" s="188"/>
      <c r="Y20" s="188"/>
      <c r="Z20" s="188"/>
      <c r="AA20" s="188"/>
      <c r="AB20" s="188"/>
      <c r="AC20" s="188">
        <f>AC8*Rents!$C$9/12*MIN('Monthly CF'!E4/Rents!$G$9,1)</f>
        <v>74708.333333333328</v>
      </c>
      <c r="AD20" s="188">
        <f>(AD8/12)*Rents!$C$9*MIN(AD4/Rents!$G$9,1)</f>
        <v>1348672.1875000002</v>
      </c>
      <c r="AE20" s="188">
        <f>(AE8/12)*Rents!$C$9*MIN(AE4/Rents!$G$9,1)</f>
        <v>1352605.8147135419</v>
      </c>
      <c r="AF20" s="188">
        <f>(AF8/12)*Rents!$C$9*MIN(AF4/Rents!$G$9,1)</f>
        <v>1356550.9150064564</v>
      </c>
      <c r="AG20" s="188">
        <f>(AG8/12)*Rents!$C$9*MIN(AG4/Rents!$G$9,1)</f>
        <v>1360507.5218418918</v>
      </c>
      <c r="AH20" s="188">
        <f>(AH8/12)*Rents!$C$9*MIN(AH4/Rents!$G$9,1)</f>
        <v>1364475.6687805974</v>
      </c>
      <c r="AI20" s="188">
        <f>(AI8/12)*Rents!$C$9*MIN(AI4/Rents!$G$9,1)</f>
        <v>1368455.3894812076</v>
      </c>
      <c r="AJ20" s="188">
        <f>(AJ8/12)*Rents!$C$9*MIN(AJ4/Rents!$G$9,1)</f>
        <v>1372446.7177005275</v>
      </c>
      <c r="AK20" s="188">
        <f>(AK8/12)*Rents!$C$9*MIN(AK4/Rents!$G$9,1)</f>
        <v>1376449.687293821</v>
      </c>
      <c r="AL20" s="188">
        <f>(AL8/12)*Rents!$C$9*MIN(AL4/Rents!$G$9,1)</f>
        <v>1380464.3322150947</v>
      </c>
      <c r="AM20" s="188">
        <f>(AM8/12)*Rents!$C$9*MIN(AM4/Rents!$G$9,1)</f>
        <v>1384490.6865173888</v>
      </c>
      <c r="AN20" s="188">
        <f>(AN8/12)*Rents!$C$9*MIN(AN4/Rents!$G$9,1)</f>
        <v>1388528.7843530644</v>
      </c>
      <c r="AO20" s="188">
        <f>(AO8/12)*Rents!$C$9*MIN(AO4/Rents!$G$9,1)</f>
        <v>1392578.6599740942</v>
      </c>
      <c r="AP20" s="188">
        <f>(AP8/12)*Rents!$C$9*MIN(AP4/Rents!$G$9,1)</f>
        <v>1396640.3477323519</v>
      </c>
      <c r="AQ20" s="188">
        <f>(AQ8/12)*Rents!$C$9*MIN(AQ4/Rents!$G$9,1)</f>
        <v>1400713.8820799047</v>
      </c>
      <c r="AR20" s="188">
        <f>(AR8/12)*Rents!$C$9*MIN(AR4/Rents!$G$9,1)</f>
        <v>1404799.2975693045</v>
      </c>
      <c r="AS20" s="188">
        <f>(AS8/12)*Rents!$C$9*MIN(AS4/Rents!$G$9,1)</f>
        <v>1408896.6288538817</v>
      </c>
      <c r="AT20" s="188">
        <f>(AT8/12)*Rents!$C$9*MIN(AT4/Rents!$G$9,1)</f>
        <v>1413005.9106880387</v>
      </c>
      <c r="AU20" s="188">
        <f>(AU8/12)*Rents!$C$9*MIN(AU4/Rents!$G$9,1)</f>
        <v>1417127.1779275455</v>
      </c>
      <c r="AV20" s="188">
        <f>(AV8/12)*Rents!$C$9*MIN(AV4/Rents!$G$9,1)</f>
        <v>1421260.4655298344</v>
      </c>
      <c r="AW20" s="188">
        <f>(AW8/12)*Rents!$C$9*MIN(AW4/Rents!$G$9,1)</f>
        <v>1425405.8085542964</v>
      </c>
      <c r="AX20" s="188">
        <f>(AX8/12)*Rents!$C$9*MIN(AX4/Rents!$G$9,1)</f>
        <v>1429563.2421625799</v>
      </c>
      <c r="AY20" s="188">
        <f>(AY8/12)*Rents!$C$9*MIN(AY4/Rents!$G$9,1)</f>
        <v>1433732.8016188871</v>
      </c>
      <c r="AZ20" s="188">
        <f>(AZ8/12)*Rents!$C$9*MIN(AZ4/Rents!$G$9,1)</f>
        <v>1437914.5222902757</v>
      </c>
      <c r="BA20" s="188">
        <f>(BA8/12)*Rents!$C$9*MIN(BA4/Rents!$G$9,1)</f>
        <v>1442108.4396469558</v>
      </c>
      <c r="BB20" s="188">
        <f>(BB8/12)*Rents!$C$9*MIN(BB4/Rents!$G$9,1)</f>
        <v>1446314.5892625931</v>
      </c>
      <c r="BC20" s="188">
        <f>(BC8/12)*Rents!$C$9*MIN(BC4/Rents!$G$9,1)</f>
        <v>1450533.0068146088</v>
      </c>
      <c r="BD20" s="188">
        <f>(BD8/12)*Rents!$C$9*MIN(BD4/Rents!$G$9,1)</f>
        <v>1454763.7280844846</v>
      </c>
      <c r="BE20" s="188">
        <f>(BE8/12)*Rents!$C$9*MIN(BE4/Rents!$G$9,1)</f>
        <v>1459006.7889580645</v>
      </c>
      <c r="BF20" s="188">
        <f>(BF8/12)*Rents!$C$9*MIN(BF4/Rents!$G$9,1)</f>
        <v>1463262.2254258587</v>
      </c>
      <c r="BG20" s="188">
        <f>(BG8/12)*Rents!$C$9*MIN(BG4/Rents!$G$9,1)</f>
        <v>1467530.073583351</v>
      </c>
      <c r="BH20" s="188">
        <f>(BH8/12)*Rents!$C$9*MIN(BH4/Rents!$G$9,1)</f>
        <v>1471810.3696313023</v>
      </c>
      <c r="BI20" s="188">
        <f>(BI8/12)*Rents!$C$9*MIN(BI4/Rents!$G$9,1)</f>
        <v>1476103.1498760604</v>
      </c>
      <c r="BJ20" s="188">
        <f>(BJ8/12)*Rents!$C$9*MIN(BJ4/Rents!$G$9,1)</f>
        <v>1480408.4507298658</v>
      </c>
      <c r="BK20" s="188">
        <f>(BK8/12)*Rents!$C$9*MIN(BK4/Rents!$G$9,1)</f>
        <v>1484726.3087111609</v>
      </c>
      <c r="BL20" s="188">
        <f>(BL8/12)*Rents!$C$9*MIN(BL4/Rents!$G$9,1)</f>
        <v>1489056.7604449019</v>
      </c>
      <c r="BM20" s="188">
        <f>(BM8/12)*Rents!$C$9*MIN(BM4/Rents!$G$9,1)</f>
        <v>1493399.8426628665</v>
      </c>
      <c r="BN20" s="188">
        <f>(BN8/12)*Rents!$C$9*MIN(BN4/Rents!$G$9,1)</f>
        <v>1497755.5922039663</v>
      </c>
      <c r="BO20" s="188">
        <f>(BO8/12)*Rents!$C$9*MIN(BO4/Rents!$G$9,1)</f>
        <v>1502124.0460145613</v>
      </c>
      <c r="BP20" s="188">
        <f>(BP8/12)*Rents!$C$9*MIN(BP4/Rents!$G$9,1)</f>
        <v>1506505.2411487703</v>
      </c>
      <c r="BQ20" s="188">
        <f>(BQ8/12)*Rents!$C$9*MIN(BQ4/Rents!$G$9,1)</f>
        <v>1510899.2147687878</v>
      </c>
      <c r="BR20" s="188">
        <f>(BR8/12)*Rents!$C$9*MIN(BR4/Rents!$G$9,1)</f>
        <v>1515306.0041451969</v>
      </c>
      <c r="BS20" s="188">
        <f>(BS8/12)*Rents!$C$9*MIN(BS4/Rents!$G$9,1)</f>
        <v>1519725.6466572869</v>
      </c>
      <c r="BT20" s="188">
        <f>(BT8/12)*Rents!$C$9*MIN(BT4/Rents!$G$9,1)</f>
        <v>1524158.1797933707</v>
      </c>
      <c r="BU20" s="188">
        <f>(BU8/12)*Rents!$C$9*MIN(BU4/Rents!$G$9,1)</f>
        <v>1528603.6411511016</v>
      </c>
      <c r="BV20" s="188">
        <f>(BV8/12)*Rents!$C$9*MIN(BV4/Rents!$G$9,1)</f>
        <v>1533062.0684377921</v>
      </c>
      <c r="BW20" s="188">
        <f>(BW8/12)*Rents!$C$9*MIN(BW4/Rents!$G$9,1)</f>
        <v>1537533.4994707359</v>
      </c>
      <c r="BX20" s="188">
        <f>(BX8/12)*Rents!$C$9*MIN(BX4/Rents!$G$9,1)</f>
        <v>1542017.9721775255</v>
      </c>
      <c r="BY20" s="188">
        <f>(BY8/12)*Rents!$C$9*MIN(BY4/Rents!$G$9,1)</f>
        <v>1546515.5245963766</v>
      </c>
      <c r="BZ20" s="188">
        <f>(BZ8/12)*Rents!$C$9*MIN(BZ4/Rents!$G$9,1)</f>
        <v>1551026.1948764494</v>
      </c>
      <c r="CA20" s="188">
        <f>(CA8/12)*Rents!$C$9*MIN(CA4/Rents!$G$9,1)</f>
        <v>1555550.0212781725</v>
      </c>
      <c r="CB20" s="188">
        <f>(CB8/12)*Rents!$C$9*MIN(CB4/Rents!$G$9,1)</f>
        <v>1560087.0421735672</v>
      </c>
      <c r="CC20" s="188">
        <f>(CC8/12)*Rents!$C$9*MIN(CC4/Rents!$G$9,1)</f>
        <v>1564637.2960465734</v>
      </c>
      <c r="CD20" s="188">
        <f>(CD8/12)*Rents!$C$9*MIN(CD4/Rents!$G$9,1)</f>
        <v>1569200.821493376</v>
      </c>
      <c r="CE20" s="188">
        <f>(CE8/12)*Rents!$C$9*MIN(CE4/Rents!$G$9,1)</f>
        <v>1573777.6572227317</v>
      </c>
      <c r="CF20" s="188">
        <f>(CF8/12)*Rents!$C$9*MIN(CF4/Rents!$G$9,1)</f>
        <v>1578367.8420562979</v>
      </c>
      <c r="CG20" s="188">
        <f>(CG8/12)*Rents!$C$9*MIN(CG4/Rents!$G$9,1)</f>
        <v>1582971.4149289622</v>
      </c>
      <c r="CH20" s="188">
        <f>(CH8/12)*Rents!$C$9*MIN(CH4/Rents!$G$9,1)</f>
        <v>1587588.414889172</v>
      </c>
      <c r="CI20" s="188">
        <f>(CI8/12)*Rents!$C$9*MIN(CI4/Rents!$G$9,1)</f>
        <v>1592218.8810992653</v>
      </c>
      <c r="CJ20" s="188">
        <f>(CJ8/12)*Rents!$C$9*MIN(CJ4/Rents!$G$9,1)</f>
        <v>1596862.8528358049</v>
      </c>
      <c r="CK20" s="188">
        <f>(CK8/12)*Rents!$C$9*MIN(CK4/Rents!$G$9,1)</f>
        <v>1601520.3694899096</v>
      </c>
      <c r="CL20" s="188">
        <f>(CL8/12)*Rents!$C$9*MIN(CL4/Rents!$G$9,1)</f>
        <v>1606191.4705675885</v>
      </c>
      <c r="CM20" s="188">
        <f>(CM8/12)*Rents!$C$9*MIN(CM4/Rents!$G$9,1)</f>
        <v>1610876.1956900773</v>
      </c>
      <c r="CN20" s="188">
        <f>(CN8/12)*Rents!$C$9*MIN(CN4/Rents!$G$9,1)</f>
        <v>1615574.5845941734</v>
      </c>
      <c r="CO20" s="188">
        <f>(CO8/12)*Rents!$C$9*MIN(CO4/Rents!$G$9,1)</f>
        <v>1620286.6771325732</v>
      </c>
      <c r="CP20" s="188">
        <f>(CP8/12)*Rents!$C$9*MIN(CP4/Rents!$G$9,1)</f>
        <v>1625012.5132742098</v>
      </c>
      <c r="CQ20" s="188">
        <f>(CQ8/12)*Rents!$C$9*MIN(CQ4/Rents!$G$9,1)</f>
        <v>1629752.1331045928</v>
      </c>
      <c r="CR20" s="188">
        <f>(CR8/12)*Rents!$C$9*MIN(CR4/Rents!$G$9,1)</f>
        <v>1634505.5768261477</v>
      </c>
      <c r="CS20" s="188">
        <f>(CS8/12)*Rents!$C$9*MIN(CS4/Rents!$G$9,1)</f>
        <v>1639272.8847585574</v>
      </c>
      <c r="CT20" s="188">
        <f>(CT8/12)*Rents!$C$9*MIN(CT4/Rents!$G$9,1)</f>
        <v>1644054.0973391032</v>
      </c>
      <c r="CU20" s="188">
        <f>(CU8/12)*Rents!$C$9*MIN(CU4/Rents!$G$9,1)</f>
        <v>1648849.255123009</v>
      </c>
      <c r="CV20" s="188">
        <f>(CV8/12)*Rents!$C$9*MIN(CV4/Rents!$G$9,1)</f>
        <v>1653658.3987837844</v>
      </c>
      <c r="CW20" s="188">
        <f>(CW8/12)*Rents!$C$9*MIN(CW4/Rents!$G$9,1)</f>
        <v>1658481.5691135705</v>
      </c>
      <c r="CX20" s="188">
        <f>(CX8/12)*Rents!$C$9*MIN(CX4/Rents!$G$9,1)</f>
        <v>1663318.807023485</v>
      </c>
      <c r="CY20" s="188">
        <f>(CY8/12)*Rents!$C$9*MIN(CY4/Rents!$G$9,1)</f>
        <v>1668170.1535439701</v>
      </c>
      <c r="CZ20" s="188">
        <f>(CZ8/12)*Rents!$C$9*MIN(CZ4/Rents!$G$9,1)</f>
        <v>1673035.6498251401</v>
      </c>
      <c r="DA20" s="188">
        <f>(DA8/12)*Rents!$C$9*MIN(DA4/Rents!$G$9,1)</f>
        <v>1677915.3371371301</v>
      </c>
      <c r="DB20" s="188">
        <f>(DB8/12)*Rents!$C$9*MIN(DB4/Rents!$G$9,1)</f>
        <v>1682809.2568704467</v>
      </c>
      <c r="DC20" s="188">
        <f>(DC8/12)*Rents!$C$9*MIN(DC4/Rents!$G$9,1)</f>
        <v>1687717.4505363191</v>
      </c>
      <c r="DD20" s="188">
        <f>(DD8/12)*Rents!$C$9*MIN(DD4/Rents!$G$9,1)</f>
        <v>1692639.9597670499</v>
      </c>
      <c r="DE20" s="188">
        <f>(DE8/12)*Rents!$C$9*MIN(DE4/Rents!$G$9,1)</f>
        <v>1697576.8263163704</v>
      </c>
      <c r="DF20" s="188">
        <f>(DF8/12)*Rents!$C$9*MIN(DF4/Rents!$G$9,1)</f>
        <v>1702528.0920597934</v>
      </c>
      <c r="DG20" s="188">
        <f>(DG8/12)*Rents!$C$9*MIN(DG4/Rents!$G$9,1)</f>
        <v>1707493.7989949677</v>
      </c>
      <c r="DH20" s="188">
        <f>(DH8/12)*Rents!$C$9*MIN(DH4/Rents!$G$9,1)</f>
        <v>1712473.9892420364</v>
      </c>
      <c r="DI20" s="188">
        <f>(DI8/12)*Rents!$C$9*MIN(DI4/Rents!$G$9,1)</f>
        <v>1717468.7050439923</v>
      </c>
      <c r="DJ20" s="188">
        <f>(DJ8/12)*Rents!$C$9*MIN(DJ4/Rents!$G$9,1)</f>
        <v>1722477.9887670376</v>
      </c>
      <c r="DK20" s="188">
        <f>(DK8/12)*Rents!$C$9*MIN(DK4/Rents!$G$9,1)</f>
        <v>1727501.8829009412</v>
      </c>
      <c r="DL20" s="188">
        <f>(DL8/12)*Rents!$C$9*MIN(DL4/Rents!$G$9,1)</f>
        <v>1732540.4300594022</v>
      </c>
      <c r="DM20" s="188">
        <f>(DM8/12)*Rents!$C$9*MIN(DM4/Rents!$G$9,1)</f>
        <v>1737593.6729804089</v>
      </c>
      <c r="DN20" s="188">
        <f>(DN8/12)*Rents!$C$9*MIN(DN4/Rents!$G$9,1)</f>
        <v>1742661.654526602</v>
      </c>
      <c r="DO20" s="188">
        <f>(DO8/12)*Rents!$C$9*MIN(DO4/Rents!$G$9,1)</f>
        <v>1747744.4176856382</v>
      </c>
      <c r="DP20" s="188">
        <f>(DP8/12)*Rents!$C$9*MIN(DP4/Rents!$G$9,1)</f>
        <v>1752842.0055705546</v>
      </c>
      <c r="DQ20" s="188">
        <f>(DQ8/12)*Rents!$C$9*MIN(DQ4/Rents!$G$9,1)</f>
        <v>1757954.4614201353</v>
      </c>
      <c r="DR20" s="188">
        <f>(DR8/12)*Rents!$C$9*MIN(DR4/Rents!$G$9,1)</f>
        <v>1763081.8285992774</v>
      </c>
      <c r="DS20" s="188">
        <f>(DS8/12)*Rents!$C$9*MIN(DS4/Rents!$G$9,1)</f>
        <v>1768224.1505993588</v>
      </c>
      <c r="DT20" s="188">
        <f>(DT8/12)*Rents!$C$9*MIN(DT4/Rents!$G$9,1)</f>
        <v>1773381.4710386069</v>
      </c>
      <c r="DU20" s="69" t="s">
        <v>0</v>
      </c>
    </row>
    <row r="21" spans="2:125" x14ac:dyDescent="0.25">
      <c r="B21" s="1" t="s">
        <v>30</v>
      </c>
      <c r="C21" s="18">
        <f>SUM(D21:CJ21)</f>
        <v>-74708.333333333328</v>
      </c>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f>-AC20</f>
        <v>-74708.333333333328</v>
      </c>
      <c r="AD21" s="188">
        <f>IF(AD4&gt;Rents!$G$9+Rents!$I$9,0,MIN(-AD20+AA20,0))</f>
        <v>0</v>
      </c>
      <c r="AE21" s="188">
        <f>IF(AE4&gt;Rents!$G$9+Rents!$I$9,0,MIN(-AE20+AB20,0))</f>
        <v>0</v>
      </c>
      <c r="AF21" s="188">
        <f>IF(AF4&gt;Rents!$G$9+Rents!$I$9,0,MIN(-AF20+#REF!,0))</f>
        <v>0</v>
      </c>
      <c r="AG21" s="188">
        <f>IF(AG4&gt;Rents!$G$9+Rents!$I$9,0,MIN(-AG20+AD20,0))</f>
        <v>0</v>
      </c>
      <c r="AH21" s="188">
        <f>IF(AH4&gt;Rents!$G$9+Rents!$I$9,0,MIN(-AH20+AE20,0))</f>
        <v>0</v>
      </c>
      <c r="AI21" s="188">
        <f>IF(AI4&gt;Rents!$G$9+Rents!$I$9,0,MIN(-AI20+AF20,0))</f>
        <v>0</v>
      </c>
      <c r="AJ21" s="188">
        <f>IF(AJ4&gt;Rents!$G$9+Rents!$I$9,0,MIN(-AJ20+AG20,0))</f>
        <v>0</v>
      </c>
      <c r="AK21" s="188">
        <f>IF(AK4&gt;Rents!$G$9+Rents!$I$9,0,MIN(-AK20+AH20,0))</f>
        <v>0</v>
      </c>
      <c r="AL21" s="188">
        <f>IF(AL4&gt;Rents!$G$9+Rents!$I$9,0,MIN(-AL20+AI20,0))</f>
        <v>0</v>
      </c>
      <c r="AM21" s="188">
        <f>IF(AM4&gt;Rents!$G$9+Rents!$I$9,0,MIN(-AM20+AJ20,0))</f>
        <v>0</v>
      </c>
      <c r="AN21" s="188">
        <f>IF(AN4&gt;Rents!$G$9+Rents!$I$9,0,MIN(-AN20+AK20,0))</f>
        <v>0</v>
      </c>
      <c r="AO21" s="188">
        <f>IF(AO4&gt;Rents!$G$9+Rents!$I$9,0,MIN(-AO20+AL20,0))</f>
        <v>0</v>
      </c>
      <c r="AP21" s="188">
        <f>IF(AP4&gt;Rents!$G$9+Rents!$I$9,0,MIN(-AP20+AM20,0))</f>
        <v>0</v>
      </c>
      <c r="AQ21" s="188">
        <f>IF(AQ4&gt;Rents!$G$9+Rents!$I$9,0,MIN(-AQ20+AN20,0))</f>
        <v>0</v>
      </c>
      <c r="AR21" s="188">
        <f>IF(AR4&gt;Rents!$G$9+Rents!$I$9,0,MIN(-AR20+AO20,0))</f>
        <v>0</v>
      </c>
      <c r="AS21" s="188">
        <f>IF(AS4&gt;Rents!$G$9+Rents!$I$9,0,MIN(-AS20+AP20,0))</f>
        <v>0</v>
      </c>
      <c r="AT21" s="188">
        <f>IF(AT4&gt;Rents!$G$9+Rents!$I$9,0,MIN(-AT20+AQ20,0))</f>
        <v>0</v>
      </c>
      <c r="AU21" s="188">
        <f>IF(AU4&gt;Rents!$G$9+Rents!$I$9,0,MIN(-AU20+AR20,0))</f>
        <v>0</v>
      </c>
      <c r="AV21" s="188">
        <f>IF(AV4&gt;Rents!$G$9+Rents!$I$9,0,MIN(-AV20+AS20,0))</f>
        <v>0</v>
      </c>
      <c r="AW21" s="188">
        <f>IF(AW4&gt;Rents!$G$9+Rents!$I$9,0,MIN(-AW20+AT20,0))</f>
        <v>0</v>
      </c>
      <c r="AX21" s="188">
        <f>IF(AX4&gt;Rents!$G$9+Rents!$I$9,0,MIN(-AX20+AU20,0))</f>
        <v>0</v>
      </c>
      <c r="AY21" s="188">
        <f>IF(AY4&gt;Rents!$G$9+Rents!$I$9,0,MIN(-AY20+AV20,0))</f>
        <v>0</v>
      </c>
      <c r="AZ21" s="188">
        <f>IF(AZ4&gt;Rents!$G$9+Rents!$I$9,0,MIN(-AZ20+AW20,0))</f>
        <v>0</v>
      </c>
      <c r="BA21" s="188">
        <f>IF(BA4&gt;Rents!$G$9+Rents!$I$9,0,MIN(-BA20+AX20,0))</f>
        <v>0</v>
      </c>
      <c r="BB21" s="188">
        <f>IF(BB4&gt;Rents!$G$9+Rents!$I$9,0,MIN(-BB20+AY20,0))</f>
        <v>0</v>
      </c>
      <c r="BC21" s="188">
        <f>IF(BC4&gt;Rents!$G$9+Rents!$I$9,0,MIN(-BC20+AZ20,0))</f>
        <v>0</v>
      </c>
      <c r="BD21" s="188">
        <f>IF(BD4&gt;Rents!$G$9+Rents!$I$9,0,MIN(-BD20+BA20,0))</f>
        <v>0</v>
      </c>
      <c r="BE21" s="188">
        <f>IF(BE4&gt;Rents!$G$9+Rents!$I$9,0,MIN(-BE20+BB20,0))</f>
        <v>0</v>
      </c>
      <c r="BF21" s="188">
        <f>IF(BF4&gt;Rents!$G$9+Rents!$I$9,0,MIN(-BF20+BC20,0))</f>
        <v>0</v>
      </c>
      <c r="BG21" s="188">
        <f>IF(BG4&gt;Rents!$G$9+Rents!$I$9,0,MIN(-BG20+BD20,0))</f>
        <v>0</v>
      </c>
      <c r="BH21" s="188">
        <f>IF(BH4&gt;Rents!$G$9+Rents!$I$9,0,MIN(-BH20+BE20,0))</f>
        <v>0</v>
      </c>
      <c r="BI21" s="188">
        <f>IF(BI4&gt;Rents!$G$9+Rents!$I$9,0,MIN(-BI20+BF20,0))</f>
        <v>0</v>
      </c>
      <c r="BJ21" s="188">
        <f>IF(BJ4&gt;Rents!$G$9+Rents!$I$9,0,MIN(-BJ20+BG20,0))</f>
        <v>0</v>
      </c>
      <c r="BK21" s="188">
        <f>IF(BK4&gt;Rents!$G$9+Rents!$I$9,0,MIN(-BK20+BH20,0))</f>
        <v>0</v>
      </c>
      <c r="BL21" s="188">
        <f>IF(BL4&gt;Rents!$G$9+Rents!$I$9,0,MIN(-BL20+BI20,0))</f>
        <v>0</v>
      </c>
      <c r="BM21" s="188">
        <f>IF(BM4&gt;Rents!$G$9+Rents!$I$9,0,MIN(-BM20+BJ20,0))</f>
        <v>0</v>
      </c>
      <c r="BN21" s="188">
        <f>IF(BN4&gt;Rents!$G$9+Rents!$I$9,0,MIN(-BN20+BK20,0))</f>
        <v>0</v>
      </c>
      <c r="BO21" s="188">
        <f>IF(BO4&gt;Rents!$G$9+Rents!$I$9,0,MIN(-BO20+BL20,0))</f>
        <v>0</v>
      </c>
      <c r="BP21" s="188">
        <f>IF(BP4&gt;Rents!$G$9+Rents!$I$9,0,MIN(-BP20+BM20,0))</f>
        <v>0</v>
      </c>
      <c r="BQ21" s="188">
        <f>IF(BQ4&gt;Rents!$G$9+Rents!$I$9,0,MIN(-BQ20+BN20,0))</f>
        <v>0</v>
      </c>
      <c r="BR21" s="188">
        <f>IF(BR4&gt;Rents!$G$9+Rents!$I$9,0,MIN(-BR20+BO20,0))</f>
        <v>0</v>
      </c>
      <c r="BS21" s="188">
        <f>IF(BS4&gt;Rents!$G$9+Rents!$I$9,0,MIN(-BS20+BP20,0))</f>
        <v>0</v>
      </c>
      <c r="BT21" s="188">
        <f>IF(BT4&gt;Rents!$G$9+Rents!$I$9,0,MIN(-BT20+BQ20,0))</f>
        <v>0</v>
      </c>
      <c r="BU21" s="188">
        <f>IF(BU4&gt;Rents!$G$9+Rents!$I$9,0,MIN(-BU20+BR20,0))</f>
        <v>0</v>
      </c>
      <c r="BV21" s="188">
        <f>IF(BV4&gt;Rents!$G$9+Rents!$I$9,0,MIN(-BV20+BS20,0))</f>
        <v>0</v>
      </c>
      <c r="BW21" s="188">
        <f>IF(BW4&gt;Rents!$G$9+Rents!$I$9,0,MIN(-BW20+BT20,0))</f>
        <v>0</v>
      </c>
      <c r="BX21" s="188">
        <f>IF(BX4&gt;Rents!$G$9+Rents!$I$9,0,MIN(-BX20+BU20,0))</f>
        <v>0</v>
      </c>
      <c r="BY21" s="188">
        <f>IF(BY4&gt;Rents!$G$9+Rents!$I$9,0,MIN(-BY20+BV20,0))</f>
        <v>0</v>
      </c>
      <c r="BZ21" s="188">
        <f>IF(BZ4&gt;Rents!$G$9+Rents!$I$9,0,MIN(-BZ20+BW20,0))</f>
        <v>0</v>
      </c>
      <c r="CA21" s="188">
        <f>IF(CA4&gt;Rents!$G$9+Rents!$I$9,0,MIN(-CA20+BX20,0))</f>
        <v>0</v>
      </c>
      <c r="CB21" s="188">
        <f>IF(CB4&gt;Rents!$G$9+Rents!$I$9,0,MIN(-CB20+BY20,0))</f>
        <v>0</v>
      </c>
      <c r="CC21" s="188">
        <f>IF(CC4&gt;Rents!$G$9+Rents!$I$9,0,MIN(-CC20+BZ20,0))</f>
        <v>0</v>
      </c>
      <c r="CD21" s="188">
        <f>IF(CD4&gt;Rents!$G$9+Rents!$I$9,0,MIN(-CD20+CA20,0))</f>
        <v>0</v>
      </c>
      <c r="CE21" s="188">
        <f>IF(CE4&gt;Rents!$G$9+Rents!$I$9,0,MIN(-CE20+CB20,0))</f>
        <v>0</v>
      </c>
      <c r="CF21" s="188">
        <f>IF(CF4&gt;Rents!$G$9+Rents!$I$9,0,MIN(-CF20+CC20,0))</f>
        <v>0</v>
      </c>
      <c r="CG21" s="188">
        <f>IF(CG4&gt;Rents!$G$9+Rents!$I$9,0,MIN(-CG20+CD20,0))</f>
        <v>0</v>
      </c>
      <c r="CH21" s="188">
        <f>IF(CH4&gt;Rents!$G$9+Rents!$I$9,0,MIN(-CH20+CE20,0))</f>
        <v>0</v>
      </c>
      <c r="CI21" s="188">
        <f>IF(CI4&gt;Rents!$G$9+Rents!$I$9,0,MIN(-CI20+CF20,0))</f>
        <v>0</v>
      </c>
      <c r="CJ21" s="188">
        <f>IF(CJ4&gt;Rents!$G$9+Rents!$I$9,0,MIN(-CJ20+CG20,0))</f>
        <v>0</v>
      </c>
      <c r="CK21" s="188">
        <f>IF(CK4&gt;Rents!$G$9+Rents!$I$9,0,MIN(-CK20+CH20,0))</f>
        <v>0</v>
      </c>
      <c r="CL21" s="188">
        <f>IF(CL4&gt;Rents!$G$9+Rents!$I$9,0,MIN(-CL20+CI20,0))</f>
        <v>0</v>
      </c>
      <c r="CM21" s="188">
        <f>IF(CM4&gt;Rents!$G$9+Rents!$I$9,0,MIN(-CM20+CJ20,0))</f>
        <v>0</v>
      </c>
      <c r="CN21" s="188">
        <f>IF(CN4&gt;Rents!$G$9+Rents!$I$9,0,MIN(-CN20+CK20,0))</f>
        <v>0</v>
      </c>
      <c r="CO21" s="188">
        <f>IF(CO4&gt;Rents!$G$9+Rents!$I$9,0,MIN(-CO20+CL20,0))</f>
        <v>0</v>
      </c>
      <c r="CP21" s="188">
        <f>IF(CP4&gt;Rents!$G$9+Rents!$I$9,0,MIN(-CP20+CM20,0))</f>
        <v>0</v>
      </c>
      <c r="CQ21" s="188">
        <f>IF(CQ4&gt;Rents!$G$9+Rents!$I$9,0,MIN(-CQ20+CN20,0))</f>
        <v>0</v>
      </c>
      <c r="CR21" s="188">
        <f>IF(CR4&gt;Rents!$G$9+Rents!$I$9,0,MIN(-CR20+CO20,0))</f>
        <v>0</v>
      </c>
      <c r="CS21" s="188">
        <f>IF(CS4&gt;Rents!$G$9+Rents!$I$9,0,MIN(-CS20+CP20,0))</f>
        <v>0</v>
      </c>
      <c r="CT21" s="188">
        <f>IF(CT4&gt;Rents!$G$9+Rents!$I$9,0,MIN(-CT20+CQ20,0))</f>
        <v>0</v>
      </c>
      <c r="CU21" s="188">
        <f>IF(CU4&gt;Rents!$G$9+Rents!$I$9,0,MIN(-CU20+CR20,0))</f>
        <v>0</v>
      </c>
      <c r="CV21" s="188">
        <f>IF(CV4&gt;Rents!$G$9+Rents!$I$9,0,MIN(-CV20+CS20,0))</f>
        <v>0</v>
      </c>
      <c r="CW21" s="188">
        <f>IF(CW4&gt;Rents!$G$9+Rents!$I$9,0,MIN(-CW20+CT20,0))</f>
        <v>0</v>
      </c>
      <c r="CX21" s="188">
        <f>IF(CX4&gt;Rents!$G$9+Rents!$I$9,0,MIN(-CX20+CU20,0))</f>
        <v>0</v>
      </c>
      <c r="CY21" s="188">
        <f>IF(CY4&gt;Rents!$G$9+Rents!$I$9,0,MIN(-CY20+CV20,0))</f>
        <v>0</v>
      </c>
      <c r="CZ21" s="188">
        <f>IF(CZ4&gt;Rents!$G$9+Rents!$I$9,0,MIN(-CZ20+CW20,0))</f>
        <v>0</v>
      </c>
      <c r="DA21" s="188">
        <f>IF(DA4&gt;Rents!$G$9+Rents!$I$9,0,MIN(-DA20+CX20,0))</f>
        <v>0</v>
      </c>
      <c r="DB21" s="188">
        <f>IF(DB4&gt;Rents!$G$9+Rents!$I$9,0,MIN(-DB20+CY20,0))</f>
        <v>0</v>
      </c>
      <c r="DC21" s="188">
        <f>IF(DC4&gt;Rents!$G$9+Rents!$I$9,0,MIN(-DC20+CZ20,0))</f>
        <v>0</v>
      </c>
      <c r="DD21" s="188">
        <f>IF(DD4&gt;Rents!$G$9+Rents!$I$9,0,MIN(-DD20+DA20,0))</f>
        <v>0</v>
      </c>
      <c r="DE21" s="188">
        <f>IF(DE4&gt;Rents!$G$9+Rents!$I$9,0,MIN(-DE20+DB20,0))</f>
        <v>0</v>
      </c>
      <c r="DF21" s="188">
        <f>IF(DF4&gt;Rents!$G$9+Rents!$I$9,0,MIN(-DF20+DC20,0))</f>
        <v>0</v>
      </c>
      <c r="DG21" s="188">
        <f>IF(DG4&gt;Rents!$G$9+Rents!$I$9,0,MIN(-DG20+DD20,0))</f>
        <v>0</v>
      </c>
      <c r="DH21" s="188">
        <f>IF(DH4&gt;Rents!$G$9+Rents!$I$9,0,MIN(-DH20+DE20,0))</f>
        <v>0</v>
      </c>
      <c r="DI21" s="188">
        <f>IF(DI4&gt;Rents!$G$9+Rents!$I$9,0,MIN(-DI20+DF20,0))</f>
        <v>0</v>
      </c>
      <c r="DJ21" s="188">
        <f>IF(DJ4&gt;Rents!$G$9+Rents!$I$9,0,MIN(-DJ20+DG20,0))</f>
        <v>0</v>
      </c>
      <c r="DK21" s="188">
        <f>IF(DK4&gt;Rents!$G$9+Rents!$I$9,0,MIN(-DK20+DH20,0))</f>
        <v>0</v>
      </c>
      <c r="DL21" s="188">
        <f>IF(DL4&gt;Rents!$G$9+Rents!$I$9,0,MIN(-DL20+DI20,0))</f>
        <v>0</v>
      </c>
      <c r="DM21" s="188">
        <f>IF(DM4&gt;Rents!$G$9+Rents!$I$9,0,MIN(-DM20+DJ20,0))</f>
        <v>0</v>
      </c>
      <c r="DN21" s="188">
        <f>IF(DN4&gt;Rents!$G$9+Rents!$I$9,0,MIN(-DN20+DK20,0))</f>
        <v>0</v>
      </c>
      <c r="DO21" s="188">
        <f>IF(DO4&gt;Rents!$G$9+Rents!$I$9,0,MIN(-DO20+DL20,0))</f>
        <v>0</v>
      </c>
      <c r="DP21" s="188">
        <f>IF(DP4&gt;Rents!$G$9+Rents!$I$9,0,MIN(-DP20+DM20,0))</f>
        <v>0</v>
      </c>
      <c r="DQ21" s="188">
        <f>IF(DQ4&gt;Rents!$G$9+Rents!$I$9,0,MIN(-DQ20+DN20,0))</f>
        <v>0</v>
      </c>
      <c r="DR21" s="188">
        <f>IF(DR4&gt;Rents!$G$9+Rents!$I$9,0,MIN(-DR20+DO20,0))</f>
        <v>0</v>
      </c>
      <c r="DS21" s="188">
        <f>IF(DS4&gt;Rents!$G$9+Rents!$I$9,0,MIN(-DS20+DP20,0))</f>
        <v>0</v>
      </c>
      <c r="DT21" s="188">
        <f>IF(DT4&gt;Rents!$G$9+Rents!$I$9,0,MIN(-DT20+DQ20,0))</f>
        <v>0</v>
      </c>
      <c r="DU21" s="69" t="s">
        <v>0</v>
      </c>
    </row>
    <row r="22" spans="2:125" x14ac:dyDescent="0.25">
      <c r="B22" s="138" t="s">
        <v>31</v>
      </c>
      <c r="C22" s="197">
        <f>SUM(D22:CJ22)</f>
        <v>136916927.70374599</v>
      </c>
      <c r="D22" s="197">
        <f t="shared" ref="D22:AD22" si="126">SUM(D18:D21)</f>
        <v>0</v>
      </c>
      <c r="E22" s="197">
        <f t="shared" si="126"/>
        <v>0</v>
      </c>
      <c r="F22" s="197">
        <f t="shared" si="126"/>
        <v>0</v>
      </c>
      <c r="G22" s="197">
        <f t="shared" si="126"/>
        <v>0</v>
      </c>
      <c r="H22" s="197">
        <f t="shared" si="126"/>
        <v>0</v>
      </c>
      <c r="I22" s="197">
        <f t="shared" si="126"/>
        <v>0</v>
      </c>
      <c r="J22" s="197">
        <f t="shared" si="126"/>
        <v>0</v>
      </c>
      <c r="K22" s="197">
        <f t="shared" si="126"/>
        <v>0</v>
      </c>
      <c r="L22" s="197">
        <f t="shared" si="126"/>
        <v>0</v>
      </c>
      <c r="M22" s="197">
        <f t="shared" si="126"/>
        <v>0</v>
      </c>
      <c r="N22" s="197">
        <f t="shared" si="126"/>
        <v>0</v>
      </c>
      <c r="O22" s="197">
        <f t="shared" si="126"/>
        <v>0</v>
      </c>
      <c r="P22" s="197">
        <f t="shared" si="126"/>
        <v>0</v>
      </c>
      <c r="Q22" s="197">
        <f t="shared" si="126"/>
        <v>0</v>
      </c>
      <c r="R22" s="197">
        <f t="shared" si="126"/>
        <v>0</v>
      </c>
      <c r="S22" s="197">
        <f t="shared" si="126"/>
        <v>0</v>
      </c>
      <c r="T22" s="197">
        <f t="shared" si="126"/>
        <v>0</v>
      </c>
      <c r="U22" s="197">
        <f t="shared" si="126"/>
        <v>0</v>
      </c>
      <c r="V22" s="197">
        <f t="shared" si="126"/>
        <v>0</v>
      </c>
      <c r="W22" s="197">
        <f t="shared" si="126"/>
        <v>0</v>
      </c>
      <c r="X22" s="197">
        <f t="shared" si="126"/>
        <v>0</v>
      </c>
      <c r="Y22" s="197">
        <f t="shared" si="126"/>
        <v>0</v>
      </c>
      <c r="Z22" s="197">
        <f t="shared" si="126"/>
        <v>0</v>
      </c>
      <c r="AA22" s="197">
        <f t="shared" si="126"/>
        <v>0</v>
      </c>
      <c r="AB22" s="197">
        <f t="shared" si="126"/>
        <v>0</v>
      </c>
      <c r="AC22" s="197">
        <f t="shared" si="126"/>
        <v>0</v>
      </c>
      <c r="AD22" s="197">
        <f t="shared" si="126"/>
        <v>1348672.1875000002</v>
      </c>
      <c r="AE22" s="197">
        <f t="shared" ref="AE22:BQ22" si="127">SUM(AE18:AE21)</f>
        <v>1352605.8147135419</v>
      </c>
      <c r="AF22" s="197">
        <f t="shared" si="127"/>
        <v>2167774.5829628487</v>
      </c>
      <c r="AG22" s="197">
        <f t="shared" si="127"/>
        <v>2174097.2588298237</v>
      </c>
      <c r="AH22" s="197">
        <f t="shared" si="127"/>
        <v>2180438.375834744</v>
      </c>
      <c r="AI22" s="197">
        <f t="shared" si="127"/>
        <v>2186797.9877642621</v>
      </c>
      <c r="AJ22" s="197">
        <f t="shared" si="127"/>
        <v>2193176.1485619075</v>
      </c>
      <c r="AK22" s="197">
        <f t="shared" si="127"/>
        <v>2199572.9123285469</v>
      </c>
      <c r="AL22" s="197">
        <f t="shared" si="127"/>
        <v>2205988.3333228389</v>
      </c>
      <c r="AM22" s="197">
        <f t="shared" si="127"/>
        <v>2212422.4659616966</v>
      </c>
      <c r="AN22" s="197">
        <f t="shared" si="127"/>
        <v>2218875.3648207518</v>
      </c>
      <c r="AO22" s="197">
        <f t="shared" si="127"/>
        <v>2225347.0846348125</v>
      </c>
      <c r="AP22" s="197">
        <f t="shared" si="127"/>
        <v>2231837.6802983303</v>
      </c>
      <c r="AQ22" s="197">
        <f t="shared" si="127"/>
        <v>2238347.2068658671</v>
      </c>
      <c r="AR22" s="197">
        <f t="shared" si="127"/>
        <v>2244875.7195525593</v>
      </c>
      <c r="AS22" s="197">
        <f t="shared" si="127"/>
        <v>2251423.2737345877</v>
      </c>
      <c r="AT22" s="197">
        <f t="shared" si="127"/>
        <v>2257989.9249496469</v>
      </c>
      <c r="AU22" s="197">
        <f t="shared" si="127"/>
        <v>2264575.728897417</v>
      </c>
      <c r="AV22" s="197">
        <f t="shared" si="127"/>
        <v>2271180.7414400345</v>
      </c>
      <c r="AW22" s="197">
        <f t="shared" si="127"/>
        <v>2277805.0186025677</v>
      </c>
      <c r="AX22" s="197">
        <f t="shared" si="127"/>
        <v>2284448.6165734921</v>
      </c>
      <c r="AY22" s="197">
        <f t="shared" si="127"/>
        <v>2291111.5917051644</v>
      </c>
      <c r="AZ22" s="197">
        <f t="shared" si="127"/>
        <v>2297794.0005143047</v>
      </c>
      <c r="BA22" s="197">
        <f t="shared" si="127"/>
        <v>2304495.8996824715</v>
      </c>
      <c r="BB22" s="197">
        <f t="shared" si="127"/>
        <v>2311217.3460565461</v>
      </c>
      <c r="BC22" s="197">
        <f t="shared" si="127"/>
        <v>2317958.3966492107</v>
      </c>
      <c r="BD22" s="197">
        <f t="shared" si="127"/>
        <v>2324719.1086394377</v>
      </c>
      <c r="BE22" s="197">
        <f t="shared" si="127"/>
        <v>2331499.5393729694</v>
      </c>
      <c r="BF22" s="197">
        <f t="shared" si="127"/>
        <v>2338299.7463628072</v>
      </c>
      <c r="BG22" s="197">
        <f t="shared" si="127"/>
        <v>2345119.7872896991</v>
      </c>
      <c r="BH22" s="197">
        <f t="shared" si="127"/>
        <v>2351959.720002627</v>
      </c>
      <c r="BI22" s="197">
        <f t="shared" si="127"/>
        <v>2358819.6025193017</v>
      </c>
      <c r="BJ22" s="197">
        <f t="shared" si="127"/>
        <v>2365699.4930266496</v>
      </c>
      <c r="BK22" s="197">
        <f t="shared" si="127"/>
        <v>2372599.4498813106</v>
      </c>
      <c r="BL22" s="197">
        <f t="shared" si="127"/>
        <v>2379519.5316101313</v>
      </c>
      <c r="BM22" s="197">
        <f t="shared" si="127"/>
        <v>2386459.7969106608</v>
      </c>
      <c r="BN22" s="197">
        <f t="shared" si="127"/>
        <v>2393420.3046516501</v>
      </c>
      <c r="BO22" s="197">
        <f t="shared" si="127"/>
        <v>2400401.1138735511</v>
      </c>
      <c r="BP22" s="197">
        <f t="shared" si="127"/>
        <v>2407402.2837890154</v>
      </c>
      <c r="BQ22" s="197">
        <f t="shared" si="127"/>
        <v>2414423.8737834003</v>
      </c>
      <c r="BR22" s="197">
        <f t="shared" ref="BR22:CJ22" si="128">SUM(BR18:BR21)</f>
        <v>2421465.9434152683</v>
      </c>
      <c r="BS22" s="197">
        <f t="shared" si="128"/>
        <v>2428528.5524168964</v>
      </c>
      <c r="BT22" s="197">
        <f t="shared" si="128"/>
        <v>2435611.760694779</v>
      </c>
      <c r="BU22" s="197">
        <f t="shared" si="128"/>
        <v>2442715.628330139</v>
      </c>
      <c r="BV22" s="197">
        <f t="shared" si="128"/>
        <v>2449840.2155794352</v>
      </c>
      <c r="BW22" s="197">
        <f t="shared" si="128"/>
        <v>2456985.5828748755</v>
      </c>
      <c r="BX22" s="197">
        <f t="shared" si="128"/>
        <v>2464151.7908249269</v>
      </c>
      <c r="BY22" s="197">
        <f t="shared" si="128"/>
        <v>2471338.9002148332</v>
      </c>
      <c r="BZ22" s="197">
        <f t="shared" si="128"/>
        <v>2478546.9720071265</v>
      </c>
      <c r="CA22" s="197">
        <f t="shared" si="128"/>
        <v>2485776.0673421472</v>
      </c>
      <c r="CB22" s="197">
        <f t="shared" si="128"/>
        <v>2493026.2475385619</v>
      </c>
      <c r="CC22" s="197">
        <f t="shared" si="128"/>
        <v>2500297.5740938829</v>
      </c>
      <c r="CD22" s="197">
        <f t="shared" si="128"/>
        <v>2507590.1086849901</v>
      </c>
      <c r="CE22" s="197">
        <f t="shared" si="128"/>
        <v>2514903.9131686548</v>
      </c>
      <c r="CF22" s="197">
        <f t="shared" si="128"/>
        <v>2522239.0495820632</v>
      </c>
      <c r="CG22" s="197">
        <f t="shared" si="128"/>
        <v>2529595.5801433446</v>
      </c>
      <c r="CH22" s="197">
        <f t="shared" si="128"/>
        <v>2536973.5672520958</v>
      </c>
      <c r="CI22" s="197">
        <f t="shared" si="128"/>
        <v>2544373.0734899146</v>
      </c>
      <c r="CJ22" s="197">
        <f t="shared" si="128"/>
        <v>2551794.161620927</v>
      </c>
      <c r="CK22" s="197">
        <f t="shared" ref="CK22:DT22" si="129">SUM(CK18:CK21)</f>
        <v>2559236.8945923215</v>
      </c>
      <c r="CL22" s="197">
        <f t="shared" si="129"/>
        <v>2566701.3355348827</v>
      </c>
      <c r="CM22" s="197">
        <f t="shared" si="129"/>
        <v>2574187.547763526</v>
      </c>
      <c r="CN22" s="197">
        <f t="shared" si="129"/>
        <v>2581695.5947778365</v>
      </c>
      <c r="CO22" s="197">
        <f t="shared" si="129"/>
        <v>2589225.5402626051</v>
      </c>
      <c r="CP22" s="197">
        <f t="shared" si="129"/>
        <v>2596777.4480883712</v>
      </c>
      <c r="CQ22" s="197">
        <f t="shared" si="129"/>
        <v>2604351.3823119621</v>
      </c>
      <c r="CR22" s="197">
        <f t="shared" si="129"/>
        <v>2611947.4071770385</v>
      </c>
      <c r="CS22" s="197">
        <f t="shared" si="129"/>
        <v>2619565.5871146382</v>
      </c>
      <c r="CT22" s="197">
        <f t="shared" si="129"/>
        <v>2627205.9867437226</v>
      </c>
      <c r="CU22" s="197">
        <f t="shared" si="129"/>
        <v>2634868.6708717253</v>
      </c>
      <c r="CV22" s="197">
        <f t="shared" si="129"/>
        <v>2642553.7044951012</v>
      </c>
      <c r="CW22" s="197">
        <f t="shared" si="129"/>
        <v>2650261.1527998783</v>
      </c>
      <c r="CX22" s="197">
        <f t="shared" si="129"/>
        <v>2657991.0811622115</v>
      </c>
      <c r="CY22" s="197">
        <f t="shared" si="129"/>
        <v>2665743.5551489345</v>
      </c>
      <c r="CZ22" s="197">
        <f t="shared" si="129"/>
        <v>2673518.6405181186</v>
      </c>
      <c r="DA22" s="197">
        <f t="shared" si="129"/>
        <v>2681316.40321963</v>
      </c>
      <c r="DB22" s="197">
        <f t="shared" si="129"/>
        <v>2689136.9093956873</v>
      </c>
      <c r="DC22" s="197">
        <f t="shared" si="129"/>
        <v>2696980.2253814251</v>
      </c>
      <c r="DD22" s="197">
        <f t="shared" si="129"/>
        <v>2704846.4177054539</v>
      </c>
      <c r="DE22" s="197">
        <f t="shared" si="129"/>
        <v>2712735.553090428</v>
      </c>
      <c r="DF22" s="197">
        <f t="shared" si="129"/>
        <v>2720647.6984536089</v>
      </c>
      <c r="DG22" s="197">
        <f t="shared" si="129"/>
        <v>2728582.9209074317</v>
      </c>
      <c r="DH22" s="197">
        <f t="shared" si="129"/>
        <v>2736541.2877600784</v>
      </c>
      <c r="DI22" s="197">
        <f t="shared" si="129"/>
        <v>2744522.8665160453</v>
      </c>
      <c r="DJ22" s="197">
        <f t="shared" si="129"/>
        <v>2752527.7248767177</v>
      </c>
      <c r="DK22" s="197">
        <f t="shared" si="129"/>
        <v>2760555.9307409409</v>
      </c>
      <c r="DL22" s="197">
        <f t="shared" si="129"/>
        <v>2768607.5522056022</v>
      </c>
      <c r="DM22" s="197">
        <f t="shared" si="129"/>
        <v>2776682.6575662019</v>
      </c>
      <c r="DN22" s="197">
        <f t="shared" si="129"/>
        <v>2784781.3153174371</v>
      </c>
      <c r="DO22" s="197">
        <f t="shared" si="129"/>
        <v>2792903.5941537796</v>
      </c>
      <c r="DP22" s="197">
        <f t="shared" si="129"/>
        <v>2801049.5629700618</v>
      </c>
      <c r="DQ22" s="197">
        <f t="shared" si="129"/>
        <v>2809219.2908620574</v>
      </c>
      <c r="DR22" s="197">
        <f t="shared" si="129"/>
        <v>2817412.8471270716</v>
      </c>
      <c r="DS22" s="197">
        <f t="shared" si="129"/>
        <v>2825630.3012645263</v>
      </c>
      <c r="DT22" s="197">
        <f t="shared" si="129"/>
        <v>2833871.7229765477</v>
      </c>
      <c r="DU22" s="69" t="s">
        <v>0</v>
      </c>
    </row>
    <row r="23" spans="2:125" x14ac:dyDescent="0.25">
      <c r="B23" s="142"/>
      <c r="DU23" s="69" t="s">
        <v>0</v>
      </c>
    </row>
    <row r="24" spans="2:125" x14ac:dyDescent="0.25">
      <c r="B24" s="1" t="s">
        <v>82</v>
      </c>
      <c r="C24" s="18">
        <f>SUM(D24:CJ24)</f>
        <v>13274686.818191808</v>
      </c>
      <c r="E24" s="188"/>
      <c r="F24" s="188"/>
      <c r="G24" s="188"/>
      <c r="H24" s="188"/>
      <c r="I24" s="188"/>
      <c r="J24" s="188"/>
      <c r="K24" s="188"/>
      <c r="L24" s="188"/>
      <c r="M24" s="188"/>
      <c r="N24" s="188"/>
      <c r="O24" s="188"/>
      <c r="P24" s="188"/>
      <c r="Q24" s="188"/>
      <c r="R24" s="188"/>
      <c r="S24" s="188"/>
      <c r="T24" s="188"/>
      <c r="U24" s="188"/>
      <c r="V24" s="188"/>
      <c r="W24" s="188"/>
      <c r="X24" s="188"/>
      <c r="Y24" s="188"/>
      <c r="Z24" s="188"/>
      <c r="AA24" s="188"/>
      <c r="AB24" s="188"/>
      <c r="AC24" s="188">
        <f>-AC34</f>
        <v>120625</v>
      </c>
      <c r="AD24" s="188">
        <f>-AD34</f>
        <v>174873.45</v>
      </c>
      <c r="AE24" s="188">
        <f t="shared" ref="AE24:BQ24" si="130">-AE34</f>
        <v>175333.11149479169</v>
      </c>
      <c r="AF24" s="188">
        <f t="shared" si="130"/>
        <v>208242.93442202956</v>
      </c>
      <c r="AG24" s="188">
        <f t="shared" si="130"/>
        <v>208799.67133446736</v>
      </c>
      <c r="AH24" s="188">
        <f t="shared" si="130"/>
        <v>209357.90546711732</v>
      </c>
      <c r="AI24" s="188">
        <f t="shared" si="130"/>
        <v>209917.64087038237</v>
      </c>
      <c r="AJ24" s="188">
        <f t="shared" si="130"/>
        <v>210478.8816056877</v>
      </c>
      <c r="AK24" s="188">
        <f t="shared" si="130"/>
        <v>211041.63174551132</v>
      </c>
      <c r="AL24" s="188">
        <f t="shared" si="130"/>
        <v>211605.89537341392</v>
      </c>
      <c r="AM24" s="188">
        <f t="shared" si="130"/>
        <v>212171.67658406944</v>
      </c>
      <c r="AN24" s="188">
        <f t="shared" si="130"/>
        <v>212738.97948329564</v>
      </c>
      <c r="AO24" s="188">
        <f t="shared" si="130"/>
        <v>213307.80818808422</v>
      </c>
      <c r="AP24" s="188">
        <f t="shared" si="130"/>
        <v>213878.16682663167</v>
      </c>
      <c r="AQ24" s="188">
        <f t="shared" si="130"/>
        <v>214450.05953836988</v>
      </c>
      <c r="AR24" s="188">
        <f t="shared" si="130"/>
        <v>215023.49047399691</v>
      </c>
      <c r="AS24" s="188">
        <f t="shared" si="130"/>
        <v>215598.46379550779</v>
      </c>
      <c r="AT24" s="188">
        <f t="shared" si="130"/>
        <v>216174.98367622544</v>
      </c>
      <c r="AU24" s="188">
        <f t="shared" si="130"/>
        <v>216753.05430083183</v>
      </c>
      <c r="AV24" s="188">
        <f t="shared" si="130"/>
        <v>217332.67986539885</v>
      </c>
      <c r="AW24" s="188">
        <f t="shared" si="130"/>
        <v>217913.86457741968</v>
      </c>
      <c r="AX24" s="188">
        <f t="shared" si="130"/>
        <v>218496.61265583994</v>
      </c>
      <c r="AY24" s="188">
        <f t="shared" si="130"/>
        <v>219080.92833108909</v>
      </c>
      <c r="AZ24" s="188">
        <f t="shared" si="130"/>
        <v>219666.81584511191</v>
      </c>
      <c r="BA24" s="188">
        <f t="shared" si="130"/>
        <v>220254.27945139993</v>
      </c>
      <c r="BB24" s="188">
        <f t="shared" si="130"/>
        <v>220843.32341502313</v>
      </c>
      <c r="BC24" s="188">
        <f t="shared" si="130"/>
        <v>221433.95201266161</v>
      </c>
      <c r="BD24" s="188">
        <f t="shared" si="130"/>
        <v>222026.1695326374</v>
      </c>
      <c r="BE24" s="188">
        <f t="shared" si="130"/>
        <v>222619.98027494631</v>
      </c>
      <c r="BF24" s="188">
        <f t="shared" si="130"/>
        <v>223215.38855128989</v>
      </c>
      <c r="BG24" s="188">
        <f t="shared" si="130"/>
        <v>223812.3986851075</v>
      </c>
      <c r="BH24" s="188">
        <f t="shared" si="130"/>
        <v>224411.01501160843</v>
      </c>
      <c r="BI24" s="188">
        <f t="shared" si="130"/>
        <v>225011.24187780416</v>
      </c>
      <c r="BJ24" s="188">
        <f t="shared" si="130"/>
        <v>225613.08364254065</v>
      </c>
      <c r="BK24" s="188">
        <f t="shared" si="130"/>
        <v>226216.54467653076</v>
      </c>
      <c r="BL24" s="188">
        <f t="shared" si="130"/>
        <v>226821.62936238677</v>
      </c>
      <c r="BM24" s="188">
        <f t="shared" si="130"/>
        <v>227428.34209465291</v>
      </c>
      <c r="BN24" s="188">
        <f t="shared" si="130"/>
        <v>228036.68727983802</v>
      </c>
      <c r="BO24" s="188">
        <f t="shared" si="130"/>
        <v>228646.66933644848</v>
      </c>
      <c r="BP24" s="188">
        <f t="shared" si="130"/>
        <v>229258.29269502079</v>
      </c>
      <c r="BQ24" s="188">
        <f t="shared" si="130"/>
        <v>229871.56179815484</v>
      </c>
      <c r="BR24" s="188">
        <f t="shared" ref="BR24:CJ24" si="131">-BR34</f>
        <v>230486.4811005466</v>
      </c>
      <c r="BS24" s="188">
        <f t="shared" si="131"/>
        <v>231103.05506902153</v>
      </c>
      <c r="BT24" s="188">
        <f t="shared" si="131"/>
        <v>231721.28818256769</v>
      </c>
      <c r="BU24" s="188">
        <f t="shared" si="131"/>
        <v>232341.18493236904</v>
      </c>
      <c r="BV24" s="188">
        <f t="shared" si="131"/>
        <v>232962.74982183881</v>
      </c>
      <c r="BW24" s="188">
        <f t="shared" si="131"/>
        <v>233585.98736665305</v>
      </c>
      <c r="BX24" s="188">
        <f t="shared" si="131"/>
        <v>234210.90209478425</v>
      </c>
      <c r="BY24" s="188">
        <f t="shared" si="131"/>
        <v>234837.49854653497</v>
      </c>
      <c r="BZ24" s="188">
        <f t="shared" si="131"/>
        <v>235465.78127457155</v>
      </c>
      <c r="CA24" s="188">
        <f t="shared" si="131"/>
        <v>236095.7548439581</v>
      </c>
      <c r="CB24" s="188">
        <f t="shared" si="131"/>
        <v>236727.42383219037</v>
      </c>
      <c r="CC24" s="188">
        <f t="shared" si="131"/>
        <v>237360.79282922979</v>
      </c>
      <c r="CD24" s="188">
        <f t="shared" si="131"/>
        <v>237995.86643753777</v>
      </c>
      <c r="CE24" s="188">
        <f t="shared" si="131"/>
        <v>238632.6492721097</v>
      </c>
      <c r="CF24" s="188">
        <f t="shared" si="131"/>
        <v>239271.14596050943</v>
      </c>
      <c r="CG24" s="188">
        <f t="shared" si="131"/>
        <v>239911.36114290374</v>
      </c>
      <c r="CH24" s="188">
        <f t="shared" si="131"/>
        <v>240553.29947209673</v>
      </c>
      <c r="CI24" s="188">
        <f t="shared" si="131"/>
        <v>241196.96561356448</v>
      </c>
      <c r="CJ24" s="188">
        <f t="shared" si="131"/>
        <v>241842.36424548988</v>
      </c>
      <c r="CK24" s="188">
        <f t="shared" ref="CK24:DT24" si="132">-CK34</f>
        <v>242489.5000587973</v>
      </c>
      <c r="CL24" s="188">
        <f t="shared" si="132"/>
        <v>243138.3777571875</v>
      </c>
      <c r="CM24" s="188">
        <f t="shared" si="132"/>
        <v>243789.00205717271</v>
      </c>
      <c r="CN24" s="188">
        <f t="shared" si="132"/>
        <v>244441.37768811174</v>
      </c>
      <c r="CO24" s="188">
        <f t="shared" si="132"/>
        <v>245095.50939224497</v>
      </c>
      <c r="CP24" s="188">
        <f t="shared" si="132"/>
        <v>245751.40192472993</v>
      </c>
      <c r="CQ24" s="188">
        <f t="shared" si="132"/>
        <v>246409.06005367654</v>
      </c>
      <c r="CR24" s="188">
        <f t="shared" si="132"/>
        <v>247068.48856018262</v>
      </c>
      <c r="CS24" s="188">
        <f t="shared" si="132"/>
        <v>247729.69223836937</v>
      </c>
      <c r="CT24" s="188">
        <f t="shared" si="132"/>
        <v>248392.67589541717</v>
      </c>
      <c r="CU24" s="188">
        <f t="shared" si="132"/>
        <v>249057.44435160147</v>
      </c>
      <c r="CV24" s="188">
        <f t="shared" si="132"/>
        <v>249724.0024403283</v>
      </c>
      <c r="CW24" s="188">
        <f t="shared" si="132"/>
        <v>250392.35500817071</v>
      </c>
      <c r="CX24" s="188">
        <f t="shared" si="132"/>
        <v>251062.50691490446</v>
      </c>
      <c r="CY24" s="188">
        <f t="shared" si="132"/>
        <v>251734.46303354439</v>
      </c>
      <c r="CZ24" s="188">
        <f t="shared" si="132"/>
        <v>252408.22825038072</v>
      </c>
      <c r="DA24" s="188">
        <f t="shared" si="132"/>
        <v>253083.80746501533</v>
      </c>
      <c r="DB24" s="188">
        <f t="shared" si="132"/>
        <v>253761.20559039817</v>
      </c>
      <c r="DC24" s="188">
        <f t="shared" si="132"/>
        <v>254440.42755286407</v>
      </c>
      <c r="DD24" s="188">
        <f t="shared" si="132"/>
        <v>255121.47829216922</v>
      </c>
      <c r="DE24" s="188">
        <f t="shared" si="132"/>
        <v>255804.36276152806</v>
      </c>
      <c r="DF24" s="188">
        <f t="shared" si="132"/>
        <v>256489.0859276501</v>
      </c>
      <c r="DG24" s="188">
        <f t="shared" si="132"/>
        <v>257175.65277077677</v>
      </c>
      <c r="DH24" s="188">
        <f t="shared" si="132"/>
        <v>257864.06828471881</v>
      </c>
      <c r="DI24" s="188">
        <f t="shared" si="132"/>
        <v>258554.33747689327</v>
      </c>
      <c r="DJ24" s="188">
        <f t="shared" si="132"/>
        <v>259246.46536836078</v>
      </c>
      <c r="DK24" s="188">
        <f t="shared" si="132"/>
        <v>259940.45699386293</v>
      </c>
      <c r="DL24" s="188">
        <f t="shared" si="132"/>
        <v>260636.31740185994</v>
      </c>
      <c r="DM24" s="188">
        <f t="shared" si="132"/>
        <v>261334.051654568</v>
      </c>
      <c r="DN24" s="188">
        <f t="shared" si="132"/>
        <v>262033.66482799721</v>
      </c>
      <c r="DO24" s="188">
        <f t="shared" si="132"/>
        <v>262735.16201198916</v>
      </c>
      <c r="DP24" s="188">
        <f t="shared" si="132"/>
        <v>263438.54831025505</v>
      </c>
      <c r="DQ24" s="188">
        <f t="shared" si="132"/>
        <v>264143.82884041348</v>
      </c>
      <c r="DR24" s="188">
        <f t="shared" si="132"/>
        <v>264851.0087340289</v>
      </c>
      <c r="DS24" s="188">
        <f t="shared" si="132"/>
        <v>265560.09313664946</v>
      </c>
      <c r="DT24" s="188">
        <f t="shared" si="132"/>
        <v>266271.08720784541</v>
      </c>
      <c r="DU24" s="69" t="s">
        <v>0</v>
      </c>
    </row>
    <row r="25" spans="2:125" x14ac:dyDescent="0.25">
      <c r="B25" s="27" t="s">
        <v>83</v>
      </c>
      <c r="C25" s="197">
        <f>SUM(D25:CJ25)</f>
        <v>150191614.52193782</v>
      </c>
      <c r="D25" s="197">
        <f t="shared" ref="D25:AD25" si="133">SUM(D22:D24)</f>
        <v>0</v>
      </c>
      <c r="E25" s="197">
        <f t="shared" si="133"/>
        <v>0</v>
      </c>
      <c r="F25" s="197">
        <f t="shared" si="133"/>
        <v>0</v>
      </c>
      <c r="G25" s="197">
        <f t="shared" si="133"/>
        <v>0</v>
      </c>
      <c r="H25" s="197">
        <f t="shared" si="133"/>
        <v>0</v>
      </c>
      <c r="I25" s="197">
        <f t="shared" si="133"/>
        <v>0</v>
      </c>
      <c r="J25" s="197">
        <f t="shared" si="133"/>
        <v>0</v>
      </c>
      <c r="K25" s="197">
        <f t="shared" si="133"/>
        <v>0</v>
      </c>
      <c r="L25" s="197">
        <f t="shared" si="133"/>
        <v>0</v>
      </c>
      <c r="M25" s="197">
        <f t="shared" si="133"/>
        <v>0</v>
      </c>
      <c r="N25" s="197">
        <f t="shared" si="133"/>
        <v>0</v>
      </c>
      <c r="O25" s="197">
        <f t="shared" si="133"/>
        <v>0</v>
      </c>
      <c r="P25" s="197">
        <f t="shared" si="133"/>
        <v>0</v>
      </c>
      <c r="Q25" s="197">
        <f t="shared" si="133"/>
        <v>0</v>
      </c>
      <c r="R25" s="197">
        <f t="shared" si="133"/>
        <v>0</v>
      </c>
      <c r="S25" s="197">
        <f t="shared" si="133"/>
        <v>0</v>
      </c>
      <c r="T25" s="197">
        <f t="shared" si="133"/>
        <v>0</v>
      </c>
      <c r="U25" s="197">
        <f t="shared" si="133"/>
        <v>0</v>
      </c>
      <c r="V25" s="197">
        <f t="shared" si="133"/>
        <v>0</v>
      </c>
      <c r="W25" s="197">
        <f t="shared" si="133"/>
        <v>0</v>
      </c>
      <c r="X25" s="197">
        <f t="shared" si="133"/>
        <v>0</v>
      </c>
      <c r="Y25" s="197">
        <f t="shared" si="133"/>
        <v>0</v>
      </c>
      <c r="Z25" s="197">
        <f t="shared" si="133"/>
        <v>0</v>
      </c>
      <c r="AA25" s="197">
        <f t="shared" si="133"/>
        <v>0</v>
      </c>
      <c r="AB25" s="197">
        <f t="shared" si="133"/>
        <v>0</v>
      </c>
      <c r="AC25" s="197">
        <f t="shared" si="133"/>
        <v>120625</v>
      </c>
      <c r="AD25" s="197">
        <f t="shared" si="133"/>
        <v>1523545.6375000002</v>
      </c>
      <c r="AE25" s="197">
        <f t="shared" ref="AE25:BQ25" si="134">SUM(AE22:AE24)</f>
        <v>1527938.9262083336</v>
      </c>
      <c r="AF25" s="197">
        <f t="shared" si="134"/>
        <v>2376017.5173848784</v>
      </c>
      <c r="AG25" s="197">
        <f t="shared" si="134"/>
        <v>2382896.9301642911</v>
      </c>
      <c r="AH25" s="197">
        <f t="shared" si="134"/>
        <v>2389796.2813018612</v>
      </c>
      <c r="AI25" s="197">
        <f t="shared" si="134"/>
        <v>2396715.6286346447</v>
      </c>
      <c r="AJ25" s="197">
        <f t="shared" si="134"/>
        <v>2403655.030167595</v>
      </c>
      <c r="AK25" s="197">
        <f t="shared" si="134"/>
        <v>2410614.5440740581</v>
      </c>
      <c r="AL25" s="197">
        <f t="shared" si="134"/>
        <v>2417594.2286962527</v>
      </c>
      <c r="AM25" s="197">
        <f t="shared" si="134"/>
        <v>2424594.1425457662</v>
      </c>
      <c r="AN25" s="197">
        <f t="shared" si="134"/>
        <v>2431614.3443040475</v>
      </c>
      <c r="AO25" s="197">
        <f t="shared" si="134"/>
        <v>2438654.8928228966</v>
      </c>
      <c r="AP25" s="197">
        <f t="shared" si="134"/>
        <v>2445715.8471249621</v>
      </c>
      <c r="AQ25" s="197">
        <f t="shared" si="134"/>
        <v>2452797.2664042371</v>
      </c>
      <c r="AR25" s="197">
        <f t="shared" si="134"/>
        <v>2459899.2100265562</v>
      </c>
      <c r="AS25" s="197">
        <f t="shared" si="134"/>
        <v>2467021.7375300955</v>
      </c>
      <c r="AT25" s="197">
        <f t="shared" si="134"/>
        <v>2474164.9086258723</v>
      </c>
      <c r="AU25" s="197">
        <f t="shared" si="134"/>
        <v>2481328.7831982486</v>
      </c>
      <c r="AV25" s="197">
        <f t="shared" si="134"/>
        <v>2488513.4213054334</v>
      </c>
      <c r="AW25" s="197">
        <f t="shared" si="134"/>
        <v>2495718.8831799873</v>
      </c>
      <c r="AX25" s="197">
        <f t="shared" si="134"/>
        <v>2502945.2292293319</v>
      </c>
      <c r="AY25" s="197">
        <f t="shared" si="134"/>
        <v>2510192.5200362536</v>
      </c>
      <c r="AZ25" s="197">
        <f t="shared" si="134"/>
        <v>2517460.8163594166</v>
      </c>
      <c r="BA25" s="197">
        <f t="shared" si="134"/>
        <v>2524750.1791338716</v>
      </c>
      <c r="BB25" s="197">
        <f t="shared" si="134"/>
        <v>2532060.6694715694</v>
      </c>
      <c r="BC25" s="197">
        <f t="shared" si="134"/>
        <v>2539392.3486618726</v>
      </c>
      <c r="BD25" s="197">
        <f t="shared" si="134"/>
        <v>2546745.2781720753</v>
      </c>
      <c r="BE25" s="197">
        <f t="shared" si="134"/>
        <v>2554119.5196479158</v>
      </c>
      <c r="BF25" s="197">
        <f t="shared" si="134"/>
        <v>2561515.1349140969</v>
      </c>
      <c r="BG25" s="197">
        <f t="shared" si="134"/>
        <v>2568932.1859748065</v>
      </c>
      <c r="BH25" s="197">
        <f t="shared" si="134"/>
        <v>2576370.7350142356</v>
      </c>
      <c r="BI25" s="197">
        <f t="shared" si="134"/>
        <v>2583830.8443971057</v>
      </c>
      <c r="BJ25" s="197">
        <f t="shared" si="134"/>
        <v>2591312.5766691901</v>
      </c>
      <c r="BK25" s="197">
        <f t="shared" si="134"/>
        <v>2598815.9945578412</v>
      </c>
      <c r="BL25" s="197">
        <f t="shared" si="134"/>
        <v>2606341.1609725179</v>
      </c>
      <c r="BM25" s="197">
        <f t="shared" si="134"/>
        <v>2613888.1390053136</v>
      </c>
      <c r="BN25" s="197">
        <f t="shared" si="134"/>
        <v>2621456.9919314883</v>
      </c>
      <c r="BO25" s="197">
        <f t="shared" si="134"/>
        <v>2629047.7832099996</v>
      </c>
      <c r="BP25" s="197">
        <f t="shared" si="134"/>
        <v>2636660.5764840362</v>
      </c>
      <c r="BQ25" s="197">
        <f t="shared" si="134"/>
        <v>2644295.4355815551</v>
      </c>
      <c r="BR25" s="197">
        <f t="shared" ref="BR25:CJ25" si="135">SUM(BR22:BR24)</f>
        <v>2651952.424515815</v>
      </c>
      <c r="BS25" s="197">
        <f t="shared" si="135"/>
        <v>2659631.6074859179</v>
      </c>
      <c r="BT25" s="197">
        <f t="shared" si="135"/>
        <v>2667333.0488773468</v>
      </c>
      <c r="BU25" s="197">
        <f t="shared" si="135"/>
        <v>2675056.8132625083</v>
      </c>
      <c r="BV25" s="197">
        <f t="shared" si="135"/>
        <v>2682802.9654012742</v>
      </c>
      <c r="BW25" s="197">
        <f t="shared" si="135"/>
        <v>2690571.5702415286</v>
      </c>
      <c r="BX25" s="197">
        <f t="shared" si="135"/>
        <v>2698362.6929197111</v>
      </c>
      <c r="BY25" s="197">
        <f t="shared" si="135"/>
        <v>2706176.3987613684</v>
      </c>
      <c r="BZ25" s="197">
        <f t="shared" si="135"/>
        <v>2714012.7532816981</v>
      </c>
      <c r="CA25" s="197">
        <f t="shared" si="135"/>
        <v>2721871.8221861054</v>
      </c>
      <c r="CB25" s="197">
        <f t="shared" si="135"/>
        <v>2729753.6713707522</v>
      </c>
      <c r="CC25" s="197">
        <f t="shared" si="135"/>
        <v>2737658.3669231129</v>
      </c>
      <c r="CD25" s="197">
        <f t="shared" si="135"/>
        <v>2745585.9751225277</v>
      </c>
      <c r="CE25" s="197">
        <f t="shared" si="135"/>
        <v>2753536.5624407646</v>
      </c>
      <c r="CF25" s="197">
        <f t="shared" si="135"/>
        <v>2761510.1955425725</v>
      </c>
      <c r="CG25" s="197">
        <f t="shared" si="135"/>
        <v>2769506.9412862482</v>
      </c>
      <c r="CH25" s="197">
        <f t="shared" si="135"/>
        <v>2777526.8667241926</v>
      </c>
      <c r="CI25" s="197">
        <f t="shared" si="135"/>
        <v>2785570.0391034791</v>
      </c>
      <c r="CJ25" s="197">
        <f t="shared" si="135"/>
        <v>2793636.5258664167</v>
      </c>
      <c r="CK25" s="197">
        <f t="shared" ref="CK25:DT25" si="136">SUM(CK22:CK24)</f>
        <v>2801726.3946511187</v>
      </c>
      <c r="CL25" s="197">
        <f t="shared" si="136"/>
        <v>2809839.7132920702</v>
      </c>
      <c r="CM25" s="197">
        <f t="shared" si="136"/>
        <v>2817976.5498206988</v>
      </c>
      <c r="CN25" s="197">
        <f t="shared" si="136"/>
        <v>2826136.9724659482</v>
      </c>
      <c r="CO25" s="197">
        <f t="shared" si="136"/>
        <v>2834321.0496548498</v>
      </c>
      <c r="CP25" s="197">
        <f t="shared" si="136"/>
        <v>2842528.850013101</v>
      </c>
      <c r="CQ25" s="197">
        <f t="shared" si="136"/>
        <v>2850760.4423656384</v>
      </c>
      <c r="CR25" s="197">
        <f t="shared" si="136"/>
        <v>2859015.895737221</v>
      </c>
      <c r="CS25" s="197">
        <f t="shared" si="136"/>
        <v>2867295.2793530077</v>
      </c>
      <c r="CT25" s="197">
        <f t="shared" si="136"/>
        <v>2875598.6626391397</v>
      </c>
      <c r="CU25" s="197">
        <f t="shared" si="136"/>
        <v>2883926.1152233267</v>
      </c>
      <c r="CV25" s="197">
        <f t="shared" si="136"/>
        <v>2892277.7069354295</v>
      </c>
      <c r="CW25" s="197">
        <f t="shared" si="136"/>
        <v>2900653.5078080492</v>
      </c>
      <c r="CX25" s="197">
        <f t="shared" si="136"/>
        <v>2909053.5880771158</v>
      </c>
      <c r="CY25" s="197">
        <f t="shared" si="136"/>
        <v>2917478.0181824788</v>
      </c>
      <c r="CZ25" s="197">
        <f t="shared" si="136"/>
        <v>2925926.8687684992</v>
      </c>
      <c r="DA25" s="197">
        <f t="shared" si="136"/>
        <v>2934400.2106846455</v>
      </c>
      <c r="DB25" s="197">
        <f t="shared" si="136"/>
        <v>2942898.1149860853</v>
      </c>
      <c r="DC25" s="197">
        <f t="shared" si="136"/>
        <v>2951420.6529342891</v>
      </c>
      <c r="DD25" s="197">
        <f t="shared" si="136"/>
        <v>2959967.895997623</v>
      </c>
      <c r="DE25" s="197">
        <f t="shared" si="136"/>
        <v>2968539.9158519562</v>
      </c>
      <c r="DF25" s="197">
        <f t="shared" si="136"/>
        <v>2977136.7843812592</v>
      </c>
      <c r="DG25" s="197">
        <f t="shared" si="136"/>
        <v>2985758.5736782085</v>
      </c>
      <c r="DH25" s="197">
        <f t="shared" si="136"/>
        <v>2994405.3560447972</v>
      </c>
      <c r="DI25" s="197">
        <f t="shared" si="136"/>
        <v>3003077.2039929386</v>
      </c>
      <c r="DJ25" s="197">
        <f t="shared" si="136"/>
        <v>3011774.1902450784</v>
      </c>
      <c r="DK25" s="197">
        <f t="shared" si="136"/>
        <v>3020496.3877348038</v>
      </c>
      <c r="DL25" s="197">
        <f t="shared" si="136"/>
        <v>3029243.8696074621</v>
      </c>
      <c r="DM25" s="197">
        <f t="shared" si="136"/>
        <v>3038016.7092207698</v>
      </c>
      <c r="DN25" s="197">
        <f t="shared" si="136"/>
        <v>3046814.9801454344</v>
      </c>
      <c r="DO25" s="197">
        <f t="shared" si="136"/>
        <v>3055638.756165769</v>
      </c>
      <c r="DP25" s="197">
        <f t="shared" si="136"/>
        <v>3064488.111280317</v>
      </c>
      <c r="DQ25" s="197">
        <f t="shared" si="136"/>
        <v>3073363.119702471</v>
      </c>
      <c r="DR25" s="197">
        <f t="shared" si="136"/>
        <v>3082263.8558611004</v>
      </c>
      <c r="DS25" s="197">
        <f t="shared" si="136"/>
        <v>3091190.3944011759</v>
      </c>
      <c r="DT25" s="197">
        <f t="shared" si="136"/>
        <v>3100142.8101843931</v>
      </c>
      <c r="DU25" s="69" t="s">
        <v>0</v>
      </c>
    </row>
    <row r="26" spans="2:125" x14ac:dyDescent="0.25">
      <c r="B26" s="55"/>
      <c r="DU26" s="69" t="s">
        <v>0</v>
      </c>
    </row>
    <row r="27" spans="2:125" x14ac:dyDescent="0.25">
      <c r="B27" s="139" t="s">
        <v>84</v>
      </c>
      <c r="C27" s="18">
        <f>SUM(D27:CJ27)</f>
        <v>-1501916.1452193784</v>
      </c>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f>-'YoC Analysis'!$C$8*'Monthly CF'!AC25</f>
        <v>-1206.25</v>
      </c>
      <c r="AD27" s="188">
        <f>-'YoC Analysis'!$C$8*'Monthly CF'!AD25</f>
        <v>-15235.456375000002</v>
      </c>
      <c r="AE27" s="188">
        <f>-'YoC Analysis'!$C$8*'Monthly CF'!AE25</f>
        <v>-15279.389262083336</v>
      </c>
      <c r="AF27" s="188">
        <f>-'YoC Analysis'!$C$8*'Monthly CF'!AF25</f>
        <v>-23760.175173848784</v>
      </c>
      <c r="AG27" s="188">
        <f>-'YoC Analysis'!$C$8*'Monthly CF'!AG25</f>
        <v>-23828.969301642912</v>
      </c>
      <c r="AH27" s="188">
        <f>-'YoC Analysis'!$C$8*'Monthly CF'!AH25</f>
        <v>-23897.962813018614</v>
      </c>
      <c r="AI27" s="188">
        <f>-'YoC Analysis'!$C$8*'Monthly CF'!AI25</f>
        <v>-23967.156286346446</v>
      </c>
      <c r="AJ27" s="188">
        <f>-'YoC Analysis'!$C$8*'Monthly CF'!AJ25</f>
        <v>-24036.55030167595</v>
      </c>
      <c r="AK27" s="188">
        <f>-'YoC Analysis'!$C$8*'Monthly CF'!AK25</f>
        <v>-24106.14544074058</v>
      </c>
      <c r="AL27" s="188">
        <f>-'YoC Analysis'!$C$8*'Monthly CF'!AL25</f>
        <v>-24175.942286962527</v>
      </c>
      <c r="AM27" s="188">
        <f>-'YoC Analysis'!$C$8*'Monthly CF'!AM25</f>
        <v>-24245.941425457662</v>
      </c>
      <c r="AN27" s="188">
        <f>-'YoC Analysis'!$C$8*'Monthly CF'!AN25</f>
        <v>-24316.143443040477</v>
      </c>
      <c r="AO27" s="188">
        <f>-'YoC Analysis'!$C$8*'Monthly CF'!AO25</f>
        <v>-24386.548928228967</v>
      </c>
      <c r="AP27" s="188">
        <f>-'YoC Analysis'!$C$8*'Monthly CF'!AP25</f>
        <v>-24457.158471249622</v>
      </c>
      <c r="AQ27" s="188">
        <f>-'YoC Analysis'!$C$8*'Monthly CF'!AQ25</f>
        <v>-24527.972664042372</v>
      </c>
      <c r="AR27" s="188">
        <f>-'YoC Analysis'!$C$8*'Monthly CF'!AR25</f>
        <v>-24598.992100265561</v>
      </c>
      <c r="AS27" s="188">
        <f>-'YoC Analysis'!$C$8*'Monthly CF'!AS25</f>
        <v>-24670.217375300956</v>
      </c>
      <c r="AT27" s="188">
        <f>-'YoC Analysis'!$C$8*'Monthly CF'!AT25</f>
        <v>-24741.649086258723</v>
      </c>
      <c r="AU27" s="188">
        <f>-'YoC Analysis'!$C$8*'Monthly CF'!AU25</f>
        <v>-24813.287831982485</v>
      </c>
      <c r="AV27" s="188">
        <f>-'YoC Analysis'!$C$8*'Monthly CF'!AV25</f>
        <v>-24885.134213054334</v>
      </c>
      <c r="AW27" s="188">
        <f>-'YoC Analysis'!$C$8*'Monthly CF'!AW25</f>
        <v>-24957.188831799875</v>
      </c>
      <c r="AX27" s="188">
        <f>-'YoC Analysis'!$C$8*'Monthly CF'!AX25</f>
        <v>-25029.452292293321</v>
      </c>
      <c r="AY27" s="188">
        <f>-'YoC Analysis'!$C$8*'Monthly CF'!AY25</f>
        <v>-25101.925200362537</v>
      </c>
      <c r="AZ27" s="188">
        <f>-'YoC Analysis'!$C$8*'Monthly CF'!AZ25</f>
        <v>-25174.608163594166</v>
      </c>
      <c r="BA27" s="188">
        <f>-'YoC Analysis'!$C$8*'Monthly CF'!BA25</f>
        <v>-25247.501791338716</v>
      </c>
      <c r="BB27" s="188">
        <f>-'YoC Analysis'!$C$8*'Monthly CF'!BB25</f>
        <v>-25320.606694715694</v>
      </c>
      <c r="BC27" s="188">
        <f>-'YoC Analysis'!$C$8*'Monthly CF'!BC25</f>
        <v>-25393.923486618725</v>
      </c>
      <c r="BD27" s="188">
        <f>-'YoC Analysis'!$C$8*'Monthly CF'!BD25</f>
        <v>-25467.452781720753</v>
      </c>
      <c r="BE27" s="188">
        <f>-'YoC Analysis'!$C$8*'Monthly CF'!BE25</f>
        <v>-25541.195196479159</v>
      </c>
      <c r="BF27" s="188">
        <f>-'YoC Analysis'!$C$8*'Monthly CF'!BF25</f>
        <v>-25615.151349140971</v>
      </c>
      <c r="BG27" s="188">
        <f>-'YoC Analysis'!$C$8*'Monthly CF'!BG25</f>
        <v>-25689.321859748066</v>
      </c>
      <c r="BH27" s="188">
        <f>-'YoC Analysis'!$C$8*'Monthly CF'!BH25</f>
        <v>-25763.707350142358</v>
      </c>
      <c r="BI27" s="188">
        <f>-'YoC Analysis'!$C$8*'Monthly CF'!BI25</f>
        <v>-25838.308443971058</v>
      </c>
      <c r="BJ27" s="188">
        <f>-'YoC Analysis'!$C$8*'Monthly CF'!BJ25</f>
        <v>-25913.125766691901</v>
      </c>
      <c r="BK27" s="188">
        <f>-'YoC Analysis'!$C$8*'Monthly CF'!BK25</f>
        <v>-25988.159945578413</v>
      </c>
      <c r="BL27" s="188">
        <f>-'YoC Analysis'!$C$8*'Monthly CF'!BL25</f>
        <v>-26063.411609725179</v>
      </c>
      <c r="BM27" s="188">
        <f>-'YoC Analysis'!$C$8*'Monthly CF'!BM25</f>
        <v>-26138.881390053139</v>
      </c>
      <c r="BN27" s="188">
        <f>-'YoC Analysis'!$C$8*'Monthly CF'!BN25</f>
        <v>-26214.569919314883</v>
      </c>
      <c r="BO27" s="188">
        <f>-'YoC Analysis'!$C$8*'Monthly CF'!BO25</f>
        <v>-26290.477832099998</v>
      </c>
      <c r="BP27" s="188">
        <f>-'YoC Analysis'!$C$8*'Monthly CF'!BP25</f>
        <v>-26366.605764840362</v>
      </c>
      <c r="BQ27" s="188">
        <f>-'YoC Analysis'!$C$8*'Monthly CF'!BQ25</f>
        <v>-26442.954355815553</v>
      </c>
      <c r="BR27" s="188">
        <f>-'YoC Analysis'!$C$8*'Monthly CF'!BR25</f>
        <v>-26519.524245158151</v>
      </c>
      <c r="BS27" s="188">
        <f>-'YoC Analysis'!$C$8*'Monthly CF'!BS25</f>
        <v>-26596.31607485918</v>
      </c>
      <c r="BT27" s="188">
        <f>-'YoC Analysis'!$C$8*'Monthly CF'!BT25</f>
        <v>-26673.33048877347</v>
      </c>
      <c r="BU27" s="188">
        <f>-'YoC Analysis'!$C$8*'Monthly CF'!BU25</f>
        <v>-26750.568132625081</v>
      </c>
      <c r="BV27" s="188">
        <f>-'YoC Analysis'!$C$8*'Monthly CF'!BV25</f>
        <v>-26828.029654012742</v>
      </c>
      <c r="BW27" s="188">
        <f>-'YoC Analysis'!$C$8*'Monthly CF'!BW25</f>
        <v>-26905.715702415288</v>
      </c>
      <c r="BX27" s="188">
        <f>-'YoC Analysis'!$C$8*'Monthly CF'!BX25</f>
        <v>-26983.626929197111</v>
      </c>
      <c r="BY27" s="188">
        <f>-'YoC Analysis'!$C$8*'Monthly CF'!BY25</f>
        <v>-27061.763987613685</v>
      </c>
      <c r="BZ27" s="188">
        <f>-'YoC Analysis'!$C$8*'Monthly CF'!BZ25</f>
        <v>-27140.127532816983</v>
      </c>
      <c r="CA27" s="188">
        <f>-'YoC Analysis'!$C$8*'Monthly CF'!CA25</f>
        <v>-27218.718221861054</v>
      </c>
      <c r="CB27" s="188">
        <f>-'YoC Analysis'!$C$8*'Monthly CF'!CB25</f>
        <v>-27297.536713707523</v>
      </c>
      <c r="CC27" s="188">
        <f>-'YoC Analysis'!$C$8*'Monthly CF'!CC25</f>
        <v>-27376.583669231128</v>
      </c>
      <c r="CD27" s="188">
        <f>-'YoC Analysis'!$C$8*'Monthly CF'!CD25</f>
        <v>-27455.859751225278</v>
      </c>
      <c r="CE27" s="188">
        <f>-'YoC Analysis'!$C$8*'Monthly CF'!CE25</f>
        <v>-27535.365624407648</v>
      </c>
      <c r="CF27" s="188">
        <f>-'YoC Analysis'!$C$8*'Monthly CF'!CF25</f>
        <v>-27615.101955425725</v>
      </c>
      <c r="CG27" s="188">
        <f>-'YoC Analysis'!$C$8*'Monthly CF'!CG25</f>
        <v>-27695.069412862482</v>
      </c>
      <c r="CH27" s="188">
        <f>-'YoC Analysis'!$C$8*'Monthly CF'!CH25</f>
        <v>-27775.268667241926</v>
      </c>
      <c r="CI27" s="188">
        <f>-'YoC Analysis'!$C$8*'Monthly CF'!CI25</f>
        <v>-27855.700391034792</v>
      </c>
      <c r="CJ27" s="188">
        <f>-'YoC Analysis'!$C$8*'Monthly CF'!CJ25</f>
        <v>-27936.365258664169</v>
      </c>
      <c r="CK27" s="188">
        <f>-'YoC Analysis'!$C$8*'Monthly CF'!CK25</f>
        <v>-28017.263946511186</v>
      </c>
      <c r="CL27" s="188">
        <f>-'YoC Analysis'!$C$8*'Monthly CF'!CL25</f>
        <v>-28098.397132920702</v>
      </c>
      <c r="CM27" s="188">
        <f>-'YoC Analysis'!$C$8*'Monthly CF'!CM25</f>
        <v>-28179.765498206987</v>
      </c>
      <c r="CN27" s="188">
        <f>-'YoC Analysis'!$C$8*'Monthly CF'!CN25</f>
        <v>-28261.369724659482</v>
      </c>
      <c r="CO27" s="188">
        <f>-'YoC Analysis'!$C$8*'Monthly CF'!CO25</f>
        <v>-28343.210496548498</v>
      </c>
      <c r="CP27" s="188">
        <f>-'YoC Analysis'!$C$8*'Monthly CF'!CP25</f>
        <v>-28425.28850013101</v>
      </c>
      <c r="CQ27" s="188">
        <f>-'YoC Analysis'!$C$8*'Monthly CF'!CQ25</f>
        <v>-28507.604423656387</v>
      </c>
      <c r="CR27" s="188">
        <f>-'YoC Analysis'!$C$8*'Monthly CF'!CR25</f>
        <v>-28590.158957372212</v>
      </c>
      <c r="CS27" s="188">
        <f>-'YoC Analysis'!$C$8*'Monthly CF'!CS25</f>
        <v>-28672.952793530076</v>
      </c>
      <c r="CT27" s="188">
        <f>-'YoC Analysis'!$C$8*'Monthly CF'!CT25</f>
        <v>-28755.986626391397</v>
      </c>
      <c r="CU27" s="188">
        <f>-'YoC Analysis'!$C$8*'Monthly CF'!CU25</f>
        <v>-28839.261152233266</v>
      </c>
      <c r="CV27" s="188">
        <f>-'YoC Analysis'!$C$8*'Monthly CF'!CV25</f>
        <v>-28922.777069354295</v>
      </c>
      <c r="CW27" s="188">
        <f>-'YoC Analysis'!$C$8*'Monthly CF'!CW25</f>
        <v>-29006.535078080491</v>
      </c>
      <c r="CX27" s="188">
        <f>-'YoC Analysis'!$C$8*'Monthly CF'!CX25</f>
        <v>-29090.53588077116</v>
      </c>
      <c r="CY27" s="188">
        <f>-'YoC Analysis'!$C$8*'Monthly CF'!CY25</f>
        <v>-29174.78018182479</v>
      </c>
      <c r="CZ27" s="188">
        <f>-'YoC Analysis'!$C$8*'Monthly CF'!CZ25</f>
        <v>-29259.268687684991</v>
      </c>
      <c r="DA27" s="188">
        <f>-'YoC Analysis'!$C$8*'Monthly CF'!DA25</f>
        <v>-29344.002106846456</v>
      </c>
      <c r="DB27" s="188">
        <f>-'YoC Analysis'!$C$8*'Monthly CF'!DB25</f>
        <v>-29428.981149860854</v>
      </c>
      <c r="DC27" s="188">
        <f>-'YoC Analysis'!$C$8*'Monthly CF'!DC25</f>
        <v>-29514.20652934289</v>
      </c>
      <c r="DD27" s="188">
        <f>-'YoC Analysis'!$C$8*'Monthly CF'!DD25</f>
        <v>-29599.678959976231</v>
      </c>
      <c r="DE27" s="188">
        <f>-'YoC Analysis'!$C$8*'Monthly CF'!DE25</f>
        <v>-29685.399158519562</v>
      </c>
      <c r="DF27" s="188">
        <f>-'YoC Analysis'!$C$8*'Monthly CF'!DF25</f>
        <v>-29771.367843812593</v>
      </c>
      <c r="DG27" s="188">
        <f>-'YoC Analysis'!$C$8*'Monthly CF'!DG25</f>
        <v>-29857.585736782086</v>
      </c>
      <c r="DH27" s="188">
        <f>-'YoC Analysis'!$C$8*'Monthly CF'!DH25</f>
        <v>-29944.053560447974</v>
      </c>
      <c r="DI27" s="188">
        <f>-'YoC Analysis'!$C$8*'Monthly CF'!DI25</f>
        <v>-30030.772039929387</v>
      </c>
      <c r="DJ27" s="188">
        <f>-'YoC Analysis'!$C$8*'Monthly CF'!DJ25</f>
        <v>-30117.741902450784</v>
      </c>
      <c r="DK27" s="188">
        <f>-'YoC Analysis'!$C$8*'Monthly CF'!DK25</f>
        <v>-30204.96387734804</v>
      </c>
      <c r="DL27" s="188">
        <f>-'YoC Analysis'!$C$8*'Monthly CF'!DL25</f>
        <v>-30292.43869607462</v>
      </c>
      <c r="DM27" s="188">
        <f>-'YoC Analysis'!$C$8*'Monthly CF'!DM25</f>
        <v>-30380.167092207699</v>
      </c>
      <c r="DN27" s="188">
        <f>-'YoC Analysis'!$C$8*'Monthly CF'!DN25</f>
        <v>-30468.149801454343</v>
      </c>
      <c r="DO27" s="188">
        <f>-'YoC Analysis'!$C$8*'Monthly CF'!DO25</f>
        <v>-30556.387561657692</v>
      </c>
      <c r="DP27" s="188">
        <f>-'YoC Analysis'!$C$8*'Monthly CF'!DP25</f>
        <v>-30644.88111280317</v>
      </c>
      <c r="DQ27" s="188">
        <f>-'YoC Analysis'!$C$8*'Monthly CF'!DQ25</f>
        <v>-30733.631197024712</v>
      </c>
      <c r="DR27" s="188">
        <f>-'YoC Analysis'!$C$8*'Monthly CF'!DR25</f>
        <v>-30822.638558611005</v>
      </c>
      <c r="DS27" s="188">
        <f>-'YoC Analysis'!$C$8*'Monthly CF'!DS25</f>
        <v>-30911.903944011759</v>
      </c>
      <c r="DT27" s="188">
        <f>-'YoC Analysis'!$C$8*'Monthly CF'!DT25</f>
        <v>-31001.428101843932</v>
      </c>
      <c r="DU27" s="69" t="s">
        <v>0</v>
      </c>
    </row>
    <row r="28" spans="2:125" x14ac:dyDescent="0.25">
      <c r="B28" s="27" t="s">
        <v>85</v>
      </c>
      <c r="C28" s="197">
        <f>SUM(D28:CJ28)</f>
        <v>148689698.37671849</v>
      </c>
      <c r="D28" s="197">
        <f t="shared" ref="D28:AD28" si="137">SUM(D25:D27)</f>
        <v>0</v>
      </c>
      <c r="E28" s="197">
        <f t="shared" si="137"/>
        <v>0</v>
      </c>
      <c r="F28" s="197">
        <f t="shared" si="137"/>
        <v>0</v>
      </c>
      <c r="G28" s="197">
        <f t="shared" si="137"/>
        <v>0</v>
      </c>
      <c r="H28" s="197">
        <f t="shared" si="137"/>
        <v>0</v>
      </c>
      <c r="I28" s="197">
        <f t="shared" si="137"/>
        <v>0</v>
      </c>
      <c r="J28" s="197">
        <f t="shared" si="137"/>
        <v>0</v>
      </c>
      <c r="K28" s="197">
        <f t="shared" si="137"/>
        <v>0</v>
      </c>
      <c r="L28" s="197">
        <f t="shared" si="137"/>
        <v>0</v>
      </c>
      <c r="M28" s="197">
        <f t="shared" si="137"/>
        <v>0</v>
      </c>
      <c r="N28" s="197">
        <f t="shared" si="137"/>
        <v>0</v>
      </c>
      <c r="O28" s="197">
        <f t="shared" si="137"/>
        <v>0</v>
      </c>
      <c r="P28" s="197">
        <f t="shared" si="137"/>
        <v>0</v>
      </c>
      <c r="Q28" s="197">
        <f t="shared" si="137"/>
        <v>0</v>
      </c>
      <c r="R28" s="197">
        <f t="shared" si="137"/>
        <v>0</v>
      </c>
      <c r="S28" s="197">
        <f t="shared" si="137"/>
        <v>0</v>
      </c>
      <c r="T28" s="197">
        <f t="shared" si="137"/>
        <v>0</v>
      </c>
      <c r="U28" s="197">
        <f t="shared" si="137"/>
        <v>0</v>
      </c>
      <c r="V28" s="197">
        <f t="shared" si="137"/>
        <v>0</v>
      </c>
      <c r="W28" s="197">
        <f t="shared" si="137"/>
        <v>0</v>
      </c>
      <c r="X28" s="197">
        <f t="shared" si="137"/>
        <v>0</v>
      </c>
      <c r="Y28" s="197">
        <f t="shared" si="137"/>
        <v>0</v>
      </c>
      <c r="Z28" s="197">
        <f t="shared" si="137"/>
        <v>0</v>
      </c>
      <c r="AA28" s="197">
        <f t="shared" si="137"/>
        <v>0</v>
      </c>
      <c r="AB28" s="197">
        <f t="shared" si="137"/>
        <v>0</v>
      </c>
      <c r="AC28" s="197">
        <f t="shared" si="137"/>
        <v>119418.75</v>
      </c>
      <c r="AD28" s="197">
        <f t="shared" si="137"/>
        <v>1508310.1811250001</v>
      </c>
      <c r="AE28" s="197">
        <f t="shared" ref="AE28:BQ28" si="138">SUM(AE25:AE27)</f>
        <v>1512659.5369462501</v>
      </c>
      <c r="AF28" s="197">
        <f t="shared" si="138"/>
        <v>2352257.3422110295</v>
      </c>
      <c r="AG28" s="197">
        <f t="shared" si="138"/>
        <v>2359067.9608626482</v>
      </c>
      <c r="AH28" s="197">
        <f t="shared" si="138"/>
        <v>2365898.3184888423</v>
      </c>
      <c r="AI28" s="197">
        <f t="shared" si="138"/>
        <v>2372748.4723482984</v>
      </c>
      <c r="AJ28" s="197">
        <f t="shared" si="138"/>
        <v>2379618.4798659189</v>
      </c>
      <c r="AK28" s="197">
        <f t="shared" si="138"/>
        <v>2386508.3986333176</v>
      </c>
      <c r="AL28" s="197">
        <f t="shared" si="138"/>
        <v>2393418.28640929</v>
      </c>
      <c r="AM28" s="197">
        <f t="shared" si="138"/>
        <v>2400348.2011203086</v>
      </c>
      <c r="AN28" s="197">
        <f t="shared" si="138"/>
        <v>2407298.200861007</v>
      </c>
      <c r="AO28" s="197">
        <f t="shared" si="138"/>
        <v>2414268.3438946675</v>
      </c>
      <c r="AP28" s="197">
        <f t="shared" si="138"/>
        <v>2421258.6886537126</v>
      </c>
      <c r="AQ28" s="197">
        <f t="shared" si="138"/>
        <v>2428269.2937401948</v>
      </c>
      <c r="AR28" s="197">
        <f t="shared" si="138"/>
        <v>2435300.2179262908</v>
      </c>
      <c r="AS28" s="197">
        <f t="shared" si="138"/>
        <v>2442351.5201547947</v>
      </c>
      <c r="AT28" s="197">
        <f t="shared" si="138"/>
        <v>2449423.2595396135</v>
      </c>
      <c r="AU28" s="197">
        <f t="shared" si="138"/>
        <v>2456515.495366266</v>
      </c>
      <c r="AV28" s="197">
        <f t="shared" si="138"/>
        <v>2463628.2870923788</v>
      </c>
      <c r="AW28" s="197">
        <f t="shared" si="138"/>
        <v>2470761.6943481877</v>
      </c>
      <c r="AX28" s="197">
        <f t="shared" si="138"/>
        <v>2477915.7769370386</v>
      </c>
      <c r="AY28" s="197">
        <f t="shared" si="138"/>
        <v>2485090.5948358909</v>
      </c>
      <c r="AZ28" s="197">
        <f t="shared" si="138"/>
        <v>2492286.2081958223</v>
      </c>
      <c r="BA28" s="197">
        <f t="shared" si="138"/>
        <v>2499502.6773425327</v>
      </c>
      <c r="BB28" s="197">
        <f t="shared" si="138"/>
        <v>2506740.0627768538</v>
      </c>
      <c r="BC28" s="197">
        <f t="shared" si="138"/>
        <v>2513998.4251752538</v>
      </c>
      <c r="BD28" s="197">
        <f t="shared" si="138"/>
        <v>2521277.8253903547</v>
      </c>
      <c r="BE28" s="197">
        <f t="shared" si="138"/>
        <v>2528578.3244514368</v>
      </c>
      <c r="BF28" s="197">
        <f t="shared" si="138"/>
        <v>2535899.9835649561</v>
      </c>
      <c r="BG28" s="197">
        <f t="shared" si="138"/>
        <v>2543242.8641150584</v>
      </c>
      <c r="BH28" s="197">
        <f t="shared" si="138"/>
        <v>2550607.0276640933</v>
      </c>
      <c r="BI28" s="197">
        <f t="shared" si="138"/>
        <v>2557992.5359531348</v>
      </c>
      <c r="BJ28" s="197">
        <f t="shared" si="138"/>
        <v>2565399.4509024983</v>
      </c>
      <c r="BK28" s="197">
        <f t="shared" si="138"/>
        <v>2572827.8346122629</v>
      </c>
      <c r="BL28" s="197">
        <f t="shared" si="138"/>
        <v>2580277.7493627928</v>
      </c>
      <c r="BM28" s="197">
        <f t="shared" si="138"/>
        <v>2587749.2576152603</v>
      </c>
      <c r="BN28" s="197">
        <f t="shared" si="138"/>
        <v>2595242.4220121736</v>
      </c>
      <c r="BO28" s="197">
        <f t="shared" si="138"/>
        <v>2602757.3053778997</v>
      </c>
      <c r="BP28" s="197">
        <f t="shared" si="138"/>
        <v>2610293.9707191959</v>
      </c>
      <c r="BQ28" s="197">
        <f t="shared" si="138"/>
        <v>2617852.4812257397</v>
      </c>
      <c r="BR28" s="197">
        <f t="shared" ref="BR28:CJ28" si="139">SUM(BR25:BR27)</f>
        <v>2625432.9002706567</v>
      </c>
      <c r="BS28" s="197">
        <f t="shared" si="139"/>
        <v>2633035.2914110585</v>
      </c>
      <c r="BT28" s="197">
        <f t="shared" si="139"/>
        <v>2640659.7183885733</v>
      </c>
      <c r="BU28" s="197">
        <f t="shared" si="139"/>
        <v>2648306.2451298833</v>
      </c>
      <c r="BV28" s="197">
        <f t="shared" si="139"/>
        <v>2655974.9357472616</v>
      </c>
      <c r="BW28" s="197">
        <f t="shared" si="139"/>
        <v>2663665.8545391131</v>
      </c>
      <c r="BX28" s="197">
        <f t="shared" si="139"/>
        <v>2671379.0659905141</v>
      </c>
      <c r="BY28" s="197">
        <f t="shared" si="139"/>
        <v>2679114.6347737545</v>
      </c>
      <c r="BZ28" s="197">
        <f t="shared" si="139"/>
        <v>2686872.6257488811</v>
      </c>
      <c r="CA28" s="197">
        <f t="shared" si="139"/>
        <v>2694653.1039642445</v>
      </c>
      <c r="CB28" s="197">
        <f t="shared" si="139"/>
        <v>2702456.1346570444</v>
      </c>
      <c r="CC28" s="197">
        <f t="shared" si="139"/>
        <v>2710281.7832538816</v>
      </c>
      <c r="CD28" s="197">
        <f t="shared" si="139"/>
        <v>2718130.1153713022</v>
      </c>
      <c r="CE28" s="197">
        <f t="shared" si="139"/>
        <v>2726001.1968163569</v>
      </c>
      <c r="CF28" s="197">
        <f t="shared" si="139"/>
        <v>2733895.0935871466</v>
      </c>
      <c r="CG28" s="197">
        <f t="shared" si="139"/>
        <v>2741811.8718733857</v>
      </c>
      <c r="CH28" s="197">
        <f t="shared" si="139"/>
        <v>2749751.5980569506</v>
      </c>
      <c r="CI28" s="197">
        <f t="shared" si="139"/>
        <v>2757714.3387124445</v>
      </c>
      <c r="CJ28" s="197">
        <f t="shared" si="139"/>
        <v>2765700.1606077524</v>
      </c>
      <c r="CK28" s="197">
        <f t="shared" ref="CK28:DT28" si="140">SUM(CK25:CK27)</f>
        <v>2773709.1307046073</v>
      </c>
      <c r="CL28" s="197">
        <f t="shared" si="140"/>
        <v>2781741.3161591496</v>
      </c>
      <c r="CM28" s="197">
        <f t="shared" si="140"/>
        <v>2789796.7843224918</v>
      </c>
      <c r="CN28" s="197">
        <f t="shared" si="140"/>
        <v>2797875.602741289</v>
      </c>
      <c r="CO28" s="197">
        <f t="shared" si="140"/>
        <v>2805977.8391583012</v>
      </c>
      <c r="CP28" s="197">
        <f t="shared" si="140"/>
        <v>2814103.5615129699</v>
      </c>
      <c r="CQ28" s="197">
        <f t="shared" si="140"/>
        <v>2822252.8379419819</v>
      </c>
      <c r="CR28" s="197">
        <f t="shared" si="140"/>
        <v>2830425.7367798486</v>
      </c>
      <c r="CS28" s="197">
        <f t="shared" si="140"/>
        <v>2838622.3265594775</v>
      </c>
      <c r="CT28" s="197">
        <f t="shared" si="140"/>
        <v>2846842.6760127484</v>
      </c>
      <c r="CU28" s="197">
        <f t="shared" si="140"/>
        <v>2855086.8540710933</v>
      </c>
      <c r="CV28" s="197">
        <f t="shared" si="140"/>
        <v>2863354.9298660751</v>
      </c>
      <c r="CW28" s="197">
        <f t="shared" si="140"/>
        <v>2871646.9727299688</v>
      </c>
      <c r="CX28" s="197">
        <f t="shared" si="140"/>
        <v>2879963.0521963448</v>
      </c>
      <c r="CY28" s="197">
        <f t="shared" si="140"/>
        <v>2888303.2380006541</v>
      </c>
      <c r="CZ28" s="197">
        <f t="shared" si="140"/>
        <v>2896667.6000808142</v>
      </c>
      <c r="DA28" s="197">
        <f t="shared" si="140"/>
        <v>2905056.2085777991</v>
      </c>
      <c r="DB28" s="197">
        <f t="shared" si="140"/>
        <v>2913469.1338362247</v>
      </c>
      <c r="DC28" s="197">
        <f t="shared" si="140"/>
        <v>2921906.446404946</v>
      </c>
      <c r="DD28" s="197">
        <f t="shared" si="140"/>
        <v>2930368.2170376466</v>
      </c>
      <c r="DE28" s="197">
        <f t="shared" si="140"/>
        <v>2938854.5166934365</v>
      </c>
      <c r="DF28" s="197">
        <f t="shared" si="140"/>
        <v>2947365.4165374464</v>
      </c>
      <c r="DG28" s="197">
        <f t="shared" si="140"/>
        <v>2955900.9879414262</v>
      </c>
      <c r="DH28" s="197">
        <f t="shared" si="140"/>
        <v>2964461.3024843493</v>
      </c>
      <c r="DI28" s="197">
        <f t="shared" si="140"/>
        <v>2973046.4319530092</v>
      </c>
      <c r="DJ28" s="197">
        <f t="shared" si="140"/>
        <v>2981656.4483426278</v>
      </c>
      <c r="DK28" s="197">
        <f t="shared" si="140"/>
        <v>2990291.4238574556</v>
      </c>
      <c r="DL28" s="197">
        <f t="shared" si="140"/>
        <v>2998951.4309113873</v>
      </c>
      <c r="DM28" s="197">
        <f t="shared" si="140"/>
        <v>3007636.542128562</v>
      </c>
      <c r="DN28" s="197">
        <f t="shared" si="140"/>
        <v>3016346.8303439799</v>
      </c>
      <c r="DO28" s="197">
        <f t="shared" si="140"/>
        <v>3025082.3686041115</v>
      </c>
      <c r="DP28" s="197">
        <f t="shared" si="140"/>
        <v>3033843.2301675137</v>
      </c>
      <c r="DQ28" s="197">
        <f t="shared" si="140"/>
        <v>3042629.4885054464</v>
      </c>
      <c r="DR28" s="197">
        <f t="shared" si="140"/>
        <v>3051441.2173024896</v>
      </c>
      <c r="DS28" s="197">
        <f t="shared" si="140"/>
        <v>3060278.4904571641</v>
      </c>
      <c r="DT28" s="197">
        <f t="shared" si="140"/>
        <v>3069141.3820825489</v>
      </c>
      <c r="DU28" s="69" t="s">
        <v>0</v>
      </c>
    </row>
    <row r="29" spans="2:125" x14ac:dyDescent="0.25">
      <c r="B29" s="1"/>
      <c r="AC29" s="188"/>
      <c r="DU29" s="69" t="s">
        <v>0</v>
      </c>
    </row>
    <row r="30" spans="2:125" x14ac:dyDescent="0.25">
      <c r="B30" s="1" t="s">
        <v>86</v>
      </c>
      <c r="C30" s="188">
        <f>SUM(D30:CJ30)</f>
        <v>-14418179.613389278</v>
      </c>
      <c r="D30" s="188">
        <f>('YoC Analysis'!$D$11)/12</f>
        <v>-160833.33333333334</v>
      </c>
      <c r="E30" s="188">
        <f>('YoC Analysis'!$D$11)/12</f>
        <v>-160833.33333333334</v>
      </c>
      <c r="F30" s="188">
        <f>('YoC Analysis'!$D$11)/12</f>
        <v>-160833.33333333334</v>
      </c>
      <c r="G30" s="188">
        <f>('YoC Analysis'!$D$11)/12</f>
        <v>-160833.33333333334</v>
      </c>
      <c r="H30" s="188">
        <f>('YoC Analysis'!$D$11)/12</f>
        <v>-160833.33333333334</v>
      </c>
      <c r="I30" s="188">
        <f>('YoC Analysis'!$D$11)/12</f>
        <v>-160833.33333333334</v>
      </c>
      <c r="J30" s="188">
        <f>('YoC Analysis'!$D$11)/12</f>
        <v>-160833.33333333334</v>
      </c>
      <c r="K30" s="188">
        <f>('YoC Analysis'!$D$11)/12</f>
        <v>-160833.33333333334</v>
      </c>
      <c r="L30" s="188">
        <f>('YoC Analysis'!$D$11)/12</f>
        <v>-160833.33333333334</v>
      </c>
      <c r="M30" s="188">
        <f>('YoC Analysis'!$D$11)/12</f>
        <v>-160833.33333333334</v>
      </c>
      <c r="N30" s="188">
        <f>('YoC Analysis'!$D$11)/12</f>
        <v>-160833.33333333334</v>
      </c>
      <c r="O30" s="188">
        <f>('YoC Analysis'!$D$11)/12</f>
        <v>-160833.33333333334</v>
      </c>
      <c r="P30" s="188">
        <f>('YoC Analysis'!$D$11)/12</f>
        <v>-160833.33333333334</v>
      </c>
      <c r="Q30" s="188">
        <f>('YoC Analysis'!$D$11)/12</f>
        <v>-160833.33333333334</v>
      </c>
      <c r="R30" s="188">
        <f>('YoC Analysis'!$D$11)/12</f>
        <v>-160833.33333333334</v>
      </c>
      <c r="S30" s="188">
        <f>('YoC Analysis'!$D$11)/12</f>
        <v>-160833.33333333334</v>
      </c>
      <c r="T30" s="188">
        <f>('YoC Analysis'!$D$11)/12</f>
        <v>-160833.33333333334</v>
      </c>
      <c r="U30" s="188">
        <f>('YoC Analysis'!$D$11)/12</f>
        <v>-160833.33333333334</v>
      </c>
      <c r="V30" s="188">
        <f>('YoC Analysis'!$D$11)/12</f>
        <v>-160833.33333333334</v>
      </c>
      <c r="W30" s="188">
        <f>('YoC Analysis'!$D$11)/12</f>
        <v>-160833.33333333334</v>
      </c>
      <c r="X30" s="188">
        <f>('YoC Analysis'!$D$11)/12</f>
        <v>-160833.33333333334</v>
      </c>
      <c r="Y30" s="188">
        <f>('YoC Analysis'!$D$11)/12</f>
        <v>-160833.33333333334</v>
      </c>
      <c r="Z30" s="188">
        <f>('YoC Analysis'!$D$11)/12</f>
        <v>-160833.33333333334</v>
      </c>
      <c r="AA30" s="188">
        <f>('YoC Analysis'!$D$11)/12</f>
        <v>-160833.33333333334</v>
      </c>
      <c r="AB30" s="188">
        <f>('YoC Analysis'!$D$11)/12</f>
        <v>-160833.33333333334</v>
      </c>
      <c r="AC30" s="188">
        <f>('YoC Analysis'!$D$11)/12</f>
        <v>-160833.33333333334</v>
      </c>
      <c r="AD30" s="188">
        <f>AC30*(1+('Annual CF'!$D$6/12))</f>
        <v>-161235.41666666666</v>
      </c>
      <c r="AE30" s="188">
        <f>AD30*(1+('Annual CF'!$D$6/12))</f>
        <v>-161638.50520833331</v>
      </c>
      <c r="AF30" s="188">
        <f>AE30*(1+('Annual CF'!$D$6/12))</f>
        <v>-162042.60147135414</v>
      </c>
      <c r="AG30" s="188">
        <f>AF30*(1+('Annual CF'!$D$6/12))</f>
        <v>-162447.70797503251</v>
      </c>
      <c r="AH30" s="188">
        <f>AG30*(1+('Annual CF'!$D$6/12))</f>
        <v>-162853.82724497007</v>
      </c>
      <c r="AI30" s="188">
        <f>AH30*(1+('Annual CF'!$D$6/12))</f>
        <v>-163260.96181308248</v>
      </c>
      <c r="AJ30" s="188">
        <f>AI30*(1+('Annual CF'!$D$6/12))</f>
        <v>-163669.11421761519</v>
      </c>
      <c r="AK30" s="188">
        <f>AJ30*(1+('Annual CF'!$D$6/12))</f>
        <v>-164078.28700315923</v>
      </c>
      <c r="AL30" s="188">
        <f>AK30*(1+('Annual CF'!$D$6/12))</f>
        <v>-164488.48272066712</v>
      </c>
      <c r="AM30" s="188">
        <f>AL30*(1+('Annual CF'!$D$6/12))</f>
        <v>-164899.70392746877</v>
      </c>
      <c r="AN30" s="188">
        <f>AM30*(1+('Annual CF'!$D$6/12))</f>
        <v>-165311.95318728744</v>
      </c>
      <c r="AO30" s="188">
        <f>AN30*(1+('Annual CF'!$D$6/12))</f>
        <v>-165725.23307025564</v>
      </c>
      <c r="AP30" s="188">
        <f>AO30*(1+('Annual CF'!$D$6/12))</f>
        <v>-166139.54615293126</v>
      </c>
      <c r="AQ30" s="188">
        <f>AP30*(1+('Annual CF'!$D$6/12))</f>
        <v>-166554.89501831357</v>
      </c>
      <c r="AR30" s="188">
        <f>AQ30*(1+('Annual CF'!$D$6/12))</f>
        <v>-166971.28225585935</v>
      </c>
      <c r="AS30" s="188">
        <f>AR30*(1+('Annual CF'!$D$6/12))</f>
        <v>-167388.71046149899</v>
      </c>
      <c r="AT30" s="188">
        <f>AS30*(1+('Annual CF'!$D$6/12))</f>
        <v>-167807.18223765274</v>
      </c>
      <c r="AU30" s="188">
        <f>AT30*(1+('Annual CF'!$D$6/12))</f>
        <v>-168226.70019324686</v>
      </c>
      <c r="AV30" s="188">
        <f>AU30*(1+('Annual CF'!$D$6/12))</f>
        <v>-168647.26694372998</v>
      </c>
      <c r="AW30" s="188">
        <f>AV30*(1+('Annual CF'!$D$6/12))</f>
        <v>-169068.8851110893</v>
      </c>
      <c r="AX30" s="188">
        <f>AW30*(1+('Annual CF'!$D$6/12))</f>
        <v>-169491.55732386702</v>
      </c>
      <c r="AY30" s="188">
        <f>AX30*(1+('Annual CF'!$D$6/12))</f>
        <v>-169915.28621717668</v>
      </c>
      <c r="AZ30" s="188">
        <f>AY30*(1+('Annual CF'!$D$6/12))</f>
        <v>-170340.07443271962</v>
      </c>
      <c r="BA30" s="188">
        <f>AZ30*(1+('Annual CF'!$D$6/12))</f>
        <v>-170765.92461880139</v>
      </c>
      <c r="BB30" s="188">
        <f>BA30*(1+('Annual CF'!$D$6/12))</f>
        <v>-171192.83943034839</v>
      </c>
      <c r="BC30" s="188">
        <f>BB30*(1+('Annual CF'!$D$6/12))</f>
        <v>-171620.82152892425</v>
      </c>
      <c r="BD30" s="188">
        <f>BC30*(1+('Annual CF'!$D$6/12))</f>
        <v>-172049.87358274654</v>
      </c>
      <c r="BE30" s="188">
        <f>BD30*(1+('Annual CF'!$D$6/12))</f>
        <v>-172479.99826670339</v>
      </c>
      <c r="BF30" s="188">
        <f>BE30*(1+('Annual CF'!$D$6/12))</f>
        <v>-172911.19826237013</v>
      </c>
      <c r="BG30" s="188">
        <f>BF30*(1+('Annual CF'!$D$6/12))</f>
        <v>-173343.47625802606</v>
      </c>
      <c r="BH30" s="188">
        <f>BG30*(1+('Annual CF'!$D$6/12))</f>
        <v>-173776.83494867111</v>
      </c>
      <c r="BI30" s="188">
        <f>BH30*(1+('Annual CF'!$D$6/12))</f>
        <v>-174211.27703604277</v>
      </c>
      <c r="BJ30" s="188">
        <f>BI30*(1+('Annual CF'!$D$6/12))</f>
        <v>-174646.80522863287</v>
      </c>
      <c r="BK30" s="188">
        <f>BJ30*(1+('Annual CF'!$D$6/12))</f>
        <v>-175083.42224170445</v>
      </c>
      <c r="BL30" s="188">
        <f>BK30*(1+('Annual CF'!$D$6/12))</f>
        <v>-175521.1307973087</v>
      </c>
      <c r="BM30" s="188">
        <f>BL30*(1+('Annual CF'!$D$6/12))</f>
        <v>-175959.93362430195</v>
      </c>
      <c r="BN30" s="188">
        <f>BM30*(1+('Annual CF'!$D$6/12))</f>
        <v>-176399.8334583627</v>
      </c>
      <c r="BO30" s="188">
        <f>BN30*(1+('Annual CF'!$D$6/12))</f>
        <v>-176840.8330420086</v>
      </c>
      <c r="BP30" s="188">
        <f>BO30*(1+('Annual CF'!$D$6/12))</f>
        <v>-177282.93512461361</v>
      </c>
      <c r="BQ30" s="188">
        <f>BP30*(1+('Annual CF'!$D$6/12))</f>
        <v>-177726.14246242514</v>
      </c>
      <c r="BR30" s="188">
        <f>BQ30*(1+('Annual CF'!$D$6/12))</f>
        <v>-178170.4578185812</v>
      </c>
      <c r="BS30" s="188">
        <f>BR30*(1+('Annual CF'!$D$6/12))</f>
        <v>-178615.88396312765</v>
      </c>
      <c r="BT30" s="188">
        <f>BS30*(1+('Annual CF'!$D$6/12))</f>
        <v>-179062.42367303546</v>
      </c>
      <c r="BU30" s="188">
        <f>BT30*(1+('Annual CF'!$D$6/12))</f>
        <v>-179510.07973221803</v>
      </c>
      <c r="BV30" s="188">
        <f>BU30*(1+('Annual CF'!$D$6/12))</f>
        <v>-179958.85493154856</v>
      </c>
      <c r="BW30" s="188">
        <f>BV30*(1+('Annual CF'!$D$6/12))</f>
        <v>-180408.75206887742</v>
      </c>
      <c r="BX30" s="188">
        <f>BW30*(1+('Annual CF'!$D$6/12))</f>
        <v>-180859.77394904962</v>
      </c>
      <c r="BY30" s="188">
        <f>BX30*(1+('Annual CF'!$D$6/12))</f>
        <v>-181311.92338392223</v>
      </c>
      <c r="BZ30" s="188">
        <f>BY30*(1+('Annual CF'!$D$6/12))</f>
        <v>-181765.20319238203</v>
      </c>
      <c r="CA30" s="188">
        <f>BZ30*(1+('Annual CF'!$D$6/12))</f>
        <v>-182219.61620036297</v>
      </c>
      <c r="CB30" s="188">
        <f>CA30*(1+('Annual CF'!$D$6/12))</f>
        <v>-182675.16524086386</v>
      </c>
      <c r="CC30" s="188">
        <f>CB30*(1+('Annual CF'!$D$6/12))</f>
        <v>-183131.85315396602</v>
      </c>
      <c r="CD30" s="188">
        <f>CC30*(1+('Annual CF'!$D$6/12))</f>
        <v>-183589.68278685093</v>
      </c>
      <c r="CE30" s="188">
        <f>CD30*(1+('Annual CF'!$D$6/12))</f>
        <v>-184048.65699381803</v>
      </c>
      <c r="CF30" s="188">
        <f>CE30*(1+('Annual CF'!$D$6/12))</f>
        <v>-184508.77863630257</v>
      </c>
      <c r="CG30" s="188">
        <f>CF30*(1+('Annual CF'!$D$6/12))</f>
        <v>-184970.05058289331</v>
      </c>
      <c r="CH30" s="188">
        <f>CG30*(1+('Annual CF'!$D$6/12))</f>
        <v>-185432.47570935055</v>
      </c>
      <c r="CI30" s="188">
        <f>CH30*(1+('Annual CF'!$D$6/12))</f>
        <v>-185896.05689862391</v>
      </c>
      <c r="CJ30" s="188">
        <f>CI30*(1+('Annual CF'!$D$6/12))</f>
        <v>-186360.79704087047</v>
      </c>
      <c r="CK30" s="188">
        <f>CJ30*(1+('Annual CF'!$D$6/12))</f>
        <v>-186826.69903347263</v>
      </c>
      <c r="CL30" s="188">
        <f>CK30*(1+('Annual CF'!$D$6/12))</f>
        <v>-187293.76578105631</v>
      </c>
      <c r="CM30" s="188">
        <f>CL30*(1+('Annual CF'!$D$6/12))</f>
        <v>-187762.00019550894</v>
      </c>
      <c r="CN30" s="188">
        <f>CM30*(1+('Annual CF'!$D$6/12))</f>
        <v>-188231.40519599771</v>
      </c>
      <c r="CO30" s="188">
        <f>CN30*(1+('Annual CF'!$D$6/12))</f>
        <v>-188701.98370898768</v>
      </c>
      <c r="CP30" s="188">
        <f>CO30*(1+('Annual CF'!$D$6/12))</f>
        <v>-189173.73866826014</v>
      </c>
      <c r="CQ30" s="188">
        <f>CP30*(1+('Annual CF'!$D$6/12))</f>
        <v>-189646.67301493077</v>
      </c>
      <c r="CR30" s="188">
        <f>CQ30*(1+('Annual CF'!$D$6/12))</f>
        <v>-190120.78969746808</v>
      </c>
      <c r="CS30" s="188">
        <f>CR30*(1+('Annual CF'!$D$6/12))</f>
        <v>-190596.09167171174</v>
      </c>
      <c r="CT30" s="188">
        <f>CS30*(1+('Annual CF'!$D$6/12))</f>
        <v>-191072.581900891</v>
      </c>
      <c r="CU30" s="188">
        <f>CT30*(1+('Annual CF'!$D$6/12))</f>
        <v>-191550.26335564323</v>
      </c>
      <c r="CV30" s="188">
        <f>CU30*(1+('Annual CF'!$D$6/12))</f>
        <v>-192029.13901403232</v>
      </c>
      <c r="CW30" s="188">
        <f>CV30*(1+('Annual CF'!$D$6/12))</f>
        <v>-192509.2118615674</v>
      </c>
      <c r="CX30" s="188">
        <f>CW30*(1+('Annual CF'!$D$6/12))</f>
        <v>-192990.48489122131</v>
      </c>
      <c r="CY30" s="188">
        <f>CX30*(1+('Annual CF'!$D$6/12))</f>
        <v>-193472.96110344934</v>
      </c>
      <c r="CZ30" s="188">
        <f>CY30*(1+('Annual CF'!$D$6/12))</f>
        <v>-193956.64350620797</v>
      </c>
      <c r="DA30" s="188">
        <f>CZ30*(1+('Annual CF'!$D$6/12))</f>
        <v>-194441.53511497349</v>
      </c>
      <c r="DB30" s="188">
        <f>DA30*(1+('Annual CF'!$D$6/12))</f>
        <v>-194927.63895276093</v>
      </c>
      <c r="DC30" s="188">
        <f>DB30*(1+('Annual CF'!$D$6/12))</f>
        <v>-195414.95805014283</v>
      </c>
      <c r="DD30" s="188">
        <f>DC30*(1+('Annual CF'!$D$6/12))</f>
        <v>-195903.49544526817</v>
      </c>
      <c r="DE30" s="188">
        <f>DD30*(1+('Annual CF'!$D$6/12))</f>
        <v>-196393.25418388133</v>
      </c>
      <c r="DF30" s="188">
        <f>DE30*(1+('Annual CF'!$D$6/12))</f>
        <v>-196884.23731934102</v>
      </c>
      <c r="DG30" s="188">
        <f>DF30*(1+('Annual CF'!$D$6/12))</f>
        <v>-197376.44791263936</v>
      </c>
      <c r="DH30" s="188">
        <f>DG30*(1+('Annual CF'!$D$6/12))</f>
        <v>-197869.88903242094</v>
      </c>
      <c r="DI30" s="188">
        <f>DH30*(1+('Annual CF'!$D$6/12))</f>
        <v>-198364.56375500199</v>
      </c>
      <c r="DJ30" s="188">
        <f>DI30*(1+('Annual CF'!$D$6/12))</f>
        <v>-198860.47516438947</v>
      </c>
      <c r="DK30" s="188">
        <f>DJ30*(1+('Annual CF'!$D$6/12))</f>
        <v>-199357.62635230043</v>
      </c>
      <c r="DL30" s="188">
        <f>DK30*(1+('Annual CF'!$D$6/12))</f>
        <v>-199856.02041818117</v>
      </c>
      <c r="DM30" s="188">
        <f>DL30*(1+('Annual CF'!$D$6/12))</f>
        <v>-200355.66046922663</v>
      </c>
      <c r="DN30" s="188">
        <f>DM30*(1+('Annual CF'!$D$6/12))</f>
        <v>-200856.54962039969</v>
      </c>
      <c r="DO30" s="188">
        <f>DN30*(1+('Annual CF'!$D$6/12))</f>
        <v>-201358.69099445068</v>
      </c>
      <c r="DP30" s="188">
        <f>DO30*(1+('Annual CF'!$D$6/12))</f>
        <v>-201862.08772193678</v>
      </c>
      <c r="DQ30" s="188">
        <f>DP30*(1+('Annual CF'!$D$6/12))</f>
        <v>-202366.74294124162</v>
      </c>
      <c r="DR30" s="188">
        <f>DQ30*(1+('Annual CF'!$D$6/12))</f>
        <v>-202872.65979859472</v>
      </c>
      <c r="DS30" s="188">
        <f>DR30*(1+('Annual CF'!$D$6/12))</f>
        <v>-203379.8414480912</v>
      </c>
      <c r="DT30" s="188">
        <f>DS30*(1+('Annual CF'!$D$6/12))</f>
        <v>-203888.29105171142</v>
      </c>
      <c r="DU30" s="69" t="s">
        <v>0</v>
      </c>
    </row>
    <row r="31" spans="2:125" x14ac:dyDescent="0.25">
      <c r="B31" s="139" t="s">
        <v>40</v>
      </c>
      <c r="C31" s="188">
        <f>SUM(D31:CJ31)</f>
        <v>14418179.613389278</v>
      </c>
      <c r="D31" s="188">
        <f>-('YoC Analysis'!$D$11)/12</f>
        <v>160833.33333333334</v>
      </c>
      <c r="E31" s="188">
        <f>-('YoC Analysis'!$D$11)/12</f>
        <v>160833.33333333334</v>
      </c>
      <c r="F31" s="188">
        <f>-('YoC Analysis'!$D$11)/12</f>
        <v>160833.33333333334</v>
      </c>
      <c r="G31" s="188">
        <f>-('YoC Analysis'!$D$11)/12</f>
        <v>160833.33333333334</v>
      </c>
      <c r="H31" s="188">
        <f>-('YoC Analysis'!$D$11)/12</f>
        <v>160833.33333333334</v>
      </c>
      <c r="I31" s="188">
        <f>-('YoC Analysis'!$D$11)/12</f>
        <v>160833.33333333334</v>
      </c>
      <c r="J31" s="188">
        <f>-('YoC Analysis'!$D$11)/12</f>
        <v>160833.33333333334</v>
      </c>
      <c r="K31" s="188">
        <f>-('YoC Analysis'!$D$11)/12</f>
        <v>160833.33333333334</v>
      </c>
      <c r="L31" s="188">
        <f>-('YoC Analysis'!$D$11)/12</f>
        <v>160833.33333333334</v>
      </c>
      <c r="M31" s="188">
        <f>-('YoC Analysis'!$D$11)/12</f>
        <v>160833.33333333334</v>
      </c>
      <c r="N31" s="188">
        <f>-('YoC Analysis'!$D$11)/12</f>
        <v>160833.33333333334</v>
      </c>
      <c r="O31" s="188">
        <f>-('YoC Analysis'!$D$11)/12</f>
        <v>160833.33333333334</v>
      </c>
      <c r="P31" s="188">
        <f>-('YoC Analysis'!$D$11)/12</f>
        <v>160833.33333333334</v>
      </c>
      <c r="Q31" s="188">
        <f>-('YoC Analysis'!$D$11)/12</f>
        <v>160833.33333333334</v>
      </c>
      <c r="R31" s="188">
        <f>-('YoC Analysis'!$D$11)/12</f>
        <v>160833.33333333334</v>
      </c>
      <c r="S31" s="188">
        <f>-('YoC Analysis'!$D$11)/12</f>
        <v>160833.33333333334</v>
      </c>
      <c r="T31" s="188">
        <f>-('YoC Analysis'!$D$11)/12</f>
        <v>160833.33333333334</v>
      </c>
      <c r="U31" s="188">
        <f>-('YoC Analysis'!$D$11)/12</f>
        <v>160833.33333333334</v>
      </c>
      <c r="V31" s="188">
        <f>-('YoC Analysis'!$D$11)/12</f>
        <v>160833.33333333334</v>
      </c>
      <c r="W31" s="188">
        <f>-('YoC Analysis'!$D$11)/12</f>
        <v>160833.33333333334</v>
      </c>
      <c r="X31" s="188">
        <f>-('YoC Analysis'!$D$11)/12</f>
        <v>160833.33333333334</v>
      </c>
      <c r="Y31" s="188">
        <f>-('YoC Analysis'!$D$11)/12</f>
        <v>160833.33333333334</v>
      </c>
      <c r="Z31" s="188">
        <f>-('YoC Analysis'!$D$11)/12</f>
        <v>160833.33333333334</v>
      </c>
      <c r="AA31" s="188">
        <f>-('YoC Analysis'!$D$11)/12</f>
        <v>160833.33333333334</v>
      </c>
      <c r="AB31" s="188">
        <f>-('YoC Analysis'!$D$11)/12</f>
        <v>160833.33333333334</v>
      </c>
      <c r="AC31" s="188">
        <f>-('YoC Analysis'!$D$11)/12</f>
        <v>160833.33333333334</v>
      </c>
      <c r="AD31" s="188">
        <f t="shared" ref="AD31:BI31" si="141">-AD30</f>
        <v>161235.41666666666</v>
      </c>
      <c r="AE31" s="188">
        <f t="shared" si="141"/>
        <v>161638.50520833331</v>
      </c>
      <c r="AF31" s="188">
        <f t="shared" si="141"/>
        <v>162042.60147135414</v>
      </c>
      <c r="AG31" s="188">
        <f t="shared" si="141"/>
        <v>162447.70797503251</v>
      </c>
      <c r="AH31" s="188">
        <f t="shared" si="141"/>
        <v>162853.82724497007</v>
      </c>
      <c r="AI31" s="188">
        <f t="shared" si="141"/>
        <v>163260.96181308248</v>
      </c>
      <c r="AJ31" s="188">
        <f t="shared" si="141"/>
        <v>163669.11421761519</v>
      </c>
      <c r="AK31" s="188">
        <f t="shared" si="141"/>
        <v>164078.28700315923</v>
      </c>
      <c r="AL31" s="188">
        <f t="shared" si="141"/>
        <v>164488.48272066712</v>
      </c>
      <c r="AM31" s="188">
        <f t="shared" si="141"/>
        <v>164899.70392746877</v>
      </c>
      <c r="AN31" s="188">
        <f t="shared" si="141"/>
        <v>165311.95318728744</v>
      </c>
      <c r="AO31" s="188">
        <f t="shared" si="141"/>
        <v>165725.23307025564</v>
      </c>
      <c r="AP31" s="188">
        <f t="shared" si="141"/>
        <v>166139.54615293126</v>
      </c>
      <c r="AQ31" s="188">
        <f t="shared" si="141"/>
        <v>166554.89501831357</v>
      </c>
      <c r="AR31" s="188">
        <f t="shared" si="141"/>
        <v>166971.28225585935</v>
      </c>
      <c r="AS31" s="188">
        <f t="shared" si="141"/>
        <v>167388.71046149899</v>
      </c>
      <c r="AT31" s="188">
        <f t="shared" si="141"/>
        <v>167807.18223765274</v>
      </c>
      <c r="AU31" s="188">
        <f t="shared" si="141"/>
        <v>168226.70019324686</v>
      </c>
      <c r="AV31" s="188">
        <f t="shared" si="141"/>
        <v>168647.26694372998</v>
      </c>
      <c r="AW31" s="188">
        <f t="shared" si="141"/>
        <v>169068.8851110893</v>
      </c>
      <c r="AX31" s="188">
        <f t="shared" si="141"/>
        <v>169491.55732386702</v>
      </c>
      <c r="AY31" s="188">
        <f t="shared" si="141"/>
        <v>169915.28621717668</v>
      </c>
      <c r="AZ31" s="188">
        <f t="shared" si="141"/>
        <v>170340.07443271962</v>
      </c>
      <c r="BA31" s="188">
        <f t="shared" si="141"/>
        <v>170765.92461880139</v>
      </c>
      <c r="BB31" s="188">
        <f t="shared" si="141"/>
        <v>171192.83943034839</v>
      </c>
      <c r="BC31" s="188">
        <f t="shared" si="141"/>
        <v>171620.82152892425</v>
      </c>
      <c r="BD31" s="188">
        <f t="shared" si="141"/>
        <v>172049.87358274654</v>
      </c>
      <c r="BE31" s="188">
        <f t="shared" si="141"/>
        <v>172479.99826670339</v>
      </c>
      <c r="BF31" s="188">
        <f t="shared" si="141"/>
        <v>172911.19826237013</v>
      </c>
      <c r="BG31" s="188">
        <f t="shared" si="141"/>
        <v>173343.47625802606</v>
      </c>
      <c r="BH31" s="188">
        <f t="shared" si="141"/>
        <v>173776.83494867111</v>
      </c>
      <c r="BI31" s="188">
        <f t="shared" si="141"/>
        <v>174211.27703604277</v>
      </c>
      <c r="BJ31" s="188">
        <f t="shared" ref="BJ31:CJ31" si="142">-BJ30</f>
        <v>174646.80522863287</v>
      </c>
      <c r="BK31" s="188">
        <f t="shared" si="142"/>
        <v>175083.42224170445</v>
      </c>
      <c r="BL31" s="188">
        <f t="shared" si="142"/>
        <v>175521.1307973087</v>
      </c>
      <c r="BM31" s="188">
        <f t="shared" si="142"/>
        <v>175959.93362430195</v>
      </c>
      <c r="BN31" s="188">
        <f t="shared" si="142"/>
        <v>176399.8334583627</v>
      </c>
      <c r="BO31" s="188">
        <f t="shared" si="142"/>
        <v>176840.8330420086</v>
      </c>
      <c r="BP31" s="188">
        <f t="shared" si="142"/>
        <v>177282.93512461361</v>
      </c>
      <c r="BQ31" s="188">
        <f t="shared" si="142"/>
        <v>177726.14246242514</v>
      </c>
      <c r="BR31" s="188">
        <f t="shared" si="142"/>
        <v>178170.4578185812</v>
      </c>
      <c r="BS31" s="188">
        <f t="shared" si="142"/>
        <v>178615.88396312765</v>
      </c>
      <c r="BT31" s="188">
        <f t="shared" si="142"/>
        <v>179062.42367303546</v>
      </c>
      <c r="BU31" s="188">
        <f t="shared" si="142"/>
        <v>179510.07973221803</v>
      </c>
      <c r="BV31" s="188">
        <f t="shared" si="142"/>
        <v>179958.85493154856</v>
      </c>
      <c r="BW31" s="188">
        <f t="shared" si="142"/>
        <v>180408.75206887742</v>
      </c>
      <c r="BX31" s="188">
        <f t="shared" si="142"/>
        <v>180859.77394904962</v>
      </c>
      <c r="BY31" s="188">
        <f t="shared" si="142"/>
        <v>181311.92338392223</v>
      </c>
      <c r="BZ31" s="188">
        <f t="shared" si="142"/>
        <v>181765.20319238203</v>
      </c>
      <c r="CA31" s="188">
        <f t="shared" si="142"/>
        <v>182219.61620036297</v>
      </c>
      <c r="CB31" s="188">
        <f t="shared" si="142"/>
        <v>182675.16524086386</v>
      </c>
      <c r="CC31" s="188">
        <f t="shared" si="142"/>
        <v>183131.85315396602</v>
      </c>
      <c r="CD31" s="188">
        <f t="shared" si="142"/>
        <v>183589.68278685093</v>
      </c>
      <c r="CE31" s="188">
        <f t="shared" si="142"/>
        <v>184048.65699381803</v>
      </c>
      <c r="CF31" s="188">
        <f t="shared" si="142"/>
        <v>184508.77863630257</v>
      </c>
      <c r="CG31" s="188">
        <f t="shared" si="142"/>
        <v>184970.05058289331</v>
      </c>
      <c r="CH31" s="188">
        <f t="shared" si="142"/>
        <v>185432.47570935055</v>
      </c>
      <c r="CI31" s="188">
        <f t="shared" si="142"/>
        <v>185896.05689862391</v>
      </c>
      <c r="CJ31" s="188">
        <f t="shared" si="142"/>
        <v>186360.79704087047</v>
      </c>
      <c r="CK31" s="188">
        <f t="shared" ref="CK31" si="143">-CK30</f>
        <v>186826.69903347263</v>
      </c>
      <c r="CL31" s="188">
        <f t="shared" ref="CL31" si="144">-CL30</f>
        <v>187293.76578105631</v>
      </c>
      <c r="CM31" s="188">
        <f t="shared" ref="CM31" si="145">-CM30</f>
        <v>187762.00019550894</v>
      </c>
      <c r="CN31" s="188">
        <f t="shared" ref="CN31" si="146">-CN30</f>
        <v>188231.40519599771</v>
      </c>
      <c r="CO31" s="188">
        <f t="shared" ref="CO31" si="147">-CO30</f>
        <v>188701.98370898768</v>
      </c>
      <c r="CP31" s="188">
        <f t="shared" ref="CP31" si="148">-CP30</f>
        <v>189173.73866826014</v>
      </c>
      <c r="CQ31" s="188">
        <f t="shared" ref="CQ31" si="149">-CQ30</f>
        <v>189646.67301493077</v>
      </c>
      <c r="CR31" s="188">
        <f t="shared" ref="CR31" si="150">-CR30</f>
        <v>190120.78969746808</v>
      </c>
      <c r="CS31" s="188">
        <f t="shared" ref="CS31" si="151">-CS30</f>
        <v>190596.09167171174</v>
      </c>
      <c r="CT31" s="188">
        <f t="shared" ref="CT31" si="152">-CT30</f>
        <v>191072.581900891</v>
      </c>
      <c r="CU31" s="188">
        <f t="shared" ref="CU31" si="153">-CU30</f>
        <v>191550.26335564323</v>
      </c>
      <c r="CV31" s="188">
        <f t="shared" ref="CV31" si="154">-CV30</f>
        <v>192029.13901403232</v>
      </c>
      <c r="CW31" s="188">
        <f t="shared" ref="CW31" si="155">-CW30</f>
        <v>192509.2118615674</v>
      </c>
      <c r="CX31" s="188">
        <f t="shared" ref="CX31" si="156">-CX30</f>
        <v>192990.48489122131</v>
      </c>
      <c r="CY31" s="188">
        <f t="shared" ref="CY31" si="157">-CY30</f>
        <v>193472.96110344934</v>
      </c>
      <c r="CZ31" s="188">
        <f t="shared" ref="CZ31" si="158">-CZ30</f>
        <v>193956.64350620797</v>
      </c>
      <c r="DA31" s="188">
        <f t="shared" ref="DA31" si="159">-DA30</f>
        <v>194441.53511497349</v>
      </c>
      <c r="DB31" s="188">
        <f t="shared" ref="DB31" si="160">-DB30</f>
        <v>194927.63895276093</v>
      </c>
      <c r="DC31" s="188">
        <f t="shared" ref="DC31" si="161">-DC30</f>
        <v>195414.95805014283</v>
      </c>
      <c r="DD31" s="188">
        <f t="shared" ref="DD31" si="162">-DD30</f>
        <v>195903.49544526817</v>
      </c>
      <c r="DE31" s="188">
        <f t="shared" ref="DE31" si="163">-DE30</f>
        <v>196393.25418388133</v>
      </c>
      <c r="DF31" s="188">
        <f t="shared" ref="DF31" si="164">-DF30</f>
        <v>196884.23731934102</v>
      </c>
      <c r="DG31" s="188">
        <f t="shared" ref="DG31" si="165">-DG30</f>
        <v>197376.44791263936</v>
      </c>
      <c r="DH31" s="188">
        <f t="shared" ref="DH31" si="166">-DH30</f>
        <v>197869.88903242094</v>
      </c>
      <c r="DI31" s="188">
        <f t="shared" ref="DI31" si="167">-DI30</f>
        <v>198364.56375500199</v>
      </c>
      <c r="DJ31" s="188">
        <f t="shared" ref="DJ31" si="168">-DJ30</f>
        <v>198860.47516438947</v>
      </c>
      <c r="DK31" s="188">
        <f t="shared" ref="DK31" si="169">-DK30</f>
        <v>199357.62635230043</v>
      </c>
      <c r="DL31" s="188">
        <f t="shared" ref="DL31" si="170">-DL30</f>
        <v>199856.02041818117</v>
      </c>
      <c r="DM31" s="188">
        <f t="shared" ref="DM31" si="171">-DM30</f>
        <v>200355.66046922663</v>
      </c>
      <c r="DN31" s="188">
        <f t="shared" ref="DN31" si="172">-DN30</f>
        <v>200856.54962039969</v>
      </c>
      <c r="DO31" s="188">
        <f t="shared" ref="DO31" si="173">-DO30</f>
        <v>201358.69099445068</v>
      </c>
      <c r="DP31" s="188">
        <f t="shared" ref="DP31" si="174">-DP30</f>
        <v>201862.08772193678</v>
      </c>
      <c r="DQ31" s="188">
        <f t="shared" ref="DQ31" si="175">-DQ30</f>
        <v>202366.74294124162</v>
      </c>
      <c r="DR31" s="188">
        <f t="shared" ref="DR31" si="176">-DR30</f>
        <v>202872.65979859472</v>
      </c>
      <c r="DS31" s="188">
        <f t="shared" ref="DS31" si="177">-DS30</f>
        <v>203379.8414480912</v>
      </c>
      <c r="DT31" s="188">
        <f t="shared" ref="DT31" si="178">-DT30</f>
        <v>203888.29105171142</v>
      </c>
      <c r="DU31" s="69" t="s">
        <v>0</v>
      </c>
    </row>
    <row r="32" spans="2:125" x14ac:dyDescent="0.25">
      <c r="B32" s="1" t="s">
        <v>87</v>
      </c>
      <c r="C32" s="188">
        <f>SUM(D32:CJ32)</f>
        <v>-5476677.1081498405</v>
      </c>
      <c r="D32" s="188"/>
      <c r="E32" s="188"/>
      <c r="F32" s="188"/>
      <c r="G32" s="188"/>
      <c r="H32" s="188"/>
      <c r="I32" s="188"/>
      <c r="J32" s="188"/>
      <c r="K32" s="188"/>
      <c r="L32" s="188"/>
      <c r="M32" s="188"/>
      <c r="N32" s="188"/>
      <c r="O32" s="188"/>
      <c r="P32" s="188"/>
      <c r="Q32" s="188"/>
      <c r="R32" s="188"/>
      <c r="S32" s="188"/>
      <c r="T32" s="188"/>
      <c r="U32" s="188"/>
      <c r="V32" s="188"/>
      <c r="W32" s="188"/>
      <c r="X32" s="188"/>
      <c r="Y32" s="188"/>
      <c r="Z32" s="188"/>
      <c r="AA32" s="188"/>
      <c r="AB32" s="188"/>
      <c r="AC32" s="188">
        <f>-AC22*'YoC Analysis'!$C$13</f>
        <v>0</v>
      </c>
      <c r="AD32" s="188">
        <f>-AD22*'YoC Analysis'!$C$13</f>
        <v>-53946.887500000012</v>
      </c>
      <c r="AE32" s="188">
        <f>-AE22*'YoC Analysis'!$C$13</f>
        <v>-54104.232588541679</v>
      </c>
      <c r="AF32" s="188">
        <f>-AF22*'YoC Analysis'!$C$13</f>
        <v>-86710.983318513943</v>
      </c>
      <c r="AG32" s="188">
        <f>-AG22*'YoC Analysis'!$C$13</f>
        <v>-86963.890353192954</v>
      </c>
      <c r="AH32" s="188">
        <f>-AH22*'YoC Analysis'!$C$13</f>
        <v>-87217.535033389766</v>
      </c>
      <c r="AI32" s="188">
        <f>-AI22*'YoC Analysis'!$C$13</f>
        <v>-87471.919510570486</v>
      </c>
      <c r="AJ32" s="188">
        <f>-AJ22*'YoC Analysis'!$C$13</f>
        <v>-87727.045942476296</v>
      </c>
      <c r="AK32" s="188">
        <f>-AK22*'YoC Analysis'!$C$13</f>
        <v>-87982.916493141878</v>
      </c>
      <c r="AL32" s="188">
        <f>-AL22*'YoC Analysis'!$C$13</f>
        <v>-88239.533332913561</v>
      </c>
      <c r="AM32" s="188">
        <f>-AM22*'YoC Analysis'!$C$13</f>
        <v>-88496.898638467872</v>
      </c>
      <c r="AN32" s="188">
        <f>-AN22*'YoC Analysis'!$C$13</f>
        <v>-88755.014592830077</v>
      </c>
      <c r="AO32" s="188">
        <f>-AO22*'YoC Analysis'!$C$13</f>
        <v>-89013.883385392503</v>
      </c>
      <c r="AP32" s="188">
        <f>-AP22*'YoC Analysis'!$C$13</f>
        <v>-89273.507211933218</v>
      </c>
      <c r="AQ32" s="188">
        <f>-AQ22*'YoC Analysis'!$C$13</f>
        <v>-89533.888274634694</v>
      </c>
      <c r="AR32" s="188">
        <f>-AR22*'YoC Analysis'!$C$13</f>
        <v>-89795.028782102381</v>
      </c>
      <c r="AS32" s="188">
        <f>-AS22*'YoC Analysis'!$C$13</f>
        <v>-90056.930949383517</v>
      </c>
      <c r="AT32" s="188">
        <f>-AT22*'YoC Analysis'!$C$13</f>
        <v>-90319.596997985878</v>
      </c>
      <c r="AU32" s="188">
        <f>-AU22*'YoC Analysis'!$C$13</f>
        <v>-90583.029155896686</v>
      </c>
      <c r="AV32" s="188">
        <f>-AV22*'YoC Analysis'!$C$13</f>
        <v>-90847.229657601376</v>
      </c>
      <c r="AW32" s="188">
        <f>-AW22*'YoC Analysis'!$C$13</f>
        <v>-91112.200744102709</v>
      </c>
      <c r="AX32" s="188">
        <f>-AX22*'YoC Analysis'!$C$13</f>
        <v>-91377.944662939684</v>
      </c>
      <c r="AY32" s="188">
        <f>-AY22*'YoC Analysis'!$C$13</f>
        <v>-91644.463668206576</v>
      </c>
      <c r="AZ32" s="188">
        <f>-AZ22*'YoC Analysis'!$C$13</f>
        <v>-91911.760020572197</v>
      </c>
      <c r="BA32" s="188">
        <f>-BA22*'YoC Analysis'!$C$13</f>
        <v>-92179.835987298866</v>
      </c>
      <c r="BB32" s="188">
        <f>-BB22*'YoC Analysis'!$C$13</f>
        <v>-92448.69384226184</v>
      </c>
      <c r="BC32" s="188">
        <f>-BC22*'YoC Analysis'!$C$13</f>
        <v>-92718.335865968431</v>
      </c>
      <c r="BD32" s="188">
        <f>-BD22*'YoC Analysis'!$C$13</f>
        <v>-92988.764345577511</v>
      </c>
      <c r="BE32" s="188">
        <f>-BE22*'YoC Analysis'!$C$13</f>
        <v>-93259.981574918784</v>
      </c>
      <c r="BF32" s="188">
        <f>-BF22*'YoC Analysis'!$C$13</f>
        <v>-93531.989854512285</v>
      </c>
      <c r="BG32" s="188">
        <f>-BG22*'YoC Analysis'!$C$13</f>
        <v>-93804.791491587966</v>
      </c>
      <c r="BH32" s="188">
        <f>-BH22*'YoC Analysis'!$C$13</f>
        <v>-94078.38880010508</v>
      </c>
      <c r="BI32" s="188">
        <f>-BI22*'YoC Analysis'!$C$13</f>
        <v>-94352.784100772071</v>
      </c>
      <c r="BJ32" s="188">
        <f>-BJ22*'YoC Analysis'!$C$13</f>
        <v>-94627.979721065989</v>
      </c>
      <c r="BK32" s="188">
        <f>-BK22*'YoC Analysis'!$C$13</f>
        <v>-94903.977995252426</v>
      </c>
      <c r="BL32" s="188">
        <f>-BL22*'YoC Analysis'!$C$13</f>
        <v>-95180.781264405246</v>
      </c>
      <c r="BM32" s="188">
        <f>-BM22*'YoC Analysis'!$C$13</f>
        <v>-95458.391876426438</v>
      </c>
      <c r="BN32" s="188">
        <f>-BN22*'YoC Analysis'!$C$13</f>
        <v>-95736.812186066003</v>
      </c>
      <c r="BO32" s="188">
        <f>-BO22*'YoC Analysis'!$C$13</f>
        <v>-96016.04455494204</v>
      </c>
      <c r="BP32" s="188">
        <f>-BP22*'YoC Analysis'!$C$13</f>
        <v>-96296.091351560623</v>
      </c>
      <c r="BQ32" s="188">
        <f>-BQ22*'YoC Analysis'!$C$13</f>
        <v>-96576.954951336011</v>
      </c>
      <c r="BR32" s="188">
        <f>-BR22*'YoC Analysis'!$C$13</f>
        <v>-96858.637736610734</v>
      </c>
      <c r="BS32" s="188">
        <f>-BS22*'YoC Analysis'!$C$13</f>
        <v>-97141.14209667586</v>
      </c>
      <c r="BT32" s="188">
        <f>-BT22*'YoC Analysis'!$C$13</f>
        <v>-97424.470427791166</v>
      </c>
      <c r="BU32" s="188">
        <f>-BU22*'YoC Analysis'!$C$13</f>
        <v>-97708.625133205554</v>
      </c>
      <c r="BV32" s="188">
        <f>-BV22*'YoC Analysis'!$C$13</f>
        <v>-97993.60862317741</v>
      </c>
      <c r="BW32" s="188">
        <f>-BW22*'YoC Analysis'!$C$13</f>
        <v>-98279.423314995016</v>
      </c>
      <c r="BX32" s="188">
        <f>-BX22*'YoC Analysis'!$C$13</f>
        <v>-98566.071632997075</v>
      </c>
      <c r="BY32" s="188">
        <f>-BY22*'YoC Analysis'!$C$13</f>
        <v>-98853.556008593325</v>
      </c>
      <c r="BZ32" s="188">
        <f>-BZ22*'YoC Analysis'!$C$13</f>
        <v>-99141.878880285061</v>
      </c>
      <c r="CA32" s="188">
        <f>-CA22*'YoC Analysis'!$C$13</f>
        <v>-99431.042693685886</v>
      </c>
      <c r="CB32" s="188">
        <f>-CB22*'YoC Analysis'!$C$13</f>
        <v>-99721.049901542487</v>
      </c>
      <c r="CC32" s="188">
        <f>-CC22*'YoC Analysis'!$C$13</f>
        <v>-100011.90296375532</v>
      </c>
      <c r="CD32" s="188">
        <f>-CD22*'YoC Analysis'!$C$13</f>
        <v>-100303.60434739961</v>
      </c>
      <c r="CE32" s="188">
        <f>-CE22*'YoC Analysis'!$C$13</f>
        <v>-100596.1565267462</v>
      </c>
      <c r="CF32" s="188">
        <f>-CF22*'YoC Analysis'!$C$13</f>
        <v>-100889.56198328253</v>
      </c>
      <c r="CG32" s="188">
        <f>-CG22*'YoC Analysis'!$C$13</f>
        <v>-101183.82320573379</v>
      </c>
      <c r="CH32" s="188">
        <f>-CH22*'YoC Analysis'!$C$13</f>
        <v>-101478.94269008383</v>
      </c>
      <c r="CI32" s="188">
        <f>-CI22*'YoC Analysis'!$C$13</f>
        <v>-101774.92293959658</v>
      </c>
      <c r="CJ32" s="188">
        <f>-CJ22*'YoC Analysis'!$C$13</f>
        <v>-102071.76646483708</v>
      </c>
      <c r="CK32" s="188">
        <f>-CK22*'YoC Analysis'!$C$13</f>
        <v>-102369.47578369286</v>
      </c>
      <c r="CL32" s="188">
        <f>-CL22*'YoC Analysis'!$C$13</f>
        <v>-102668.05342139531</v>
      </c>
      <c r="CM32" s="188">
        <f>-CM22*'YoC Analysis'!$C$13</f>
        <v>-102967.50191054105</v>
      </c>
      <c r="CN32" s="188">
        <f>-CN22*'YoC Analysis'!$C$13</f>
        <v>-103267.82379111346</v>
      </c>
      <c r="CO32" s="188">
        <f>-CO22*'YoC Analysis'!$C$13</f>
        <v>-103569.02161050421</v>
      </c>
      <c r="CP32" s="188">
        <f>-CP22*'YoC Analysis'!$C$13</f>
        <v>-103871.09792353485</v>
      </c>
      <c r="CQ32" s="188">
        <f>-CQ22*'YoC Analysis'!$C$13</f>
        <v>-104174.05529247849</v>
      </c>
      <c r="CR32" s="188">
        <f>-CR22*'YoC Analysis'!$C$13</f>
        <v>-104477.89628708154</v>
      </c>
      <c r="CS32" s="188">
        <f>-CS22*'YoC Analysis'!$C$13</f>
        <v>-104782.62348458554</v>
      </c>
      <c r="CT32" s="188">
        <f>-CT22*'YoC Analysis'!$C$13</f>
        <v>-105088.23946974891</v>
      </c>
      <c r="CU32" s="188">
        <f>-CU22*'YoC Analysis'!$C$13</f>
        <v>-105394.74683486902</v>
      </c>
      <c r="CV32" s="188">
        <f>-CV22*'YoC Analysis'!$C$13</f>
        <v>-105702.14817980405</v>
      </c>
      <c r="CW32" s="188">
        <f>-CW22*'YoC Analysis'!$C$13</f>
        <v>-106010.44611199513</v>
      </c>
      <c r="CX32" s="188">
        <f>-CX22*'YoC Analysis'!$C$13</f>
        <v>-106319.64324648846</v>
      </c>
      <c r="CY32" s="188">
        <f>-CY22*'YoC Analysis'!$C$13</f>
        <v>-106629.74220595739</v>
      </c>
      <c r="CZ32" s="188">
        <f>-CZ22*'YoC Analysis'!$C$13</f>
        <v>-106940.74562072475</v>
      </c>
      <c r="DA32" s="188">
        <f>-DA22*'YoC Analysis'!$C$13</f>
        <v>-107252.65612878521</v>
      </c>
      <c r="DB32" s="188">
        <f>-DB22*'YoC Analysis'!$C$13</f>
        <v>-107565.47637582749</v>
      </c>
      <c r="DC32" s="188">
        <f>-DC22*'YoC Analysis'!$C$13</f>
        <v>-107879.209015257</v>
      </c>
      <c r="DD32" s="188">
        <f>-DD22*'YoC Analysis'!$C$13</f>
        <v>-108193.85670821815</v>
      </c>
      <c r="DE32" s="188">
        <f>-DE22*'YoC Analysis'!$C$13</f>
        <v>-108509.42212361713</v>
      </c>
      <c r="DF32" s="188">
        <f>-DF22*'YoC Analysis'!$C$13</f>
        <v>-108825.90793814436</v>
      </c>
      <c r="DG32" s="188">
        <f>-DG22*'YoC Analysis'!$C$13</f>
        <v>-109143.31683629728</v>
      </c>
      <c r="DH32" s="188">
        <f>-DH22*'YoC Analysis'!$C$13</f>
        <v>-109461.65151040314</v>
      </c>
      <c r="DI32" s="188">
        <f>-DI22*'YoC Analysis'!$C$13</f>
        <v>-109780.91466064181</v>
      </c>
      <c r="DJ32" s="188">
        <f>-DJ22*'YoC Analysis'!$C$13</f>
        <v>-110101.1089950687</v>
      </c>
      <c r="DK32" s="188">
        <f>-DK22*'YoC Analysis'!$C$13</f>
        <v>-110422.23722963764</v>
      </c>
      <c r="DL32" s="188">
        <f>-DL22*'YoC Analysis'!$C$13</f>
        <v>-110744.3020882241</v>
      </c>
      <c r="DM32" s="188">
        <f>-DM22*'YoC Analysis'!$C$13</f>
        <v>-111067.30630264808</v>
      </c>
      <c r="DN32" s="188">
        <f>-DN22*'YoC Analysis'!$C$13</f>
        <v>-111391.25261269748</v>
      </c>
      <c r="DO32" s="188">
        <f>-DO22*'YoC Analysis'!$C$13</f>
        <v>-111716.14376615119</v>
      </c>
      <c r="DP32" s="188">
        <f>-DP22*'YoC Analysis'!$C$13</f>
        <v>-112041.98251880247</v>
      </c>
      <c r="DQ32" s="188">
        <f>-DQ22*'YoC Analysis'!$C$13</f>
        <v>-112368.7716344823</v>
      </c>
      <c r="DR32" s="188">
        <f>-DR22*'YoC Analysis'!$C$13</f>
        <v>-112696.51388508287</v>
      </c>
      <c r="DS32" s="188">
        <f>-DS22*'YoC Analysis'!$C$13</f>
        <v>-113025.21205058106</v>
      </c>
      <c r="DT32" s="188">
        <f>-DT22*'YoC Analysis'!$C$13</f>
        <v>-113354.8689190619</v>
      </c>
      <c r="DU32" s="69" t="s">
        <v>0</v>
      </c>
    </row>
    <row r="33" spans="2:125" x14ac:dyDescent="0.25">
      <c r="B33" s="1" t="s">
        <v>88</v>
      </c>
      <c r="C33" s="188">
        <f>SUM(D33:CJ33)</f>
        <v>-7798009.7100419588</v>
      </c>
      <c r="E33" s="188"/>
      <c r="F33" s="188"/>
      <c r="G33" s="188"/>
      <c r="H33" s="188"/>
      <c r="I33" s="188"/>
      <c r="J33" s="188"/>
      <c r="K33" s="188"/>
      <c r="L33" s="188"/>
      <c r="M33" s="188"/>
      <c r="N33" s="188"/>
      <c r="O33" s="188"/>
      <c r="P33" s="188"/>
      <c r="Q33" s="188"/>
      <c r="R33" s="188"/>
      <c r="S33" s="188"/>
      <c r="T33" s="188"/>
      <c r="U33" s="188"/>
      <c r="V33" s="188"/>
      <c r="W33" s="188"/>
      <c r="X33" s="188"/>
      <c r="Y33" s="188"/>
      <c r="Z33" s="188"/>
      <c r="AA33" s="188"/>
      <c r="AB33" s="188"/>
      <c r="AC33" s="188">
        <f>('YoC Analysis'!$D$14)/12</f>
        <v>-120625</v>
      </c>
      <c r="AD33" s="188">
        <f>AC33*(1+('Annual CF'!$D$6/12))</f>
        <v>-120926.5625</v>
      </c>
      <c r="AE33" s="188">
        <f>AD33*(1+('Annual CF'!$D$6/12))</f>
        <v>-121228.87890625</v>
      </c>
      <c r="AF33" s="188">
        <f>AE33*(1+('Annual CF'!$D$6/12))</f>
        <v>-121531.95110351562</v>
      </c>
      <c r="AG33" s="188">
        <f>AF33*(1+('Annual CF'!$D$6/12))</f>
        <v>-121835.78098127439</v>
      </c>
      <c r="AH33" s="188">
        <f>AG33*(1+('Annual CF'!$D$6/12))</f>
        <v>-122140.37043372757</v>
      </c>
      <c r="AI33" s="188">
        <f>AH33*(1+('Annual CF'!$D$6/12))</f>
        <v>-122445.72135981188</v>
      </c>
      <c r="AJ33" s="188">
        <f>AI33*(1+('Annual CF'!$D$6/12))</f>
        <v>-122751.8356632114</v>
      </c>
      <c r="AK33" s="188">
        <f>AJ33*(1+('Annual CF'!$D$6/12))</f>
        <v>-123058.71525236942</v>
      </c>
      <c r="AL33" s="188">
        <f>AK33*(1+('Annual CF'!$D$6/12))</f>
        <v>-123366.36204050035</v>
      </c>
      <c r="AM33" s="188">
        <f>AL33*(1+('Annual CF'!$D$6/12))</f>
        <v>-123674.77794560159</v>
      </c>
      <c r="AN33" s="188">
        <f>AM33*(1+('Annual CF'!$D$6/12))</f>
        <v>-123983.96489046558</v>
      </c>
      <c r="AO33" s="188">
        <f>AN33*(1+('Annual CF'!$D$6/12))</f>
        <v>-124293.92480269173</v>
      </c>
      <c r="AP33" s="188">
        <f>AO33*(1+('Annual CF'!$D$6/12))</f>
        <v>-124604.65961469845</v>
      </c>
      <c r="AQ33" s="188">
        <f>AP33*(1+('Annual CF'!$D$6/12))</f>
        <v>-124916.17126373519</v>
      </c>
      <c r="AR33" s="188">
        <f>AQ33*(1+('Annual CF'!$D$6/12))</f>
        <v>-125228.46169189452</v>
      </c>
      <c r="AS33" s="188">
        <f>AR33*(1+('Annual CF'!$D$6/12))</f>
        <v>-125541.53284612426</v>
      </c>
      <c r="AT33" s="188">
        <f>AS33*(1+('Annual CF'!$D$6/12))</f>
        <v>-125855.38667823956</v>
      </c>
      <c r="AU33" s="188">
        <f>AT33*(1+('Annual CF'!$D$6/12))</f>
        <v>-126170.02514493515</v>
      </c>
      <c r="AV33" s="188">
        <f>AU33*(1+('Annual CF'!$D$6/12))</f>
        <v>-126485.45020779748</v>
      </c>
      <c r="AW33" s="188">
        <f>AV33*(1+('Annual CF'!$D$6/12))</f>
        <v>-126801.66383331697</v>
      </c>
      <c r="AX33" s="188">
        <f>AW33*(1+('Annual CF'!$D$6/12))</f>
        <v>-127118.66799290026</v>
      </c>
      <c r="AY33" s="188">
        <f>AX33*(1+('Annual CF'!$D$6/12))</f>
        <v>-127436.4646628825</v>
      </c>
      <c r="AZ33" s="188">
        <f>AY33*(1+('Annual CF'!$D$6/12))</f>
        <v>-127755.0558245397</v>
      </c>
      <c r="BA33" s="188">
        <f>AZ33*(1+('Annual CF'!$D$6/12))</f>
        <v>-128074.44346410104</v>
      </c>
      <c r="BB33" s="188">
        <f>BA33*(1+('Annual CF'!$D$6/12))</f>
        <v>-128394.62957276129</v>
      </c>
      <c r="BC33" s="188">
        <f>BB33*(1+('Annual CF'!$D$6/12))</f>
        <v>-128715.61614669318</v>
      </c>
      <c r="BD33" s="188">
        <f>BC33*(1+('Annual CF'!$D$6/12))</f>
        <v>-129037.40518705991</v>
      </c>
      <c r="BE33" s="188">
        <f>BD33*(1+('Annual CF'!$D$6/12))</f>
        <v>-129359.99870002754</v>
      </c>
      <c r="BF33" s="188">
        <f>BE33*(1+('Annual CF'!$D$6/12))</f>
        <v>-129683.3986967776</v>
      </c>
      <c r="BG33" s="188">
        <f>BF33*(1+('Annual CF'!$D$6/12))</f>
        <v>-130007.60719351954</v>
      </c>
      <c r="BH33" s="188">
        <f>BG33*(1+('Annual CF'!$D$6/12))</f>
        <v>-130332.62621150333</v>
      </c>
      <c r="BI33" s="188">
        <f>BH33*(1+('Annual CF'!$D$6/12))</f>
        <v>-130658.45777703208</v>
      </c>
      <c r="BJ33" s="188">
        <f>BI33*(1+('Annual CF'!$D$6/12))</f>
        <v>-130985.10392147466</v>
      </c>
      <c r="BK33" s="188">
        <f>BJ33*(1+('Annual CF'!$D$6/12))</f>
        <v>-131312.56668127835</v>
      </c>
      <c r="BL33" s="188">
        <f>BK33*(1+('Annual CF'!$D$6/12))</f>
        <v>-131640.84809798154</v>
      </c>
      <c r="BM33" s="188">
        <f>BL33*(1+('Annual CF'!$D$6/12))</f>
        <v>-131969.95021822647</v>
      </c>
      <c r="BN33" s="188">
        <f>BM33*(1+('Annual CF'!$D$6/12))</f>
        <v>-132299.87509377202</v>
      </c>
      <c r="BO33" s="188">
        <f>BN33*(1+('Annual CF'!$D$6/12))</f>
        <v>-132630.62478150643</v>
      </c>
      <c r="BP33" s="188">
        <f>BO33*(1+('Annual CF'!$D$6/12))</f>
        <v>-132962.20134346018</v>
      </c>
      <c r="BQ33" s="188">
        <f>BP33*(1+('Annual CF'!$D$6/12))</f>
        <v>-133294.60684681882</v>
      </c>
      <c r="BR33" s="188">
        <f>BQ33*(1+('Annual CF'!$D$6/12))</f>
        <v>-133627.84336393586</v>
      </c>
      <c r="BS33" s="188">
        <f>BR33*(1+('Annual CF'!$D$6/12))</f>
        <v>-133961.91297234569</v>
      </c>
      <c r="BT33" s="188">
        <f>BS33*(1+('Annual CF'!$D$6/12))</f>
        <v>-134296.81775477654</v>
      </c>
      <c r="BU33" s="188">
        <f>BT33*(1+('Annual CF'!$D$6/12))</f>
        <v>-134632.55979916349</v>
      </c>
      <c r="BV33" s="188">
        <f>BU33*(1+('Annual CF'!$D$6/12))</f>
        <v>-134969.14119866138</v>
      </c>
      <c r="BW33" s="188">
        <f>BV33*(1+('Annual CF'!$D$6/12))</f>
        <v>-135306.56405165803</v>
      </c>
      <c r="BX33" s="188">
        <f>BW33*(1+('Annual CF'!$D$6/12))</f>
        <v>-135644.83046178718</v>
      </c>
      <c r="BY33" s="188">
        <f>BX33*(1+('Annual CF'!$D$6/12))</f>
        <v>-135983.94253794165</v>
      </c>
      <c r="BZ33" s="188">
        <f>BY33*(1+('Annual CF'!$D$6/12))</f>
        <v>-136323.9023942865</v>
      </c>
      <c r="CA33" s="188">
        <f>BZ33*(1+('Annual CF'!$D$6/12))</f>
        <v>-136664.71215027221</v>
      </c>
      <c r="CB33" s="188">
        <f>CA33*(1+('Annual CF'!$D$6/12))</f>
        <v>-137006.37393064788</v>
      </c>
      <c r="CC33" s="188">
        <f>CB33*(1+('Annual CF'!$D$6/12))</f>
        <v>-137348.88986547448</v>
      </c>
      <c r="CD33" s="188">
        <f>CC33*(1+('Annual CF'!$D$6/12))</f>
        <v>-137692.26209013816</v>
      </c>
      <c r="CE33" s="188">
        <f>CD33*(1+('Annual CF'!$D$6/12))</f>
        <v>-138036.4927453635</v>
      </c>
      <c r="CF33" s="188">
        <f>CE33*(1+('Annual CF'!$D$6/12))</f>
        <v>-138381.5839772269</v>
      </c>
      <c r="CG33" s="188">
        <f>CF33*(1+('Annual CF'!$D$6/12))</f>
        <v>-138727.53793716995</v>
      </c>
      <c r="CH33" s="188">
        <f>CG33*(1+('Annual CF'!$D$6/12))</f>
        <v>-139074.35678201288</v>
      </c>
      <c r="CI33" s="188">
        <f>CH33*(1+('Annual CF'!$D$6/12))</f>
        <v>-139422.0426739679</v>
      </c>
      <c r="CJ33" s="188">
        <f>CI33*(1+('Annual CF'!$D$6/12))</f>
        <v>-139770.59778065281</v>
      </c>
      <c r="CK33" s="188">
        <f>CJ33*(1+('Annual CF'!$D$6/12))</f>
        <v>-140120.02427510443</v>
      </c>
      <c r="CL33" s="188">
        <f>CK33*(1+('Annual CF'!$D$6/12))</f>
        <v>-140470.32433579219</v>
      </c>
      <c r="CM33" s="188">
        <f>CL33*(1+('Annual CF'!$D$6/12))</f>
        <v>-140821.50014663168</v>
      </c>
      <c r="CN33" s="188">
        <f>CM33*(1+('Annual CF'!$D$6/12))</f>
        <v>-141173.55389699826</v>
      </c>
      <c r="CO33" s="188">
        <f>CN33*(1+('Annual CF'!$D$6/12))</f>
        <v>-141526.48778174075</v>
      </c>
      <c r="CP33" s="188">
        <f>CO33*(1+('Annual CF'!$D$6/12))</f>
        <v>-141880.30400119509</v>
      </c>
      <c r="CQ33" s="188">
        <f>CP33*(1+('Annual CF'!$D$6/12))</f>
        <v>-142235.00476119807</v>
      </c>
      <c r="CR33" s="188">
        <f>CQ33*(1+('Annual CF'!$D$6/12))</f>
        <v>-142590.59227310107</v>
      </c>
      <c r="CS33" s="188">
        <f>CR33*(1+('Annual CF'!$D$6/12))</f>
        <v>-142947.06875378382</v>
      </c>
      <c r="CT33" s="188">
        <f>CS33*(1+('Annual CF'!$D$6/12))</f>
        <v>-143304.43642566827</v>
      </c>
      <c r="CU33" s="188">
        <f>CT33*(1+('Annual CF'!$D$6/12))</f>
        <v>-143662.69751673244</v>
      </c>
      <c r="CV33" s="188">
        <f>CU33*(1+('Annual CF'!$D$6/12))</f>
        <v>-144021.85426052427</v>
      </c>
      <c r="CW33" s="188">
        <f>CV33*(1+('Annual CF'!$D$6/12))</f>
        <v>-144381.90889617556</v>
      </c>
      <c r="CX33" s="188">
        <f>CW33*(1+('Annual CF'!$D$6/12))</f>
        <v>-144742.86366841599</v>
      </c>
      <c r="CY33" s="188">
        <f>CX33*(1+('Annual CF'!$D$6/12))</f>
        <v>-145104.72082758701</v>
      </c>
      <c r="CZ33" s="188">
        <f>CY33*(1+('Annual CF'!$D$6/12))</f>
        <v>-145467.48262965598</v>
      </c>
      <c r="DA33" s="188">
        <f>CZ33*(1+('Annual CF'!$D$6/12))</f>
        <v>-145831.1513362301</v>
      </c>
      <c r="DB33" s="188">
        <f>DA33*(1+('Annual CF'!$D$6/12))</f>
        <v>-146195.72921457066</v>
      </c>
      <c r="DC33" s="188">
        <f>DB33*(1+('Annual CF'!$D$6/12))</f>
        <v>-146561.21853760708</v>
      </c>
      <c r="DD33" s="188">
        <f>DC33*(1+('Annual CF'!$D$6/12))</f>
        <v>-146927.62158395108</v>
      </c>
      <c r="DE33" s="188">
        <f>DD33*(1+('Annual CF'!$D$6/12))</f>
        <v>-147294.94063791094</v>
      </c>
      <c r="DF33" s="188">
        <f>DE33*(1+('Annual CF'!$D$6/12))</f>
        <v>-147663.17798950573</v>
      </c>
      <c r="DG33" s="188">
        <f>DF33*(1+('Annual CF'!$D$6/12))</f>
        <v>-148032.33593447949</v>
      </c>
      <c r="DH33" s="188">
        <f>DG33*(1+('Annual CF'!$D$6/12))</f>
        <v>-148402.41677431567</v>
      </c>
      <c r="DI33" s="188">
        <f>DH33*(1+('Annual CF'!$D$6/12))</f>
        <v>-148773.42281625146</v>
      </c>
      <c r="DJ33" s="188">
        <f>DI33*(1+('Annual CF'!$D$6/12))</f>
        <v>-149145.35637329207</v>
      </c>
      <c r="DK33" s="188">
        <f>DJ33*(1+('Annual CF'!$D$6/12))</f>
        <v>-149518.2197642253</v>
      </c>
      <c r="DL33" s="188">
        <f>DK33*(1+('Annual CF'!$D$6/12))</f>
        <v>-149892.01531363584</v>
      </c>
      <c r="DM33" s="188">
        <f>DL33*(1+('Annual CF'!$D$6/12))</f>
        <v>-150266.74535191993</v>
      </c>
      <c r="DN33" s="188">
        <f>DM33*(1+('Annual CF'!$D$6/12))</f>
        <v>-150642.41221529973</v>
      </c>
      <c r="DO33" s="188">
        <f>DN33*(1+('Annual CF'!$D$6/12))</f>
        <v>-151019.01824583797</v>
      </c>
      <c r="DP33" s="188">
        <f>DO33*(1+('Annual CF'!$D$6/12))</f>
        <v>-151396.56579145257</v>
      </c>
      <c r="DQ33" s="188">
        <f>DP33*(1+('Annual CF'!$D$6/12))</f>
        <v>-151775.0572059312</v>
      </c>
      <c r="DR33" s="188">
        <f>DQ33*(1+('Annual CF'!$D$6/12))</f>
        <v>-152154.49484894602</v>
      </c>
      <c r="DS33" s="188">
        <f>DR33*(1+('Annual CF'!$D$6/12))</f>
        <v>-152534.88108606837</v>
      </c>
      <c r="DT33" s="188">
        <f>DS33*(1+('Annual CF'!$D$6/12))</f>
        <v>-152916.21828878354</v>
      </c>
      <c r="DU33" s="69" t="s">
        <v>0</v>
      </c>
    </row>
    <row r="34" spans="2:125" x14ac:dyDescent="0.25">
      <c r="B34" s="27" t="s">
        <v>89</v>
      </c>
      <c r="C34" s="197">
        <f>SUM(D34:CJ34)</f>
        <v>-13274686.818191808</v>
      </c>
      <c r="D34" s="197">
        <f t="shared" ref="D34:AD34" si="179">SUM(D30:D33)</f>
        <v>0</v>
      </c>
      <c r="E34" s="197">
        <f t="shared" si="179"/>
        <v>0</v>
      </c>
      <c r="F34" s="197">
        <f t="shared" si="179"/>
        <v>0</v>
      </c>
      <c r="G34" s="197">
        <f t="shared" si="179"/>
        <v>0</v>
      </c>
      <c r="H34" s="197">
        <f t="shared" si="179"/>
        <v>0</v>
      </c>
      <c r="I34" s="197">
        <f t="shared" si="179"/>
        <v>0</v>
      </c>
      <c r="J34" s="197">
        <f t="shared" si="179"/>
        <v>0</v>
      </c>
      <c r="K34" s="197">
        <f t="shared" si="179"/>
        <v>0</v>
      </c>
      <c r="L34" s="197">
        <f t="shared" si="179"/>
        <v>0</v>
      </c>
      <c r="M34" s="197">
        <f t="shared" si="179"/>
        <v>0</v>
      </c>
      <c r="N34" s="197">
        <f t="shared" si="179"/>
        <v>0</v>
      </c>
      <c r="O34" s="197">
        <f t="shared" si="179"/>
        <v>0</v>
      </c>
      <c r="P34" s="197">
        <f t="shared" si="179"/>
        <v>0</v>
      </c>
      <c r="Q34" s="197">
        <f t="shared" si="179"/>
        <v>0</v>
      </c>
      <c r="R34" s="197">
        <f t="shared" si="179"/>
        <v>0</v>
      </c>
      <c r="S34" s="197">
        <f t="shared" si="179"/>
        <v>0</v>
      </c>
      <c r="T34" s="197">
        <f t="shared" si="179"/>
        <v>0</v>
      </c>
      <c r="U34" s="197">
        <f t="shared" si="179"/>
        <v>0</v>
      </c>
      <c r="V34" s="197">
        <f t="shared" si="179"/>
        <v>0</v>
      </c>
      <c r="W34" s="197">
        <f t="shared" si="179"/>
        <v>0</v>
      </c>
      <c r="X34" s="197">
        <f t="shared" si="179"/>
        <v>0</v>
      </c>
      <c r="Y34" s="197">
        <f t="shared" si="179"/>
        <v>0</v>
      </c>
      <c r="Z34" s="197">
        <f t="shared" si="179"/>
        <v>0</v>
      </c>
      <c r="AA34" s="197">
        <f t="shared" si="179"/>
        <v>0</v>
      </c>
      <c r="AB34" s="197">
        <f t="shared" si="179"/>
        <v>0</v>
      </c>
      <c r="AC34" s="197">
        <f t="shared" si="179"/>
        <v>-120625</v>
      </c>
      <c r="AD34" s="197">
        <f t="shared" si="179"/>
        <v>-174873.45</v>
      </c>
      <c r="AE34" s="197">
        <f t="shared" ref="AE34:BQ34" si="180">SUM(AE30:AE33)</f>
        <v>-175333.11149479169</v>
      </c>
      <c r="AF34" s="197">
        <f t="shared" si="180"/>
        <v>-208242.93442202956</v>
      </c>
      <c r="AG34" s="197">
        <f t="shared" si="180"/>
        <v>-208799.67133446736</v>
      </c>
      <c r="AH34" s="197">
        <f t="shared" si="180"/>
        <v>-209357.90546711732</v>
      </c>
      <c r="AI34" s="197">
        <f t="shared" si="180"/>
        <v>-209917.64087038237</v>
      </c>
      <c r="AJ34" s="197">
        <f t="shared" si="180"/>
        <v>-210478.8816056877</v>
      </c>
      <c r="AK34" s="197">
        <f t="shared" si="180"/>
        <v>-211041.63174551132</v>
      </c>
      <c r="AL34" s="197">
        <f t="shared" si="180"/>
        <v>-211605.89537341392</v>
      </c>
      <c r="AM34" s="197">
        <f t="shared" si="180"/>
        <v>-212171.67658406944</v>
      </c>
      <c r="AN34" s="197">
        <f t="shared" si="180"/>
        <v>-212738.97948329564</v>
      </c>
      <c r="AO34" s="197">
        <f t="shared" si="180"/>
        <v>-213307.80818808422</v>
      </c>
      <c r="AP34" s="197">
        <f t="shared" si="180"/>
        <v>-213878.16682663167</v>
      </c>
      <c r="AQ34" s="197">
        <f t="shared" si="180"/>
        <v>-214450.05953836988</v>
      </c>
      <c r="AR34" s="197">
        <f t="shared" si="180"/>
        <v>-215023.49047399691</v>
      </c>
      <c r="AS34" s="197">
        <f t="shared" si="180"/>
        <v>-215598.46379550779</v>
      </c>
      <c r="AT34" s="197">
        <f t="shared" si="180"/>
        <v>-216174.98367622544</v>
      </c>
      <c r="AU34" s="197">
        <f t="shared" si="180"/>
        <v>-216753.05430083183</v>
      </c>
      <c r="AV34" s="197">
        <f t="shared" si="180"/>
        <v>-217332.67986539885</v>
      </c>
      <c r="AW34" s="197">
        <f t="shared" si="180"/>
        <v>-217913.86457741968</v>
      </c>
      <c r="AX34" s="197">
        <f t="shared" si="180"/>
        <v>-218496.61265583994</v>
      </c>
      <c r="AY34" s="197">
        <f t="shared" si="180"/>
        <v>-219080.92833108909</v>
      </c>
      <c r="AZ34" s="197">
        <f t="shared" si="180"/>
        <v>-219666.81584511191</v>
      </c>
      <c r="BA34" s="197">
        <f t="shared" si="180"/>
        <v>-220254.27945139993</v>
      </c>
      <c r="BB34" s="197">
        <f t="shared" si="180"/>
        <v>-220843.32341502313</v>
      </c>
      <c r="BC34" s="197">
        <f t="shared" si="180"/>
        <v>-221433.95201266161</v>
      </c>
      <c r="BD34" s="197">
        <f t="shared" si="180"/>
        <v>-222026.1695326374</v>
      </c>
      <c r="BE34" s="197">
        <f t="shared" si="180"/>
        <v>-222619.98027494631</v>
      </c>
      <c r="BF34" s="197">
        <f t="shared" si="180"/>
        <v>-223215.38855128989</v>
      </c>
      <c r="BG34" s="197">
        <f t="shared" si="180"/>
        <v>-223812.3986851075</v>
      </c>
      <c r="BH34" s="197">
        <f t="shared" si="180"/>
        <v>-224411.01501160843</v>
      </c>
      <c r="BI34" s="197">
        <f t="shared" si="180"/>
        <v>-225011.24187780416</v>
      </c>
      <c r="BJ34" s="197">
        <f t="shared" si="180"/>
        <v>-225613.08364254065</v>
      </c>
      <c r="BK34" s="197">
        <f t="shared" si="180"/>
        <v>-226216.54467653076</v>
      </c>
      <c r="BL34" s="197">
        <f t="shared" si="180"/>
        <v>-226821.62936238677</v>
      </c>
      <c r="BM34" s="197">
        <f t="shared" si="180"/>
        <v>-227428.34209465291</v>
      </c>
      <c r="BN34" s="197">
        <f t="shared" si="180"/>
        <v>-228036.68727983802</v>
      </c>
      <c r="BO34" s="197">
        <f t="shared" si="180"/>
        <v>-228646.66933644848</v>
      </c>
      <c r="BP34" s="197">
        <f t="shared" si="180"/>
        <v>-229258.29269502079</v>
      </c>
      <c r="BQ34" s="197">
        <f t="shared" si="180"/>
        <v>-229871.56179815484</v>
      </c>
      <c r="BR34" s="197">
        <f t="shared" ref="BR34:CJ34" si="181">SUM(BR30:BR33)</f>
        <v>-230486.4811005466</v>
      </c>
      <c r="BS34" s="197">
        <f t="shared" si="181"/>
        <v>-231103.05506902153</v>
      </c>
      <c r="BT34" s="197">
        <f t="shared" si="181"/>
        <v>-231721.28818256769</v>
      </c>
      <c r="BU34" s="197">
        <f t="shared" si="181"/>
        <v>-232341.18493236904</v>
      </c>
      <c r="BV34" s="197">
        <f t="shared" si="181"/>
        <v>-232962.74982183881</v>
      </c>
      <c r="BW34" s="197">
        <f t="shared" si="181"/>
        <v>-233585.98736665305</v>
      </c>
      <c r="BX34" s="197">
        <f t="shared" si="181"/>
        <v>-234210.90209478425</v>
      </c>
      <c r="BY34" s="197">
        <f t="shared" si="181"/>
        <v>-234837.49854653497</v>
      </c>
      <c r="BZ34" s="197">
        <f t="shared" si="181"/>
        <v>-235465.78127457155</v>
      </c>
      <c r="CA34" s="197">
        <f t="shared" si="181"/>
        <v>-236095.7548439581</v>
      </c>
      <c r="CB34" s="197">
        <f t="shared" si="181"/>
        <v>-236727.42383219037</v>
      </c>
      <c r="CC34" s="197">
        <f t="shared" si="181"/>
        <v>-237360.79282922979</v>
      </c>
      <c r="CD34" s="197">
        <f t="shared" si="181"/>
        <v>-237995.86643753777</v>
      </c>
      <c r="CE34" s="197">
        <f t="shared" si="181"/>
        <v>-238632.6492721097</v>
      </c>
      <c r="CF34" s="197">
        <f t="shared" si="181"/>
        <v>-239271.14596050943</v>
      </c>
      <c r="CG34" s="197">
        <f t="shared" si="181"/>
        <v>-239911.36114290374</v>
      </c>
      <c r="CH34" s="197">
        <f t="shared" si="181"/>
        <v>-240553.29947209673</v>
      </c>
      <c r="CI34" s="197">
        <f t="shared" si="181"/>
        <v>-241196.96561356448</v>
      </c>
      <c r="CJ34" s="197">
        <f t="shared" si="181"/>
        <v>-241842.36424548988</v>
      </c>
      <c r="CK34" s="197">
        <f t="shared" ref="CK34:DT34" si="182">SUM(CK30:CK33)</f>
        <v>-242489.5000587973</v>
      </c>
      <c r="CL34" s="197">
        <f t="shared" si="182"/>
        <v>-243138.3777571875</v>
      </c>
      <c r="CM34" s="197">
        <f t="shared" si="182"/>
        <v>-243789.00205717271</v>
      </c>
      <c r="CN34" s="197">
        <f t="shared" si="182"/>
        <v>-244441.37768811174</v>
      </c>
      <c r="CO34" s="197">
        <f t="shared" si="182"/>
        <v>-245095.50939224497</v>
      </c>
      <c r="CP34" s="197">
        <f t="shared" si="182"/>
        <v>-245751.40192472993</v>
      </c>
      <c r="CQ34" s="197">
        <f t="shared" si="182"/>
        <v>-246409.06005367654</v>
      </c>
      <c r="CR34" s="197">
        <f t="shared" si="182"/>
        <v>-247068.48856018262</v>
      </c>
      <c r="CS34" s="197">
        <f t="shared" si="182"/>
        <v>-247729.69223836937</v>
      </c>
      <c r="CT34" s="197">
        <f t="shared" si="182"/>
        <v>-248392.67589541717</v>
      </c>
      <c r="CU34" s="197">
        <f t="shared" si="182"/>
        <v>-249057.44435160147</v>
      </c>
      <c r="CV34" s="197">
        <f t="shared" si="182"/>
        <v>-249724.0024403283</v>
      </c>
      <c r="CW34" s="197">
        <f t="shared" si="182"/>
        <v>-250392.35500817071</v>
      </c>
      <c r="CX34" s="197">
        <f t="shared" si="182"/>
        <v>-251062.50691490446</v>
      </c>
      <c r="CY34" s="197">
        <f t="shared" si="182"/>
        <v>-251734.46303354439</v>
      </c>
      <c r="CZ34" s="197">
        <f t="shared" si="182"/>
        <v>-252408.22825038072</v>
      </c>
      <c r="DA34" s="197">
        <f t="shared" si="182"/>
        <v>-253083.80746501533</v>
      </c>
      <c r="DB34" s="197">
        <f t="shared" si="182"/>
        <v>-253761.20559039817</v>
      </c>
      <c r="DC34" s="197">
        <f t="shared" si="182"/>
        <v>-254440.42755286407</v>
      </c>
      <c r="DD34" s="197">
        <f t="shared" si="182"/>
        <v>-255121.47829216922</v>
      </c>
      <c r="DE34" s="197">
        <f t="shared" si="182"/>
        <v>-255804.36276152806</v>
      </c>
      <c r="DF34" s="197">
        <f t="shared" si="182"/>
        <v>-256489.0859276501</v>
      </c>
      <c r="DG34" s="197">
        <f t="shared" si="182"/>
        <v>-257175.65277077677</v>
      </c>
      <c r="DH34" s="197">
        <f t="shared" si="182"/>
        <v>-257864.06828471881</v>
      </c>
      <c r="DI34" s="197">
        <f t="shared" si="182"/>
        <v>-258554.33747689327</v>
      </c>
      <c r="DJ34" s="197">
        <f t="shared" si="182"/>
        <v>-259246.46536836078</v>
      </c>
      <c r="DK34" s="197">
        <f t="shared" si="182"/>
        <v>-259940.45699386293</v>
      </c>
      <c r="DL34" s="197">
        <f t="shared" si="182"/>
        <v>-260636.31740185994</v>
      </c>
      <c r="DM34" s="197">
        <f t="shared" si="182"/>
        <v>-261334.051654568</v>
      </c>
      <c r="DN34" s="197">
        <f t="shared" si="182"/>
        <v>-262033.66482799721</v>
      </c>
      <c r="DO34" s="197">
        <f t="shared" si="182"/>
        <v>-262735.16201198916</v>
      </c>
      <c r="DP34" s="197">
        <f t="shared" si="182"/>
        <v>-263438.54831025505</v>
      </c>
      <c r="DQ34" s="197">
        <f t="shared" si="182"/>
        <v>-264143.82884041348</v>
      </c>
      <c r="DR34" s="197">
        <f t="shared" si="182"/>
        <v>-264851.0087340289</v>
      </c>
      <c r="DS34" s="197">
        <f t="shared" si="182"/>
        <v>-265560.09313664946</v>
      </c>
      <c r="DT34" s="197">
        <f t="shared" si="182"/>
        <v>-266271.08720784541</v>
      </c>
      <c r="DU34" s="69" t="s">
        <v>0</v>
      </c>
    </row>
    <row r="35" spans="2:125" x14ac:dyDescent="0.25">
      <c r="B35" s="1"/>
      <c r="AC35" s="188"/>
      <c r="DU35" s="69" t="s">
        <v>0</v>
      </c>
    </row>
    <row r="36" spans="2:125" x14ac:dyDescent="0.25">
      <c r="B36" s="27" t="s">
        <v>46</v>
      </c>
      <c r="C36" s="197">
        <f>SUM(D36:CJ36)</f>
        <v>135415011.55852666</v>
      </c>
      <c r="D36" s="197">
        <f t="shared" ref="D36:AD36" si="183">SUM(D28,D34)</f>
        <v>0</v>
      </c>
      <c r="E36" s="197">
        <f t="shared" si="183"/>
        <v>0</v>
      </c>
      <c r="F36" s="197">
        <f t="shared" si="183"/>
        <v>0</v>
      </c>
      <c r="G36" s="197">
        <f t="shared" si="183"/>
        <v>0</v>
      </c>
      <c r="H36" s="197">
        <f t="shared" si="183"/>
        <v>0</v>
      </c>
      <c r="I36" s="197">
        <f t="shared" si="183"/>
        <v>0</v>
      </c>
      <c r="J36" s="197">
        <f t="shared" si="183"/>
        <v>0</v>
      </c>
      <c r="K36" s="197">
        <f t="shared" si="183"/>
        <v>0</v>
      </c>
      <c r="L36" s="197">
        <f t="shared" si="183"/>
        <v>0</v>
      </c>
      <c r="M36" s="197">
        <f t="shared" si="183"/>
        <v>0</v>
      </c>
      <c r="N36" s="197">
        <f t="shared" si="183"/>
        <v>0</v>
      </c>
      <c r="O36" s="197">
        <f t="shared" si="183"/>
        <v>0</v>
      </c>
      <c r="P36" s="197">
        <f t="shared" si="183"/>
        <v>0</v>
      </c>
      <c r="Q36" s="197">
        <f t="shared" si="183"/>
        <v>0</v>
      </c>
      <c r="R36" s="197">
        <f t="shared" si="183"/>
        <v>0</v>
      </c>
      <c r="S36" s="197">
        <f t="shared" si="183"/>
        <v>0</v>
      </c>
      <c r="T36" s="197">
        <f t="shared" si="183"/>
        <v>0</v>
      </c>
      <c r="U36" s="197">
        <f t="shared" si="183"/>
        <v>0</v>
      </c>
      <c r="V36" s="197">
        <f t="shared" si="183"/>
        <v>0</v>
      </c>
      <c r="W36" s="197">
        <f t="shared" si="183"/>
        <v>0</v>
      </c>
      <c r="X36" s="197">
        <f t="shared" si="183"/>
        <v>0</v>
      </c>
      <c r="Y36" s="197">
        <f t="shared" si="183"/>
        <v>0</v>
      </c>
      <c r="Z36" s="197">
        <f t="shared" si="183"/>
        <v>0</v>
      </c>
      <c r="AA36" s="197">
        <f t="shared" si="183"/>
        <v>0</v>
      </c>
      <c r="AB36" s="197">
        <f t="shared" si="183"/>
        <v>0</v>
      </c>
      <c r="AC36" s="197">
        <f t="shared" si="183"/>
        <v>-1206.25</v>
      </c>
      <c r="AD36" s="197">
        <f t="shared" si="183"/>
        <v>1333436.7311250002</v>
      </c>
      <c r="AE36" s="197">
        <f t="shared" ref="AE36:BQ36" si="184">SUM(AE28,AE34)</f>
        <v>1337326.4254514584</v>
      </c>
      <c r="AF36" s="197">
        <f t="shared" si="184"/>
        <v>2144014.4077889998</v>
      </c>
      <c r="AG36" s="197">
        <f t="shared" si="184"/>
        <v>2150268.2895281808</v>
      </c>
      <c r="AH36" s="197">
        <f t="shared" si="184"/>
        <v>2156540.4130217251</v>
      </c>
      <c r="AI36" s="197">
        <f t="shared" si="184"/>
        <v>2162830.8314779159</v>
      </c>
      <c r="AJ36" s="197">
        <f t="shared" si="184"/>
        <v>2169139.5982602313</v>
      </c>
      <c r="AK36" s="197">
        <f t="shared" si="184"/>
        <v>2175466.7668878064</v>
      </c>
      <c r="AL36" s="197">
        <f t="shared" si="184"/>
        <v>2181812.3910358762</v>
      </c>
      <c r="AM36" s="197">
        <f t="shared" si="184"/>
        <v>2188176.524536239</v>
      </c>
      <c r="AN36" s="197">
        <f t="shared" si="184"/>
        <v>2194559.2213777113</v>
      </c>
      <c r="AO36" s="197">
        <f t="shared" si="184"/>
        <v>2200960.5357065834</v>
      </c>
      <c r="AP36" s="197">
        <f t="shared" si="184"/>
        <v>2207380.5218270808</v>
      </c>
      <c r="AQ36" s="197">
        <f t="shared" si="184"/>
        <v>2213819.2342018248</v>
      </c>
      <c r="AR36" s="197">
        <f t="shared" si="184"/>
        <v>2220276.727452294</v>
      </c>
      <c r="AS36" s="197">
        <f t="shared" si="184"/>
        <v>2226753.0563592869</v>
      </c>
      <c r="AT36" s="197">
        <f t="shared" si="184"/>
        <v>2233248.2758633881</v>
      </c>
      <c r="AU36" s="197">
        <f t="shared" si="184"/>
        <v>2239762.4410654344</v>
      </c>
      <c r="AV36" s="197">
        <f t="shared" si="184"/>
        <v>2246295.6072269799</v>
      </c>
      <c r="AW36" s="197">
        <f t="shared" si="184"/>
        <v>2252847.8297707681</v>
      </c>
      <c r="AX36" s="197">
        <f t="shared" si="184"/>
        <v>2259419.1642811988</v>
      </c>
      <c r="AY36" s="197">
        <f t="shared" si="184"/>
        <v>2266009.6665048017</v>
      </c>
      <c r="AZ36" s="197">
        <f t="shared" si="184"/>
        <v>2272619.3923507105</v>
      </c>
      <c r="BA36" s="197">
        <f t="shared" si="184"/>
        <v>2279248.3978911326</v>
      </c>
      <c r="BB36" s="197">
        <f t="shared" si="184"/>
        <v>2285896.7393618305</v>
      </c>
      <c r="BC36" s="197">
        <f t="shared" si="184"/>
        <v>2292564.4731625924</v>
      </c>
      <c r="BD36" s="197">
        <f t="shared" si="184"/>
        <v>2299251.6558577172</v>
      </c>
      <c r="BE36" s="197">
        <f t="shared" si="184"/>
        <v>2305958.3441764903</v>
      </c>
      <c r="BF36" s="197">
        <f t="shared" si="184"/>
        <v>2312684.5950136664</v>
      </c>
      <c r="BG36" s="197">
        <f t="shared" si="184"/>
        <v>2319430.465429951</v>
      </c>
      <c r="BH36" s="197">
        <f t="shared" si="184"/>
        <v>2326196.0126524847</v>
      </c>
      <c r="BI36" s="197">
        <f t="shared" si="184"/>
        <v>2332981.2940753307</v>
      </c>
      <c r="BJ36" s="197">
        <f t="shared" si="184"/>
        <v>2339786.3672599578</v>
      </c>
      <c r="BK36" s="197">
        <f t="shared" si="184"/>
        <v>2346611.2899357323</v>
      </c>
      <c r="BL36" s="197">
        <f t="shared" si="184"/>
        <v>2353456.1200004062</v>
      </c>
      <c r="BM36" s="197">
        <f t="shared" si="184"/>
        <v>2360320.9155206075</v>
      </c>
      <c r="BN36" s="197">
        <f t="shared" si="184"/>
        <v>2367205.7347323354</v>
      </c>
      <c r="BO36" s="197">
        <f t="shared" si="184"/>
        <v>2374110.6360414512</v>
      </c>
      <c r="BP36" s="197">
        <f t="shared" si="184"/>
        <v>2381035.6780241751</v>
      </c>
      <c r="BQ36" s="197">
        <f t="shared" si="184"/>
        <v>2387980.9194275849</v>
      </c>
      <c r="BR36" s="197">
        <f t="shared" ref="BR36:CJ36" si="185">SUM(BR28,BR34)</f>
        <v>2394946.41917011</v>
      </c>
      <c r="BS36" s="197">
        <f t="shared" si="185"/>
        <v>2401932.2363420371</v>
      </c>
      <c r="BT36" s="197">
        <f t="shared" si="185"/>
        <v>2408938.4302060055</v>
      </c>
      <c r="BU36" s="197">
        <f t="shared" si="185"/>
        <v>2415965.0601975145</v>
      </c>
      <c r="BV36" s="197">
        <f t="shared" si="185"/>
        <v>2423012.1859254227</v>
      </c>
      <c r="BW36" s="197">
        <f t="shared" si="185"/>
        <v>2430079.8671724601</v>
      </c>
      <c r="BX36" s="197">
        <f t="shared" si="185"/>
        <v>2437168.1638957299</v>
      </c>
      <c r="BY36" s="197">
        <f t="shared" si="185"/>
        <v>2444277.1362272194</v>
      </c>
      <c r="BZ36" s="197">
        <f t="shared" si="185"/>
        <v>2451406.8444743096</v>
      </c>
      <c r="CA36" s="197">
        <f t="shared" si="185"/>
        <v>2458557.3491202863</v>
      </c>
      <c r="CB36" s="197">
        <f t="shared" si="185"/>
        <v>2465728.7108248542</v>
      </c>
      <c r="CC36" s="197">
        <f t="shared" si="185"/>
        <v>2472920.9904246517</v>
      </c>
      <c r="CD36" s="197">
        <f t="shared" si="185"/>
        <v>2480134.2489337646</v>
      </c>
      <c r="CE36" s="197">
        <f t="shared" si="185"/>
        <v>2487368.547544247</v>
      </c>
      <c r="CF36" s="197">
        <f t="shared" si="185"/>
        <v>2494623.9476266373</v>
      </c>
      <c r="CG36" s="197">
        <f t="shared" si="185"/>
        <v>2501900.5107304822</v>
      </c>
      <c r="CH36" s="197">
        <f t="shared" si="185"/>
        <v>2509198.2985848538</v>
      </c>
      <c r="CI36" s="197">
        <f t="shared" si="185"/>
        <v>2516517.3730988801</v>
      </c>
      <c r="CJ36" s="197">
        <f t="shared" si="185"/>
        <v>2523857.7963622627</v>
      </c>
      <c r="CK36" s="197">
        <f t="shared" ref="CK36:DT36" si="186">SUM(CK28,CK34)</f>
        <v>2531219.6306458102</v>
      </c>
      <c r="CL36" s="197">
        <f t="shared" si="186"/>
        <v>2538602.9384019622</v>
      </c>
      <c r="CM36" s="197">
        <f t="shared" si="186"/>
        <v>2546007.782265319</v>
      </c>
      <c r="CN36" s="197">
        <f t="shared" si="186"/>
        <v>2553434.2250531772</v>
      </c>
      <c r="CO36" s="197">
        <f t="shared" si="186"/>
        <v>2560882.3297660565</v>
      </c>
      <c r="CP36" s="197">
        <f t="shared" si="186"/>
        <v>2568352.1595882401</v>
      </c>
      <c r="CQ36" s="197">
        <f t="shared" si="186"/>
        <v>2575843.7778883055</v>
      </c>
      <c r="CR36" s="197">
        <f t="shared" si="186"/>
        <v>2583357.2482196661</v>
      </c>
      <c r="CS36" s="197">
        <f t="shared" si="186"/>
        <v>2590892.634321108</v>
      </c>
      <c r="CT36" s="197">
        <f t="shared" si="186"/>
        <v>2598450.0001173313</v>
      </c>
      <c r="CU36" s="197">
        <f t="shared" si="186"/>
        <v>2606029.4097194918</v>
      </c>
      <c r="CV36" s="197">
        <f t="shared" si="186"/>
        <v>2613630.9274257468</v>
      </c>
      <c r="CW36" s="197">
        <f t="shared" si="186"/>
        <v>2621254.6177217979</v>
      </c>
      <c r="CX36" s="197">
        <f t="shared" si="186"/>
        <v>2628900.5452814405</v>
      </c>
      <c r="CY36" s="197">
        <f t="shared" si="186"/>
        <v>2636568.7749671098</v>
      </c>
      <c r="CZ36" s="197">
        <f t="shared" si="186"/>
        <v>2644259.3718304336</v>
      </c>
      <c r="DA36" s="197">
        <f t="shared" si="186"/>
        <v>2651972.4011127837</v>
      </c>
      <c r="DB36" s="197">
        <f t="shared" si="186"/>
        <v>2659707.9282458266</v>
      </c>
      <c r="DC36" s="197">
        <f t="shared" si="186"/>
        <v>2667466.0188520821</v>
      </c>
      <c r="DD36" s="197">
        <f t="shared" si="186"/>
        <v>2675246.7387454775</v>
      </c>
      <c r="DE36" s="197">
        <f t="shared" si="186"/>
        <v>2683050.1539319083</v>
      </c>
      <c r="DF36" s="197">
        <f t="shared" si="186"/>
        <v>2690876.3306097966</v>
      </c>
      <c r="DG36" s="197">
        <f t="shared" si="186"/>
        <v>2698725.3351706495</v>
      </c>
      <c r="DH36" s="197">
        <f t="shared" si="186"/>
        <v>2706597.2341996306</v>
      </c>
      <c r="DI36" s="197">
        <f t="shared" si="186"/>
        <v>2714492.0944761159</v>
      </c>
      <c r="DJ36" s="197">
        <f t="shared" si="186"/>
        <v>2722409.9829742671</v>
      </c>
      <c r="DK36" s="197">
        <f t="shared" si="186"/>
        <v>2730350.9668635926</v>
      </c>
      <c r="DL36" s="197">
        <f t="shared" si="186"/>
        <v>2738315.1135095274</v>
      </c>
      <c r="DM36" s="197">
        <f t="shared" si="186"/>
        <v>2746302.4904739941</v>
      </c>
      <c r="DN36" s="197">
        <f t="shared" si="186"/>
        <v>2754313.1655159825</v>
      </c>
      <c r="DO36" s="197">
        <f t="shared" si="186"/>
        <v>2762347.2065921221</v>
      </c>
      <c r="DP36" s="197">
        <f t="shared" si="186"/>
        <v>2770404.6818572585</v>
      </c>
      <c r="DQ36" s="197">
        <f t="shared" si="186"/>
        <v>2778485.6596650328</v>
      </c>
      <c r="DR36" s="197">
        <f t="shared" si="186"/>
        <v>2786590.2085684608</v>
      </c>
      <c r="DS36" s="197">
        <f t="shared" si="186"/>
        <v>2794718.3973205145</v>
      </c>
      <c r="DT36" s="197">
        <f t="shared" si="186"/>
        <v>2802870.2948747035</v>
      </c>
      <c r="DU36" s="69" t="s">
        <v>0</v>
      </c>
    </row>
    <row r="37" spans="2:125" x14ac:dyDescent="0.25">
      <c r="B37" s="55"/>
      <c r="E37" s="201"/>
      <c r="F37" s="201"/>
      <c r="G37" s="201"/>
      <c r="H37" s="201"/>
      <c r="I37" s="201"/>
      <c r="J37" s="201"/>
      <c r="K37" s="201"/>
      <c r="L37" s="201"/>
      <c r="M37" s="201"/>
      <c r="N37" s="201"/>
      <c r="O37" s="201"/>
      <c r="P37" s="201"/>
      <c r="Q37" s="201"/>
      <c r="R37" s="201"/>
      <c r="S37" s="201"/>
      <c r="T37" s="201"/>
      <c r="U37" s="201"/>
      <c r="V37" s="201"/>
      <c r="W37" s="201"/>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c r="BA37" s="201"/>
      <c r="BB37" s="201"/>
      <c r="BC37" s="201"/>
      <c r="BD37" s="201"/>
      <c r="BE37" s="201"/>
      <c r="BF37" s="201"/>
      <c r="BG37" s="201"/>
      <c r="BH37" s="201"/>
      <c r="BI37" s="201"/>
      <c r="BJ37" s="201"/>
      <c r="BK37" s="201"/>
      <c r="BL37" s="201"/>
      <c r="BM37" s="201"/>
      <c r="BN37" s="201"/>
      <c r="BO37" s="201"/>
      <c r="BP37" s="201"/>
      <c r="BQ37" s="201"/>
      <c r="BR37" s="201"/>
      <c r="BS37" s="201"/>
      <c r="BT37" s="201"/>
      <c r="BU37" s="201"/>
      <c r="BV37" s="201"/>
      <c r="BW37" s="201"/>
      <c r="BX37" s="201"/>
      <c r="BY37" s="201"/>
      <c r="BZ37" s="201"/>
      <c r="CA37" s="201"/>
      <c r="CB37" s="201"/>
      <c r="CC37" s="201"/>
      <c r="CD37" s="201"/>
      <c r="CE37" s="201"/>
      <c r="CF37" s="201"/>
      <c r="CG37" s="201"/>
      <c r="CH37" s="201"/>
      <c r="CI37" s="201"/>
      <c r="CJ37" s="201"/>
      <c r="CK37" s="201"/>
      <c r="CL37" s="201"/>
      <c r="CM37" s="201"/>
      <c r="CN37" s="201"/>
      <c r="CO37" s="201"/>
      <c r="CP37" s="201"/>
      <c r="CQ37" s="201"/>
      <c r="CR37" s="201"/>
      <c r="CS37" s="201"/>
      <c r="CT37" s="201"/>
      <c r="CU37" s="201"/>
      <c r="CV37" s="201"/>
      <c r="CW37" s="201"/>
      <c r="CX37" s="201"/>
      <c r="CY37" s="201"/>
      <c r="CZ37" s="201"/>
      <c r="DA37" s="201"/>
      <c r="DB37" s="201"/>
      <c r="DC37" s="201"/>
      <c r="DD37" s="201"/>
      <c r="DE37" s="201"/>
      <c r="DF37" s="201"/>
      <c r="DG37" s="201"/>
      <c r="DH37" s="201"/>
      <c r="DI37" s="201"/>
      <c r="DJ37" s="201"/>
      <c r="DK37" s="201"/>
      <c r="DL37" s="201"/>
      <c r="DM37" s="201"/>
      <c r="DN37" s="201"/>
      <c r="DO37" s="201"/>
      <c r="DP37" s="201"/>
      <c r="DQ37" s="201"/>
      <c r="DR37" s="201"/>
      <c r="DS37" s="201"/>
      <c r="DT37" s="201"/>
      <c r="DU37" s="69" t="s">
        <v>0</v>
      </c>
    </row>
    <row r="38" spans="2:125" x14ac:dyDescent="0.25">
      <c r="B38" s="1" t="s">
        <v>15</v>
      </c>
      <c r="C38" s="188">
        <f>SUM(D38:CJ38)</f>
        <v>-17672312.249999993</v>
      </c>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188">
        <f>-('Annual CF'!$D$7/12)*'Annual CF'!$D$21</f>
        <v>-294538.53750000003</v>
      </c>
      <c r="AD38" s="188">
        <f>-('Annual CF'!$D$7/12)*'Annual CF'!$D$21</f>
        <v>-294538.53750000003</v>
      </c>
      <c r="AE38" s="188">
        <f>-('Annual CF'!$D$7/12)*'Annual CF'!$D$21</f>
        <v>-294538.53750000003</v>
      </c>
      <c r="AF38" s="188">
        <f>-('Annual CF'!$D$7/12)*'Annual CF'!$D$21</f>
        <v>-294538.53750000003</v>
      </c>
      <c r="AG38" s="188">
        <f>-('Annual CF'!$D$7/12)*'Annual CF'!$D$21</f>
        <v>-294538.53750000003</v>
      </c>
      <c r="AH38" s="188">
        <f>-('Annual CF'!$D$7/12)*'Annual CF'!$D$21</f>
        <v>-294538.53750000003</v>
      </c>
      <c r="AI38" s="188">
        <f>-('Annual CF'!$D$7/12)*'Annual CF'!$D$21</f>
        <v>-294538.53750000003</v>
      </c>
      <c r="AJ38" s="188">
        <f>-('Annual CF'!$D$7/12)*'Annual CF'!$D$21</f>
        <v>-294538.53750000003</v>
      </c>
      <c r="AK38" s="188">
        <f>-('Annual CF'!$D$7/12)*'Annual CF'!$D$21</f>
        <v>-294538.53750000003</v>
      </c>
      <c r="AL38" s="188">
        <f>-('Annual CF'!$D$7/12)*'Annual CF'!$D$21</f>
        <v>-294538.53750000003</v>
      </c>
      <c r="AM38" s="188">
        <f>-('Annual CF'!$D$7/12)*'Annual CF'!$D$21</f>
        <v>-294538.53750000003</v>
      </c>
      <c r="AN38" s="188">
        <f>-('Annual CF'!$D$7/12)*'Annual CF'!$D$21</f>
        <v>-294538.53750000003</v>
      </c>
      <c r="AO38" s="188">
        <f>-('Annual CF'!$D$7/12)*'Annual CF'!$D$21</f>
        <v>-294538.53750000003</v>
      </c>
      <c r="AP38" s="188">
        <f>-('Annual CF'!$D$7/12)*'Annual CF'!$D$21</f>
        <v>-294538.53750000003</v>
      </c>
      <c r="AQ38" s="188">
        <f>-('Annual CF'!$D$7/12)*'Annual CF'!$D$21</f>
        <v>-294538.53750000003</v>
      </c>
      <c r="AR38" s="188">
        <f>-('Annual CF'!$D$7/12)*'Annual CF'!$D$21</f>
        <v>-294538.53750000003</v>
      </c>
      <c r="AS38" s="188">
        <f>-('Annual CF'!$D$7/12)*'Annual CF'!$D$21</f>
        <v>-294538.53750000003</v>
      </c>
      <c r="AT38" s="188">
        <f>-('Annual CF'!$D$7/12)*'Annual CF'!$D$21</f>
        <v>-294538.53750000003</v>
      </c>
      <c r="AU38" s="188">
        <f>-('Annual CF'!$D$7/12)*'Annual CF'!$D$21</f>
        <v>-294538.53750000003</v>
      </c>
      <c r="AV38" s="188">
        <f>-('Annual CF'!$D$7/12)*'Annual CF'!$D$21</f>
        <v>-294538.53750000003</v>
      </c>
      <c r="AW38" s="188">
        <f>-('Annual CF'!$D$7/12)*'Annual CF'!$D$21</f>
        <v>-294538.53750000003</v>
      </c>
      <c r="AX38" s="188">
        <f>-('Annual CF'!$D$7/12)*'Annual CF'!$D$21</f>
        <v>-294538.53750000003</v>
      </c>
      <c r="AY38" s="188">
        <f>-('Annual CF'!$D$7/12)*'Annual CF'!$D$21</f>
        <v>-294538.53750000003</v>
      </c>
      <c r="AZ38" s="188">
        <f>-('Annual CF'!$D$7/12)*'Annual CF'!$D$21</f>
        <v>-294538.53750000003</v>
      </c>
      <c r="BA38" s="188">
        <f>-('Annual CF'!$D$7/12)*'Annual CF'!$D$21</f>
        <v>-294538.53750000003</v>
      </c>
      <c r="BB38" s="188">
        <f>-('Annual CF'!$D$7/12)*'Annual CF'!$D$21</f>
        <v>-294538.53750000003</v>
      </c>
      <c r="BC38" s="188">
        <f>-('Annual CF'!$D$7/12)*'Annual CF'!$D$21</f>
        <v>-294538.53750000003</v>
      </c>
      <c r="BD38" s="188">
        <f>-('Annual CF'!$D$7/12)*'Annual CF'!$D$21</f>
        <v>-294538.53750000003</v>
      </c>
      <c r="BE38" s="188">
        <f>-('Annual CF'!$D$7/12)*'Annual CF'!$D$21</f>
        <v>-294538.53750000003</v>
      </c>
      <c r="BF38" s="188">
        <f>-('Annual CF'!$D$7/12)*'Annual CF'!$D$21</f>
        <v>-294538.53750000003</v>
      </c>
      <c r="BG38" s="188">
        <f>-('Annual CF'!$D$7/12)*'Annual CF'!$D$21</f>
        <v>-294538.53750000003</v>
      </c>
      <c r="BH38" s="188">
        <f>-('Annual CF'!$D$7/12)*'Annual CF'!$D$21</f>
        <v>-294538.53750000003</v>
      </c>
      <c r="BI38" s="188">
        <f>-('Annual CF'!$D$7/12)*'Annual CF'!$D$21</f>
        <v>-294538.53750000003</v>
      </c>
      <c r="BJ38" s="188">
        <f>-('Annual CF'!$D$7/12)*'Annual CF'!$D$21</f>
        <v>-294538.53750000003</v>
      </c>
      <c r="BK38" s="188">
        <f>-('Annual CF'!$D$7/12)*'Annual CF'!$D$21</f>
        <v>-294538.53750000003</v>
      </c>
      <c r="BL38" s="188">
        <f>-('Annual CF'!$D$7/12)*'Annual CF'!$D$21</f>
        <v>-294538.53750000003</v>
      </c>
      <c r="BM38" s="188">
        <f>-('Annual CF'!$D$7/12)*'Annual CF'!$D$21</f>
        <v>-294538.53750000003</v>
      </c>
      <c r="BN38" s="188">
        <f>-('Annual CF'!$D$7/12)*'Annual CF'!$D$21</f>
        <v>-294538.53750000003</v>
      </c>
      <c r="BO38" s="188">
        <f>-('Annual CF'!$D$7/12)*'Annual CF'!$D$21</f>
        <v>-294538.53750000003</v>
      </c>
      <c r="BP38" s="188">
        <f>-('Annual CF'!$D$7/12)*'Annual CF'!$D$21</f>
        <v>-294538.53750000003</v>
      </c>
      <c r="BQ38" s="188">
        <f>-('Annual CF'!$D$7/12)*'Annual CF'!$D$21</f>
        <v>-294538.53750000003</v>
      </c>
      <c r="BR38" s="188">
        <f>-('Annual CF'!$D$7/12)*'Annual CF'!$D$21</f>
        <v>-294538.53750000003</v>
      </c>
      <c r="BS38" s="188">
        <f>-('Annual CF'!$D$7/12)*'Annual CF'!$D$21</f>
        <v>-294538.53750000003</v>
      </c>
      <c r="BT38" s="188">
        <f>-('Annual CF'!$D$7/12)*'Annual CF'!$D$21</f>
        <v>-294538.53750000003</v>
      </c>
      <c r="BU38" s="188">
        <f>-('Annual CF'!$D$7/12)*'Annual CF'!$D$21</f>
        <v>-294538.53750000003</v>
      </c>
      <c r="BV38" s="188">
        <f>-('Annual CF'!$D$7/12)*'Annual CF'!$D$21</f>
        <v>-294538.53750000003</v>
      </c>
      <c r="BW38" s="188">
        <f>-('Annual CF'!$D$7/12)*'Annual CF'!$D$21</f>
        <v>-294538.53750000003</v>
      </c>
      <c r="BX38" s="188">
        <f>-('Annual CF'!$D$7/12)*'Annual CF'!$D$21</f>
        <v>-294538.53750000003</v>
      </c>
      <c r="BY38" s="188">
        <f>-('Annual CF'!$D$7/12)*'Annual CF'!$D$21</f>
        <v>-294538.53750000003</v>
      </c>
      <c r="BZ38" s="188">
        <f>-('Annual CF'!$D$7/12)*'Annual CF'!$D$21</f>
        <v>-294538.53750000003</v>
      </c>
      <c r="CA38" s="188">
        <f>-('Annual CF'!$D$7/12)*'Annual CF'!$D$21</f>
        <v>-294538.53750000003</v>
      </c>
      <c r="CB38" s="188">
        <f>-('Annual CF'!$D$7/12)*'Annual CF'!$D$21</f>
        <v>-294538.53750000003</v>
      </c>
      <c r="CC38" s="188">
        <f>-('Annual CF'!$D$7/12)*'Annual CF'!$D$21</f>
        <v>-294538.53750000003</v>
      </c>
      <c r="CD38" s="188">
        <f>-('Annual CF'!$D$7/12)*'Annual CF'!$D$21</f>
        <v>-294538.53750000003</v>
      </c>
      <c r="CE38" s="188">
        <f>-('Annual CF'!$D$7/12)*'Annual CF'!$D$21</f>
        <v>-294538.53750000003</v>
      </c>
      <c r="CF38" s="188">
        <f>-('Annual CF'!$D$7/12)*'Annual CF'!$D$21</f>
        <v>-294538.53750000003</v>
      </c>
      <c r="CG38" s="188">
        <f>-('Annual CF'!$D$7/12)*'Annual CF'!$D$21</f>
        <v>-294538.53750000003</v>
      </c>
      <c r="CH38" s="188">
        <f>-('Annual CF'!$D$7/12)*'Annual CF'!$D$21</f>
        <v>-294538.53750000003</v>
      </c>
      <c r="CI38" s="188">
        <f>-('Annual CF'!$D$7/12)*'Annual CF'!$D$21</f>
        <v>-294538.53750000003</v>
      </c>
      <c r="CJ38" s="188">
        <f>-('Annual CF'!$D$7/12)*'Annual CF'!$D$21</f>
        <v>-294538.53750000003</v>
      </c>
      <c r="CK38" s="188"/>
      <c r="CL38" s="188"/>
      <c r="CM38" s="188"/>
      <c r="CN38" s="188"/>
      <c r="CO38" s="188"/>
      <c r="CP38" s="188"/>
      <c r="CQ38" s="188"/>
      <c r="CR38" s="188"/>
      <c r="CS38" s="188"/>
      <c r="CT38" s="188"/>
      <c r="CU38" s="188"/>
      <c r="CV38" s="188"/>
      <c r="CW38" s="188"/>
      <c r="CX38" s="188"/>
      <c r="CY38" s="188"/>
      <c r="CZ38" s="188"/>
      <c r="DA38" s="188"/>
      <c r="DB38" s="188"/>
      <c r="DC38" s="188"/>
      <c r="DD38" s="188"/>
      <c r="DE38" s="188"/>
      <c r="DF38" s="188"/>
      <c r="DG38" s="188"/>
      <c r="DH38" s="188"/>
      <c r="DI38" s="188"/>
      <c r="DJ38" s="188"/>
      <c r="DK38" s="188"/>
      <c r="DL38" s="188"/>
      <c r="DM38" s="188"/>
      <c r="DN38" s="188"/>
      <c r="DO38" s="188"/>
      <c r="DP38" s="188"/>
      <c r="DQ38" s="188"/>
      <c r="DR38" s="188"/>
      <c r="DS38" s="188"/>
      <c r="DT38" s="188"/>
      <c r="DU38" s="69" t="s">
        <v>0</v>
      </c>
    </row>
    <row r="39" spans="2:125" x14ac:dyDescent="0.25">
      <c r="B39" s="1" t="s">
        <v>49</v>
      </c>
      <c r="C39" s="188">
        <f>SUM(D39:CJ39)</f>
        <v>-4446245</v>
      </c>
      <c r="E39" s="201"/>
      <c r="F39" s="201"/>
      <c r="G39" s="201"/>
      <c r="H39" s="201"/>
      <c r="I39" s="201"/>
      <c r="J39" s="201"/>
      <c r="K39" s="201"/>
      <c r="L39" s="201"/>
      <c r="M39" s="201"/>
      <c r="N39" s="201"/>
      <c r="O39" s="201"/>
      <c r="P39" s="201"/>
      <c r="Q39" s="201"/>
      <c r="R39" s="201"/>
      <c r="S39" s="201"/>
      <c r="T39" s="201"/>
      <c r="U39" s="201"/>
      <c r="V39" s="201"/>
      <c r="W39" s="201"/>
      <c r="X39" s="201"/>
      <c r="Y39" s="201"/>
      <c r="Z39" s="188">
        <f>-Rents!L4*Rents!N4</f>
        <v>-2267750</v>
      </c>
      <c r="AA39" s="188"/>
      <c r="AB39" s="188"/>
      <c r="AC39" s="188">
        <f>-(Rents!$L$9*Rents!$N$9)/18</f>
        <v>-121027.5</v>
      </c>
      <c r="AD39" s="188">
        <f>-(Rents!$L$9*Rents!$N$9)/18</f>
        <v>-121027.5</v>
      </c>
      <c r="AE39" s="188">
        <f>-(Rents!$L$9*Rents!$N$9)/18</f>
        <v>-121027.5</v>
      </c>
      <c r="AF39" s="188">
        <f>-(Rents!$L$9*Rents!$N$9)/18</f>
        <v>-121027.5</v>
      </c>
      <c r="AG39" s="188">
        <f>-(Rents!$L$9*Rents!$N$9)/18</f>
        <v>-121027.5</v>
      </c>
      <c r="AH39" s="188">
        <f>-(Rents!$L$9*Rents!$N$9)/18</f>
        <v>-121027.5</v>
      </c>
      <c r="AI39" s="188">
        <f>-(Rents!$L$9*Rents!$N$9)/18</f>
        <v>-121027.5</v>
      </c>
      <c r="AJ39" s="188">
        <f>-(Rents!$L$9*Rents!$N$9)/18</f>
        <v>-121027.5</v>
      </c>
      <c r="AK39" s="188">
        <f>-(Rents!$L$9*Rents!$N$9)/18</f>
        <v>-121027.5</v>
      </c>
      <c r="AL39" s="188">
        <f>-(Rents!$L$9*Rents!$N$9)/18</f>
        <v>-121027.5</v>
      </c>
      <c r="AM39" s="188">
        <f>-(Rents!$L$9*Rents!$N$9)/18</f>
        <v>-121027.5</v>
      </c>
      <c r="AN39" s="188">
        <f>-(Rents!$L$9*Rents!$N$9)/18</f>
        <v>-121027.5</v>
      </c>
      <c r="AO39" s="188">
        <f>-(Rents!$L$9*Rents!$N$9)/18</f>
        <v>-121027.5</v>
      </c>
      <c r="AP39" s="188">
        <f>-(Rents!$L$9*Rents!$N$9)/18</f>
        <v>-121027.5</v>
      </c>
      <c r="AQ39" s="188">
        <f>-(Rents!$L$9*Rents!$N$9)/18</f>
        <v>-121027.5</v>
      </c>
      <c r="AR39" s="188">
        <f>-(Rents!$L$9*Rents!$N$9)/18</f>
        <v>-121027.5</v>
      </c>
      <c r="AS39" s="188">
        <f>-(Rents!$L$9*Rents!$N$9)/18</f>
        <v>-121027.5</v>
      </c>
      <c r="AT39" s="188">
        <f>-(Rents!$L$9*Rents!$N$9)/18</f>
        <v>-121027.5</v>
      </c>
      <c r="AU39" s="188"/>
      <c r="AV39" s="188"/>
      <c r="AW39" s="201"/>
      <c r="AX39" s="201"/>
      <c r="AY39" s="201"/>
      <c r="AZ39" s="201"/>
      <c r="BA39" s="201"/>
      <c r="BB39" s="201"/>
      <c r="BC39" s="201"/>
      <c r="BD39" s="201"/>
      <c r="BE39" s="201"/>
      <c r="BF39" s="201"/>
      <c r="BG39" s="201"/>
      <c r="BH39" s="201"/>
      <c r="BI39" s="201"/>
      <c r="BJ39" s="201"/>
      <c r="BK39" s="201"/>
      <c r="BL39" s="201"/>
      <c r="BM39" s="201"/>
      <c r="BN39" s="201"/>
      <c r="BO39" s="201"/>
      <c r="BP39" s="201"/>
      <c r="BQ39" s="201"/>
      <c r="BR39" s="201"/>
      <c r="BS39" s="201"/>
      <c r="BT39" s="201"/>
      <c r="BU39" s="201"/>
      <c r="BV39" s="201"/>
      <c r="BW39" s="201"/>
      <c r="BX39" s="201"/>
      <c r="BY39" s="201"/>
      <c r="BZ39" s="201"/>
      <c r="CA39" s="201"/>
      <c r="CB39" s="201"/>
      <c r="CC39" s="201"/>
      <c r="CD39" s="201"/>
      <c r="CE39" s="201"/>
      <c r="CF39" s="201"/>
      <c r="CG39" s="201"/>
      <c r="CH39" s="201"/>
      <c r="CI39" s="201"/>
      <c r="CJ39" s="201"/>
      <c r="CK39" s="201"/>
      <c r="CL39" s="201"/>
      <c r="CM39" s="201"/>
      <c r="CN39" s="201"/>
      <c r="CO39" s="201"/>
      <c r="CP39" s="201"/>
      <c r="CQ39" s="201"/>
      <c r="CR39" s="201"/>
      <c r="CS39" s="201"/>
      <c r="CT39" s="201"/>
      <c r="CU39" s="201"/>
      <c r="CV39" s="201"/>
      <c r="CW39" s="201"/>
      <c r="CX39" s="201"/>
      <c r="CY39" s="201"/>
      <c r="CZ39" s="201"/>
      <c r="DA39" s="201"/>
      <c r="DB39" s="201"/>
      <c r="DC39" s="201"/>
      <c r="DD39" s="201"/>
      <c r="DE39" s="201"/>
      <c r="DF39" s="201"/>
      <c r="DG39" s="201"/>
      <c r="DH39" s="201"/>
      <c r="DI39" s="201"/>
      <c r="DJ39" s="201"/>
      <c r="DK39" s="201"/>
      <c r="DL39" s="201"/>
      <c r="DM39" s="201"/>
      <c r="DN39" s="201"/>
      <c r="DO39" s="201"/>
      <c r="DP39" s="201"/>
      <c r="DQ39" s="201"/>
      <c r="DR39" s="201"/>
      <c r="DS39" s="201"/>
      <c r="DT39" s="201"/>
      <c r="DU39" s="69" t="s">
        <v>0</v>
      </c>
    </row>
    <row r="40" spans="2:125" x14ac:dyDescent="0.25">
      <c r="B40" s="1" t="s">
        <v>51</v>
      </c>
      <c r="C40" s="188">
        <f>SUM(D40:CJ40)</f>
        <v>-57600000.000000015</v>
      </c>
      <c r="E40" s="201"/>
      <c r="F40" s="201"/>
      <c r="G40" s="201"/>
      <c r="H40" s="201"/>
      <c r="I40" s="201"/>
      <c r="J40" s="201"/>
      <c r="K40" s="201"/>
      <c r="L40" s="201"/>
      <c r="M40" s="201"/>
      <c r="N40" s="201"/>
      <c r="O40" s="201"/>
      <c r="P40" s="201"/>
      <c r="Q40" s="201"/>
      <c r="R40" s="201"/>
      <c r="S40" s="201"/>
      <c r="T40" s="201"/>
      <c r="U40" s="201"/>
      <c r="V40" s="201"/>
      <c r="W40" s="201"/>
      <c r="X40" s="201"/>
      <c r="Y40" s="201"/>
      <c r="Z40" s="18">
        <f>-Rents!K4*Rents!C4</f>
        <v>-25000000</v>
      </c>
      <c r="AA40" s="188"/>
      <c r="AB40" s="188"/>
      <c r="AC40" s="188">
        <f>-(Rents!$K$9*Rents!$C$9)/18</f>
        <v>-1811111.111111111</v>
      </c>
      <c r="AD40" s="188">
        <f>-(Rents!$K$9*Rents!$C$9)/18</f>
        <v>-1811111.111111111</v>
      </c>
      <c r="AE40" s="188">
        <f>-(Rents!$K$9*Rents!$C$9)/18</f>
        <v>-1811111.111111111</v>
      </c>
      <c r="AF40" s="188">
        <f>-(Rents!$K$9*Rents!$C$9)/18</f>
        <v>-1811111.111111111</v>
      </c>
      <c r="AG40" s="188">
        <f>-(Rents!$K$9*Rents!$C$9)/18</f>
        <v>-1811111.111111111</v>
      </c>
      <c r="AH40" s="188">
        <f>-(Rents!$K$9*Rents!$C$9)/18</f>
        <v>-1811111.111111111</v>
      </c>
      <c r="AI40" s="188">
        <f>-(Rents!$K$9*Rents!$C$9)/18</f>
        <v>-1811111.111111111</v>
      </c>
      <c r="AJ40" s="188">
        <f>-(Rents!$K$9*Rents!$C$9)/18</f>
        <v>-1811111.111111111</v>
      </c>
      <c r="AK40" s="188">
        <f>-(Rents!$K$9*Rents!$C$9)/18</f>
        <v>-1811111.111111111</v>
      </c>
      <c r="AL40" s="188">
        <f>-(Rents!$K$9*Rents!$C$9)/18</f>
        <v>-1811111.111111111</v>
      </c>
      <c r="AM40" s="188">
        <f>-(Rents!$K$9*Rents!$C$9)/18</f>
        <v>-1811111.111111111</v>
      </c>
      <c r="AN40" s="188">
        <f>-(Rents!$K$9*Rents!$C$9)/18</f>
        <v>-1811111.111111111</v>
      </c>
      <c r="AO40" s="188">
        <f>-(Rents!$K$9*Rents!$C$9)/18</f>
        <v>-1811111.111111111</v>
      </c>
      <c r="AP40" s="188">
        <f>-(Rents!$K$9*Rents!$C$9)/18</f>
        <v>-1811111.111111111</v>
      </c>
      <c r="AQ40" s="188">
        <f>-(Rents!$K$9*Rents!$C$9)/18</f>
        <v>-1811111.111111111</v>
      </c>
      <c r="AR40" s="188">
        <f>-(Rents!$K$9*Rents!$C$9)/18</f>
        <v>-1811111.111111111</v>
      </c>
      <c r="AS40" s="188">
        <f>-(Rents!$K$9*Rents!$C$9)/18</f>
        <v>-1811111.111111111</v>
      </c>
      <c r="AT40" s="188">
        <f>-(Rents!$K$9*Rents!$C$9)/18</f>
        <v>-1811111.111111111</v>
      </c>
      <c r="AU40" s="188"/>
      <c r="AV40" s="188"/>
      <c r="AW40" s="201"/>
      <c r="AX40" s="201"/>
      <c r="AY40" s="201"/>
      <c r="AZ40" s="201"/>
      <c r="BA40" s="201"/>
      <c r="BB40" s="201"/>
      <c r="BC40" s="201"/>
      <c r="BD40" s="201"/>
      <c r="BE40" s="201"/>
      <c r="BF40" s="201"/>
      <c r="BG40" s="201"/>
      <c r="BH40" s="201"/>
      <c r="BI40" s="201"/>
      <c r="BJ40" s="201"/>
      <c r="BK40" s="201"/>
      <c r="BL40" s="201"/>
      <c r="BM40" s="201"/>
      <c r="BN40" s="201"/>
      <c r="BO40" s="201"/>
      <c r="BP40" s="201"/>
      <c r="BQ40" s="201"/>
      <c r="BR40" s="201"/>
      <c r="BS40" s="201"/>
      <c r="BT40" s="201"/>
      <c r="BU40" s="201"/>
      <c r="BV40" s="201"/>
      <c r="BW40" s="201"/>
      <c r="BX40" s="201"/>
      <c r="BY40" s="201"/>
      <c r="BZ40" s="201"/>
      <c r="CA40" s="201"/>
      <c r="CB40" s="201"/>
      <c r="CC40" s="201"/>
      <c r="CD40" s="201"/>
      <c r="CE40" s="201"/>
      <c r="CF40" s="201"/>
      <c r="CG40" s="201"/>
      <c r="CH40" s="201"/>
      <c r="CI40" s="201"/>
      <c r="CJ40" s="201"/>
      <c r="CK40" s="201"/>
      <c r="CL40" s="201"/>
      <c r="CM40" s="201"/>
      <c r="CN40" s="201"/>
      <c r="CO40" s="201"/>
      <c r="CP40" s="201"/>
      <c r="CQ40" s="201"/>
      <c r="CR40" s="201"/>
      <c r="CS40" s="201"/>
      <c r="CT40" s="201"/>
      <c r="CU40" s="201"/>
      <c r="CV40" s="201"/>
      <c r="CW40" s="201"/>
      <c r="CX40" s="201"/>
      <c r="CY40" s="201"/>
      <c r="CZ40" s="201"/>
      <c r="DA40" s="201"/>
      <c r="DB40" s="201"/>
      <c r="DC40" s="201"/>
      <c r="DD40" s="201"/>
      <c r="DE40" s="201"/>
      <c r="DF40" s="201"/>
      <c r="DG40" s="201"/>
      <c r="DH40" s="201"/>
      <c r="DI40" s="201"/>
      <c r="DJ40" s="201"/>
      <c r="DK40" s="201"/>
      <c r="DL40" s="201"/>
      <c r="DM40" s="201"/>
      <c r="DN40" s="201"/>
      <c r="DO40" s="201"/>
      <c r="DP40" s="201"/>
      <c r="DQ40" s="201"/>
      <c r="DR40" s="201"/>
      <c r="DS40" s="201"/>
      <c r="DT40" s="201"/>
      <c r="DU40" s="69" t="s">
        <v>0</v>
      </c>
    </row>
    <row r="41" spans="2:125" x14ac:dyDescent="0.25">
      <c r="B41" s="139" t="s">
        <v>53</v>
      </c>
      <c r="C41" s="188">
        <f>SUM(D41:CJ41)</f>
        <v>20000000</v>
      </c>
      <c r="E41" s="201"/>
      <c r="F41" s="201"/>
      <c r="G41" s="201"/>
      <c r="H41" s="201"/>
      <c r="I41" s="201"/>
      <c r="J41" s="201"/>
      <c r="K41" s="201"/>
      <c r="L41" s="201"/>
      <c r="M41" s="201"/>
      <c r="N41" s="201"/>
      <c r="O41" s="201"/>
      <c r="P41" s="201"/>
      <c r="Q41" s="201"/>
      <c r="R41" s="201"/>
      <c r="S41" s="201"/>
      <c r="T41" s="201"/>
      <c r="U41" s="201"/>
      <c r="V41" s="201"/>
      <c r="W41" s="201"/>
      <c r="X41" s="201"/>
      <c r="Y41" s="201"/>
      <c r="Z41" s="188">
        <f>-Rents!K5*Rents!C4</f>
        <v>20000000</v>
      </c>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01"/>
      <c r="BG41" s="201"/>
      <c r="BH41" s="201"/>
      <c r="BI41" s="201"/>
      <c r="BJ41" s="201"/>
      <c r="BK41" s="201"/>
      <c r="BL41" s="201"/>
      <c r="BM41" s="201"/>
      <c r="BN41" s="201"/>
      <c r="BO41" s="201"/>
      <c r="BP41" s="201"/>
      <c r="BQ41" s="201"/>
      <c r="BR41" s="201"/>
      <c r="BS41" s="201"/>
      <c r="BT41" s="201"/>
      <c r="BU41" s="201"/>
      <c r="BV41" s="201"/>
      <c r="BW41" s="201"/>
      <c r="BX41" s="201"/>
      <c r="BY41" s="201"/>
      <c r="BZ41" s="201"/>
      <c r="CA41" s="201"/>
      <c r="CB41" s="201"/>
      <c r="CC41" s="201"/>
      <c r="CD41" s="201"/>
      <c r="CE41" s="201"/>
      <c r="CF41" s="201"/>
      <c r="CG41" s="201"/>
      <c r="CH41" s="201"/>
      <c r="CI41" s="201"/>
      <c r="CJ41" s="201"/>
      <c r="CK41" s="201"/>
      <c r="CL41" s="201"/>
      <c r="CM41" s="201"/>
      <c r="CN41" s="201"/>
      <c r="CO41" s="201"/>
      <c r="CP41" s="201"/>
      <c r="CQ41" s="201"/>
      <c r="CR41" s="201"/>
      <c r="CS41" s="201"/>
      <c r="CT41" s="201"/>
      <c r="CU41" s="201"/>
      <c r="CV41" s="201"/>
      <c r="CW41" s="201"/>
      <c r="CX41" s="201"/>
      <c r="CY41" s="201"/>
      <c r="CZ41" s="201"/>
      <c r="DA41" s="201"/>
      <c r="DB41" s="201"/>
      <c r="DC41" s="201"/>
      <c r="DD41" s="201"/>
      <c r="DE41" s="201"/>
      <c r="DF41" s="201"/>
      <c r="DG41" s="201"/>
      <c r="DH41" s="201"/>
      <c r="DI41" s="201"/>
      <c r="DJ41" s="201"/>
      <c r="DK41" s="201"/>
      <c r="DL41" s="201"/>
      <c r="DM41" s="201"/>
      <c r="DN41" s="201"/>
      <c r="DO41" s="201"/>
      <c r="DP41" s="201"/>
      <c r="DQ41" s="201"/>
      <c r="DR41" s="201"/>
      <c r="DS41" s="201"/>
      <c r="DT41" s="201"/>
      <c r="DU41" s="69" t="s">
        <v>0</v>
      </c>
    </row>
    <row r="42" spans="2:125" x14ac:dyDescent="0.25">
      <c r="B42" s="27" t="s">
        <v>54</v>
      </c>
      <c r="C42" s="197">
        <f>SUM(D42:CJ42)</f>
        <v>-59718557.250000067</v>
      </c>
      <c r="D42" s="197">
        <f t="shared" ref="D42:AI42" si="187">SUM(D38:D41)</f>
        <v>0</v>
      </c>
      <c r="E42" s="197">
        <f t="shared" si="187"/>
        <v>0</v>
      </c>
      <c r="F42" s="197">
        <f t="shared" si="187"/>
        <v>0</v>
      </c>
      <c r="G42" s="197">
        <f t="shared" si="187"/>
        <v>0</v>
      </c>
      <c r="H42" s="197">
        <f t="shared" si="187"/>
        <v>0</v>
      </c>
      <c r="I42" s="197">
        <f t="shared" si="187"/>
        <v>0</v>
      </c>
      <c r="J42" s="197">
        <f t="shared" si="187"/>
        <v>0</v>
      </c>
      <c r="K42" s="197">
        <f t="shared" si="187"/>
        <v>0</v>
      </c>
      <c r="L42" s="197">
        <f t="shared" si="187"/>
        <v>0</v>
      </c>
      <c r="M42" s="197">
        <f t="shared" si="187"/>
        <v>0</v>
      </c>
      <c r="N42" s="197">
        <f t="shared" si="187"/>
        <v>0</v>
      </c>
      <c r="O42" s="197">
        <f t="shared" si="187"/>
        <v>0</v>
      </c>
      <c r="P42" s="197">
        <f t="shared" si="187"/>
        <v>0</v>
      </c>
      <c r="Q42" s="197">
        <f t="shared" si="187"/>
        <v>0</v>
      </c>
      <c r="R42" s="197">
        <f t="shared" si="187"/>
        <v>0</v>
      </c>
      <c r="S42" s="197">
        <f t="shared" si="187"/>
        <v>0</v>
      </c>
      <c r="T42" s="197">
        <f t="shared" si="187"/>
        <v>0</v>
      </c>
      <c r="U42" s="197">
        <f t="shared" si="187"/>
        <v>0</v>
      </c>
      <c r="V42" s="197">
        <f t="shared" si="187"/>
        <v>0</v>
      </c>
      <c r="W42" s="197">
        <f t="shared" si="187"/>
        <v>0</v>
      </c>
      <c r="X42" s="197">
        <f t="shared" si="187"/>
        <v>0</v>
      </c>
      <c r="Y42" s="197">
        <f t="shared" si="187"/>
        <v>0</v>
      </c>
      <c r="Z42" s="197">
        <f t="shared" si="187"/>
        <v>-7267750</v>
      </c>
      <c r="AA42" s="197">
        <f t="shared" si="187"/>
        <v>0</v>
      </c>
      <c r="AB42" s="197">
        <f t="shared" si="187"/>
        <v>0</v>
      </c>
      <c r="AC42" s="197">
        <f t="shared" si="187"/>
        <v>-2226677.1486111111</v>
      </c>
      <c r="AD42" s="197">
        <f t="shared" si="187"/>
        <v>-2226677.1486111111</v>
      </c>
      <c r="AE42" s="197">
        <f t="shared" si="187"/>
        <v>-2226677.1486111111</v>
      </c>
      <c r="AF42" s="197">
        <f t="shared" si="187"/>
        <v>-2226677.1486111111</v>
      </c>
      <c r="AG42" s="197">
        <f t="shared" si="187"/>
        <v>-2226677.1486111111</v>
      </c>
      <c r="AH42" s="197">
        <f t="shared" si="187"/>
        <v>-2226677.1486111111</v>
      </c>
      <c r="AI42" s="197">
        <f t="shared" si="187"/>
        <v>-2226677.1486111111</v>
      </c>
      <c r="AJ42" s="197">
        <f t="shared" ref="AJ42:BO42" si="188">SUM(AJ38:AJ41)</f>
        <v>-2226677.1486111111</v>
      </c>
      <c r="AK42" s="197">
        <f t="shared" si="188"/>
        <v>-2226677.1486111111</v>
      </c>
      <c r="AL42" s="197">
        <f t="shared" si="188"/>
        <v>-2226677.1486111111</v>
      </c>
      <c r="AM42" s="197">
        <f t="shared" si="188"/>
        <v>-2226677.1486111111</v>
      </c>
      <c r="AN42" s="197">
        <f t="shared" si="188"/>
        <v>-2226677.1486111111</v>
      </c>
      <c r="AO42" s="197">
        <f t="shared" si="188"/>
        <v>-2226677.1486111111</v>
      </c>
      <c r="AP42" s="197">
        <f t="shared" si="188"/>
        <v>-2226677.1486111111</v>
      </c>
      <c r="AQ42" s="197">
        <f t="shared" si="188"/>
        <v>-2226677.1486111111</v>
      </c>
      <c r="AR42" s="197">
        <f t="shared" si="188"/>
        <v>-2226677.1486111111</v>
      </c>
      <c r="AS42" s="197">
        <f t="shared" si="188"/>
        <v>-2226677.1486111111</v>
      </c>
      <c r="AT42" s="197">
        <f t="shared" si="188"/>
        <v>-2226677.1486111111</v>
      </c>
      <c r="AU42" s="197">
        <f t="shared" si="188"/>
        <v>-294538.53750000003</v>
      </c>
      <c r="AV42" s="197">
        <f t="shared" si="188"/>
        <v>-294538.53750000003</v>
      </c>
      <c r="AW42" s="197">
        <f t="shared" si="188"/>
        <v>-294538.53750000003</v>
      </c>
      <c r="AX42" s="197">
        <f t="shared" si="188"/>
        <v>-294538.53750000003</v>
      </c>
      <c r="AY42" s="197">
        <f t="shared" si="188"/>
        <v>-294538.53750000003</v>
      </c>
      <c r="AZ42" s="197">
        <f t="shared" si="188"/>
        <v>-294538.53750000003</v>
      </c>
      <c r="BA42" s="197">
        <f t="shared" si="188"/>
        <v>-294538.53750000003</v>
      </c>
      <c r="BB42" s="197">
        <f t="shared" si="188"/>
        <v>-294538.53750000003</v>
      </c>
      <c r="BC42" s="197">
        <f t="shared" si="188"/>
        <v>-294538.53750000003</v>
      </c>
      <c r="BD42" s="197">
        <f t="shared" si="188"/>
        <v>-294538.53750000003</v>
      </c>
      <c r="BE42" s="197">
        <f t="shared" si="188"/>
        <v>-294538.53750000003</v>
      </c>
      <c r="BF42" s="197">
        <f t="shared" si="188"/>
        <v>-294538.53750000003</v>
      </c>
      <c r="BG42" s="197">
        <f t="shared" si="188"/>
        <v>-294538.53750000003</v>
      </c>
      <c r="BH42" s="197">
        <f t="shared" si="188"/>
        <v>-294538.53750000003</v>
      </c>
      <c r="BI42" s="197">
        <f t="shared" si="188"/>
        <v>-294538.53750000003</v>
      </c>
      <c r="BJ42" s="197">
        <f t="shared" si="188"/>
        <v>-294538.53750000003</v>
      </c>
      <c r="BK42" s="197">
        <f t="shared" si="188"/>
        <v>-294538.53750000003</v>
      </c>
      <c r="BL42" s="197">
        <f t="shared" si="188"/>
        <v>-294538.53750000003</v>
      </c>
      <c r="BM42" s="197">
        <f t="shared" si="188"/>
        <v>-294538.53750000003</v>
      </c>
      <c r="BN42" s="197">
        <f t="shared" si="188"/>
        <v>-294538.53750000003</v>
      </c>
      <c r="BO42" s="197">
        <f t="shared" si="188"/>
        <v>-294538.53750000003</v>
      </c>
      <c r="BP42" s="197">
        <f t="shared" ref="BP42:CJ42" si="189">SUM(BP38:BP41)</f>
        <v>-294538.53750000003</v>
      </c>
      <c r="BQ42" s="197">
        <f t="shared" si="189"/>
        <v>-294538.53750000003</v>
      </c>
      <c r="BR42" s="197">
        <f t="shared" si="189"/>
        <v>-294538.53750000003</v>
      </c>
      <c r="BS42" s="197">
        <f t="shared" si="189"/>
        <v>-294538.53750000003</v>
      </c>
      <c r="BT42" s="197">
        <f t="shared" si="189"/>
        <v>-294538.53750000003</v>
      </c>
      <c r="BU42" s="197">
        <f t="shared" si="189"/>
        <v>-294538.53750000003</v>
      </c>
      <c r="BV42" s="197">
        <f t="shared" si="189"/>
        <v>-294538.53750000003</v>
      </c>
      <c r="BW42" s="197">
        <f t="shared" si="189"/>
        <v>-294538.53750000003</v>
      </c>
      <c r="BX42" s="197">
        <f t="shared" si="189"/>
        <v>-294538.53750000003</v>
      </c>
      <c r="BY42" s="197">
        <f t="shared" si="189"/>
        <v>-294538.53750000003</v>
      </c>
      <c r="BZ42" s="197">
        <f t="shared" si="189"/>
        <v>-294538.53750000003</v>
      </c>
      <c r="CA42" s="197">
        <f t="shared" si="189"/>
        <v>-294538.53750000003</v>
      </c>
      <c r="CB42" s="197">
        <f t="shared" si="189"/>
        <v>-294538.53750000003</v>
      </c>
      <c r="CC42" s="197">
        <f t="shared" si="189"/>
        <v>-294538.53750000003</v>
      </c>
      <c r="CD42" s="197">
        <f t="shared" si="189"/>
        <v>-294538.53750000003</v>
      </c>
      <c r="CE42" s="197">
        <f t="shared" si="189"/>
        <v>-294538.53750000003</v>
      </c>
      <c r="CF42" s="197">
        <f t="shared" si="189"/>
        <v>-294538.53750000003</v>
      </c>
      <c r="CG42" s="197">
        <f t="shared" si="189"/>
        <v>-294538.53750000003</v>
      </c>
      <c r="CH42" s="197">
        <f t="shared" si="189"/>
        <v>-294538.53750000003</v>
      </c>
      <c r="CI42" s="197">
        <f t="shared" si="189"/>
        <v>-294538.53750000003</v>
      </c>
      <c r="CJ42" s="197">
        <f t="shared" si="189"/>
        <v>-294538.53750000003</v>
      </c>
      <c r="CK42" s="201"/>
      <c r="CL42" s="201"/>
      <c r="CM42" s="201"/>
      <c r="CN42" s="201"/>
      <c r="CO42" s="201"/>
      <c r="CP42" s="201"/>
      <c r="CQ42" s="201"/>
      <c r="CR42" s="201"/>
      <c r="CS42" s="201"/>
      <c r="CT42" s="201"/>
      <c r="CU42" s="201"/>
      <c r="CV42" s="201"/>
      <c r="CW42" s="201"/>
      <c r="CX42" s="201"/>
      <c r="CY42" s="201"/>
      <c r="CZ42" s="201"/>
      <c r="DA42" s="201"/>
      <c r="DB42" s="201"/>
      <c r="DC42" s="201"/>
      <c r="DD42" s="201"/>
      <c r="DE42" s="201"/>
      <c r="DF42" s="201"/>
      <c r="DG42" s="201"/>
      <c r="DH42" s="201"/>
      <c r="DI42" s="201"/>
      <c r="DJ42" s="201"/>
      <c r="DK42" s="201"/>
      <c r="DL42" s="201"/>
      <c r="DM42" s="201"/>
      <c r="DN42" s="201"/>
      <c r="DO42" s="201"/>
      <c r="DP42" s="201"/>
      <c r="DQ42" s="201"/>
      <c r="DR42" s="201"/>
      <c r="DS42" s="201"/>
      <c r="DT42" s="201"/>
      <c r="DU42" s="69" t="s">
        <v>0</v>
      </c>
    </row>
    <row r="43" spans="2:125" x14ac:dyDescent="0.25">
      <c r="B43" s="55"/>
      <c r="DU43" s="69" t="s">
        <v>0</v>
      </c>
    </row>
    <row r="44" spans="2:125" x14ac:dyDescent="0.25">
      <c r="B44" s="1" t="s">
        <v>57</v>
      </c>
      <c r="C44" s="188">
        <f>SUM(D44:CJ44)</f>
        <v>528346309.02932447</v>
      </c>
      <c r="CJ44" s="18">
        <f>'Annual CF'!D43</f>
        <v>528346309.02932447</v>
      </c>
      <c r="DU44" s="69" t="s">
        <v>0</v>
      </c>
    </row>
    <row r="45" spans="2:125" x14ac:dyDescent="0.25">
      <c r="B45" s="1" t="s">
        <v>56</v>
      </c>
      <c r="C45" s="188">
        <f>SUM(D45:CJ45)</f>
        <v>21133852.361172978</v>
      </c>
      <c r="CJ45" s="18">
        <f>-'Annual CF'!D44</f>
        <v>21133852.361172978</v>
      </c>
      <c r="DU45" s="69" t="s">
        <v>0</v>
      </c>
    </row>
    <row r="46" spans="2:125" x14ac:dyDescent="0.25">
      <c r="B46" s="1"/>
      <c r="DU46" s="69" t="s">
        <v>0</v>
      </c>
    </row>
    <row r="47" spans="2:125" x14ac:dyDescent="0.25">
      <c r="B47" s="27" t="s">
        <v>59</v>
      </c>
      <c r="C47" s="197">
        <f>SUM(D47:CJ47)</f>
        <v>313776615.69902402</v>
      </c>
      <c r="D47" s="197">
        <f t="shared" ref="D47:AI47" si="190">SUM(D42:D45,D36,D16)</f>
        <v>-123600000</v>
      </c>
      <c r="E47" s="197">
        <f t="shared" si="190"/>
        <v>-7825000</v>
      </c>
      <c r="F47" s="197">
        <f t="shared" si="190"/>
        <v>-7825000</v>
      </c>
      <c r="G47" s="197">
        <f t="shared" si="190"/>
        <v>-7825000</v>
      </c>
      <c r="H47" s="197">
        <f t="shared" si="190"/>
        <v>-7825000</v>
      </c>
      <c r="I47" s="197">
        <f t="shared" si="190"/>
        <v>-7825000</v>
      </c>
      <c r="J47" s="197">
        <f t="shared" si="190"/>
        <v>-7825000</v>
      </c>
      <c r="K47" s="197">
        <f t="shared" si="190"/>
        <v>-7825000</v>
      </c>
      <c r="L47" s="197">
        <f t="shared" si="190"/>
        <v>-7825000</v>
      </c>
      <c r="M47" s="197">
        <f t="shared" si="190"/>
        <v>-7825000</v>
      </c>
      <c r="N47" s="197">
        <f t="shared" si="190"/>
        <v>-7825000</v>
      </c>
      <c r="O47" s="197">
        <f t="shared" si="190"/>
        <v>-7825000</v>
      </c>
      <c r="P47" s="197">
        <f t="shared" si="190"/>
        <v>-7825000</v>
      </c>
      <c r="Q47" s="197">
        <f t="shared" si="190"/>
        <v>-7825000</v>
      </c>
      <c r="R47" s="197">
        <f t="shared" si="190"/>
        <v>-7825000</v>
      </c>
      <c r="S47" s="197">
        <f t="shared" si="190"/>
        <v>-7825000</v>
      </c>
      <c r="T47" s="197">
        <f t="shared" si="190"/>
        <v>-7825000</v>
      </c>
      <c r="U47" s="197">
        <f t="shared" si="190"/>
        <v>-7825000</v>
      </c>
      <c r="V47" s="197">
        <f t="shared" si="190"/>
        <v>-7825000</v>
      </c>
      <c r="W47" s="197">
        <f t="shared" si="190"/>
        <v>-7825000</v>
      </c>
      <c r="X47" s="197">
        <f t="shared" si="190"/>
        <v>-7825000</v>
      </c>
      <c r="Y47" s="197">
        <f t="shared" si="190"/>
        <v>-7825000</v>
      </c>
      <c r="Z47" s="197">
        <f t="shared" si="190"/>
        <v>-15092750</v>
      </c>
      <c r="AA47" s="197">
        <f t="shared" si="190"/>
        <v>-7825000</v>
      </c>
      <c r="AB47" s="197">
        <f t="shared" si="190"/>
        <v>-7825000</v>
      </c>
      <c r="AC47" s="197">
        <f t="shared" si="190"/>
        <v>-2227883.3986111111</v>
      </c>
      <c r="AD47" s="197">
        <f t="shared" si="190"/>
        <v>-893240.41748611093</v>
      </c>
      <c r="AE47" s="197">
        <f t="shared" si="190"/>
        <v>-889350.72315965267</v>
      </c>
      <c r="AF47" s="197">
        <f t="shared" si="190"/>
        <v>-82662.740822111256</v>
      </c>
      <c r="AG47" s="197">
        <f t="shared" si="190"/>
        <v>-76408.859082930256</v>
      </c>
      <c r="AH47" s="197">
        <f t="shared" si="190"/>
        <v>-70136.735589385964</v>
      </c>
      <c r="AI47" s="197">
        <f t="shared" si="190"/>
        <v>-63846.317133195233</v>
      </c>
      <c r="AJ47" s="197">
        <f t="shared" ref="AJ47:BO47" si="191">SUM(AJ42:AJ45,AJ36,AJ16)</f>
        <v>-57537.550350879785</v>
      </c>
      <c r="AK47" s="197">
        <f t="shared" si="191"/>
        <v>-51210.381723304745</v>
      </c>
      <c r="AL47" s="197">
        <f t="shared" si="191"/>
        <v>-44864.757575234864</v>
      </c>
      <c r="AM47" s="197">
        <f t="shared" si="191"/>
        <v>-38500.624074872117</v>
      </c>
      <c r="AN47" s="197">
        <f t="shared" si="191"/>
        <v>-32117.927233399823</v>
      </c>
      <c r="AO47" s="197">
        <f t="shared" si="191"/>
        <v>-25716.61290452769</v>
      </c>
      <c r="AP47" s="197">
        <f t="shared" si="191"/>
        <v>-19296.626784030348</v>
      </c>
      <c r="AQ47" s="197">
        <f t="shared" si="191"/>
        <v>-12857.914409286343</v>
      </c>
      <c r="AR47" s="197">
        <f t="shared" si="191"/>
        <v>-6400.4211588171311</v>
      </c>
      <c r="AS47" s="197">
        <f t="shared" si="191"/>
        <v>75.907748175784945</v>
      </c>
      <c r="AT47" s="197">
        <f t="shared" si="191"/>
        <v>6571.1272522769868</v>
      </c>
      <c r="AU47" s="197">
        <f t="shared" si="191"/>
        <v>1945223.9035654343</v>
      </c>
      <c r="AV47" s="197">
        <f t="shared" si="191"/>
        <v>1951757.0697269798</v>
      </c>
      <c r="AW47" s="197">
        <f t="shared" si="191"/>
        <v>1958309.292270768</v>
      </c>
      <c r="AX47" s="197">
        <f t="shared" si="191"/>
        <v>1964880.6267811987</v>
      </c>
      <c r="AY47" s="197">
        <f t="shared" si="191"/>
        <v>1971471.1290048016</v>
      </c>
      <c r="AZ47" s="197">
        <f t="shared" si="191"/>
        <v>1978080.8548507104</v>
      </c>
      <c r="BA47" s="197">
        <f t="shared" si="191"/>
        <v>1984709.8603911325</v>
      </c>
      <c r="BB47" s="197">
        <f t="shared" si="191"/>
        <v>1991358.2018618304</v>
      </c>
      <c r="BC47" s="197">
        <f t="shared" si="191"/>
        <v>1998025.9356625923</v>
      </c>
      <c r="BD47" s="197">
        <f t="shared" si="191"/>
        <v>2004713.1183577171</v>
      </c>
      <c r="BE47" s="197">
        <f t="shared" si="191"/>
        <v>2011419.8066764902</v>
      </c>
      <c r="BF47" s="197">
        <f t="shared" si="191"/>
        <v>2018146.0575136663</v>
      </c>
      <c r="BG47" s="197">
        <f t="shared" si="191"/>
        <v>2024891.9279299509</v>
      </c>
      <c r="BH47" s="197">
        <f t="shared" si="191"/>
        <v>2031657.4751524846</v>
      </c>
      <c r="BI47" s="197">
        <f t="shared" si="191"/>
        <v>2038442.7565753306</v>
      </c>
      <c r="BJ47" s="197">
        <f t="shared" si="191"/>
        <v>2045247.8297599577</v>
      </c>
      <c r="BK47" s="197">
        <f t="shared" si="191"/>
        <v>2052072.7524357322</v>
      </c>
      <c r="BL47" s="197">
        <f t="shared" si="191"/>
        <v>2058917.5825004061</v>
      </c>
      <c r="BM47" s="197">
        <f t="shared" si="191"/>
        <v>2065782.3780206074</v>
      </c>
      <c r="BN47" s="197">
        <f t="shared" si="191"/>
        <v>2072667.1972323353</v>
      </c>
      <c r="BO47" s="197">
        <f t="shared" si="191"/>
        <v>2079572.0985414512</v>
      </c>
      <c r="BP47" s="197">
        <f t="shared" ref="BP47:CJ47" si="192">SUM(BP42:BP45,BP36,BP16)</f>
        <v>2086497.140524175</v>
      </c>
      <c r="BQ47" s="197">
        <f t="shared" si="192"/>
        <v>2093442.3819275848</v>
      </c>
      <c r="BR47" s="197">
        <f t="shared" si="192"/>
        <v>2100407.8816701099</v>
      </c>
      <c r="BS47" s="197">
        <f t="shared" si="192"/>
        <v>2107393.698842037</v>
      </c>
      <c r="BT47" s="197">
        <f t="shared" si="192"/>
        <v>2114399.8927060054</v>
      </c>
      <c r="BU47" s="197">
        <f t="shared" si="192"/>
        <v>2121426.5226975144</v>
      </c>
      <c r="BV47" s="197">
        <f t="shared" si="192"/>
        <v>2128473.6484254226</v>
      </c>
      <c r="BW47" s="197">
        <f t="shared" si="192"/>
        <v>2135541.32967246</v>
      </c>
      <c r="BX47" s="197">
        <f t="shared" si="192"/>
        <v>2142629.6263957298</v>
      </c>
      <c r="BY47" s="197">
        <f t="shared" si="192"/>
        <v>2149738.5987272193</v>
      </c>
      <c r="BZ47" s="197">
        <f t="shared" si="192"/>
        <v>2156868.3069743095</v>
      </c>
      <c r="CA47" s="197">
        <f t="shared" si="192"/>
        <v>2164018.8116202862</v>
      </c>
      <c r="CB47" s="197">
        <f t="shared" si="192"/>
        <v>2171190.1733248541</v>
      </c>
      <c r="CC47" s="197">
        <f t="shared" si="192"/>
        <v>2178382.4529246516</v>
      </c>
      <c r="CD47" s="197">
        <f t="shared" si="192"/>
        <v>2185595.7114337645</v>
      </c>
      <c r="CE47" s="197">
        <f t="shared" si="192"/>
        <v>2192830.0100442469</v>
      </c>
      <c r="CF47" s="197">
        <f t="shared" si="192"/>
        <v>2200085.4101266372</v>
      </c>
      <c r="CG47" s="197">
        <f t="shared" si="192"/>
        <v>2207361.9732304821</v>
      </c>
      <c r="CH47" s="197">
        <f t="shared" si="192"/>
        <v>2214659.7610848537</v>
      </c>
      <c r="CI47" s="197">
        <f t="shared" si="192"/>
        <v>2221978.83559888</v>
      </c>
      <c r="CJ47" s="197">
        <f t="shared" si="192"/>
        <v>551709480.6493597</v>
      </c>
      <c r="CK47" s="201"/>
      <c r="CL47" s="201"/>
      <c r="CM47" s="201"/>
      <c r="CN47" s="201"/>
      <c r="CO47" s="201"/>
      <c r="CP47" s="201"/>
      <c r="CQ47" s="201"/>
      <c r="CR47" s="201"/>
      <c r="CS47" s="201"/>
      <c r="CT47" s="201"/>
      <c r="CU47" s="201"/>
      <c r="CV47" s="201"/>
      <c r="CW47" s="201"/>
      <c r="CX47" s="201"/>
      <c r="CY47" s="201"/>
      <c r="CZ47" s="201"/>
      <c r="DA47" s="201"/>
      <c r="DB47" s="201"/>
      <c r="DC47" s="201"/>
      <c r="DD47" s="201"/>
      <c r="DE47" s="201"/>
      <c r="DF47" s="201"/>
      <c r="DG47" s="201"/>
      <c r="DH47" s="201"/>
      <c r="DI47" s="201"/>
      <c r="DJ47" s="201"/>
      <c r="DK47" s="201"/>
      <c r="DL47" s="201"/>
      <c r="DM47" s="201"/>
      <c r="DN47" s="201"/>
      <c r="DO47" s="201"/>
      <c r="DP47" s="201"/>
      <c r="DQ47" s="201"/>
      <c r="DR47" s="201"/>
      <c r="DS47" s="201"/>
      <c r="DT47" s="201"/>
      <c r="DU47" s="69" t="s">
        <v>0</v>
      </c>
    </row>
    <row r="48" spans="2:125" x14ac:dyDescent="0.25">
      <c r="B48" s="34"/>
      <c r="DU48" s="69" t="s">
        <v>0</v>
      </c>
    </row>
    <row r="49" spans="2:125" x14ac:dyDescent="0.25">
      <c r="B49" s="1" t="s">
        <v>39</v>
      </c>
      <c r="C49" s="18">
        <f t="shared" ref="C49:C54" ca="1" si="193">SUM(D49:CJ49)</f>
        <v>247412371.5</v>
      </c>
      <c r="D49" s="18">
        <f>'Annual CF'!D16*'Annual CF'!D27</f>
        <v>84000000</v>
      </c>
      <c r="E49" s="18">
        <f ca="1">('Annual CF'!$D$29-'Monthly CF'!$D$49)/('Annual CF'!$D$4*12)</f>
        <v>6808848.8124999991</v>
      </c>
      <c r="F49" s="18">
        <f ca="1">('Annual CF'!$D$29-'Monthly CF'!$D$49)/('Annual CF'!$D$4*12)</f>
        <v>6808848.8124999991</v>
      </c>
      <c r="G49" s="18">
        <f ca="1">('Annual CF'!$D$29-'Monthly CF'!$D$49)/('Annual CF'!$D$4*12)</f>
        <v>6808848.8124999991</v>
      </c>
      <c r="H49" s="18">
        <f ca="1">('Annual CF'!$D$29-'Monthly CF'!$D$49)/('Annual CF'!$D$4*12)</f>
        <v>6808848.8124999991</v>
      </c>
      <c r="I49" s="18">
        <f ca="1">('Annual CF'!$D$29-'Monthly CF'!$D$49)/('Annual CF'!$D$4*12)</f>
        <v>6808848.8124999991</v>
      </c>
      <c r="J49" s="18">
        <f ca="1">('Annual CF'!$D$29-'Monthly CF'!$D$49)/('Annual CF'!$D$4*12)</f>
        <v>6808848.8124999991</v>
      </c>
      <c r="K49" s="18">
        <f ca="1">('Annual CF'!$D$29-'Monthly CF'!$D$49)/('Annual CF'!$D$4*12)</f>
        <v>6808848.8124999991</v>
      </c>
      <c r="L49" s="18">
        <f ca="1">('Annual CF'!$D$29-'Monthly CF'!$D$49)/('Annual CF'!$D$4*12)</f>
        <v>6808848.8124999991</v>
      </c>
      <c r="M49" s="18">
        <f ca="1">('Annual CF'!$D$29-'Monthly CF'!$D$49)/('Annual CF'!$D$4*12)</f>
        <v>6808848.8124999991</v>
      </c>
      <c r="N49" s="18">
        <f ca="1">('Annual CF'!$D$29-'Monthly CF'!$D$49)/('Annual CF'!$D$4*12)</f>
        <v>6808848.8124999991</v>
      </c>
      <c r="O49" s="18">
        <f ca="1">('Annual CF'!$D$29-'Monthly CF'!$D$49)/('Annual CF'!$D$4*12)</f>
        <v>6808848.8124999991</v>
      </c>
      <c r="P49" s="18">
        <f ca="1">('Annual CF'!$D$29-'Monthly CF'!$D$49)/('Annual CF'!$D$4*12)</f>
        <v>6808848.8124999991</v>
      </c>
      <c r="Q49" s="18">
        <f ca="1">('Annual CF'!$D$29-'Monthly CF'!$D$49)/('Annual CF'!$D$4*12)</f>
        <v>6808848.8124999991</v>
      </c>
      <c r="R49" s="18">
        <f ca="1">('Annual CF'!$D$29-'Monthly CF'!$D$49)/('Annual CF'!$D$4*12)</f>
        <v>6808848.8124999991</v>
      </c>
      <c r="S49" s="18">
        <f ca="1">('Annual CF'!$D$29-'Monthly CF'!$D$49)/('Annual CF'!$D$4*12)</f>
        <v>6808848.8124999991</v>
      </c>
      <c r="T49" s="18">
        <f ca="1">('Annual CF'!$D$29-'Monthly CF'!$D$49)/('Annual CF'!$D$4*12)</f>
        <v>6808848.8124999991</v>
      </c>
      <c r="U49" s="18">
        <f ca="1">('Annual CF'!$D$29-'Monthly CF'!$D$49)/('Annual CF'!$D$4*12)</f>
        <v>6808848.8124999991</v>
      </c>
      <c r="V49" s="18">
        <f ca="1">('Annual CF'!$D$29-'Monthly CF'!$D$49)/('Annual CF'!$D$4*12)</f>
        <v>6808848.8124999991</v>
      </c>
      <c r="W49" s="18">
        <f ca="1">('Annual CF'!$D$29-'Monthly CF'!$D$49)/('Annual CF'!$D$4*12)</f>
        <v>6808848.8124999991</v>
      </c>
      <c r="X49" s="18">
        <f ca="1">('Annual CF'!$D$29-'Monthly CF'!$D$49)/('Annual CF'!$D$4*12)</f>
        <v>6808848.8124999991</v>
      </c>
      <c r="Y49" s="18">
        <f ca="1">('Annual CF'!$D$29-'Monthly CF'!$D$49)/('Annual CF'!$D$4*12)</f>
        <v>6808848.8124999991</v>
      </c>
      <c r="Z49" s="18">
        <f ca="1">('Annual CF'!$D$29-'Monthly CF'!$D$49)/('Annual CF'!$D$4*12)</f>
        <v>6808848.8124999991</v>
      </c>
      <c r="AA49" s="18">
        <f ca="1">('Annual CF'!$D$29-'Monthly CF'!$D$49)/('Annual CF'!$D$4*12)</f>
        <v>6808848.8124999991</v>
      </c>
      <c r="AB49" s="18">
        <f ca="1">('Annual CF'!$D$29-'Monthly CF'!$D$49)/('Annual CF'!$D$4*12)</f>
        <v>6808848.8124999991</v>
      </c>
      <c r="AI49" s="69" t="s">
        <v>162</v>
      </c>
      <c r="DU49" s="69" t="s">
        <v>0</v>
      </c>
    </row>
    <row r="50" spans="2:125" x14ac:dyDescent="0.25">
      <c r="B50" s="1" t="s">
        <v>67</v>
      </c>
      <c r="C50" s="188">
        <f t="shared" ca="1" si="193"/>
        <v>-4948247.43</v>
      </c>
      <c r="D50" s="188">
        <f ca="1">-'Annual CF'!D30</f>
        <v>-4948247.43</v>
      </c>
      <c r="E50" s="188"/>
      <c r="F50" s="188"/>
      <c r="G50" s="188"/>
      <c r="H50" s="188"/>
      <c r="I50" s="188"/>
      <c r="J50" s="188"/>
      <c r="K50" s="188"/>
      <c r="L50" s="188"/>
      <c r="M50" s="188"/>
      <c r="N50" s="188"/>
      <c r="O50" s="188"/>
      <c r="P50" s="188"/>
      <c r="Q50" s="188"/>
      <c r="R50" s="188"/>
      <c r="S50" s="188"/>
      <c r="T50" s="188"/>
      <c r="U50" s="188"/>
      <c r="V50" s="188"/>
      <c r="W50" s="188"/>
      <c r="X50" s="188"/>
      <c r="Y50" s="188"/>
      <c r="Z50" s="188"/>
      <c r="AA50" s="188"/>
      <c r="AB50" s="188"/>
      <c r="DU50" s="69" t="s">
        <v>0</v>
      </c>
    </row>
    <row r="51" spans="2:125" x14ac:dyDescent="0.25">
      <c r="B51" s="1" t="s">
        <v>68</v>
      </c>
      <c r="C51" s="188">
        <f t="shared" ca="1" si="193"/>
        <v>-277101856.07999998</v>
      </c>
      <c r="D51" s="188"/>
      <c r="E51" s="188"/>
      <c r="F51" s="188"/>
      <c r="G51" s="188"/>
      <c r="H51" s="188"/>
      <c r="I51" s="188"/>
      <c r="J51" s="188"/>
      <c r="K51" s="188"/>
      <c r="L51" s="188"/>
      <c r="M51" s="188"/>
      <c r="N51" s="188"/>
      <c r="O51" s="188"/>
      <c r="P51" s="188"/>
      <c r="Q51" s="188"/>
      <c r="R51" s="188"/>
      <c r="S51" s="188"/>
      <c r="T51" s="188"/>
      <c r="U51" s="188"/>
      <c r="V51" s="188"/>
      <c r="W51" s="188"/>
      <c r="X51" s="188"/>
      <c r="Y51" s="188"/>
      <c r="Z51" s="188"/>
      <c r="AA51" s="188"/>
      <c r="AB51" s="188">
        <f ca="1">-('Annual CF'!D29+'Annual CF'!D31)</f>
        <v>-277101856.07999998</v>
      </c>
      <c r="DU51" s="69" t="s">
        <v>0</v>
      </c>
    </row>
    <row r="52" spans="2:125" x14ac:dyDescent="0.25">
      <c r="B52" s="1" t="s">
        <v>47</v>
      </c>
      <c r="C52" s="188">
        <f t="shared" ca="1" si="193"/>
        <v>285182526.01256299</v>
      </c>
      <c r="D52" s="188"/>
      <c r="E52" s="188"/>
      <c r="F52" s="188"/>
      <c r="G52" s="188"/>
      <c r="H52" s="188"/>
      <c r="I52" s="188"/>
      <c r="J52" s="188"/>
      <c r="K52" s="188"/>
      <c r="L52" s="188"/>
      <c r="M52" s="188"/>
      <c r="N52" s="188"/>
      <c r="O52" s="188"/>
      <c r="P52" s="188"/>
      <c r="Q52" s="188"/>
      <c r="R52" s="188"/>
      <c r="S52" s="188"/>
      <c r="T52" s="188"/>
      <c r="U52" s="188"/>
      <c r="V52" s="188"/>
      <c r="W52" s="188"/>
      <c r="X52" s="188"/>
      <c r="Y52" s="188"/>
      <c r="Z52" s="188"/>
      <c r="AA52" s="188"/>
      <c r="AB52" s="188">
        <f ca="1">'Annual CF'!D38</f>
        <v>285182526.01256299</v>
      </c>
      <c r="DU52" s="69" t="s">
        <v>0</v>
      </c>
    </row>
    <row r="53" spans="2:125" x14ac:dyDescent="0.25">
      <c r="B53" s="1" t="s">
        <v>70</v>
      </c>
      <c r="C53" s="188">
        <f t="shared" ca="1" si="193"/>
        <v>-2851825.2601256301</v>
      </c>
      <c r="D53" s="188"/>
      <c r="E53" s="188"/>
      <c r="F53" s="188"/>
      <c r="G53" s="188"/>
      <c r="H53" s="188"/>
      <c r="I53" s="188"/>
      <c r="J53" s="188"/>
      <c r="K53" s="188"/>
      <c r="L53" s="188"/>
      <c r="M53" s="188"/>
      <c r="N53" s="188"/>
      <c r="O53" s="188"/>
      <c r="P53" s="188"/>
      <c r="Q53" s="188"/>
      <c r="R53" s="188"/>
      <c r="S53" s="188"/>
      <c r="T53" s="188"/>
      <c r="U53" s="188"/>
      <c r="V53" s="188"/>
      <c r="W53" s="188"/>
      <c r="X53" s="188"/>
      <c r="Y53" s="188"/>
      <c r="Z53" s="188"/>
      <c r="AA53" s="188"/>
      <c r="AB53" s="188">
        <f ca="1">-'Annual CF'!D39</f>
        <v>-2851825.2601256301</v>
      </c>
      <c r="DU53" s="69" t="s">
        <v>0</v>
      </c>
    </row>
    <row r="54" spans="2:125" x14ac:dyDescent="0.25">
      <c r="B54" s="1" t="s">
        <v>71</v>
      </c>
      <c r="C54" s="188">
        <f t="shared" ca="1" si="193"/>
        <v>-245426572.9941214</v>
      </c>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BX54" s="18"/>
      <c r="CJ54" s="18">
        <f ca="1">-'Annual CF'!$D$38-CUMPRINC('Annual CF'!$D$37/12,'Annual CF'!$D$36*12,'Annual CF'!$D$38,1,CJ4,0)</f>
        <v>-245426572.9941214</v>
      </c>
      <c r="DU54" s="69" t="s">
        <v>0</v>
      </c>
    </row>
    <row r="55" spans="2:125" x14ac:dyDescent="0.25">
      <c r="B55" s="27" t="s">
        <v>72</v>
      </c>
      <c r="C55" s="197">
        <f t="shared" ref="C55:AH55" ca="1" si="194">SUM(C49:C54)</f>
        <v>2266395.7483159602</v>
      </c>
      <c r="D55" s="197">
        <f t="shared" ca="1" si="194"/>
        <v>79051752.569999993</v>
      </c>
      <c r="E55" s="197">
        <f t="shared" ca="1" si="194"/>
        <v>6808848.8124999991</v>
      </c>
      <c r="F55" s="197">
        <f t="shared" ca="1" si="194"/>
        <v>6808848.8124999991</v>
      </c>
      <c r="G55" s="197">
        <f t="shared" ca="1" si="194"/>
        <v>6808848.8124999991</v>
      </c>
      <c r="H55" s="197">
        <f t="shared" ca="1" si="194"/>
        <v>6808848.8124999991</v>
      </c>
      <c r="I55" s="197">
        <f t="shared" ca="1" si="194"/>
        <v>6808848.8124999991</v>
      </c>
      <c r="J55" s="197">
        <f t="shared" ca="1" si="194"/>
        <v>6808848.8124999991</v>
      </c>
      <c r="K55" s="197">
        <f t="shared" ca="1" si="194"/>
        <v>6808848.8124999991</v>
      </c>
      <c r="L55" s="197">
        <f t="shared" ca="1" si="194"/>
        <v>6808848.8124999991</v>
      </c>
      <c r="M55" s="197">
        <f t="shared" ca="1" si="194"/>
        <v>6808848.8124999991</v>
      </c>
      <c r="N55" s="197">
        <f t="shared" ca="1" si="194"/>
        <v>6808848.8124999991</v>
      </c>
      <c r="O55" s="197">
        <f t="shared" ca="1" si="194"/>
        <v>6808848.8124999991</v>
      </c>
      <c r="P55" s="197">
        <f t="shared" ca="1" si="194"/>
        <v>6808848.8124999991</v>
      </c>
      <c r="Q55" s="197">
        <f t="shared" ca="1" si="194"/>
        <v>6808848.8124999991</v>
      </c>
      <c r="R55" s="197">
        <f t="shared" ca="1" si="194"/>
        <v>6808848.8124999991</v>
      </c>
      <c r="S55" s="197">
        <f t="shared" ca="1" si="194"/>
        <v>6808848.8124999991</v>
      </c>
      <c r="T55" s="197">
        <f t="shared" ca="1" si="194"/>
        <v>6808848.8124999991</v>
      </c>
      <c r="U55" s="197">
        <f t="shared" ca="1" si="194"/>
        <v>6808848.8124999991</v>
      </c>
      <c r="V55" s="197">
        <f t="shared" ca="1" si="194"/>
        <v>6808848.8124999991</v>
      </c>
      <c r="W55" s="197">
        <f t="shared" ca="1" si="194"/>
        <v>6808848.8124999991</v>
      </c>
      <c r="X55" s="197">
        <f t="shared" ca="1" si="194"/>
        <v>6808848.8124999991</v>
      </c>
      <c r="Y55" s="197">
        <f t="shared" ca="1" si="194"/>
        <v>6808848.8124999991</v>
      </c>
      <c r="Z55" s="197">
        <f t="shared" ca="1" si="194"/>
        <v>6808848.8124999991</v>
      </c>
      <c r="AA55" s="197">
        <f t="shared" ca="1" si="194"/>
        <v>6808848.8124999991</v>
      </c>
      <c r="AB55" s="197">
        <f t="shared" ca="1" si="194"/>
        <v>12037693.484937377</v>
      </c>
      <c r="AC55" s="197">
        <f t="shared" si="194"/>
        <v>0</v>
      </c>
      <c r="AD55" s="197">
        <f t="shared" si="194"/>
        <v>0</v>
      </c>
      <c r="AE55" s="197">
        <f t="shared" si="194"/>
        <v>0</v>
      </c>
      <c r="AF55" s="197">
        <f t="shared" si="194"/>
        <v>0</v>
      </c>
      <c r="AG55" s="197">
        <f t="shared" si="194"/>
        <v>0</v>
      </c>
      <c r="AH55" s="197">
        <f t="shared" si="194"/>
        <v>0</v>
      </c>
      <c r="AI55" s="197">
        <f t="shared" ref="AI55:BN55" si="195">SUM(AI49:AI54)</f>
        <v>0</v>
      </c>
      <c r="AJ55" s="197">
        <f t="shared" si="195"/>
        <v>0</v>
      </c>
      <c r="AK55" s="197">
        <f t="shared" si="195"/>
        <v>0</v>
      </c>
      <c r="AL55" s="197">
        <f t="shared" si="195"/>
        <v>0</v>
      </c>
      <c r="AM55" s="197">
        <f t="shared" si="195"/>
        <v>0</v>
      </c>
      <c r="AN55" s="197">
        <f t="shared" si="195"/>
        <v>0</v>
      </c>
      <c r="AO55" s="197">
        <f t="shared" si="195"/>
        <v>0</v>
      </c>
      <c r="AP55" s="197">
        <f t="shared" si="195"/>
        <v>0</v>
      </c>
      <c r="AQ55" s="197">
        <f t="shared" si="195"/>
        <v>0</v>
      </c>
      <c r="AR55" s="197">
        <f t="shared" si="195"/>
        <v>0</v>
      </c>
      <c r="AS55" s="197">
        <f t="shared" si="195"/>
        <v>0</v>
      </c>
      <c r="AT55" s="197">
        <f t="shared" si="195"/>
        <v>0</v>
      </c>
      <c r="AU55" s="197">
        <f t="shared" si="195"/>
        <v>0</v>
      </c>
      <c r="AV55" s="197">
        <f t="shared" si="195"/>
        <v>0</v>
      </c>
      <c r="AW55" s="197">
        <f t="shared" si="195"/>
        <v>0</v>
      </c>
      <c r="AX55" s="197">
        <f t="shared" si="195"/>
        <v>0</v>
      </c>
      <c r="AY55" s="197">
        <f t="shared" si="195"/>
        <v>0</v>
      </c>
      <c r="AZ55" s="197">
        <f t="shared" si="195"/>
        <v>0</v>
      </c>
      <c r="BA55" s="197">
        <f t="shared" si="195"/>
        <v>0</v>
      </c>
      <c r="BB55" s="197">
        <f t="shared" si="195"/>
        <v>0</v>
      </c>
      <c r="BC55" s="197">
        <f t="shared" si="195"/>
        <v>0</v>
      </c>
      <c r="BD55" s="197">
        <f t="shared" si="195"/>
        <v>0</v>
      </c>
      <c r="BE55" s="197">
        <f t="shared" si="195"/>
        <v>0</v>
      </c>
      <c r="BF55" s="197">
        <f t="shared" si="195"/>
        <v>0</v>
      </c>
      <c r="BG55" s="197">
        <f t="shared" si="195"/>
        <v>0</v>
      </c>
      <c r="BH55" s="197">
        <f t="shared" si="195"/>
        <v>0</v>
      </c>
      <c r="BI55" s="197">
        <f t="shared" si="195"/>
        <v>0</v>
      </c>
      <c r="BJ55" s="197">
        <f t="shared" si="195"/>
        <v>0</v>
      </c>
      <c r="BK55" s="197">
        <f t="shared" si="195"/>
        <v>0</v>
      </c>
      <c r="BL55" s="197">
        <f t="shared" si="195"/>
        <v>0</v>
      </c>
      <c r="BM55" s="197">
        <f t="shared" si="195"/>
        <v>0</v>
      </c>
      <c r="BN55" s="197">
        <f t="shared" si="195"/>
        <v>0</v>
      </c>
      <c r="BO55" s="197">
        <f t="shared" ref="BO55:CJ55" si="196">SUM(BO49:BO54)</f>
        <v>0</v>
      </c>
      <c r="BP55" s="197">
        <f t="shared" si="196"/>
        <v>0</v>
      </c>
      <c r="BQ55" s="197">
        <f t="shared" si="196"/>
        <v>0</v>
      </c>
      <c r="BR55" s="197">
        <f t="shared" si="196"/>
        <v>0</v>
      </c>
      <c r="BS55" s="197">
        <f t="shared" si="196"/>
        <v>0</v>
      </c>
      <c r="BT55" s="197">
        <f t="shared" si="196"/>
        <v>0</v>
      </c>
      <c r="BU55" s="197">
        <f t="shared" si="196"/>
        <v>0</v>
      </c>
      <c r="BV55" s="197">
        <f t="shared" si="196"/>
        <v>0</v>
      </c>
      <c r="BW55" s="197">
        <f t="shared" si="196"/>
        <v>0</v>
      </c>
      <c r="BX55" s="197">
        <f t="shared" si="196"/>
        <v>0</v>
      </c>
      <c r="BY55" s="197">
        <f t="shared" si="196"/>
        <v>0</v>
      </c>
      <c r="BZ55" s="197">
        <f t="shared" si="196"/>
        <v>0</v>
      </c>
      <c r="CA55" s="197">
        <f t="shared" si="196"/>
        <v>0</v>
      </c>
      <c r="CB55" s="197">
        <f t="shared" si="196"/>
        <v>0</v>
      </c>
      <c r="CC55" s="197">
        <f t="shared" si="196"/>
        <v>0</v>
      </c>
      <c r="CD55" s="197">
        <f t="shared" si="196"/>
        <v>0</v>
      </c>
      <c r="CE55" s="197">
        <f t="shared" si="196"/>
        <v>0</v>
      </c>
      <c r="CF55" s="197">
        <f t="shared" si="196"/>
        <v>0</v>
      </c>
      <c r="CG55" s="197">
        <f t="shared" si="196"/>
        <v>0</v>
      </c>
      <c r="CH55" s="197">
        <f t="shared" si="196"/>
        <v>0</v>
      </c>
      <c r="CI55" s="197">
        <f t="shared" si="196"/>
        <v>0</v>
      </c>
      <c r="CJ55" s="197">
        <f t="shared" ca="1" si="196"/>
        <v>-245426572.9941214</v>
      </c>
      <c r="CK55" s="201"/>
      <c r="CL55" s="201"/>
      <c r="CM55" s="201"/>
      <c r="CN55" s="201"/>
      <c r="CO55" s="201"/>
      <c r="CP55" s="201"/>
      <c r="CQ55" s="201"/>
      <c r="CR55" s="201"/>
      <c r="CS55" s="201"/>
      <c r="CT55" s="201"/>
      <c r="CU55" s="201"/>
      <c r="CV55" s="201"/>
      <c r="CW55" s="201"/>
      <c r="CX55" s="201"/>
      <c r="CY55" s="201"/>
      <c r="CZ55" s="201"/>
      <c r="DA55" s="201"/>
      <c r="DB55" s="201"/>
      <c r="DC55" s="201"/>
      <c r="DD55" s="201"/>
      <c r="DE55" s="201"/>
      <c r="DF55" s="201"/>
      <c r="DG55" s="201"/>
      <c r="DH55" s="201"/>
      <c r="DI55" s="201"/>
      <c r="DJ55" s="201"/>
      <c r="DK55" s="201"/>
      <c r="DL55" s="201"/>
      <c r="DM55" s="201"/>
      <c r="DN55" s="201"/>
      <c r="DO55" s="201"/>
      <c r="DP55" s="201"/>
      <c r="DQ55" s="201"/>
      <c r="DR55" s="201"/>
      <c r="DS55" s="201"/>
      <c r="DT55" s="201"/>
      <c r="DU55" s="69" t="s">
        <v>0</v>
      </c>
    </row>
    <row r="56" spans="2:125" x14ac:dyDescent="0.25">
      <c r="B56" s="55"/>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c r="AE56" s="201"/>
      <c r="AF56" s="201"/>
      <c r="AG56" s="201"/>
      <c r="AH56" s="201"/>
      <c r="AI56" s="201"/>
      <c r="AJ56" s="201"/>
      <c r="AK56" s="201"/>
      <c r="AL56" s="201"/>
      <c r="AM56" s="201"/>
      <c r="AN56" s="201"/>
      <c r="AO56" s="201"/>
      <c r="AP56" s="201"/>
      <c r="AQ56" s="201"/>
      <c r="AR56" s="201"/>
      <c r="AS56" s="201"/>
      <c r="AT56" s="201"/>
      <c r="AU56" s="201"/>
      <c r="AV56" s="201"/>
      <c r="AW56" s="201"/>
      <c r="AX56" s="201"/>
      <c r="AY56" s="201"/>
      <c r="AZ56" s="201"/>
      <c r="BA56" s="201"/>
      <c r="BB56" s="201"/>
      <c r="BC56" s="201"/>
      <c r="BD56" s="201"/>
      <c r="BE56" s="201"/>
      <c r="BF56" s="201"/>
      <c r="BG56" s="201"/>
      <c r="BH56" s="201"/>
      <c r="BI56" s="201"/>
      <c r="BJ56" s="201"/>
      <c r="BK56" s="201"/>
      <c r="BL56" s="201"/>
      <c r="BM56" s="201"/>
      <c r="BN56" s="201"/>
      <c r="BO56" s="201"/>
      <c r="BP56" s="201"/>
      <c r="BQ56" s="201"/>
      <c r="BR56" s="201"/>
      <c r="BS56" s="201"/>
      <c r="BT56" s="201"/>
      <c r="BU56" s="201"/>
      <c r="BV56" s="201"/>
      <c r="BW56" s="201"/>
      <c r="BX56" s="201"/>
      <c r="BY56" s="201"/>
      <c r="BZ56" s="201"/>
      <c r="CA56" s="201"/>
      <c r="CB56" s="201"/>
      <c r="CC56" s="201"/>
      <c r="CD56" s="201"/>
      <c r="CE56" s="201"/>
      <c r="CF56" s="201"/>
      <c r="CG56" s="201"/>
      <c r="CH56" s="201"/>
      <c r="CI56" s="201"/>
      <c r="CJ56" s="201"/>
      <c r="CK56" s="201"/>
      <c r="CL56" s="201"/>
      <c r="CM56" s="201"/>
      <c r="CN56" s="201"/>
      <c r="CO56" s="201"/>
      <c r="CP56" s="201"/>
      <c r="CQ56" s="201"/>
      <c r="CR56" s="201"/>
      <c r="CS56" s="201"/>
      <c r="CT56" s="201"/>
      <c r="CU56" s="201"/>
      <c r="CV56" s="201"/>
      <c r="CW56" s="201"/>
      <c r="CX56" s="201"/>
      <c r="CY56" s="201"/>
      <c r="CZ56" s="201"/>
      <c r="DA56" s="201"/>
      <c r="DB56" s="201"/>
      <c r="DC56" s="201"/>
      <c r="DD56" s="201"/>
      <c r="DE56" s="201"/>
      <c r="DF56" s="201"/>
      <c r="DG56" s="201"/>
      <c r="DH56" s="201"/>
      <c r="DI56" s="201"/>
      <c r="DJ56" s="201"/>
      <c r="DK56" s="201"/>
      <c r="DL56" s="201"/>
      <c r="DM56" s="201"/>
      <c r="DN56" s="201"/>
      <c r="DO56" s="201"/>
      <c r="DP56" s="201"/>
      <c r="DQ56" s="201"/>
      <c r="DR56" s="201"/>
      <c r="DS56" s="201"/>
      <c r="DT56" s="201"/>
      <c r="DU56" s="69" t="s">
        <v>0</v>
      </c>
    </row>
    <row r="57" spans="2:125" x14ac:dyDescent="0.25">
      <c r="B57" s="1" t="s">
        <v>73</v>
      </c>
      <c r="C57" s="188">
        <f ca="1">SUM(D57:CJ57)</f>
        <v>-27242023.335514069</v>
      </c>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f ca="1">PPMT('Annual CF'!$D$37/12,'Monthly CF'!AC$4-'Annual CF'!$D$4*12,'Annual CF'!$D$36*12,'Annual CF'!$D$38)</f>
        <v>-410896.57913686178</v>
      </c>
      <c r="AD57" s="201">
        <f ca="1">PPMT('Annual CF'!$D$37/12,'Monthly CF'!AD$4-'Annual CF'!$D$4*12,'Annual CF'!$D$36*12,'Annual CF'!$D$38)</f>
        <v>-412266.23440065136</v>
      </c>
      <c r="AE57" s="201">
        <f ca="1">PPMT('Annual CF'!$D$37/12,'Monthly CF'!AE$4-'Annual CF'!$D$4*12,'Annual CF'!$D$36*12,'Annual CF'!$D$38)</f>
        <v>-413640.45518198685</v>
      </c>
      <c r="AF57" s="201">
        <f ca="1">PPMT('Annual CF'!$D$37/12,'Monthly CF'!AF$4-'Annual CF'!$D$4*12,'Annual CF'!$D$36*12,'Annual CF'!$D$38)</f>
        <v>-415019.25669926015</v>
      </c>
      <c r="AG57" s="201">
        <f ca="1">PPMT('Annual CF'!$D$37/12,'Monthly CF'!AG$4-'Annual CF'!$D$4*12,'Annual CF'!$D$36*12,'Annual CF'!$D$38)</f>
        <v>-416402.65422159102</v>
      </c>
      <c r="AH57" s="201">
        <f ca="1">PPMT('Annual CF'!$D$37/12,'Monthly CF'!AH$4-'Annual CF'!$D$4*12,'Annual CF'!$D$36*12,'Annual CF'!$D$38)</f>
        <v>-417790.66306899628</v>
      </c>
      <c r="AI57" s="201">
        <f ca="1">PPMT('Annual CF'!$D$37/12,'Monthly CF'!AI$4-'Annual CF'!$D$4*12,'Annual CF'!$D$36*12,'Annual CF'!$D$38)</f>
        <v>-419183.29861255962</v>
      </c>
      <c r="AJ57" s="201">
        <f ca="1">PPMT('Annual CF'!$D$37/12,'Monthly CF'!AJ$4-'Annual CF'!$D$4*12,'Annual CF'!$D$36*12,'Annual CF'!$D$38)</f>
        <v>-420580.57627460151</v>
      </c>
      <c r="AK57" s="201">
        <f ca="1">PPMT('Annual CF'!$D$37/12,'Monthly CF'!AK$4-'Annual CF'!$D$4*12,'Annual CF'!$D$36*12,'Annual CF'!$D$38)</f>
        <v>-421982.51152885018</v>
      </c>
      <c r="AL57" s="201">
        <f ca="1">PPMT('Annual CF'!$D$37/12,'Monthly CF'!AL$4-'Annual CF'!$D$4*12,'Annual CF'!$D$36*12,'Annual CF'!$D$38)</f>
        <v>-423389.11990061298</v>
      </c>
      <c r="AM57" s="201">
        <f ca="1">PPMT('Annual CF'!$D$37/12,'Monthly CF'!AM$4-'Annual CF'!$D$4*12,'Annual CF'!$D$36*12,'Annual CF'!$D$38)</f>
        <v>-424800.41696694843</v>
      </c>
      <c r="AN57" s="201">
        <f ca="1">PPMT('Annual CF'!$D$37/12,'Monthly CF'!AN$4-'Annual CF'!$D$4*12,'Annual CF'!$D$36*12,'Annual CF'!$D$38)</f>
        <v>-426216.41835683823</v>
      </c>
      <c r="AO57" s="201">
        <f ca="1">PPMT('Annual CF'!$D$37/12,'Monthly CF'!AO$4-'Annual CF'!$D$4*12,'Annual CF'!$D$36*12,'Annual CF'!$D$38)</f>
        <v>-427637.1397513611</v>
      </c>
      <c r="AP57" s="201">
        <f ca="1">PPMT('Annual CF'!$D$37/12,'Monthly CF'!AP$4-'Annual CF'!$D$4*12,'Annual CF'!$D$36*12,'Annual CF'!$D$38)</f>
        <v>-429062.59688386554</v>
      </c>
      <c r="AQ57" s="201">
        <f ca="1">PPMT('Annual CF'!$D$37/12,'Monthly CF'!AQ$4-'Annual CF'!$D$4*12,'Annual CF'!$D$36*12,'Annual CF'!$D$38)</f>
        <v>-430492.80554014508</v>
      </c>
      <c r="AR57" s="201">
        <f ca="1">PPMT('Annual CF'!$D$37/12,'Monthly CF'!AR$4-'Annual CF'!$D$4*12,'Annual CF'!$D$36*12,'Annual CF'!$D$38)</f>
        <v>-431927.78155861219</v>
      </c>
      <c r="AS57" s="201">
        <f ca="1">PPMT('Annual CF'!$D$37/12,'Monthly CF'!AS$4-'Annual CF'!$D$4*12,'Annual CF'!$D$36*12,'Annual CF'!$D$38)</f>
        <v>-433367.54083047429</v>
      </c>
      <c r="AT57" s="201">
        <f ca="1">PPMT('Annual CF'!$D$37/12,'Monthly CF'!AT$4-'Annual CF'!$D$4*12,'Annual CF'!$D$36*12,'Annual CF'!$D$38)</f>
        <v>-434812.09929990926</v>
      </c>
      <c r="AU57" s="201">
        <f ca="1">PPMT('Annual CF'!$D$37/12,'Monthly CF'!AU$4-'Annual CF'!$D$4*12,'Annual CF'!$D$36*12,'Annual CF'!$D$38)</f>
        <v>-436261.47296424228</v>
      </c>
      <c r="AV57" s="201">
        <f ca="1">PPMT('Annual CF'!$D$37/12,'Monthly CF'!AV$4-'Annual CF'!$D$4*12,'Annual CF'!$D$36*12,'Annual CF'!$D$38)</f>
        <v>-437715.6778741231</v>
      </c>
      <c r="AW57" s="201">
        <f ca="1">PPMT('Annual CF'!$D$37/12,'Monthly CF'!AW$4-'Annual CF'!$D$4*12,'Annual CF'!$D$36*12,'Annual CF'!$D$38)</f>
        <v>-439174.73013370339</v>
      </c>
      <c r="AX57" s="201">
        <f ca="1">PPMT('Annual CF'!$D$37/12,'Monthly CF'!AX$4-'Annual CF'!$D$4*12,'Annual CF'!$D$36*12,'Annual CF'!$D$38)</f>
        <v>-440638.64590081573</v>
      </c>
      <c r="AY57" s="201">
        <f ca="1">PPMT('Annual CF'!$D$37/12,'Monthly CF'!AY$4-'Annual CF'!$D$4*12,'Annual CF'!$D$36*12,'Annual CF'!$D$38)</f>
        <v>-442107.44138715183</v>
      </c>
      <c r="AZ57" s="201">
        <f ca="1">PPMT('Annual CF'!$D$37/12,'Monthly CF'!AZ$4-'Annual CF'!$D$4*12,'Annual CF'!$D$36*12,'Annual CF'!$D$38)</f>
        <v>-443581.13285844232</v>
      </c>
      <c r="BA57" s="201">
        <f ca="1">PPMT('Annual CF'!$D$37/12,'Monthly CF'!BA$4-'Annual CF'!$D$4*12,'Annual CF'!$D$36*12,'Annual CF'!$D$38)</f>
        <v>-445059.73663463717</v>
      </c>
      <c r="BB57" s="201">
        <f ca="1">PPMT('Annual CF'!$D$37/12,'Monthly CF'!BB$4-'Annual CF'!$D$4*12,'Annual CF'!$D$36*12,'Annual CF'!$D$38)</f>
        <v>-446543.26909008593</v>
      </c>
      <c r="BC57" s="201">
        <f ca="1">PPMT('Annual CF'!$D$37/12,'Monthly CF'!BC$4-'Annual CF'!$D$4*12,'Annual CF'!$D$36*12,'Annual CF'!$D$38)</f>
        <v>-448031.74665371957</v>
      </c>
      <c r="BD57" s="201">
        <f ca="1">PPMT('Annual CF'!$D$37/12,'Monthly CF'!BD$4-'Annual CF'!$D$4*12,'Annual CF'!$D$36*12,'Annual CF'!$D$38)</f>
        <v>-449525.185809232</v>
      </c>
      <c r="BE57" s="201">
        <f ca="1">PPMT('Annual CF'!$D$37/12,'Monthly CF'!BE$4-'Annual CF'!$D$4*12,'Annual CF'!$D$36*12,'Annual CF'!$D$38)</f>
        <v>-451023.60309526266</v>
      </c>
      <c r="BF57" s="201">
        <f ca="1">PPMT('Annual CF'!$D$37/12,'Monthly CF'!BF$4-'Annual CF'!$D$4*12,'Annual CF'!$D$36*12,'Annual CF'!$D$38)</f>
        <v>-452527.01510558033</v>
      </c>
      <c r="BG57" s="201">
        <f ca="1">PPMT('Annual CF'!$D$37/12,'Monthly CF'!BG$4-'Annual CF'!$D$4*12,'Annual CF'!$D$36*12,'Annual CF'!$D$38)</f>
        <v>-454035.43848926557</v>
      </c>
      <c r="BH57" s="201">
        <f ca="1">PPMT('Annual CF'!$D$37/12,'Monthly CF'!BH$4-'Annual CF'!$D$4*12,'Annual CF'!$D$36*12,'Annual CF'!$D$38)</f>
        <v>-455548.88995089644</v>
      </c>
      <c r="BI57" s="201">
        <f ca="1">PPMT('Annual CF'!$D$37/12,'Monthly CF'!BI$4-'Annual CF'!$D$4*12,'Annual CF'!$D$36*12,'Annual CF'!$D$38)</f>
        <v>-457067.38625073276</v>
      </c>
      <c r="BJ57" s="201">
        <f ca="1">PPMT('Annual CF'!$D$37/12,'Monthly CF'!BJ$4-'Annual CF'!$D$4*12,'Annual CF'!$D$36*12,'Annual CF'!$D$38)</f>
        <v>-458590.94420490187</v>
      </c>
      <c r="BK57" s="201">
        <f ca="1">PPMT('Annual CF'!$D$37/12,'Monthly CF'!BK$4-'Annual CF'!$D$4*12,'Annual CF'!$D$36*12,'Annual CF'!$D$38)</f>
        <v>-460119.58068558486</v>
      </c>
      <c r="BL57" s="201">
        <f ca="1">PPMT('Annual CF'!$D$37/12,'Monthly CF'!BL$4-'Annual CF'!$D$4*12,'Annual CF'!$D$36*12,'Annual CF'!$D$38)</f>
        <v>-461653.31262120348</v>
      </c>
      <c r="BM57" s="201">
        <f ca="1">PPMT('Annual CF'!$D$37/12,'Monthly CF'!BM$4-'Annual CF'!$D$4*12,'Annual CF'!$D$36*12,'Annual CF'!$D$38)</f>
        <v>-463192.15699660749</v>
      </c>
      <c r="BN57" s="201">
        <f ca="1">PPMT('Annual CF'!$D$37/12,'Monthly CF'!BN$4-'Annual CF'!$D$4*12,'Annual CF'!$D$36*12,'Annual CF'!$D$38)</f>
        <v>-464736.13085326285</v>
      </c>
      <c r="BO57" s="201">
        <f ca="1">PPMT('Annual CF'!$D$37/12,'Monthly CF'!BO$4-'Annual CF'!$D$4*12,'Annual CF'!$D$36*12,'Annual CF'!$D$38)</f>
        <v>-466285.25128944044</v>
      </c>
      <c r="BP57" s="201">
        <f ca="1">PPMT('Annual CF'!$D$37/12,'Monthly CF'!BP$4-'Annual CF'!$D$4*12,'Annual CF'!$D$36*12,'Annual CF'!$D$38)</f>
        <v>-467839.53546040528</v>
      </c>
      <c r="BQ57" s="201">
        <f ca="1">PPMT('Annual CF'!$D$37/12,'Monthly CF'!BQ$4-'Annual CF'!$D$4*12,'Annual CF'!$D$36*12,'Annual CF'!$D$38)</f>
        <v>-469399.00057860656</v>
      </c>
      <c r="BR57" s="201">
        <f ca="1">PPMT('Annual CF'!$D$37/12,'Monthly CF'!BR$4-'Annual CF'!$D$4*12,'Annual CF'!$D$36*12,'Annual CF'!$D$38)</f>
        <v>-470963.6639138686</v>
      </c>
      <c r="BS57" s="201">
        <f ca="1">PPMT('Annual CF'!$D$37/12,'Monthly CF'!BS$4-'Annual CF'!$D$4*12,'Annual CF'!$D$36*12,'Annual CF'!$D$38)</f>
        <v>-472533.5427935815</v>
      </c>
      <c r="BT57" s="201">
        <f ca="1">PPMT('Annual CF'!$D$37/12,'Monthly CF'!BT$4-'Annual CF'!$D$4*12,'Annual CF'!$D$36*12,'Annual CF'!$D$38)</f>
        <v>-474108.6546028934</v>
      </c>
      <c r="BU57" s="201">
        <f ca="1">PPMT('Annual CF'!$D$37/12,'Monthly CF'!BU$4-'Annual CF'!$D$4*12,'Annual CF'!$D$36*12,'Annual CF'!$D$38)</f>
        <v>-475689.01678490301</v>
      </c>
      <c r="BV57" s="201">
        <f ca="1">PPMT('Annual CF'!$D$37/12,'Monthly CF'!BV$4-'Annual CF'!$D$4*12,'Annual CF'!$D$36*12,'Annual CF'!$D$38)</f>
        <v>-477274.64684085274</v>
      </c>
      <c r="BW57" s="201">
        <f ca="1">PPMT('Annual CF'!$D$37/12,'Monthly CF'!BW$4-'Annual CF'!$D$4*12,'Annual CF'!$D$36*12,'Annual CF'!$D$38)</f>
        <v>-478865.56233032222</v>
      </c>
      <c r="BX57" s="201">
        <f ca="1">PPMT('Annual CF'!$D$37/12,'Monthly CF'!BX$4-'Annual CF'!$D$4*12,'Annual CF'!$D$36*12,'Annual CF'!$D$38)</f>
        <v>-480461.78087142331</v>
      </c>
      <c r="BY57" s="201">
        <f ca="1">PPMT('Annual CF'!$D$37/12,'Monthly CF'!BY$4-'Annual CF'!$D$4*12,'Annual CF'!$D$36*12,'Annual CF'!$D$38)</f>
        <v>-482063.32014099474</v>
      </c>
      <c r="BZ57" s="201">
        <f ca="1">PPMT('Annual CF'!$D$37/12,'Monthly CF'!BZ$4-'Annual CF'!$D$4*12,'Annual CF'!$D$36*12,'Annual CF'!$D$38)</f>
        <v>-483670.19787479809</v>
      </c>
      <c r="CA57" s="201">
        <f ca="1">PPMT('Annual CF'!$D$37/12,'Monthly CF'!CA$4-'Annual CF'!$D$4*12,'Annual CF'!$D$36*12,'Annual CF'!$D$38)</f>
        <v>-485282.43186771404</v>
      </c>
      <c r="CB57" s="201">
        <f ca="1">PPMT('Annual CF'!$D$37/12,'Monthly CF'!CB$4-'Annual CF'!$D$4*12,'Annual CF'!$D$36*12,'Annual CF'!$D$38)</f>
        <v>-486900.03997393971</v>
      </c>
      <c r="CC57" s="201">
        <f ca="1">PPMT('Annual CF'!$D$37/12,'Monthly CF'!CC$4-'Annual CF'!$D$4*12,'Annual CF'!$D$36*12,'Annual CF'!$D$38)</f>
        <v>-488523.04010718619</v>
      </c>
      <c r="CD57" s="201">
        <f ca="1">PPMT('Annual CF'!$D$37/12,'Monthly CF'!CD$4-'Annual CF'!$D$4*12,'Annual CF'!$D$36*12,'Annual CF'!$D$38)</f>
        <v>-490151.45024087682</v>
      </c>
      <c r="CE57" s="201">
        <f ca="1">PPMT('Annual CF'!$D$37/12,'Monthly CF'!CE$4-'Annual CF'!$D$4*12,'Annual CF'!$D$36*12,'Annual CF'!$D$38)</f>
        <v>-491785.28840834642</v>
      </c>
      <c r="CF57" s="201">
        <f ca="1">PPMT('Annual CF'!$D$37/12,'Monthly CF'!CF$4-'Annual CF'!$D$4*12,'Annual CF'!$D$36*12,'Annual CF'!$D$38)</f>
        <v>-493424.57270304096</v>
      </c>
      <c r="CG57" s="201">
        <f ca="1">PPMT('Annual CF'!$D$37/12,'Monthly CF'!CG$4-'Annual CF'!$D$4*12,'Annual CF'!$D$36*12,'Annual CF'!$D$38)</f>
        <v>-495069.32127871778</v>
      </c>
      <c r="CH57" s="201">
        <f ca="1">PPMT('Annual CF'!$D$37/12,'Monthly CF'!CH$4-'Annual CF'!$D$4*12,'Annual CF'!$D$36*12,'Annual CF'!$D$38)</f>
        <v>-496719.55234964681</v>
      </c>
      <c r="CI57" s="201">
        <f ca="1">PPMT('Annual CF'!$D$37/12,'Monthly CF'!CI$4-'Annual CF'!$D$4*12,'Annual CF'!$D$36*12,'Annual CF'!$D$38)</f>
        <v>-498375.28419081226</v>
      </c>
      <c r="CJ57" s="201">
        <f ca="1">PPMT('Annual CF'!$D$37/12,'Monthly CF'!CJ$4-'Annual CF'!$D$4*12,'Annual CF'!$D$36*12,'Annual CF'!$D$38)</f>
        <v>-500036.53513811494</v>
      </c>
      <c r="CK57" s="201"/>
      <c r="CL57" s="201"/>
      <c r="CM57" s="201"/>
      <c r="CN57" s="201"/>
      <c r="CO57" s="201"/>
      <c r="CP57" s="201"/>
      <c r="CQ57" s="201"/>
      <c r="CR57" s="201"/>
      <c r="CS57" s="201"/>
      <c r="CT57" s="201"/>
      <c r="CU57" s="201"/>
      <c r="CV57" s="201"/>
      <c r="CW57" s="201"/>
      <c r="CX57" s="201"/>
      <c r="CY57" s="201"/>
      <c r="CZ57" s="201"/>
      <c r="DA57" s="201"/>
      <c r="DB57" s="201"/>
      <c r="DC57" s="201"/>
      <c r="DD57" s="201"/>
      <c r="DE57" s="201"/>
      <c r="DF57" s="201"/>
      <c r="DG57" s="201"/>
      <c r="DH57" s="201"/>
      <c r="DI57" s="201"/>
      <c r="DJ57" s="201"/>
      <c r="DK57" s="201"/>
      <c r="DL57" s="201"/>
      <c r="DM57" s="201"/>
      <c r="DN57" s="201"/>
      <c r="DO57" s="201"/>
      <c r="DP57" s="201"/>
      <c r="DQ57" s="201"/>
      <c r="DR57" s="201"/>
      <c r="DS57" s="201"/>
      <c r="DT57" s="201"/>
      <c r="DU57" s="69" t="s">
        <v>0</v>
      </c>
    </row>
    <row r="58" spans="2:125" x14ac:dyDescent="0.25">
      <c r="B58" s="1" t="s">
        <v>45</v>
      </c>
      <c r="C58" s="188">
        <f ca="1">SUM(D58:CJ58)</f>
        <v>-54448276.615210257</v>
      </c>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01">
        <f ca="1">IPMT('Annual CF'!$D$37/12,'Monthly CF'!AC$4-'Annual CF'!$D$4*12,'Annual CF'!$D$36*12,'Annual CF'!$D$38)</f>
        <v>-950608.42004187673</v>
      </c>
      <c r="AD58" s="201">
        <f ca="1">IPMT('Annual CF'!$D$37/12,'Monthly CF'!AD$4-'Annual CF'!$D$4*12,'Annual CF'!$D$36*12,'Annual CF'!$D$38)</f>
        <v>-949238.76477808703</v>
      </c>
      <c r="AE58" s="201">
        <f ca="1">IPMT('Annual CF'!$D$37/12,'Monthly CF'!AE$4-'Annual CF'!$D$4*12,'Annual CF'!$D$36*12,'Annual CF'!$D$38)</f>
        <v>-947864.54399675154</v>
      </c>
      <c r="AF58" s="201">
        <f ca="1">IPMT('Annual CF'!$D$37/12,'Monthly CF'!AF$4-'Annual CF'!$D$4*12,'Annual CF'!$D$36*12,'Annual CF'!$D$38)</f>
        <v>-946485.74247947836</v>
      </c>
      <c r="AG58" s="201">
        <f ca="1">IPMT('Annual CF'!$D$37/12,'Monthly CF'!AG$4-'Annual CF'!$D$4*12,'Annual CF'!$D$36*12,'Annual CF'!$D$38)</f>
        <v>-945102.34495714749</v>
      </c>
      <c r="AH58" s="201">
        <f ca="1">IPMT('Annual CF'!$D$37/12,'Monthly CF'!AH$4-'Annual CF'!$D$4*12,'Annual CF'!$D$36*12,'Annual CF'!$D$38)</f>
        <v>-943714.33610974217</v>
      </c>
      <c r="AI58" s="201">
        <f ca="1">IPMT('Annual CF'!$D$37/12,'Monthly CF'!AI$4-'Annual CF'!$D$4*12,'Annual CF'!$D$36*12,'Annual CF'!$D$38)</f>
        <v>-942321.70056617877</v>
      </c>
      <c r="AJ58" s="201">
        <f ca="1">IPMT('Annual CF'!$D$37/12,'Monthly CF'!AJ$4-'Annual CF'!$D$4*12,'Annual CF'!$D$36*12,'Annual CF'!$D$38)</f>
        <v>-940924.42290413682</v>
      </c>
      <c r="AK58" s="201">
        <f ca="1">IPMT('Annual CF'!$D$37/12,'Monthly CF'!AK$4-'Annual CF'!$D$4*12,'Annual CF'!$D$36*12,'Annual CF'!$D$38)</f>
        <v>-939522.48764988827</v>
      </c>
      <c r="AL58" s="201">
        <f ca="1">IPMT('Annual CF'!$D$37/12,'Monthly CF'!AL$4-'Annual CF'!$D$4*12,'Annual CF'!$D$36*12,'Annual CF'!$D$38)</f>
        <v>-938115.87927812547</v>
      </c>
      <c r="AM58" s="201">
        <f ca="1">IPMT('Annual CF'!$D$37/12,'Monthly CF'!AM$4-'Annual CF'!$D$4*12,'Annual CF'!$D$36*12,'Annual CF'!$D$38)</f>
        <v>-936704.58221179014</v>
      </c>
      <c r="AN58" s="201">
        <f ca="1">IPMT('Annual CF'!$D$37/12,'Monthly CF'!AN$4-'Annual CF'!$D$4*12,'Annual CF'!$D$36*12,'Annual CF'!$D$38)</f>
        <v>-935288.58082190028</v>
      </c>
      <c r="AO58" s="201">
        <f ca="1">IPMT('Annual CF'!$D$37/12,'Monthly CF'!AO$4-'Annual CF'!$D$4*12,'Annual CF'!$D$36*12,'Annual CF'!$D$38)</f>
        <v>-933867.85942737747</v>
      </c>
      <c r="AP58" s="201">
        <f ca="1">IPMT('Annual CF'!$D$37/12,'Monthly CF'!AP$4-'Annual CF'!$D$4*12,'Annual CF'!$D$36*12,'Annual CF'!$D$38)</f>
        <v>-932442.40229487291</v>
      </c>
      <c r="AQ58" s="201">
        <f ca="1">IPMT('Annual CF'!$D$37/12,'Monthly CF'!AQ$4-'Annual CF'!$D$4*12,'Annual CF'!$D$36*12,'Annual CF'!$D$38)</f>
        <v>-931012.19363859342</v>
      </c>
      <c r="AR58" s="201">
        <f ca="1">IPMT('Annual CF'!$D$37/12,'Monthly CF'!AR$4-'Annual CF'!$D$4*12,'Annual CF'!$D$36*12,'Annual CF'!$D$38)</f>
        <v>-929577.21762012632</v>
      </c>
      <c r="AS58" s="201">
        <f ca="1">IPMT('Annual CF'!$D$37/12,'Monthly CF'!AS$4-'Annual CF'!$D$4*12,'Annual CF'!$D$36*12,'Annual CF'!$D$38)</f>
        <v>-928137.45834826434</v>
      </c>
      <c r="AT58" s="201">
        <f ca="1">IPMT('Annual CF'!$D$37/12,'Monthly CF'!AT$4-'Annual CF'!$D$4*12,'Annual CF'!$D$36*12,'Annual CF'!$D$38)</f>
        <v>-926692.89987882914</v>
      </c>
      <c r="AU58" s="201">
        <f ca="1">IPMT('Annual CF'!$D$37/12,'Monthly CF'!AU$4-'Annual CF'!$D$4*12,'Annual CF'!$D$36*12,'Annual CF'!$D$38)</f>
        <v>-925243.52621449612</v>
      </c>
      <c r="AV58" s="201">
        <f ca="1">IPMT('Annual CF'!$D$37/12,'Monthly CF'!AV$4-'Annual CF'!$D$4*12,'Annual CF'!$D$36*12,'Annual CF'!$D$38)</f>
        <v>-923789.32130461535</v>
      </c>
      <c r="AW58" s="201">
        <f ca="1">IPMT('Annual CF'!$D$37/12,'Monthly CF'!AW$4-'Annual CF'!$D$4*12,'Annual CF'!$D$36*12,'Annual CF'!$D$38)</f>
        <v>-922330.26904503512</v>
      </c>
      <c r="AX58" s="201">
        <f ca="1">IPMT('Annual CF'!$D$37/12,'Monthly CF'!AX$4-'Annual CF'!$D$4*12,'Annual CF'!$D$36*12,'Annual CF'!$D$38)</f>
        <v>-920866.35327792272</v>
      </c>
      <c r="AY58" s="201">
        <f ca="1">IPMT('Annual CF'!$D$37/12,'Monthly CF'!AY$4-'Annual CF'!$D$4*12,'Annual CF'!$D$36*12,'Annual CF'!$D$38)</f>
        <v>-919397.55779158662</v>
      </c>
      <c r="AZ58" s="201">
        <f ca="1">IPMT('Annual CF'!$D$37/12,'Monthly CF'!AZ$4-'Annual CF'!$D$4*12,'Annual CF'!$D$36*12,'Annual CF'!$D$38)</f>
        <v>-917923.86632029619</v>
      </c>
      <c r="BA58" s="201">
        <f ca="1">IPMT('Annual CF'!$D$37/12,'Monthly CF'!BA$4-'Annual CF'!$D$4*12,'Annual CF'!$D$36*12,'Annual CF'!$D$38)</f>
        <v>-916445.26254410134</v>
      </c>
      <c r="BB58" s="201">
        <f ca="1">IPMT('Annual CF'!$D$37/12,'Monthly CF'!BB$4-'Annual CF'!$D$4*12,'Annual CF'!$D$36*12,'Annual CF'!$D$38)</f>
        <v>-914961.73008865258</v>
      </c>
      <c r="BC58" s="201">
        <f ca="1">IPMT('Annual CF'!$D$37/12,'Monthly CF'!BC$4-'Annual CF'!$D$4*12,'Annual CF'!$D$36*12,'Annual CF'!$D$38)</f>
        <v>-913473.25252501888</v>
      </c>
      <c r="BD58" s="201">
        <f ca="1">IPMT('Annual CF'!$D$37/12,'Monthly CF'!BD$4-'Annual CF'!$D$4*12,'Annual CF'!$D$36*12,'Annual CF'!$D$38)</f>
        <v>-911979.8133695065</v>
      </c>
      <c r="BE58" s="201">
        <f ca="1">IPMT('Annual CF'!$D$37/12,'Monthly CF'!BE$4-'Annual CF'!$D$4*12,'Annual CF'!$D$36*12,'Annual CF'!$D$38)</f>
        <v>-910481.39608347579</v>
      </c>
      <c r="BF58" s="201">
        <f ca="1">IPMT('Annual CF'!$D$37/12,'Monthly CF'!BF$4-'Annual CF'!$D$4*12,'Annual CF'!$D$36*12,'Annual CF'!$D$38)</f>
        <v>-908977.98407315812</v>
      </c>
      <c r="BG58" s="201">
        <f ca="1">IPMT('Annual CF'!$D$37/12,'Monthly CF'!BG$4-'Annual CF'!$D$4*12,'Annual CF'!$D$36*12,'Annual CF'!$D$38)</f>
        <v>-907469.56068947306</v>
      </c>
      <c r="BH58" s="201">
        <f ca="1">IPMT('Annual CF'!$D$37/12,'Monthly CF'!BH$4-'Annual CF'!$D$4*12,'Annual CF'!$D$36*12,'Annual CF'!$D$38)</f>
        <v>-905956.10922784195</v>
      </c>
      <c r="BI58" s="201">
        <f ca="1">IPMT('Annual CF'!$D$37/12,'Monthly CF'!BI$4-'Annual CF'!$D$4*12,'Annual CF'!$D$36*12,'Annual CF'!$D$38)</f>
        <v>-904437.61292800575</v>
      </c>
      <c r="BJ58" s="201">
        <f ca="1">IPMT('Annual CF'!$D$37/12,'Monthly CF'!BJ$4-'Annual CF'!$D$4*12,'Annual CF'!$D$36*12,'Annual CF'!$D$38)</f>
        <v>-902914.05497383664</v>
      </c>
      <c r="BK58" s="201">
        <f ca="1">IPMT('Annual CF'!$D$37/12,'Monthly CF'!BK$4-'Annual CF'!$D$4*12,'Annual CF'!$D$36*12,'Annual CF'!$D$38)</f>
        <v>-901385.41849315353</v>
      </c>
      <c r="BL58" s="201">
        <f ca="1">IPMT('Annual CF'!$D$37/12,'Monthly CF'!BL$4-'Annual CF'!$D$4*12,'Annual CF'!$D$36*12,'Annual CF'!$D$38)</f>
        <v>-899851.68655753497</v>
      </c>
      <c r="BM58" s="201">
        <f ca="1">IPMT('Annual CF'!$D$37/12,'Monthly CF'!BM$4-'Annual CF'!$D$4*12,'Annual CF'!$D$36*12,'Annual CF'!$D$38)</f>
        <v>-898312.8421821309</v>
      </c>
      <c r="BN58" s="201">
        <f ca="1">IPMT('Annual CF'!$D$37/12,'Monthly CF'!BN$4-'Annual CF'!$D$4*12,'Annual CF'!$D$36*12,'Annual CF'!$D$38)</f>
        <v>-896768.86832547572</v>
      </c>
      <c r="BO58" s="201">
        <f ca="1">IPMT('Annual CF'!$D$37/12,'Monthly CF'!BO$4-'Annual CF'!$D$4*12,'Annual CF'!$D$36*12,'Annual CF'!$D$38)</f>
        <v>-895219.74788929801</v>
      </c>
      <c r="BP58" s="201">
        <f ca="1">IPMT('Annual CF'!$D$37/12,'Monthly CF'!BP$4-'Annual CF'!$D$4*12,'Annual CF'!$D$36*12,'Annual CF'!$D$38)</f>
        <v>-893665.46371833317</v>
      </c>
      <c r="BQ58" s="201">
        <f ca="1">IPMT('Annual CF'!$D$37/12,'Monthly CF'!BQ$4-'Annual CF'!$D$4*12,'Annual CF'!$D$36*12,'Annual CF'!$D$38)</f>
        <v>-892105.99860013195</v>
      </c>
      <c r="BR58" s="201">
        <f ca="1">IPMT('Annual CF'!$D$37/12,'Monthly CF'!BR$4-'Annual CF'!$D$4*12,'Annual CF'!$D$36*12,'Annual CF'!$D$38)</f>
        <v>-890541.33526486985</v>
      </c>
      <c r="BS58" s="201">
        <f ca="1">IPMT('Annual CF'!$D$37/12,'Monthly CF'!BS$4-'Annual CF'!$D$4*12,'Annual CF'!$D$36*12,'Annual CF'!$D$38)</f>
        <v>-888971.45638515695</v>
      </c>
      <c r="BT58" s="201">
        <f ca="1">IPMT('Annual CF'!$D$37/12,'Monthly CF'!BT$4-'Annual CF'!$D$4*12,'Annual CF'!$D$36*12,'Annual CF'!$D$38)</f>
        <v>-887396.34457584505</v>
      </c>
      <c r="BU58" s="201">
        <f ca="1">IPMT('Annual CF'!$D$37/12,'Monthly CF'!BU$4-'Annual CF'!$D$4*12,'Annual CF'!$D$36*12,'Annual CF'!$D$38)</f>
        <v>-885815.98239383544</v>
      </c>
      <c r="BV58" s="201">
        <f ca="1">IPMT('Annual CF'!$D$37/12,'Monthly CF'!BV$4-'Annual CF'!$D$4*12,'Annual CF'!$D$36*12,'Annual CF'!$D$38)</f>
        <v>-884230.35233788576</v>
      </c>
      <c r="BW58" s="201">
        <f ca="1">IPMT('Annual CF'!$D$37/12,'Monthly CF'!BW$4-'Annual CF'!$D$4*12,'Annual CF'!$D$36*12,'Annual CF'!$D$38)</f>
        <v>-882639.43684841634</v>
      </c>
      <c r="BX58" s="201">
        <f ca="1">IPMT('Annual CF'!$D$37/12,'Monthly CF'!BX$4-'Annual CF'!$D$4*12,'Annual CF'!$D$36*12,'Annual CF'!$D$38)</f>
        <v>-881043.21830731514</v>
      </c>
      <c r="BY58" s="201">
        <f ca="1">IPMT('Annual CF'!$D$37/12,'Monthly CF'!BY$4-'Annual CF'!$D$4*12,'Annual CF'!$D$36*12,'Annual CF'!$D$38)</f>
        <v>-879441.67903774371</v>
      </c>
      <c r="BZ58" s="201">
        <f ca="1">IPMT('Annual CF'!$D$37/12,'Monthly CF'!BZ$4-'Annual CF'!$D$4*12,'Annual CF'!$D$36*12,'Annual CF'!$D$38)</f>
        <v>-877834.80130394036</v>
      </c>
      <c r="CA58" s="201">
        <f ca="1">IPMT('Annual CF'!$D$37/12,'Monthly CF'!CA$4-'Annual CF'!$D$4*12,'Annual CF'!$D$36*12,'Annual CF'!$D$38)</f>
        <v>-876222.56731102441</v>
      </c>
      <c r="CB58" s="201">
        <f ca="1">IPMT('Annual CF'!$D$37/12,'Monthly CF'!CB$4-'Annual CF'!$D$4*12,'Annual CF'!$D$36*12,'Annual CF'!$D$38)</f>
        <v>-874604.9592047988</v>
      </c>
      <c r="CC58" s="201">
        <f ca="1">IPMT('Annual CF'!$D$37/12,'Monthly CF'!CC$4-'Annual CF'!$D$4*12,'Annual CF'!$D$36*12,'Annual CF'!$D$38)</f>
        <v>-872981.95907155238</v>
      </c>
      <c r="CD58" s="201">
        <f ca="1">IPMT('Annual CF'!$D$37/12,'Monthly CF'!CD$4-'Annual CF'!$D$4*12,'Annual CF'!$D$36*12,'Annual CF'!$D$38)</f>
        <v>-871353.54893786169</v>
      </c>
      <c r="CE58" s="201">
        <f ca="1">IPMT('Annual CF'!$D$37/12,'Monthly CF'!CE$4-'Annual CF'!$D$4*12,'Annual CF'!$D$36*12,'Annual CF'!$D$38)</f>
        <v>-869719.71077039209</v>
      </c>
      <c r="CF58" s="201">
        <f ca="1">IPMT('Annual CF'!$D$37/12,'Monthly CF'!CF$4-'Annual CF'!$D$4*12,'Annual CF'!$D$36*12,'Annual CF'!$D$38)</f>
        <v>-868080.42647569766</v>
      </c>
      <c r="CG58" s="201">
        <f ca="1">IPMT('Annual CF'!$D$37/12,'Monthly CF'!CG$4-'Annual CF'!$D$4*12,'Annual CF'!$D$36*12,'Annual CF'!$D$38)</f>
        <v>-866435.67790002085</v>
      </c>
      <c r="CH58" s="201">
        <f ca="1">IPMT('Annual CF'!$D$37/12,'Monthly CF'!CH$4-'Annual CF'!$D$4*12,'Annual CF'!$D$36*12,'Annual CF'!$D$38)</f>
        <v>-864785.44682909152</v>
      </c>
      <c r="CI58" s="201">
        <f ca="1">IPMT('Annual CF'!$D$37/12,'Monthly CF'!CI$4-'Annual CF'!$D$4*12,'Annual CF'!$D$36*12,'Annual CF'!$D$38)</f>
        <v>-863129.71498792619</v>
      </c>
      <c r="CJ58" s="201">
        <f ca="1">IPMT('Annual CF'!$D$37/12,'Monthly CF'!CJ$4-'Annual CF'!$D$4*12,'Annual CF'!$D$36*12,'Annual CF'!$D$38)</f>
        <v>-861468.46404062351</v>
      </c>
      <c r="CK58" s="201"/>
      <c r="CL58" s="201"/>
      <c r="CM58" s="201"/>
      <c r="CN58" s="201"/>
      <c r="CO58" s="201"/>
      <c r="CP58" s="201"/>
      <c r="CQ58" s="201"/>
      <c r="CR58" s="201"/>
      <c r="CS58" s="201"/>
      <c r="CT58" s="201"/>
      <c r="CU58" s="201"/>
      <c r="CV58" s="201"/>
      <c r="CW58" s="201"/>
      <c r="CX58" s="201"/>
      <c r="CY58" s="201"/>
      <c r="CZ58" s="201"/>
      <c r="DA58" s="201"/>
      <c r="DB58" s="201"/>
      <c r="DC58" s="201"/>
      <c r="DD58" s="201"/>
      <c r="DE58" s="201"/>
      <c r="DF58" s="201"/>
      <c r="DG58" s="201"/>
      <c r="DH58" s="201"/>
      <c r="DI58" s="201"/>
      <c r="DJ58" s="201"/>
      <c r="DK58" s="201"/>
      <c r="DL58" s="201"/>
      <c r="DM58" s="201"/>
      <c r="DN58" s="201"/>
      <c r="DO58" s="201"/>
      <c r="DP58" s="201"/>
      <c r="DQ58" s="201"/>
      <c r="DR58" s="201"/>
      <c r="DS58" s="201"/>
      <c r="DT58" s="201"/>
      <c r="DU58" s="69" t="s">
        <v>0</v>
      </c>
    </row>
    <row r="59" spans="2:125" x14ac:dyDescent="0.25">
      <c r="B59" s="27" t="s">
        <v>74</v>
      </c>
      <c r="C59" s="197">
        <f ca="1">SUM(D59:CJ59)</f>
        <v>-81690299.950724259</v>
      </c>
      <c r="D59" s="197">
        <f t="shared" ref="D59:AI59" si="197">SUM(D57:D58)</f>
        <v>0</v>
      </c>
      <c r="E59" s="197">
        <f t="shared" si="197"/>
        <v>0</v>
      </c>
      <c r="F59" s="197">
        <f t="shared" si="197"/>
        <v>0</v>
      </c>
      <c r="G59" s="197">
        <f t="shared" si="197"/>
        <v>0</v>
      </c>
      <c r="H59" s="197">
        <f t="shared" si="197"/>
        <v>0</v>
      </c>
      <c r="I59" s="197">
        <f t="shared" si="197"/>
        <v>0</v>
      </c>
      <c r="J59" s="197">
        <f t="shared" si="197"/>
        <v>0</v>
      </c>
      <c r="K59" s="197">
        <f t="shared" si="197"/>
        <v>0</v>
      </c>
      <c r="L59" s="197">
        <f t="shared" si="197"/>
        <v>0</v>
      </c>
      <c r="M59" s="197">
        <f t="shared" si="197"/>
        <v>0</v>
      </c>
      <c r="N59" s="197">
        <f t="shared" si="197"/>
        <v>0</v>
      </c>
      <c r="O59" s="197">
        <f t="shared" si="197"/>
        <v>0</v>
      </c>
      <c r="P59" s="197">
        <f t="shared" si="197"/>
        <v>0</v>
      </c>
      <c r="Q59" s="197">
        <f t="shared" si="197"/>
        <v>0</v>
      </c>
      <c r="R59" s="197">
        <f t="shared" si="197"/>
        <v>0</v>
      </c>
      <c r="S59" s="197">
        <f t="shared" si="197"/>
        <v>0</v>
      </c>
      <c r="T59" s="197">
        <f t="shared" si="197"/>
        <v>0</v>
      </c>
      <c r="U59" s="197">
        <f t="shared" si="197"/>
        <v>0</v>
      </c>
      <c r="V59" s="197">
        <f t="shared" si="197"/>
        <v>0</v>
      </c>
      <c r="W59" s="197">
        <f t="shared" si="197"/>
        <v>0</v>
      </c>
      <c r="X59" s="197">
        <f t="shared" si="197"/>
        <v>0</v>
      </c>
      <c r="Y59" s="197">
        <f t="shared" si="197"/>
        <v>0</v>
      </c>
      <c r="Z59" s="197">
        <f t="shared" si="197"/>
        <v>0</v>
      </c>
      <c r="AA59" s="197">
        <f t="shared" si="197"/>
        <v>0</v>
      </c>
      <c r="AB59" s="197">
        <f t="shared" si="197"/>
        <v>0</v>
      </c>
      <c r="AC59" s="197">
        <f t="shared" ca="1" si="197"/>
        <v>-1361504.9991787386</v>
      </c>
      <c r="AD59" s="197">
        <f t="shared" ca="1" si="197"/>
        <v>-1361504.9991787383</v>
      </c>
      <c r="AE59" s="197">
        <f t="shared" ca="1" si="197"/>
        <v>-1361504.9991787383</v>
      </c>
      <c r="AF59" s="197">
        <f t="shared" ca="1" si="197"/>
        <v>-1361504.9991787386</v>
      </c>
      <c r="AG59" s="197">
        <f t="shared" ca="1" si="197"/>
        <v>-1361504.9991787386</v>
      </c>
      <c r="AH59" s="197">
        <f t="shared" ca="1" si="197"/>
        <v>-1361504.9991787383</v>
      </c>
      <c r="AI59" s="197">
        <f t="shared" ca="1" si="197"/>
        <v>-1361504.9991787383</v>
      </c>
      <c r="AJ59" s="197">
        <f t="shared" ref="AJ59:BO59" ca="1" si="198">SUM(AJ57:AJ58)</f>
        <v>-1361504.9991787383</v>
      </c>
      <c r="AK59" s="197">
        <f t="shared" ca="1" si="198"/>
        <v>-1361504.9991787383</v>
      </c>
      <c r="AL59" s="197">
        <f t="shared" ca="1" si="198"/>
        <v>-1361504.9991787383</v>
      </c>
      <c r="AM59" s="197">
        <f t="shared" ca="1" si="198"/>
        <v>-1361504.9991787386</v>
      </c>
      <c r="AN59" s="197">
        <f t="shared" ca="1" si="198"/>
        <v>-1361504.9991787386</v>
      </c>
      <c r="AO59" s="197">
        <f t="shared" ca="1" si="198"/>
        <v>-1361504.9991787386</v>
      </c>
      <c r="AP59" s="197">
        <f t="shared" ca="1" si="198"/>
        <v>-1361504.9991787383</v>
      </c>
      <c r="AQ59" s="197">
        <f t="shared" ca="1" si="198"/>
        <v>-1361504.9991787386</v>
      </c>
      <c r="AR59" s="197">
        <f t="shared" ca="1" si="198"/>
        <v>-1361504.9991787386</v>
      </c>
      <c r="AS59" s="197">
        <f t="shared" ca="1" si="198"/>
        <v>-1361504.9991787386</v>
      </c>
      <c r="AT59" s="197">
        <f t="shared" ca="1" si="198"/>
        <v>-1361504.9991787383</v>
      </c>
      <c r="AU59" s="197">
        <f t="shared" ca="1" si="198"/>
        <v>-1361504.9991787383</v>
      </c>
      <c r="AV59" s="197">
        <f t="shared" ca="1" si="198"/>
        <v>-1361504.9991787383</v>
      </c>
      <c r="AW59" s="197">
        <f t="shared" ca="1" si="198"/>
        <v>-1361504.9991787386</v>
      </c>
      <c r="AX59" s="197">
        <f t="shared" ca="1" si="198"/>
        <v>-1361504.9991787383</v>
      </c>
      <c r="AY59" s="197">
        <f t="shared" ca="1" si="198"/>
        <v>-1361504.9991787383</v>
      </c>
      <c r="AZ59" s="197">
        <f t="shared" ca="1" si="198"/>
        <v>-1361504.9991787386</v>
      </c>
      <c r="BA59" s="197">
        <f t="shared" ca="1" si="198"/>
        <v>-1361504.9991787386</v>
      </c>
      <c r="BB59" s="197">
        <f t="shared" ca="1" si="198"/>
        <v>-1361504.9991787386</v>
      </c>
      <c r="BC59" s="197">
        <f t="shared" ca="1" si="198"/>
        <v>-1361504.9991787383</v>
      </c>
      <c r="BD59" s="197">
        <f t="shared" ca="1" si="198"/>
        <v>-1361504.9991787386</v>
      </c>
      <c r="BE59" s="197">
        <f t="shared" ca="1" si="198"/>
        <v>-1361504.9991787383</v>
      </c>
      <c r="BF59" s="197">
        <f t="shared" ca="1" si="198"/>
        <v>-1361504.9991787383</v>
      </c>
      <c r="BG59" s="197">
        <f t="shared" ca="1" si="198"/>
        <v>-1361504.9991787386</v>
      </c>
      <c r="BH59" s="197">
        <f t="shared" ca="1" si="198"/>
        <v>-1361504.9991787383</v>
      </c>
      <c r="BI59" s="197">
        <f t="shared" ca="1" si="198"/>
        <v>-1361504.9991787386</v>
      </c>
      <c r="BJ59" s="197">
        <f t="shared" ca="1" si="198"/>
        <v>-1361504.9991787386</v>
      </c>
      <c r="BK59" s="197">
        <f t="shared" ca="1" si="198"/>
        <v>-1361504.9991787383</v>
      </c>
      <c r="BL59" s="197">
        <f t="shared" ca="1" si="198"/>
        <v>-1361504.9991787383</v>
      </c>
      <c r="BM59" s="197">
        <f t="shared" ca="1" si="198"/>
        <v>-1361504.9991787383</v>
      </c>
      <c r="BN59" s="197">
        <f t="shared" ca="1" si="198"/>
        <v>-1361504.9991787386</v>
      </c>
      <c r="BO59" s="197">
        <f t="shared" ca="1" si="198"/>
        <v>-1361504.9991787383</v>
      </c>
      <c r="BP59" s="197">
        <f t="shared" ref="BP59:BX59" ca="1" si="199">SUM(BP57:BP58)</f>
        <v>-1361504.9991787383</v>
      </c>
      <c r="BQ59" s="197">
        <f t="shared" ca="1" si="199"/>
        <v>-1361504.9991787386</v>
      </c>
      <c r="BR59" s="197">
        <f t="shared" ca="1" si="199"/>
        <v>-1361504.9991787383</v>
      </c>
      <c r="BS59" s="197">
        <f t="shared" ca="1" si="199"/>
        <v>-1361504.9991787383</v>
      </c>
      <c r="BT59" s="197">
        <f t="shared" ca="1" si="199"/>
        <v>-1361504.9991787383</v>
      </c>
      <c r="BU59" s="197">
        <f t="shared" ca="1" si="199"/>
        <v>-1361504.9991787383</v>
      </c>
      <c r="BV59" s="197">
        <f t="shared" ca="1" si="199"/>
        <v>-1361504.9991787386</v>
      </c>
      <c r="BW59" s="197">
        <f t="shared" ca="1" si="199"/>
        <v>-1361504.9991787386</v>
      </c>
      <c r="BX59" s="197">
        <f t="shared" ca="1" si="199"/>
        <v>-1361504.9991787383</v>
      </c>
      <c r="BY59" s="197">
        <f t="shared" ref="BY59:CJ59" ca="1" si="200">SUM(BY57:BY58)</f>
        <v>-1361504.9991787383</v>
      </c>
      <c r="BZ59" s="197">
        <f t="shared" ca="1" si="200"/>
        <v>-1361504.9991787383</v>
      </c>
      <c r="CA59" s="197">
        <f t="shared" ca="1" si="200"/>
        <v>-1361504.9991787383</v>
      </c>
      <c r="CB59" s="197">
        <f t="shared" ca="1" si="200"/>
        <v>-1361504.9991787386</v>
      </c>
      <c r="CC59" s="197">
        <f t="shared" ca="1" si="200"/>
        <v>-1361504.9991787386</v>
      </c>
      <c r="CD59" s="197">
        <f t="shared" ca="1" si="200"/>
        <v>-1361504.9991787386</v>
      </c>
      <c r="CE59" s="197">
        <f t="shared" ca="1" si="200"/>
        <v>-1361504.9991787386</v>
      </c>
      <c r="CF59" s="197">
        <f t="shared" ca="1" si="200"/>
        <v>-1361504.9991787386</v>
      </c>
      <c r="CG59" s="197">
        <f t="shared" ca="1" si="200"/>
        <v>-1361504.9991787386</v>
      </c>
      <c r="CH59" s="197">
        <f t="shared" ca="1" si="200"/>
        <v>-1361504.9991787383</v>
      </c>
      <c r="CI59" s="197">
        <f t="shared" ca="1" si="200"/>
        <v>-1361504.9991787383</v>
      </c>
      <c r="CJ59" s="197">
        <f t="shared" ca="1" si="200"/>
        <v>-1361504.9991787383</v>
      </c>
      <c r="CK59" s="201"/>
      <c r="CL59" s="201"/>
      <c r="CM59" s="201"/>
      <c r="CN59" s="201"/>
      <c r="CO59" s="201"/>
      <c r="CP59" s="201"/>
      <c r="CQ59" s="201"/>
      <c r="CR59" s="201"/>
      <c r="CS59" s="201"/>
      <c r="CT59" s="201"/>
      <c r="CU59" s="201"/>
      <c r="CV59" s="201"/>
      <c r="CW59" s="201"/>
      <c r="CX59" s="201"/>
      <c r="CY59" s="201"/>
      <c r="CZ59" s="201"/>
      <c r="DA59" s="201"/>
      <c r="DB59" s="201"/>
      <c r="DC59" s="201"/>
      <c r="DD59" s="201"/>
      <c r="DE59" s="201"/>
      <c r="DF59" s="201"/>
      <c r="DG59" s="201"/>
      <c r="DH59" s="201"/>
      <c r="DI59" s="201"/>
      <c r="DJ59" s="201"/>
      <c r="DK59" s="201"/>
      <c r="DL59" s="201"/>
      <c r="DM59" s="201"/>
      <c r="DN59" s="201"/>
      <c r="DO59" s="201"/>
      <c r="DP59" s="201"/>
      <c r="DQ59" s="201"/>
      <c r="DR59" s="201"/>
      <c r="DS59" s="201"/>
      <c r="DT59" s="201"/>
      <c r="DU59" s="69" t="s">
        <v>0</v>
      </c>
    </row>
    <row r="60" spans="2:125" x14ac:dyDescent="0.25">
      <c r="B60" s="34"/>
      <c r="DU60" s="69" t="s">
        <v>0</v>
      </c>
    </row>
    <row r="61" spans="2:125" x14ac:dyDescent="0.25">
      <c r="B61" s="27" t="s">
        <v>75</v>
      </c>
      <c r="C61" s="197">
        <f t="shared" ref="C61:AH61" ca="1" si="201">SUM(C47,C55,C59)</f>
        <v>234352711.49661577</v>
      </c>
      <c r="D61" s="197">
        <f t="shared" ca="1" si="201"/>
        <v>-44548247.430000007</v>
      </c>
      <c r="E61" s="197">
        <f t="shared" ca="1" si="201"/>
        <v>-1016151.1875000009</v>
      </c>
      <c r="F61" s="197">
        <f t="shared" ca="1" si="201"/>
        <v>-1016151.1875000009</v>
      </c>
      <c r="G61" s="197">
        <f t="shared" ca="1" si="201"/>
        <v>-1016151.1875000009</v>
      </c>
      <c r="H61" s="197">
        <f t="shared" ca="1" si="201"/>
        <v>-1016151.1875000009</v>
      </c>
      <c r="I61" s="197">
        <f t="shared" ca="1" si="201"/>
        <v>-1016151.1875000009</v>
      </c>
      <c r="J61" s="197">
        <f t="shared" ca="1" si="201"/>
        <v>-1016151.1875000009</v>
      </c>
      <c r="K61" s="197">
        <f t="shared" ca="1" si="201"/>
        <v>-1016151.1875000009</v>
      </c>
      <c r="L61" s="197">
        <f t="shared" ca="1" si="201"/>
        <v>-1016151.1875000009</v>
      </c>
      <c r="M61" s="197">
        <f t="shared" ca="1" si="201"/>
        <v>-1016151.1875000009</v>
      </c>
      <c r="N61" s="197">
        <f t="shared" ca="1" si="201"/>
        <v>-1016151.1875000009</v>
      </c>
      <c r="O61" s="197">
        <f t="shared" ca="1" si="201"/>
        <v>-1016151.1875000009</v>
      </c>
      <c r="P61" s="197">
        <f t="shared" ca="1" si="201"/>
        <v>-1016151.1875000009</v>
      </c>
      <c r="Q61" s="197">
        <f t="shared" ca="1" si="201"/>
        <v>-1016151.1875000009</v>
      </c>
      <c r="R61" s="197">
        <f t="shared" ca="1" si="201"/>
        <v>-1016151.1875000009</v>
      </c>
      <c r="S61" s="197">
        <f t="shared" ca="1" si="201"/>
        <v>-1016151.1875000009</v>
      </c>
      <c r="T61" s="197">
        <f t="shared" ca="1" si="201"/>
        <v>-1016151.1875000009</v>
      </c>
      <c r="U61" s="197">
        <f t="shared" ca="1" si="201"/>
        <v>-1016151.1875000009</v>
      </c>
      <c r="V61" s="197">
        <f t="shared" ca="1" si="201"/>
        <v>-1016151.1875000009</v>
      </c>
      <c r="W61" s="197">
        <f t="shared" ca="1" si="201"/>
        <v>-1016151.1875000009</v>
      </c>
      <c r="X61" s="197">
        <f t="shared" ca="1" si="201"/>
        <v>-1016151.1875000009</v>
      </c>
      <c r="Y61" s="197">
        <f t="shared" ca="1" si="201"/>
        <v>-1016151.1875000009</v>
      </c>
      <c r="Z61" s="197">
        <f t="shared" ca="1" si="201"/>
        <v>-8283901.1875000009</v>
      </c>
      <c r="AA61" s="197">
        <f t="shared" ca="1" si="201"/>
        <v>-1016151.1875000009</v>
      </c>
      <c r="AB61" s="197">
        <f t="shared" ca="1" si="201"/>
        <v>4212693.4849373773</v>
      </c>
      <c r="AC61" s="197">
        <f t="shared" ca="1" si="201"/>
        <v>-3589388.3977898499</v>
      </c>
      <c r="AD61" s="197">
        <f t="shared" ca="1" si="201"/>
        <v>-2254745.416664849</v>
      </c>
      <c r="AE61" s="197">
        <f t="shared" ca="1" si="201"/>
        <v>-2250855.722338391</v>
      </c>
      <c r="AF61" s="197">
        <f t="shared" ca="1" si="201"/>
        <v>-1444167.7400008498</v>
      </c>
      <c r="AG61" s="197">
        <f t="shared" ca="1" si="201"/>
        <v>-1437913.8582616688</v>
      </c>
      <c r="AH61" s="197">
        <f t="shared" ca="1" si="201"/>
        <v>-1431641.7347681243</v>
      </c>
      <c r="AI61" s="197">
        <f t="shared" ref="AI61:BN61" ca="1" si="202">SUM(AI47,AI55,AI59)</f>
        <v>-1425351.3163119336</v>
      </c>
      <c r="AJ61" s="197">
        <f t="shared" ca="1" si="202"/>
        <v>-1419042.5495296181</v>
      </c>
      <c r="AK61" s="197">
        <f t="shared" ca="1" si="202"/>
        <v>-1412715.3809020431</v>
      </c>
      <c r="AL61" s="197">
        <f t="shared" ca="1" si="202"/>
        <v>-1406369.7567539732</v>
      </c>
      <c r="AM61" s="197">
        <f t="shared" ca="1" si="202"/>
        <v>-1400005.6232536107</v>
      </c>
      <c r="AN61" s="197">
        <f t="shared" ca="1" si="202"/>
        <v>-1393622.9264121384</v>
      </c>
      <c r="AO61" s="197">
        <f t="shared" ca="1" si="202"/>
        <v>-1387221.6120832663</v>
      </c>
      <c r="AP61" s="197">
        <f t="shared" ca="1" si="202"/>
        <v>-1380801.6259627687</v>
      </c>
      <c r="AQ61" s="197">
        <f t="shared" ca="1" si="202"/>
        <v>-1374362.9135880249</v>
      </c>
      <c r="AR61" s="197">
        <f t="shared" ca="1" si="202"/>
        <v>-1367905.4203375557</v>
      </c>
      <c r="AS61" s="197">
        <f t="shared" ca="1" si="202"/>
        <v>-1361429.0914305628</v>
      </c>
      <c r="AT61" s="197">
        <f t="shared" ca="1" si="202"/>
        <v>-1354933.8719264613</v>
      </c>
      <c r="AU61" s="197">
        <f t="shared" ca="1" si="202"/>
        <v>583718.90438669594</v>
      </c>
      <c r="AV61" s="197">
        <f t="shared" ca="1" si="202"/>
        <v>590252.07054824149</v>
      </c>
      <c r="AW61" s="197">
        <f t="shared" ca="1" si="202"/>
        <v>596804.2930920294</v>
      </c>
      <c r="AX61" s="197">
        <f t="shared" ca="1" si="202"/>
        <v>603375.62760246033</v>
      </c>
      <c r="AY61" s="197">
        <f t="shared" ca="1" si="202"/>
        <v>609966.12982606329</v>
      </c>
      <c r="AZ61" s="197">
        <f t="shared" ca="1" si="202"/>
        <v>616575.8556719718</v>
      </c>
      <c r="BA61" s="197">
        <f t="shared" ca="1" si="202"/>
        <v>623204.86121239397</v>
      </c>
      <c r="BB61" s="197">
        <f t="shared" ca="1" si="202"/>
        <v>629853.20268309186</v>
      </c>
      <c r="BC61" s="197">
        <f t="shared" ca="1" si="202"/>
        <v>636520.93648385396</v>
      </c>
      <c r="BD61" s="197">
        <f t="shared" ca="1" si="202"/>
        <v>643208.11917897849</v>
      </c>
      <c r="BE61" s="197">
        <f t="shared" ca="1" si="202"/>
        <v>649914.8074977519</v>
      </c>
      <c r="BF61" s="197">
        <f t="shared" ca="1" si="202"/>
        <v>656641.05833492801</v>
      </c>
      <c r="BG61" s="197">
        <f t="shared" ca="1" si="202"/>
        <v>663386.92875121231</v>
      </c>
      <c r="BH61" s="197">
        <f t="shared" ca="1" si="202"/>
        <v>670152.47597374627</v>
      </c>
      <c r="BI61" s="197">
        <f t="shared" ca="1" si="202"/>
        <v>676937.75739659206</v>
      </c>
      <c r="BJ61" s="197">
        <f t="shared" ca="1" si="202"/>
        <v>683742.83058121917</v>
      </c>
      <c r="BK61" s="197">
        <f t="shared" ca="1" si="202"/>
        <v>690567.75325699383</v>
      </c>
      <c r="BL61" s="197">
        <f t="shared" ca="1" si="202"/>
        <v>697412.58332166774</v>
      </c>
      <c r="BM61" s="197">
        <f t="shared" ca="1" si="202"/>
        <v>704277.37884186907</v>
      </c>
      <c r="BN61" s="197">
        <f t="shared" ca="1" si="202"/>
        <v>711162.19805359677</v>
      </c>
      <c r="BO61" s="197">
        <f t="shared" ref="BO61:CJ61" ca="1" si="203">SUM(BO47,BO55,BO59)</f>
        <v>718067.09936271282</v>
      </c>
      <c r="BP61" s="197">
        <f t="shared" ca="1" si="203"/>
        <v>724992.14134543668</v>
      </c>
      <c r="BQ61" s="197">
        <f t="shared" ca="1" si="203"/>
        <v>731937.3827488462</v>
      </c>
      <c r="BR61" s="197">
        <f t="shared" ca="1" si="203"/>
        <v>738902.88249137159</v>
      </c>
      <c r="BS61" s="197">
        <f t="shared" ca="1" si="203"/>
        <v>745888.69966329867</v>
      </c>
      <c r="BT61" s="197">
        <f t="shared" ca="1" si="203"/>
        <v>752894.89352726704</v>
      </c>
      <c r="BU61" s="197">
        <f t="shared" ca="1" si="203"/>
        <v>759921.52351877606</v>
      </c>
      <c r="BV61" s="197">
        <f t="shared" ca="1" si="203"/>
        <v>766968.64924668404</v>
      </c>
      <c r="BW61" s="197">
        <f t="shared" ca="1" si="203"/>
        <v>774036.33049372141</v>
      </c>
      <c r="BX61" s="197">
        <f t="shared" ca="1" si="203"/>
        <v>781124.6272169915</v>
      </c>
      <c r="BY61" s="197">
        <f t="shared" ca="1" si="203"/>
        <v>788233.59954848094</v>
      </c>
      <c r="BZ61" s="197">
        <f t="shared" ca="1" si="203"/>
        <v>795363.30779557116</v>
      </c>
      <c r="CA61" s="197">
        <f t="shared" ca="1" si="203"/>
        <v>802513.81244154787</v>
      </c>
      <c r="CB61" s="197">
        <f t="shared" ca="1" si="203"/>
        <v>809685.17414611555</v>
      </c>
      <c r="CC61" s="197">
        <f t="shared" ca="1" si="203"/>
        <v>816877.45374591299</v>
      </c>
      <c r="CD61" s="197">
        <f t="shared" ca="1" si="203"/>
        <v>824090.71225502598</v>
      </c>
      <c r="CE61" s="197">
        <f t="shared" ca="1" si="203"/>
        <v>831325.01086550835</v>
      </c>
      <c r="CF61" s="197">
        <f t="shared" ca="1" si="203"/>
        <v>838580.41094789864</v>
      </c>
      <c r="CG61" s="197">
        <f t="shared" ca="1" si="203"/>
        <v>845856.97405174351</v>
      </c>
      <c r="CH61" s="197">
        <f t="shared" ca="1" si="203"/>
        <v>853154.76190611534</v>
      </c>
      <c r="CI61" s="197">
        <f t="shared" ca="1" si="203"/>
        <v>860473.83642014163</v>
      </c>
      <c r="CJ61" s="197">
        <f t="shared" ca="1" si="203"/>
        <v>304921402.6560595</v>
      </c>
      <c r="CK61" s="201"/>
      <c r="CL61" s="201"/>
      <c r="CM61" s="201"/>
      <c r="CN61" s="201"/>
      <c r="CO61" s="201"/>
      <c r="CP61" s="201"/>
      <c r="CQ61" s="201"/>
      <c r="CR61" s="201"/>
      <c r="CS61" s="201"/>
      <c r="CT61" s="201"/>
      <c r="CU61" s="201"/>
      <c r="CV61" s="201"/>
      <c r="CW61" s="201"/>
      <c r="CX61" s="201"/>
      <c r="CY61" s="201"/>
      <c r="CZ61" s="201"/>
      <c r="DA61" s="201"/>
      <c r="DB61" s="201"/>
      <c r="DC61" s="201"/>
      <c r="DD61" s="201"/>
      <c r="DE61" s="201"/>
      <c r="DF61" s="201"/>
      <c r="DG61" s="201"/>
      <c r="DH61" s="201"/>
      <c r="DI61" s="201"/>
      <c r="DJ61" s="201"/>
      <c r="DK61" s="201"/>
      <c r="DL61" s="201"/>
      <c r="DM61" s="201"/>
      <c r="DN61" s="201"/>
      <c r="DO61" s="201"/>
      <c r="DP61" s="201"/>
      <c r="DQ61" s="201"/>
      <c r="DR61" s="201"/>
      <c r="DS61" s="201"/>
      <c r="DT61" s="201"/>
      <c r="DU61" s="69" t="s">
        <v>0</v>
      </c>
    </row>
    <row r="62" spans="2:125" x14ac:dyDescent="0.25">
      <c r="B62" s="1"/>
      <c r="C62" s="187"/>
      <c r="DU62" s="69" t="s">
        <v>0</v>
      </c>
    </row>
    <row r="63" spans="2:125" x14ac:dyDescent="0.25">
      <c r="B63" s="1"/>
      <c r="DU63" s="69" t="s">
        <v>0</v>
      </c>
    </row>
    <row r="64" spans="2:125" x14ac:dyDescent="0.25">
      <c r="B64" s="47"/>
      <c r="DU64" s="69" t="s">
        <v>0</v>
      </c>
    </row>
    <row r="65" spans="2:125" x14ac:dyDescent="0.25">
      <c r="B65" s="47"/>
      <c r="DU65" s="69" t="s">
        <v>0</v>
      </c>
    </row>
    <row r="66" spans="2:125" x14ac:dyDescent="0.25">
      <c r="DU66" s="69" t="s">
        <v>0</v>
      </c>
    </row>
    <row r="67" spans="2:125" x14ac:dyDescent="0.25">
      <c r="DU67" s="69" t="s">
        <v>0</v>
      </c>
    </row>
    <row r="68" spans="2:125" x14ac:dyDescent="0.25">
      <c r="DU68" s="69" t="s">
        <v>0</v>
      </c>
    </row>
    <row r="69" spans="2:125" x14ac:dyDescent="0.25">
      <c r="DU69" s="69" t="s">
        <v>0</v>
      </c>
    </row>
    <row r="70" spans="2:125" x14ac:dyDescent="0.25">
      <c r="DU70" s="69" t="s">
        <v>0</v>
      </c>
    </row>
    <row r="71" spans="2:125" x14ac:dyDescent="0.25">
      <c r="DU71" s="69" t="s">
        <v>0</v>
      </c>
    </row>
    <row r="72" spans="2:125" x14ac:dyDescent="0.25">
      <c r="DU72" s="69" t="s">
        <v>0</v>
      </c>
    </row>
    <row r="73" spans="2:125" x14ac:dyDescent="0.25">
      <c r="DU73" s="69" t="s">
        <v>0</v>
      </c>
    </row>
    <row r="74" spans="2:125" x14ac:dyDescent="0.25">
      <c r="DU74" s="69" t="s">
        <v>0</v>
      </c>
    </row>
    <row r="75" spans="2:125" x14ac:dyDescent="0.25">
      <c r="DU75" s="69" t="s">
        <v>0</v>
      </c>
    </row>
    <row r="76" spans="2:125" x14ac:dyDescent="0.25">
      <c r="DU76" s="69" t="s">
        <v>0</v>
      </c>
    </row>
    <row r="77" spans="2:125" x14ac:dyDescent="0.25">
      <c r="DU77" s="69" t="s">
        <v>0</v>
      </c>
    </row>
    <row r="78" spans="2:125" x14ac:dyDescent="0.25">
      <c r="DU78" s="69" t="s">
        <v>0</v>
      </c>
    </row>
    <row r="79" spans="2:125" x14ac:dyDescent="0.25">
      <c r="DU79" s="69" t="s">
        <v>0</v>
      </c>
    </row>
    <row r="80" spans="2:125" x14ac:dyDescent="0.25">
      <c r="DU80" s="69" t="s">
        <v>0</v>
      </c>
    </row>
    <row r="81" spans="125:125" x14ac:dyDescent="0.25">
      <c r="DU81" s="69" t="s">
        <v>0</v>
      </c>
    </row>
    <row r="82" spans="125:125" x14ac:dyDescent="0.25">
      <c r="DU82" s="69" t="s">
        <v>0</v>
      </c>
    </row>
    <row r="83" spans="125:125" x14ac:dyDescent="0.25">
      <c r="DU83" s="69" t="s">
        <v>0</v>
      </c>
    </row>
    <row r="84" spans="125:125" x14ac:dyDescent="0.25">
      <c r="DU84" s="69" t="s">
        <v>0</v>
      </c>
    </row>
    <row r="85" spans="125:125" x14ac:dyDescent="0.25">
      <c r="DU85" s="69" t="s">
        <v>0</v>
      </c>
    </row>
    <row r="86" spans="125:125" x14ac:dyDescent="0.25">
      <c r="DU86" s="69" t="s">
        <v>0</v>
      </c>
    </row>
    <row r="87" spans="125:125" x14ac:dyDescent="0.25">
      <c r="DU87" s="69" t="s">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workbookViewId="0"/>
  </sheetViews>
  <sheetFormatPr defaultColWidth="9.109375" defaultRowHeight="13.2" x14ac:dyDescent="0.25"/>
  <cols>
    <col min="1" max="1" width="32.109375" style="69" bestFit="1" customWidth="1"/>
    <col min="2" max="2" width="25" style="69" customWidth="1"/>
    <col min="3" max="7" width="18" style="69" customWidth="1"/>
    <col min="8" max="16384" width="9.109375" style="69"/>
  </cols>
  <sheetData>
    <row r="1" spans="1:6" ht="26.4" x14ac:dyDescent="0.25">
      <c r="A1" s="189" t="s">
        <v>80</v>
      </c>
      <c r="B1" s="189" t="s">
        <v>163</v>
      </c>
      <c r="C1" s="190" t="s">
        <v>164</v>
      </c>
      <c r="D1" s="190" t="s">
        <v>165</v>
      </c>
      <c r="E1" s="190" t="s">
        <v>166</v>
      </c>
      <c r="F1" s="190" t="s">
        <v>167</v>
      </c>
    </row>
    <row r="2" spans="1:6" x14ac:dyDescent="0.25">
      <c r="A2" s="191" t="s">
        <v>168</v>
      </c>
      <c r="B2" s="192"/>
      <c r="C2" s="192" t="s">
        <v>169</v>
      </c>
      <c r="D2" s="192" t="s">
        <v>170</v>
      </c>
      <c r="E2" s="192" t="s">
        <v>171</v>
      </c>
      <c r="F2" s="192" t="s">
        <v>172</v>
      </c>
    </row>
    <row r="3" spans="1:6" x14ac:dyDescent="0.25">
      <c r="A3" s="191" t="s">
        <v>173</v>
      </c>
      <c r="B3" s="193">
        <v>900</v>
      </c>
      <c r="C3" s="193">
        <v>250</v>
      </c>
      <c r="D3" s="193">
        <v>625</v>
      </c>
      <c r="E3" s="193">
        <v>900</v>
      </c>
      <c r="F3" s="193">
        <v>750</v>
      </c>
    </row>
    <row r="4" spans="1:6" x14ac:dyDescent="0.25">
      <c r="A4" s="191" t="s">
        <v>174</v>
      </c>
      <c r="B4" s="193">
        <v>600</v>
      </c>
      <c r="C4" s="193">
        <v>200</v>
      </c>
      <c r="D4" s="193">
        <v>575</v>
      </c>
      <c r="E4" s="193">
        <v>800</v>
      </c>
      <c r="F4" s="193">
        <v>650</v>
      </c>
    </row>
    <row r="5" spans="1:6" x14ac:dyDescent="0.25">
      <c r="A5" s="191" t="s">
        <v>175</v>
      </c>
      <c r="B5" s="194"/>
      <c r="C5" s="194">
        <v>5.5E-2</v>
      </c>
      <c r="D5" s="194">
        <v>4.4999999999999998E-2</v>
      </c>
      <c r="E5" s="195">
        <v>1250</v>
      </c>
      <c r="F5" s="194">
        <v>0.08</v>
      </c>
    </row>
    <row r="6" spans="1:6" x14ac:dyDescent="0.25">
      <c r="A6" s="191" t="s">
        <v>176</v>
      </c>
      <c r="B6" s="194"/>
      <c r="C6" s="194">
        <v>0.05</v>
      </c>
      <c r="D6" s="194">
        <v>0.04</v>
      </c>
      <c r="E6" s="195">
        <v>1500</v>
      </c>
      <c r="F6" s="194">
        <v>7.0000000000000007E-2</v>
      </c>
    </row>
    <row r="7" spans="1:6" x14ac:dyDescent="0.25">
      <c r="A7" s="191" t="s">
        <v>177</v>
      </c>
      <c r="B7" s="196"/>
      <c r="C7" s="196" t="s">
        <v>178</v>
      </c>
      <c r="D7" s="196" t="s">
        <v>179</v>
      </c>
      <c r="E7" s="196" t="s">
        <v>180</v>
      </c>
      <c r="F7" s="196" t="s">
        <v>181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7"/>
  <sheetViews>
    <sheetView showGridLines="0" zoomScale="85" zoomScaleNormal="85" workbookViewId="0">
      <selection activeCell="F1" sqref="F1"/>
    </sheetView>
  </sheetViews>
  <sheetFormatPr defaultColWidth="9" defaultRowHeight="13.2" x14ac:dyDescent="0.25"/>
  <cols>
    <col min="1" max="1" width="42.88671875" style="71" customWidth="1"/>
    <col min="2" max="8" width="27.44140625" style="71" customWidth="1"/>
    <col min="9" max="9" width="40.33203125" style="71" customWidth="1"/>
    <col min="10" max="16384" width="9" style="71"/>
  </cols>
  <sheetData>
    <row r="1" spans="1:9" x14ac:dyDescent="0.25">
      <c r="A1" s="71" t="s">
        <v>182</v>
      </c>
      <c r="E1" s="153">
        <f>AVERAGE(E4:E159)</f>
        <v>865.05865006179033</v>
      </c>
      <c r="F1" s="154">
        <f>AVERAGE(F4:F159)</f>
        <v>5.1421347014083213E-2</v>
      </c>
    </row>
    <row r="3" spans="1:9" x14ac:dyDescent="0.25">
      <c r="A3" s="155" t="s">
        <v>183</v>
      </c>
      <c r="B3" s="156" t="s">
        <v>184</v>
      </c>
      <c r="C3" s="156" t="s">
        <v>185</v>
      </c>
      <c r="D3" s="156" t="s">
        <v>46</v>
      </c>
      <c r="E3" s="156" t="s">
        <v>186</v>
      </c>
      <c r="F3" s="156" t="s">
        <v>187</v>
      </c>
      <c r="G3" s="156" t="s">
        <v>188</v>
      </c>
      <c r="H3" s="156" t="s">
        <v>189</v>
      </c>
      <c r="I3" s="157" t="s">
        <v>190</v>
      </c>
    </row>
    <row r="4" spans="1:9" x14ac:dyDescent="0.25">
      <c r="A4" s="158" t="s">
        <v>191</v>
      </c>
      <c r="B4" s="159"/>
      <c r="C4" s="160">
        <f>E5*A8</f>
        <v>249782000</v>
      </c>
      <c r="D4" s="160"/>
      <c r="E4" s="160"/>
      <c r="F4" s="160"/>
      <c r="G4" s="279" t="s">
        <v>192</v>
      </c>
      <c r="H4" s="279" t="s">
        <v>193</v>
      </c>
      <c r="I4" s="282" t="s">
        <v>194</v>
      </c>
    </row>
    <row r="5" spans="1:9" x14ac:dyDescent="0.25">
      <c r="A5" s="158" t="s">
        <v>195</v>
      </c>
      <c r="B5" s="158" t="s">
        <v>196</v>
      </c>
      <c r="C5" s="161"/>
      <c r="D5" s="162">
        <v>13614563</v>
      </c>
      <c r="E5" s="161">
        <v>1300</v>
      </c>
      <c r="F5" s="163">
        <f>D5/C4</f>
        <v>5.4505781041067812E-2</v>
      </c>
      <c r="G5" s="280"/>
      <c r="H5" s="280"/>
      <c r="I5" s="283"/>
    </row>
    <row r="6" spans="1:9" x14ac:dyDescent="0.25">
      <c r="A6" s="158" t="s">
        <v>197</v>
      </c>
      <c r="B6" s="164" t="s">
        <v>198</v>
      </c>
      <c r="C6" s="158"/>
      <c r="D6" s="158"/>
      <c r="E6" s="158"/>
      <c r="F6" s="158"/>
      <c r="G6" s="280"/>
      <c r="H6" s="280"/>
      <c r="I6" s="283"/>
    </row>
    <row r="7" spans="1:9" x14ac:dyDescent="0.25">
      <c r="A7" s="158" t="s">
        <v>199</v>
      </c>
      <c r="B7" s="165"/>
      <c r="D7" s="162"/>
      <c r="E7" s="162"/>
      <c r="F7" s="162"/>
      <c r="G7" s="280"/>
      <c r="H7" s="280"/>
      <c r="I7" s="283"/>
    </row>
    <row r="8" spans="1:9" x14ac:dyDescent="0.25">
      <c r="A8" s="166">
        <v>192140</v>
      </c>
      <c r="B8" s="167"/>
      <c r="C8" s="158"/>
      <c r="D8" s="158"/>
      <c r="E8" s="158"/>
      <c r="F8" s="158"/>
      <c r="G8" s="280"/>
      <c r="H8" s="280"/>
      <c r="I8" s="283"/>
    </row>
    <row r="9" spans="1:9" x14ac:dyDescent="0.25">
      <c r="A9" s="168">
        <v>1970</v>
      </c>
      <c r="B9" s="165"/>
      <c r="E9" s="163"/>
      <c r="F9" s="163"/>
      <c r="G9" s="280"/>
      <c r="H9" s="280"/>
      <c r="I9" s="283"/>
    </row>
    <row r="10" spans="1:9" x14ac:dyDescent="0.25">
      <c r="A10" s="169">
        <v>1996</v>
      </c>
      <c r="B10" s="165"/>
      <c r="C10" s="158"/>
      <c r="D10" s="158"/>
      <c r="E10" s="158"/>
      <c r="F10" s="158"/>
      <c r="G10" s="280"/>
      <c r="H10" s="280"/>
      <c r="I10" s="283"/>
    </row>
    <row r="11" spans="1:9" x14ac:dyDescent="0.25">
      <c r="A11" s="170"/>
      <c r="B11" s="170"/>
      <c r="C11" s="171"/>
      <c r="D11" s="171"/>
      <c r="E11" s="171"/>
      <c r="F11" s="171"/>
      <c r="G11" s="281"/>
      <c r="H11" s="281"/>
      <c r="I11" s="284"/>
    </row>
    <row r="12" spans="1:9" x14ac:dyDescent="0.25">
      <c r="A12" s="158" t="s">
        <v>200</v>
      </c>
      <c r="B12" s="159"/>
      <c r="C12" s="160">
        <v>228000000</v>
      </c>
      <c r="D12" s="160"/>
      <c r="E12" s="160"/>
      <c r="F12" s="160"/>
      <c r="G12" s="279" t="s">
        <v>201</v>
      </c>
      <c r="H12" s="279" t="s">
        <v>202</v>
      </c>
      <c r="I12" s="282" t="s">
        <v>203</v>
      </c>
    </row>
    <row r="13" spans="1:9" x14ac:dyDescent="0.25">
      <c r="A13" s="158" t="s">
        <v>204</v>
      </c>
      <c r="B13" s="158" t="s">
        <v>205</v>
      </c>
      <c r="D13" s="161"/>
      <c r="E13" s="161">
        <f>C12/A16</f>
        <v>587.52741150368365</v>
      </c>
      <c r="F13" s="161"/>
      <c r="G13" s="280"/>
      <c r="H13" s="280"/>
      <c r="I13" s="283"/>
    </row>
    <row r="14" spans="1:9" x14ac:dyDescent="0.25">
      <c r="A14" s="158" t="s">
        <v>206</v>
      </c>
      <c r="B14" s="164" t="s">
        <v>198</v>
      </c>
      <c r="C14" s="158"/>
      <c r="D14" s="158"/>
      <c r="E14" s="158"/>
      <c r="F14" s="158"/>
      <c r="G14" s="280"/>
      <c r="H14" s="280"/>
      <c r="I14" s="283"/>
    </row>
    <row r="15" spans="1:9" x14ac:dyDescent="0.25">
      <c r="A15" s="158" t="s">
        <v>199</v>
      </c>
      <c r="B15" s="165"/>
      <c r="C15" s="158"/>
      <c r="D15" s="158"/>
      <c r="E15" s="158"/>
      <c r="F15" s="158"/>
      <c r="G15" s="280"/>
      <c r="H15" s="280"/>
      <c r="I15" s="283"/>
    </row>
    <row r="16" spans="1:9" x14ac:dyDescent="0.25">
      <c r="A16" s="166">
        <v>388067</v>
      </c>
      <c r="B16" s="167">
        <v>43070</v>
      </c>
      <c r="C16" s="158"/>
      <c r="D16" s="158"/>
      <c r="E16" s="158"/>
      <c r="F16" s="158"/>
      <c r="G16" s="280"/>
      <c r="H16" s="280"/>
      <c r="I16" s="283"/>
    </row>
    <row r="17" spans="1:9" x14ac:dyDescent="0.25">
      <c r="A17" s="168" t="s">
        <v>207</v>
      </c>
      <c r="B17" s="165"/>
      <c r="C17" s="158"/>
      <c r="D17" s="158"/>
      <c r="E17" s="158"/>
      <c r="F17" s="158"/>
      <c r="G17" s="280"/>
      <c r="H17" s="280"/>
      <c r="I17" s="283"/>
    </row>
    <row r="18" spans="1:9" x14ac:dyDescent="0.25">
      <c r="A18" s="169" t="s">
        <v>208</v>
      </c>
      <c r="B18" s="165"/>
      <c r="C18" s="158"/>
      <c r="D18" s="158"/>
      <c r="E18" s="158"/>
      <c r="F18" s="158"/>
      <c r="G18" s="280"/>
      <c r="H18" s="280"/>
      <c r="I18" s="283"/>
    </row>
    <row r="19" spans="1:9" x14ac:dyDescent="0.25">
      <c r="A19" s="172">
        <v>0.65500000000000003</v>
      </c>
      <c r="B19" s="170"/>
      <c r="C19" s="171"/>
      <c r="D19" s="171"/>
      <c r="E19" s="171"/>
      <c r="F19" s="171"/>
      <c r="G19" s="281"/>
      <c r="H19" s="281"/>
      <c r="I19" s="284"/>
    </row>
    <row r="20" spans="1:9" x14ac:dyDescent="0.25">
      <c r="A20" s="158" t="s">
        <v>209</v>
      </c>
      <c r="B20" s="159"/>
      <c r="C20" s="160">
        <v>238907037.5</v>
      </c>
      <c r="D20" s="160"/>
      <c r="E20" s="160"/>
      <c r="F20" s="160"/>
      <c r="G20" s="285" t="s">
        <v>210</v>
      </c>
      <c r="H20" s="285" t="s">
        <v>211</v>
      </c>
      <c r="I20" s="282" t="s">
        <v>212</v>
      </c>
    </row>
    <row r="21" spans="1:9" x14ac:dyDescent="0.25">
      <c r="A21" s="158" t="s">
        <v>195</v>
      </c>
      <c r="B21" s="158" t="s">
        <v>205</v>
      </c>
      <c r="D21" s="161"/>
      <c r="E21" s="161">
        <f>C20/A24</f>
        <v>1176.3604190260476</v>
      </c>
      <c r="F21" s="161"/>
      <c r="G21" s="286"/>
      <c r="H21" s="286"/>
      <c r="I21" s="283"/>
    </row>
    <row r="22" spans="1:9" x14ac:dyDescent="0.25">
      <c r="A22" s="158" t="s">
        <v>197</v>
      </c>
      <c r="B22" s="173" t="s">
        <v>213</v>
      </c>
      <c r="C22" s="158"/>
      <c r="D22" s="158"/>
      <c r="E22" s="158"/>
      <c r="F22" s="158"/>
      <c r="G22" s="286"/>
      <c r="H22" s="286"/>
      <c r="I22" s="283"/>
    </row>
    <row r="23" spans="1:9" x14ac:dyDescent="0.25">
      <c r="A23" s="158" t="s">
        <v>199</v>
      </c>
      <c r="B23" s="165"/>
      <c r="C23" s="158"/>
      <c r="D23" s="158"/>
      <c r="E23" s="158"/>
      <c r="F23" s="158"/>
      <c r="G23" s="286"/>
      <c r="H23" s="286"/>
      <c r="I23" s="283"/>
    </row>
    <row r="24" spans="1:9" x14ac:dyDescent="0.25">
      <c r="A24" s="166">
        <v>203090</v>
      </c>
      <c r="B24" s="167">
        <v>42923</v>
      </c>
      <c r="C24" s="158"/>
      <c r="D24" s="158"/>
      <c r="E24" s="158"/>
      <c r="F24" s="158"/>
      <c r="G24" s="286"/>
      <c r="H24" s="286"/>
      <c r="I24" s="283"/>
    </row>
    <row r="25" spans="1:9" x14ac:dyDescent="0.25">
      <c r="A25" s="168">
        <v>2014</v>
      </c>
      <c r="B25" s="165"/>
      <c r="C25" s="158"/>
      <c r="D25" s="158"/>
      <c r="E25" s="158"/>
      <c r="F25" s="158"/>
      <c r="G25" s="286"/>
      <c r="H25" s="286"/>
      <c r="I25" s="283"/>
    </row>
    <row r="26" spans="1:9" x14ac:dyDescent="0.25">
      <c r="A26" s="169"/>
      <c r="B26" s="165"/>
      <c r="C26" s="158"/>
      <c r="D26" s="158"/>
      <c r="E26" s="158"/>
      <c r="F26" s="158"/>
      <c r="G26" s="286"/>
      <c r="H26" s="286"/>
      <c r="I26" s="283"/>
    </row>
    <row r="27" spans="1:9" x14ac:dyDescent="0.25">
      <c r="A27" s="172" t="s">
        <v>214</v>
      </c>
      <c r="B27" s="170"/>
      <c r="C27" s="171"/>
      <c r="D27" s="171"/>
      <c r="E27" s="171"/>
      <c r="F27" s="171"/>
      <c r="G27" s="287"/>
      <c r="H27" s="287"/>
      <c r="I27" s="284"/>
    </row>
    <row r="28" spans="1:9" x14ac:dyDescent="0.25">
      <c r="A28" s="158" t="s">
        <v>215</v>
      </c>
      <c r="B28" s="159"/>
      <c r="C28" s="160">
        <v>346597172.5</v>
      </c>
      <c r="D28" s="160"/>
      <c r="E28" s="160"/>
      <c r="F28" s="160"/>
      <c r="G28" s="285" t="s">
        <v>216</v>
      </c>
      <c r="H28" s="285" t="s">
        <v>217</v>
      </c>
      <c r="I28" s="282" t="s">
        <v>218</v>
      </c>
    </row>
    <row r="29" spans="1:9" x14ac:dyDescent="0.25">
      <c r="A29" s="158" t="s">
        <v>219</v>
      </c>
      <c r="B29" s="158" t="s">
        <v>205</v>
      </c>
      <c r="D29" s="161"/>
      <c r="E29" s="161">
        <f>C28/A32</f>
        <v>1237.8470446428571</v>
      </c>
      <c r="F29" s="163">
        <f>D30/C28</f>
        <v>3.6488728135830366E-2</v>
      </c>
      <c r="G29" s="286"/>
      <c r="H29" s="286"/>
      <c r="I29" s="283"/>
    </row>
    <row r="30" spans="1:9" x14ac:dyDescent="0.25">
      <c r="A30" s="158" t="s">
        <v>220</v>
      </c>
      <c r="B30" s="173" t="s">
        <v>213</v>
      </c>
      <c r="C30" s="158"/>
      <c r="D30" s="162">
        <v>12646890</v>
      </c>
      <c r="E30" s="158"/>
      <c r="F30" s="158"/>
      <c r="G30" s="286"/>
      <c r="H30" s="286"/>
      <c r="I30" s="283"/>
    </row>
    <row r="31" spans="1:9" x14ac:dyDescent="0.25">
      <c r="A31" s="158" t="s">
        <v>199</v>
      </c>
      <c r="B31" s="165"/>
      <c r="D31" s="162"/>
      <c r="E31" s="162"/>
      <c r="F31" s="162"/>
      <c r="G31" s="286"/>
      <c r="H31" s="286"/>
      <c r="I31" s="283"/>
    </row>
    <row r="32" spans="1:9" x14ac:dyDescent="0.25">
      <c r="A32" s="166">
        <v>280000</v>
      </c>
      <c r="B32" s="167">
        <v>42860</v>
      </c>
      <c r="C32" s="158"/>
      <c r="D32" s="158"/>
      <c r="E32" s="158"/>
      <c r="F32" s="158"/>
      <c r="G32" s="286"/>
      <c r="H32" s="286"/>
      <c r="I32" s="283"/>
    </row>
    <row r="33" spans="1:9" x14ac:dyDescent="0.25">
      <c r="A33" s="168">
        <v>2009</v>
      </c>
      <c r="B33" s="165"/>
      <c r="D33" s="163"/>
      <c r="E33" s="163"/>
      <c r="F33" s="163"/>
      <c r="G33" s="286"/>
      <c r="H33" s="286"/>
      <c r="I33" s="283"/>
    </row>
    <row r="34" spans="1:9" x14ac:dyDescent="0.25">
      <c r="A34" s="169"/>
      <c r="B34" s="165"/>
      <c r="C34" s="158"/>
      <c r="D34" s="158"/>
      <c r="E34" s="158"/>
      <c r="F34" s="158"/>
      <c r="G34" s="286"/>
      <c r="H34" s="286"/>
      <c r="I34" s="283"/>
    </row>
    <row r="35" spans="1:9" x14ac:dyDescent="0.25">
      <c r="A35" s="172">
        <v>0.85699999999999998</v>
      </c>
      <c r="B35" s="170"/>
      <c r="C35" s="171"/>
      <c r="D35" s="171"/>
      <c r="E35" s="171"/>
      <c r="F35" s="171"/>
      <c r="G35" s="287"/>
      <c r="H35" s="287"/>
      <c r="I35" s="284"/>
    </row>
    <row r="36" spans="1:9" x14ac:dyDescent="0.25">
      <c r="A36" s="158" t="s">
        <v>221</v>
      </c>
      <c r="B36" s="159"/>
      <c r="C36" s="160">
        <v>1200000000</v>
      </c>
      <c r="D36" s="160"/>
      <c r="E36" s="160"/>
      <c r="F36" s="160"/>
      <c r="G36" s="285" t="s">
        <v>222</v>
      </c>
      <c r="H36" s="285" t="s">
        <v>223</v>
      </c>
      <c r="I36" s="282" t="s">
        <v>224</v>
      </c>
    </row>
    <row r="37" spans="1:9" x14ac:dyDescent="0.25">
      <c r="A37" s="158" t="s">
        <v>195</v>
      </c>
      <c r="B37" s="158" t="s">
        <v>205</v>
      </c>
      <c r="D37" s="161"/>
      <c r="E37" s="161">
        <f>C36/A40</f>
        <v>1058.4596060942577</v>
      </c>
      <c r="F37" s="161"/>
      <c r="G37" s="286"/>
      <c r="H37" s="286"/>
      <c r="I37" s="283"/>
    </row>
    <row r="38" spans="1:9" x14ac:dyDescent="0.25">
      <c r="A38" s="158" t="s">
        <v>225</v>
      </c>
      <c r="B38" s="173" t="s">
        <v>213</v>
      </c>
      <c r="C38" s="158"/>
      <c r="D38" s="158"/>
      <c r="E38" s="158"/>
      <c r="F38" s="158"/>
      <c r="G38" s="286"/>
      <c r="H38" s="286"/>
      <c r="I38" s="283"/>
    </row>
    <row r="39" spans="1:9" x14ac:dyDescent="0.25">
      <c r="A39" s="158" t="s">
        <v>199</v>
      </c>
      <c r="B39" s="165"/>
      <c r="C39" s="158"/>
      <c r="D39" s="158"/>
      <c r="E39" s="158"/>
      <c r="F39" s="158"/>
      <c r="G39" s="286"/>
      <c r="H39" s="286"/>
      <c r="I39" s="283"/>
    </row>
    <row r="40" spans="1:9" x14ac:dyDescent="0.25">
      <c r="A40" s="166">
        <v>1133723</v>
      </c>
      <c r="B40" s="167">
        <v>42818</v>
      </c>
      <c r="C40" s="158"/>
      <c r="D40" s="158"/>
      <c r="E40" s="158"/>
      <c r="F40" s="158"/>
      <c r="G40" s="286"/>
      <c r="H40" s="286"/>
      <c r="I40" s="283"/>
    </row>
    <row r="41" spans="1:9" x14ac:dyDescent="0.25">
      <c r="A41" s="168">
        <v>2013</v>
      </c>
      <c r="B41" s="165"/>
      <c r="C41" s="158"/>
      <c r="D41" s="158"/>
      <c r="E41" s="158"/>
      <c r="F41" s="158"/>
      <c r="G41" s="286"/>
      <c r="H41" s="286"/>
      <c r="I41" s="283"/>
    </row>
    <row r="42" spans="1:9" x14ac:dyDescent="0.25">
      <c r="A42" s="169"/>
      <c r="B42" s="165"/>
      <c r="C42" s="158"/>
      <c r="D42" s="158"/>
      <c r="E42" s="158"/>
      <c r="F42" s="158"/>
      <c r="G42" s="286"/>
      <c r="H42" s="286"/>
      <c r="I42" s="283"/>
    </row>
    <row r="43" spans="1:9" x14ac:dyDescent="0.25">
      <c r="A43" s="172">
        <v>0.95</v>
      </c>
      <c r="B43" s="170"/>
      <c r="C43" s="171"/>
      <c r="D43" s="171"/>
      <c r="E43" s="171"/>
      <c r="F43" s="171"/>
      <c r="G43" s="287"/>
      <c r="H43" s="287"/>
      <c r="I43" s="284"/>
    </row>
    <row r="44" spans="1:9" x14ac:dyDescent="0.25">
      <c r="A44" s="158" t="s">
        <v>226</v>
      </c>
      <c r="B44" s="159"/>
      <c r="C44" s="160">
        <v>167000000</v>
      </c>
      <c r="D44" s="160"/>
      <c r="E44" s="160"/>
      <c r="F44" s="160"/>
      <c r="G44" s="279" t="s">
        <v>227</v>
      </c>
      <c r="H44" s="279" t="s">
        <v>201</v>
      </c>
      <c r="I44" s="282" t="s">
        <v>228</v>
      </c>
    </row>
    <row r="45" spans="1:9" x14ac:dyDescent="0.25">
      <c r="A45" s="158" t="s">
        <v>204</v>
      </c>
      <c r="B45" s="158" t="s">
        <v>205</v>
      </c>
      <c r="D45" s="162">
        <v>5773055</v>
      </c>
      <c r="E45" s="161">
        <f>C44/A48</f>
        <v>431.13018066161703</v>
      </c>
      <c r="F45" s="161"/>
      <c r="G45" s="280"/>
      <c r="H45" s="280"/>
      <c r="I45" s="283"/>
    </row>
    <row r="46" spans="1:9" x14ac:dyDescent="0.25">
      <c r="A46" s="158" t="s">
        <v>206</v>
      </c>
      <c r="B46" s="173" t="s">
        <v>213</v>
      </c>
      <c r="C46" s="158"/>
      <c r="D46" s="158"/>
      <c r="E46" s="158"/>
      <c r="F46" s="158"/>
      <c r="G46" s="280"/>
      <c r="H46" s="280"/>
      <c r="I46" s="283"/>
    </row>
    <row r="47" spans="1:9" x14ac:dyDescent="0.25">
      <c r="A47" s="158" t="s">
        <v>199</v>
      </c>
      <c r="B47" s="165"/>
      <c r="D47" s="162"/>
      <c r="E47" s="162"/>
      <c r="F47" s="163">
        <f>D45/C44</f>
        <v>3.456919161676647E-2</v>
      </c>
      <c r="G47" s="280"/>
      <c r="H47" s="280"/>
      <c r="I47" s="283"/>
    </row>
    <row r="48" spans="1:9" x14ac:dyDescent="0.25">
      <c r="A48" s="166">
        <v>387354</v>
      </c>
      <c r="B48" s="167">
        <v>42702</v>
      </c>
      <c r="C48" s="174"/>
      <c r="D48" s="174"/>
      <c r="E48" s="174"/>
      <c r="F48" s="174"/>
      <c r="G48" s="280"/>
      <c r="H48" s="280"/>
      <c r="I48" s="283"/>
    </row>
    <row r="49" spans="1:9" x14ac:dyDescent="0.25">
      <c r="A49" s="168" t="s">
        <v>207</v>
      </c>
      <c r="B49" s="165"/>
      <c r="C49" s="158"/>
      <c r="D49" s="158"/>
      <c r="E49" s="158"/>
      <c r="F49" s="158"/>
      <c r="G49" s="280"/>
      <c r="H49" s="280"/>
      <c r="I49" s="283"/>
    </row>
    <row r="50" spans="1:9" x14ac:dyDescent="0.25">
      <c r="A50" s="169" t="s">
        <v>208</v>
      </c>
      <c r="B50" s="165"/>
      <c r="D50" s="163"/>
      <c r="E50" s="163"/>
      <c r="F50" s="163"/>
      <c r="G50" s="280"/>
      <c r="H50" s="280"/>
      <c r="I50" s="283"/>
    </row>
    <row r="51" spans="1:9" x14ac:dyDescent="0.25">
      <c r="A51" s="172">
        <v>0.65</v>
      </c>
      <c r="B51" s="170"/>
      <c r="C51" s="171"/>
      <c r="D51" s="171"/>
      <c r="E51" s="171"/>
      <c r="F51" s="171"/>
      <c r="G51" s="281"/>
      <c r="H51" s="281"/>
      <c r="I51" s="284"/>
    </row>
    <row r="52" spans="1:9" x14ac:dyDescent="0.25">
      <c r="A52" s="158" t="s">
        <v>229</v>
      </c>
      <c r="B52" s="159"/>
      <c r="C52" s="160">
        <v>29146500</v>
      </c>
      <c r="D52" s="160"/>
      <c r="E52" s="160"/>
      <c r="F52" s="160"/>
      <c r="G52" s="279" t="s">
        <v>230</v>
      </c>
      <c r="H52" s="285" t="s">
        <v>231</v>
      </c>
      <c r="I52" s="282" t="s">
        <v>232</v>
      </c>
    </row>
    <row r="53" spans="1:9" x14ac:dyDescent="0.25">
      <c r="A53" s="158" t="s">
        <v>219</v>
      </c>
      <c r="B53" s="158" t="s">
        <v>205</v>
      </c>
      <c r="D53" s="161"/>
      <c r="E53" s="161"/>
      <c r="F53" s="161"/>
      <c r="G53" s="280"/>
      <c r="H53" s="280"/>
      <c r="I53" s="283"/>
    </row>
    <row r="54" spans="1:9" x14ac:dyDescent="0.25">
      <c r="A54" s="158" t="s">
        <v>233</v>
      </c>
      <c r="B54" s="173" t="s">
        <v>213</v>
      </c>
      <c r="C54" s="158"/>
      <c r="D54" s="158"/>
      <c r="E54" s="158"/>
      <c r="F54" s="158"/>
      <c r="G54" s="280"/>
      <c r="H54" s="280"/>
      <c r="I54" s="283"/>
    </row>
    <row r="55" spans="1:9" x14ac:dyDescent="0.25">
      <c r="A55" s="158" t="s">
        <v>199</v>
      </c>
      <c r="B55" s="165"/>
      <c r="D55" s="162">
        <v>1704254</v>
      </c>
      <c r="E55" s="161">
        <f>C52/A56</f>
        <v>661.30825429958702</v>
      </c>
      <c r="F55" s="163">
        <f>D55/C52</f>
        <v>5.8471994922203355E-2</v>
      </c>
      <c r="G55" s="280"/>
      <c r="H55" s="280"/>
      <c r="I55" s="283"/>
    </row>
    <row r="56" spans="1:9" x14ac:dyDescent="0.25">
      <c r="A56" s="166">
        <v>44074</v>
      </c>
      <c r="B56" s="167">
        <v>42702</v>
      </c>
      <c r="C56" s="158"/>
      <c r="D56" s="158"/>
      <c r="E56" s="158"/>
      <c r="F56" s="158"/>
      <c r="G56" s="280"/>
      <c r="H56" s="280"/>
      <c r="I56" s="283"/>
    </row>
    <row r="57" spans="1:9" x14ac:dyDescent="0.25">
      <c r="A57" s="168">
        <v>1985</v>
      </c>
      <c r="B57" s="167"/>
      <c r="C57" s="163"/>
      <c r="D57" s="163"/>
      <c r="E57" s="163"/>
      <c r="F57" s="163"/>
      <c r="G57" s="280"/>
      <c r="H57" s="280"/>
      <c r="I57" s="283"/>
    </row>
    <row r="58" spans="1:9" x14ac:dyDescent="0.25">
      <c r="A58" s="169">
        <v>2014</v>
      </c>
      <c r="B58" s="165"/>
      <c r="D58" s="163"/>
      <c r="E58" s="163"/>
      <c r="F58" s="163"/>
      <c r="G58" s="280"/>
      <c r="H58" s="280"/>
      <c r="I58" s="283"/>
    </row>
    <row r="59" spans="1:9" x14ac:dyDescent="0.25">
      <c r="A59" s="172">
        <v>1</v>
      </c>
      <c r="B59" s="170"/>
      <c r="C59" s="171"/>
      <c r="D59" s="171"/>
      <c r="E59" s="171"/>
      <c r="F59" s="171"/>
      <c r="G59" s="281"/>
      <c r="H59" s="281"/>
      <c r="I59" s="284"/>
    </row>
    <row r="60" spans="1:9" x14ac:dyDescent="0.25">
      <c r="A60" s="158" t="s">
        <v>234</v>
      </c>
      <c r="B60" s="159"/>
      <c r="C60" s="160">
        <v>725000000</v>
      </c>
      <c r="D60" s="160"/>
      <c r="E60" s="160"/>
      <c r="F60" s="160"/>
      <c r="G60" s="279" t="s">
        <v>235</v>
      </c>
      <c r="H60" s="285" t="s">
        <v>236</v>
      </c>
      <c r="I60" s="282" t="s">
        <v>237</v>
      </c>
    </row>
    <row r="61" spans="1:9" x14ac:dyDescent="0.25">
      <c r="A61" s="158" t="s">
        <v>219</v>
      </c>
      <c r="B61" s="158" t="s">
        <v>205</v>
      </c>
      <c r="D61" s="161"/>
      <c r="E61" s="161"/>
      <c r="F61" s="161"/>
      <c r="G61" s="280"/>
      <c r="H61" s="286"/>
      <c r="I61" s="283"/>
    </row>
    <row r="62" spans="1:9" x14ac:dyDescent="0.25">
      <c r="A62" s="158" t="s">
        <v>220</v>
      </c>
      <c r="B62" s="173" t="s">
        <v>213</v>
      </c>
      <c r="C62" s="158"/>
      <c r="D62" s="158"/>
      <c r="F62" s="158"/>
      <c r="G62" s="280"/>
      <c r="H62" s="286"/>
      <c r="I62" s="283"/>
    </row>
    <row r="63" spans="1:9" x14ac:dyDescent="0.25">
      <c r="A63" s="158" t="s">
        <v>199</v>
      </c>
      <c r="B63" s="165"/>
      <c r="D63" s="162">
        <v>29725000</v>
      </c>
      <c r="E63" s="161">
        <f>C60/A64</f>
        <v>1124.4302240640475</v>
      </c>
      <c r="F63" s="162"/>
      <c r="G63" s="280"/>
      <c r="H63" s="286"/>
      <c r="I63" s="283"/>
    </row>
    <row r="64" spans="1:9" x14ac:dyDescent="0.25">
      <c r="A64" s="166">
        <v>644771</v>
      </c>
      <c r="B64" s="167">
        <v>75553</v>
      </c>
      <c r="C64" s="158"/>
      <c r="D64" s="158"/>
      <c r="E64" s="158"/>
      <c r="F64" s="163"/>
      <c r="G64" s="280"/>
      <c r="H64" s="286"/>
      <c r="I64" s="283"/>
    </row>
    <row r="65" spans="1:9" x14ac:dyDescent="0.25">
      <c r="A65" s="168">
        <v>1887</v>
      </c>
      <c r="B65" s="165"/>
      <c r="D65" s="163"/>
      <c r="E65" s="163"/>
      <c r="F65" s="163">
        <f>D63/C60</f>
        <v>4.1000000000000002E-2</v>
      </c>
      <c r="G65" s="280"/>
      <c r="H65" s="286"/>
      <c r="I65" s="283"/>
    </row>
    <row r="66" spans="1:9" x14ac:dyDescent="0.25">
      <c r="A66" s="169">
        <v>2010</v>
      </c>
      <c r="B66" s="165"/>
      <c r="D66" s="163"/>
      <c r="E66" s="163"/>
      <c r="F66" s="163"/>
      <c r="G66" s="280"/>
      <c r="H66" s="286"/>
      <c r="I66" s="283"/>
    </row>
    <row r="67" spans="1:9" x14ac:dyDescent="0.25">
      <c r="A67" s="172">
        <v>0.98499999999999999</v>
      </c>
      <c r="B67" s="170"/>
      <c r="C67" s="171"/>
      <c r="D67" s="171"/>
      <c r="E67" s="171"/>
      <c r="F67" s="171"/>
      <c r="G67" s="281"/>
      <c r="H67" s="287"/>
      <c r="I67" s="284"/>
    </row>
    <row r="68" spans="1:9" x14ac:dyDescent="0.25">
      <c r="A68" s="158" t="s">
        <v>238</v>
      </c>
      <c r="B68" s="159"/>
      <c r="C68" s="160">
        <v>311250000</v>
      </c>
      <c r="D68" s="160"/>
      <c r="E68" s="160"/>
      <c r="F68" s="160"/>
      <c r="G68" s="279" t="s">
        <v>239</v>
      </c>
      <c r="H68" s="279" t="s">
        <v>240</v>
      </c>
      <c r="I68" s="282" t="s">
        <v>241</v>
      </c>
    </row>
    <row r="69" spans="1:9" x14ac:dyDescent="0.25">
      <c r="A69" s="158" t="s">
        <v>219</v>
      </c>
      <c r="B69" s="158" t="s">
        <v>205</v>
      </c>
      <c r="D69" s="161"/>
      <c r="E69" s="161"/>
      <c r="F69" s="161"/>
      <c r="G69" s="280"/>
      <c r="H69" s="280"/>
      <c r="I69" s="283"/>
    </row>
    <row r="70" spans="1:9" x14ac:dyDescent="0.25">
      <c r="A70" s="158" t="s">
        <v>220</v>
      </c>
      <c r="B70" s="173" t="s">
        <v>213</v>
      </c>
      <c r="C70" s="158"/>
      <c r="D70" s="158"/>
      <c r="E70" s="158"/>
      <c r="F70" s="158"/>
      <c r="G70" s="280"/>
      <c r="H70" s="280"/>
      <c r="I70" s="283"/>
    </row>
    <row r="71" spans="1:9" x14ac:dyDescent="0.25">
      <c r="A71" s="158" t="s">
        <v>199</v>
      </c>
      <c r="B71" s="165"/>
      <c r="D71" s="162">
        <f>C68*F72</f>
        <v>14940000</v>
      </c>
      <c r="E71" s="161">
        <f>C68/A72</f>
        <v>1022.8628328617484</v>
      </c>
      <c r="F71" s="162"/>
      <c r="G71" s="280"/>
      <c r="H71" s="280"/>
      <c r="I71" s="283"/>
    </row>
    <row r="72" spans="1:9" x14ac:dyDescent="0.25">
      <c r="A72" s="166">
        <v>304293</v>
      </c>
      <c r="B72" s="167">
        <v>42635</v>
      </c>
      <c r="C72" s="158"/>
      <c r="D72" s="158"/>
      <c r="E72" s="158"/>
      <c r="F72" s="163">
        <v>4.8000000000000001E-2</v>
      </c>
      <c r="G72" s="280"/>
      <c r="H72" s="280"/>
      <c r="I72" s="283"/>
    </row>
    <row r="73" spans="1:9" x14ac:dyDescent="0.25">
      <c r="A73" s="168">
        <v>1984</v>
      </c>
      <c r="B73" s="165"/>
      <c r="C73" s="163"/>
      <c r="D73" s="163"/>
      <c r="E73" s="163"/>
      <c r="F73" s="163"/>
      <c r="G73" s="280"/>
      <c r="H73" s="280"/>
      <c r="I73" s="283"/>
    </row>
    <row r="74" spans="1:9" x14ac:dyDescent="0.25">
      <c r="A74" s="169">
        <v>2002</v>
      </c>
      <c r="B74" s="165"/>
      <c r="D74" s="163"/>
      <c r="E74" s="163"/>
      <c r="F74" s="163"/>
      <c r="G74" s="280"/>
      <c r="H74" s="280"/>
      <c r="I74" s="283"/>
    </row>
    <row r="75" spans="1:9" x14ac:dyDescent="0.25">
      <c r="A75" s="172">
        <v>0.96</v>
      </c>
      <c r="B75" s="170"/>
      <c r="C75" s="171"/>
      <c r="D75" s="171"/>
      <c r="E75" s="171"/>
      <c r="F75" s="171"/>
      <c r="G75" s="281"/>
      <c r="H75" s="281"/>
      <c r="I75" s="284"/>
    </row>
    <row r="76" spans="1:9" x14ac:dyDescent="0.25">
      <c r="A76" s="158" t="s">
        <v>242</v>
      </c>
      <c r="B76" s="159"/>
      <c r="C76" s="160">
        <v>75127620</v>
      </c>
      <c r="D76" s="160"/>
      <c r="E76" s="160"/>
      <c r="F76" s="160"/>
      <c r="G76" s="279" t="s">
        <v>243</v>
      </c>
      <c r="H76" s="285" t="s">
        <v>244</v>
      </c>
      <c r="I76" s="282" t="s">
        <v>245</v>
      </c>
    </row>
    <row r="77" spans="1:9" x14ac:dyDescent="0.25">
      <c r="A77" s="158" t="s">
        <v>219</v>
      </c>
      <c r="B77" s="158" t="s">
        <v>205</v>
      </c>
      <c r="D77" s="161"/>
      <c r="E77" s="161"/>
      <c r="F77" s="161"/>
      <c r="G77" s="280"/>
      <c r="H77" s="280"/>
      <c r="I77" s="283"/>
    </row>
    <row r="78" spans="1:9" x14ac:dyDescent="0.25">
      <c r="A78" s="158" t="s">
        <v>246</v>
      </c>
      <c r="B78" s="165"/>
      <c r="C78" s="158"/>
      <c r="D78" s="158"/>
      <c r="E78" s="161">
        <f>C76/A80</f>
        <v>1001.7016</v>
      </c>
      <c r="F78" s="158"/>
      <c r="G78" s="280"/>
      <c r="H78" s="280"/>
      <c r="I78" s="283"/>
    </row>
    <row r="79" spans="1:9" x14ac:dyDescent="0.25">
      <c r="A79" s="158" t="s">
        <v>199</v>
      </c>
      <c r="B79" s="165"/>
      <c r="C79" s="162"/>
      <c r="D79" s="162"/>
      <c r="E79" s="162"/>
      <c r="F79" s="162"/>
      <c r="G79" s="280"/>
      <c r="H79" s="280"/>
      <c r="I79" s="283"/>
    </row>
    <row r="80" spans="1:9" x14ac:dyDescent="0.25">
      <c r="A80" s="166">
        <v>75000</v>
      </c>
      <c r="B80" s="167">
        <v>42490</v>
      </c>
      <c r="C80" s="158"/>
      <c r="D80" s="158"/>
      <c r="E80" s="158"/>
      <c r="F80" s="158"/>
      <c r="G80" s="280"/>
      <c r="H80" s="280"/>
      <c r="I80" s="283"/>
    </row>
    <row r="81" spans="1:9" x14ac:dyDescent="0.25">
      <c r="A81" s="168">
        <v>1986</v>
      </c>
      <c r="B81" s="167"/>
      <c r="C81" s="163"/>
      <c r="D81" s="163"/>
      <c r="E81" s="163"/>
      <c r="F81" s="163"/>
      <c r="G81" s="280"/>
      <c r="H81" s="280"/>
      <c r="I81" s="283"/>
    </row>
    <row r="82" spans="1:9" x14ac:dyDescent="0.25">
      <c r="A82" s="169">
        <v>2012</v>
      </c>
      <c r="B82" s="165"/>
      <c r="C82" s="163"/>
      <c r="D82" s="163"/>
      <c r="E82" s="163"/>
      <c r="F82" s="163"/>
      <c r="G82" s="280"/>
      <c r="H82" s="280"/>
      <c r="I82" s="283"/>
    </row>
    <row r="83" spans="1:9" x14ac:dyDescent="0.25">
      <c r="A83" s="172">
        <v>1</v>
      </c>
      <c r="B83" s="170"/>
      <c r="C83" s="171"/>
      <c r="D83" s="171"/>
      <c r="E83" s="171"/>
      <c r="F83" s="171"/>
      <c r="G83" s="281"/>
      <c r="H83" s="281"/>
      <c r="I83" s="284"/>
    </row>
    <row r="84" spans="1:9" x14ac:dyDescent="0.25">
      <c r="A84" s="158" t="s">
        <v>247</v>
      </c>
      <c r="B84" s="159"/>
      <c r="C84" s="160">
        <v>165500000</v>
      </c>
      <c r="D84" s="160"/>
      <c r="E84" s="160"/>
      <c r="F84" s="160"/>
      <c r="G84" s="279" t="s">
        <v>230</v>
      </c>
      <c r="H84" s="279" t="s">
        <v>248</v>
      </c>
      <c r="I84" s="282" t="s">
        <v>249</v>
      </c>
    </row>
    <row r="85" spans="1:9" x14ac:dyDescent="0.25">
      <c r="A85" s="158" t="s">
        <v>219</v>
      </c>
      <c r="B85" s="158" t="s">
        <v>205</v>
      </c>
      <c r="D85" s="161"/>
      <c r="E85" s="161"/>
      <c r="F85" s="161"/>
      <c r="G85" s="280"/>
      <c r="H85" s="280"/>
      <c r="I85" s="283"/>
    </row>
    <row r="86" spans="1:9" x14ac:dyDescent="0.25">
      <c r="A86" s="158" t="s">
        <v>233</v>
      </c>
      <c r="B86" s="165"/>
      <c r="C86" s="158"/>
      <c r="D86" s="158"/>
      <c r="E86" s="161">
        <f>C84/A88</f>
        <v>746.01972557292515</v>
      </c>
      <c r="F86" s="158"/>
      <c r="G86" s="280"/>
      <c r="H86" s="280"/>
      <c r="I86" s="283"/>
    </row>
    <row r="87" spans="1:9" x14ac:dyDescent="0.25">
      <c r="A87" s="158" t="s">
        <v>199</v>
      </c>
      <c r="B87" s="165"/>
      <c r="D87" s="162">
        <v>8659305</v>
      </c>
      <c r="E87" s="162"/>
      <c r="F87" s="162"/>
      <c r="G87" s="280"/>
      <c r="H87" s="280"/>
      <c r="I87" s="283"/>
    </row>
    <row r="88" spans="1:9" x14ac:dyDescent="0.25">
      <c r="A88" s="166">
        <v>221844</v>
      </c>
      <c r="B88" s="167"/>
      <c r="C88" s="158"/>
      <c r="D88" s="158"/>
      <c r="E88" s="158"/>
      <c r="F88" s="163">
        <f>D87/C84</f>
        <v>5.2322084592145018E-2</v>
      </c>
      <c r="G88" s="280"/>
      <c r="H88" s="280"/>
      <c r="I88" s="283"/>
    </row>
    <row r="89" spans="1:9" x14ac:dyDescent="0.25">
      <c r="A89" s="168">
        <v>2001</v>
      </c>
      <c r="B89" s="167">
        <v>42369</v>
      </c>
      <c r="C89" s="163"/>
      <c r="D89" s="163"/>
      <c r="E89" s="163"/>
      <c r="F89" s="163"/>
      <c r="G89" s="280"/>
      <c r="H89" s="280"/>
      <c r="I89" s="283"/>
    </row>
    <row r="90" spans="1:9" x14ac:dyDescent="0.25">
      <c r="A90" s="169">
        <v>2014</v>
      </c>
      <c r="B90" s="165"/>
      <c r="D90" s="163"/>
      <c r="E90" s="163"/>
      <c r="F90" s="163"/>
      <c r="G90" s="280"/>
      <c r="H90" s="280"/>
      <c r="I90" s="283"/>
    </row>
    <row r="91" spans="1:9" x14ac:dyDescent="0.25">
      <c r="A91" s="172">
        <v>9.4E-2</v>
      </c>
      <c r="B91" s="170"/>
      <c r="C91" s="171"/>
      <c r="D91" s="171"/>
      <c r="E91" s="171"/>
      <c r="F91" s="171"/>
      <c r="G91" s="281"/>
      <c r="H91" s="281"/>
      <c r="I91" s="284"/>
    </row>
    <row r="92" spans="1:9" x14ac:dyDescent="0.25">
      <c r="A92" s="158" t="s">
        <v>250</v>
      </c>
      <c r="B92" s="159"/>
      <c r="C92" s="160">
        <v>271600000</v>
      </c>
      <c r="D92" s="160"/>
      <c r="E92" s="160"/>
      <c r="F92" s="160"/>
      <c r="G92" s="279" t="s">
        <v>251</v>
      </c>
      <c r="H92" s="279" t="s">
        <v>252</v>
      </c>
      <c r="I92" s="282" t="s">
        <v>253</v>
      </c>
    </row>
    <row r="93" spans="1:9" x14ac:dyDescent="0.25">
      <c r="A93" s="158" t="s">
        <v>219</v>
      </c>
      <c r="B93" s="158" t="s">
        <v>205</v>
      </c>
      <c r="D93" s="161"/>
      <c r="E93" s="161"/>
      <c r="F93" s="161"/>
      <c r="G93" s="280"/>
      <c r="H93" s="280"/>
      <c r="I93" s="283"/>
    </row>
    <row r="94" spans="1:9" x14ac:dyDescent="0.25">
      <c r="A94" s="158" t="s">
        <v>220</v>
      </c>
      <c r="B94" s="165"/>
      <c r="C94" s="158"/>
      <c r="D94" s="158"/>
      <c r="E94" s="161">
        <f>C92/A96</f>
        <v>886.9671991953287</v>
      </c>
      <c r="F94" s="158"/>
      <c r="G94" s="280"/>
      <c r="H94" s="280"/>
      <c r="I94" s="283"/>
    </row>
    <row r="95" spans="1:9" x14ac:dyDescent="0.25">
      <c r="A95" s="158" t="s">
        <v>199</v>
      </c>
      <c r="B95" s="165"/>
      <c r="D95" s="162">
        <f>C92*F97</f>
        <v>12222000</v>
      </c>
      <c r="E95" s="162"/>
      <c r="F95" s="162"/>
      <c r="G95" s="280"/>
      <c r="H95" s="280"/>
      <c r="I95" s="283"/>
    </row>
    <row r="96" spans="1:9" x14ac:dyDescent="0.25">
      <c r="A96" s="166">
        <v>306212</v>
      </c>
      <c r="B96" s="167"/>
      <c r="C96" s="158"/>
      <c r="D96" s="158"/>
      <c r="E96" s="158"/>
      <c r="F96" s="158"/>
      <c r="G96" s="280"/>
      <c r="H96" s="280"/>
      <c r="I96" s="283"/>
    </row>
    <row r="97" spans="1:9" x14ac:dyDescent="0.25">
      <c r="A97" s="168">
        <v>2013</v>
      </c>
      <c r="B97" s="167">
        <v>42360</v>
      </c>
      <c r="C97" s="163"/>
      <c r="D97" s="163"/>
      <c r="E97" s="163"/>
      <c r="F97" s="163">
        <v>4.4999999999999998E-2</v>
      </c>
      <c r="G97" s="280"/>
      <c r="H97" s="280"/>
      <c r="I97" s="283"/>
    </row>
    <row r="98" spans="1:9" x14ac:dyDescent="0.25">
      <c r="A98" s="169"/>
      <c r="B98" s="165"/>
      <c r="D98" s="163"/>
      <c r="E98" s="163"/>
      <c r="F98" s="163"/>
      <c r="G98" s="280"/>
      <c r="H98" s="280"/>
      <c r="I98" s="283"/>
    </row>
    <row r="99" spans="1:9" x14ac:dyDescent="0.25">
      <c r="A99" s="172" t="s">
        <v>214</v>
      </c>
      <c r="B99" s="170"/>
      <c r="C99" s="171"/>
      <c r="D99" s="171"/>
      <c r="E99" s="171"/>
      <c r="F99" s="171"/>
      <c r="G99" s="281"/>
      <c r="H99" s="281"/>
      <c r="I99" s="284"/>
    </row>
    <row r="100" spans="1:9" x14ac:dyDescent="0.25">
      <c r="A100" s="158" t="s">
        <v>254</v>
      </c>
      <c r="B100" s="159"/>
      <c r="C100" s="160">
        <v>1082500000</v>
      </c>
      <c r="D100" s="160"/>
      <c r="E100" s="160"/>
      <c r="F100" s="160"/>
      <c r="G100" s="279" t="s">
        <v>255</v>
      </c>
      <c r="H100" s="279" t="s">
        <v>251</v>
      </c>
      <c r="I100" s="282" t="s">
        <v>256</v>
      </c>
    </row>
    <row r="101" spans="1:9" x14ac:dyDescent="0.25">
      <c r="A101" s="158" t="s">
        <v>219</v>
      </c>
      <c r="B101" s="158" t="s">
        <v>205</v>
      </c>
      <c r="D101" s="161"/>
      <c r="E101" s="161"/>
      <c r="F101" s="161"/>
      <c r="G101" s="280"/>
      <c r="H101" s="280"/>
      <c r="I101" s="283"/>
    </row>
    <row r="102" spans="1:9" x14ac:dyDescent="0.25">
      <c r="A102" s="158" t="s">
        <v>220</v>
      </c>
      <c r="B102" s="165"/>
      <c r="C102" s="158"/>
      <c r="D102" s="158"/>
      <c r="E102" s="161">
        <f>C100/A104</f>
        <v>934.80138169257339</v>
      </c>
      <c r="F102" s="158"/>
      <c r="G102" s="280"/>
      <c r="H102" s="280"/>
      <c r="I102" s="283"/>
    </row>
    <row r="103" spans="1:9" x14ac:dyDescent="0.25">
      <c r="A103" s="158" t="s">
        <v>199</v>
      </c>
      <c r="B103" s="165"/>
      <c r="D103" s="162">
        <f>C100*F103</f>
        <v>66032500</v>
      </c>
      <c r="E103" s="162"/>
      <c r="F103" s="163">
        <v>6.0999999999999999E-2</v>
      </c>
      <c r="G103" s="280"/>
      <c r="H103" s="280"/>
      <c r="I103" s="283"/>
    </row>
    <row r="104" spans="1:9" x14ac:dyDescent="0.25">
      <c r="A104" s="166">
        <v>1158000</v>
      </c>
      <c r="B104" s="167"/>
      <c r="C104" s="158"/>
      <c r="D104" s="158"/>
      <c r="E104" s="158"/>
      <c r="F104" s="158"/>
      <c r="G104" s="280"/>
      <c r="H104" s="280"/>
      <c r="I104" s="283"/>
    </row>
    <row r="105" spans="1:9" x14ac:dyDescent="0.25">
      <c r="A105" s="168"/>
      <c r="B105" s="167">
        <v>42360</v>
      </c>
      <c r="C105" s="163"/>
      <c r="D105" s="163"/>
      <c r="E105" s="163"/>
      <c r="F105" s="163"/>
      <c r="G105" s="280"/>
      <c r="H105" s="280"/>
      <c r="I105" s="283"/>
    </row>
    <row r="106" spans="1:9" x14ac:dyDescent="0.25">
      <c r="A106" s="169"/>
      <c r="B106" s="165"/>
      <c r="D106" s="163"/>
      <c r="E106" s="163"/>
      <c r="F106" s="163"/>
      <c r="G106" s="280"/>
      <c r="H106" s="280"/>
      <c r="I106" s="283"/>
    </row>
    <row r="107" spans="1:9" x14ac:dyDescent="0.25">
      <c r="A107" s="172"/>
      <c r="B107" s="170"/>
      <c r="C107" s="171"/>
      <c r="D107" s="171"/>
      <c r="E107" s="171"/>
      <c r="F107" s="171"/>
      <c r="G107" s="281"/>
      <c r="H107" s="281"/>
      <c r="I107" s="284"/>
    </row>
    <row r="108" spans="1:9" x14ac:dyDescent="0.25">
      <c r="A108" s="158" t="s">
        <v>257</v>
      </c>
      <c r="B108" s="159"/>
      <c r="C108" s="160">
        <v>104200000</v>
      </c>
      <c r="D108" s="160"/>
      <c r="E108" s="160"/>
      <c r="F108" s="160"/>
      <c r="G108" s="279" t="s">
        <v>258</v>
      </c>
      <c r="H108" s="279" t="s">
        <v>259</v>
      </c>
      <c r="I108" s="282" t="s">
        <v>260</v>
      </c>
    </row>
    <row r="109" spans="1:9" x14ac:dyDescent="0.25">
      <c r="A109" s="158" t="s">
        <v>261</v>
      </c>
      <c r="B109" s="158" t="s">
        <v>205</v>
      </c>
      <c r="D109" s="161"/>
      <c r="E109" s="161">
        <f>C108/A112</f>
        <v>469.69942842718308</v>
      </c>
      <c r="F109" s="161"/>
      <c r="G109" s="280"/>
      <c r="H109" s="280"/>
      <c r="I109" s="283"/>
    </row>
    <row r="110" spans="1:9" x14ac:dyDescent="0.25">
      <c r="A110" s="158" t="s">
        <v>206</v>
      </c>
      <c r="B110" s="165"/>
      <c r="C110" s="158"/>
      <c r="D110" s="158"/>
      <c r="E110" s="158"/>
      <c r="F110" s="158"/>
      <c r="G110" s="280"/>
      <c r="H110" s="280"/>
      <c r="I110" s="283"/>
    </row>
    <row r="111" spans="1:9" x14ac:dyDescent="0.25">
      <c r="A111" s="158" t="s">
        <v>199</v>
      </c>
      <c r="B111" s="165"/>
      <c r="C111" s="162"/>
      <c r="D111" s="162"/>
      <c r="E111" s="162"/>
      <c r="F111" s="162"/>
      <c r="G111" s="280"/>
      <c r="H111" s="280"/>
      <c r="I111" s="283"/>
    </row>
    <row r="112" spans="1:9" x14ac:dyDescent="0.25">
      <c r="A112" s="166">
        <v>221844</v>
      </c>
      <c r="B112" s="167"/>
      <c r="C112" s="158"/>
      <c r="D112" s="158"/>
      <c r="E112" s="158"/>
      <c r="F112" s="158"/>
      <c r="G112" s="280"/>
      <c r="H112" s="280"/>
      <c r="I112" s="283"/>
    </row>
    <row r="113" spans="1:9" x14ac:dyDescent="0.25">
      <c r="A113" s="168">
        <v>2001</v>
      </c>
      <c r="B113" s="167">
        <v>42206</v>
      </c>
      <c r="C113" s="163"/>
      <c r="D113" s="163"/>
      <c r="E113" s="163"/>
      <c r="F113" s="163"/>
      <c r="G113" s="280"/>
      <c r="H113" s="280"/>
      <c r="I113" s="283"/>
    </row>
    <row r="114" spans="1:9" x14ac:dyDescent="0.25">
      <c r="A114" s="169">
        <v>2014</v>
      </c>
      <c r="B114" s="165"/>
      <c r="C114" s="163"/>
      <c r="D114" s="163"/>
      <c r="E114" s="163"/>
      <c r="F114" s="163"/>
      <c r="G114" s="280"/>
      <c r="H114" s="280"/>
      <c r="I114" s="283"/>
    </row>
    <row r="115" spans="1:9" x14ac:dyDescent="0.25">
      <c r="A115" s="172">
        <v>0.90400000000000003</v>
      </c>
      <c r="B115" s="170"/>
      <c r="C115" s="171"/>
      <c r="D115" s="171"/>
      <c r="E115" s="171"/>
      <c r="F115" s="171"/>
      <c r="G115" s="281"/>
      <c r="H115" s="281"/>
      <c r="I115" s="284"/>
    </row>
    <row r="116" spans="1:9" x14ac:dyDescent="0.25">
      <c r="A116" s="158" t="s">
        <v>221</v>
      </c>
      <c r="B116" s="159"/>
      <c r="C116" s="160">
        <v>1125000000</v>
      </c>
      <c r="D116" s="160"/>
      <c r="E116" s="160"/>
      <c r="F116" s="160"/>
      <c r="G116" s="285" t="s">
        <v>262</v>
      </c>
      <c r="H116" s="285" t="s">
        <v>222</v>
      </c>
      <c r="I116" s="282" t="s">
        <v>224</v>
      </c>
    </row>
    <row r="117" spans="1:9" x14ac:dyDescent="0.25">
      <c r="A117" s="158" t="s">
        <v>195</v>
      </c>
      <c r="B117" s="158" t="s">
        <v>205</v>
      </c>
      <c r="D117" s="161"/>
      <c r="E117" s="161">
        <f>C116/A120</f>
        <v>993.66702880309492</v>
      </c>
      <c r="F117" s="161"/>
      <c r="G117" s="286"/>
      <c r="H117" s="286"/>
      <c r="I117" s="283"/>
    </row>
    <row r="118" spans="1:9" x14ac:dyDescent="0.25">
      <c r="A118" s="158" t="s">
        <v>225</v>
      </c>
      <c r="B118" s="165"/>
      <c r="C118" s="158"/>
      <c r="D118" s="158"/>
      <c r="E118" s="158"/>
      <c r="F118" s="158"/>
      <c r="G118" s="286"/>
      <c r="H118" s="286"/>
      <c r="I118" s="283"/>
    </row>
    <row r="119" spans="1:9" x14ac:dyDescent="0.25">
      <c r="A119" s="158" t="s">
        <v>199</v>
      </c>
      <c r="B119" s="165"/>
      <c r="D119" s="162">
        <v>69750000</v>
      </c>
      <c r="E119" s="162"/>
      <c r="F119" s="163">
        <f>D119/C116</f>
        <v>6.2E-2</v>
      </c>
      <c r="G119" s="286"/>
      <c r="H119" s="286"/>
      <c r="I119" s="283"/>
    </row>
    <row r="120" spans="1:9" x14ac:dyDescent="0.25">
      <c r="A120" s="166">
        <v>1132170</v>
      </c>
      <c r="B120" s="167">
        <v>41766</v>
      </c>
      <c r="C120" s="174"/>
      <c r="D120" s="174"/>
      <c r="E120" s="174"/>
      <c r="F120" s="174"/>
      <c r="G120" s="286"/>
      <c r="H120" s="286"/>
      <c r="I120" s="283"/>
    </row>
    <row r="121" spans="1:9" x14ac:dyDescent="0.25">
      <c r="A121" s="168">
        <v>2013</v>
      </c>
      <c r="B121" s="165"/>
      <c r="C121" s="158"/>
      <c r="D121" s="158"/>
      <c r="E121" s="158"/>
      <c r="F121" s="158"/>
      <c r="G121" s="286"/>
      <c r="H121" s="286"/>
      <c r="I121" s="283"/>
    </row>
    <row r="122" spans="1:9" x14ac:dyDescent="0.25">
      <c r="A122" s="169"/>
      <c r="B122" s="165"/>
      <c r="D122" s="163"/>
      <c r="E122" s="163"/>
      <c r="F122" s="163"/>
      <c r="G122" s="286"/>
      <c r="H122" s="286"/>
      <c r="I122" s="283"/>
    </row>
    <row r="123" spans="1:9" x14ac:dyDescent="0.25">
      <c r="A123" s="172" t="s">
        <v>214</v>
      </c>
      <c r="B123" s="170"/>
      <c r="C123" s="171"/>
      <c r="D123" s="171"/>
      <c r="E123" s="171"/>
      <c r="F123" s="171"/>
      <c r="G123" s="287"/>
      <c r="H123" s="287"/>
      <c r="I123" s="284"/>
    </row>
    <row r="124" spans="1:9" x14ac:dyDescent="0.25">
      <c r="A124" s="158" t="s">
        <v>263</v>
      </c>
      <c r="B124" s="159"/>
      <c r="C124" s="160">
        <v>176450000</v>
      </c>
      <c r="D124" s="160"/>
      <c r="E124" s="160"/>
      <c r="F124" s="160"/>
      <c r="G124" s="285" t="s">
        <v>264</v>
      </c>
      <c r="H124" s="285" t="s">
        <v>251</v>
      </c>
      <c r="I124" s="282" t="s">
        <v>265</v>
      </c>
    </row>
    <row r="125" spans="1:9" x14ac:dyDescent="0.25">
      <c r="A125" s="158" t="s">
        <v>219</v>
      </c>
      <c r="B125" s="158" t="s">
        <v>205</v>
      </c>
      <c r="D125" s="161"/>
      <c r="E125" s="161">
        <f>C124/A128</f>
        <v>781.62375746407497</v>
      </c>
      <c r="F125" s="161"/>
      <c r="G125" s="286"/>
      <c r="H125" s="286"/>
      <c r="I125" s="283"/>
    </row>
    <row r="126" spans="1:9" x14ac:dyDescent="0.25">
      <c r="A126" s="158" t="s">
        <v>220</v>
      </c>
      <c r="B126" s="165"/>
      <c r="C126" s="158"/>
      <c r="D126" s="158"/>
      <c r="E126" s="158"/>
      <c r="F126" s="158"/>
      <c r="G126" s="286"/>
      <c r="H126" s="286"/>
      <c r="I126" s="283"/>
    </row>
    <row r="127" spans="1:9" x14ac:dyDescent="0.25">
      <c r="A127" s="158" t="s">
        <v>199</v>
      </c>
      <c r="B127" s="165"/>
      <c r="D127" s="162">
        <f>C124*F127</f>
        <v>10922255</v>
      </c>
      <c r="E127" s="162"/>
      <c r="F127" s="163">
        <v>6.1899999999999997E-2</v>
      </c>
      <c r="G127" s="286"/>
      <c r="H127" s="286"/>
      <c r="I127" s="283"/>
    </row>
    <row r="128" spans="1:9" x14ac:dyDescent="0.25">
      <c r="A128" s="166">
        <v>225748</v>
      </c>
      <c r="B128" s="167">
        <v>42018</v>
      </c>
      <c r="C128" s="174"/>
      <c r="D128" s="174"/>
      <c r="E128" s="174"/>
      <c r="F128" s="174"/>
      <c r="G128" s="286"/>
      <c r="H128" s="286"/>
      <c r="I128" s="283"/>
    </row>
    <row r="129" spans="1:9" x14ac:dyDescent="0.25">
      <c r="A129" s="168">
        <v>1913</v>
      </c>
      <c r="B129" s="165"/>
      <c r="C129" s="158"/>
      <c r="D129" s="158"/>
      <c r="E129" s="158"/>
      <c r="F129" s="158"/>
      <c r="G129" s="286"/>
      <c r="H129" s="286"/>
      <c r="I129" s="283"/>
    </row>
    <row r="130" spans="1:9" x14ac:dyDescent="0.25">
      <c r="A130" s="169">
        <v>2011</v>
      </c>
      <c r="B130" s="165"/>
      <c r="D130" s="163"/>
      <c r="E130" s="163"/>
      <c r="F130" s="163"/>
      <c r="G130" s="286"/>
      <c r="H130" s="286"/>
      <c r="I130" s="283"/>
    </row>
    <row r="131" spans="1:9" x14ac:dyDescent="0.25">
      <c r="A131" s="172">
        <v>1</v>
      </c>
      <c r="B131" s="170"/>
      <c r="C131" s="171"/>
      <c r="D131" s="171"/>
      <c r="E131" s="171"/>
      <c r="F131" s="171"/>
      <c r="G131" s="287"/>
      <c r="H131" s="287"/>
      <c r="I131" s="284"/>
    </row>
    <row r="132" spans="1:9" x14ac:dyDescent="0.25">
      <c r="A132" s="158" t="s">
        <v>266</v>
      </c>
      <c r="B132" s="159"/>
      <c r="C132" s="160">
        <v>115000000</v>
      </c>
      <c r="D132" s="160"/>
      <c r="E132" s="160"/>
      <c r="F132" s="160"/>
      <c r="G132" s="279" t="s">
        <v>267</v>
      </c>
      <c r="H132" s="279" t="s">
        <v>268</v>
      </c>
      <c r="I132" s="282" t="s">
        <v>269</v>
      </c>
    </row>
    <row r="133" spans="1:9" x14ac:dyDescent="0.25">
      <c r="A133" s="158" t="s">
        <v>219</v>
      </c>
      <c r="B133" s="158"/>
      <c r="D133" s="161"/>
      <c r="E133" s="161">
        <f>C132/A136</f>
        <v>572.33008017597911</v>
      </c>
      <c r="F133" s="161"/>
      <c r="G133" s="280"/>
      <c r="H133" s="280"/>
      <c r="I133" s="283"/>
    </row>
    <row r="134" spans="1:9" x14ac:dyDescent="0.25">
      <c r="A134" s="158" t="s">
        <v>233</v>
      </c>
      <c r="B134" s="158" t="s">
        <v>205</v>
      </c>
      <c r="C134" s="158"/>
      <c r="D134" s="158"/>
      <c r="E134" s="158"/>
      <c r="F134" s="158"/>
      <c r="G134" s="280"/>
      <c r="H134" s="280"/>
      <c r="I134" s="283"/>
    </row>
    <row r="135" spans="1:9" x14ac:dyDescent="0.25">
      <c r="A135" s="158" t="s">
        <v>199</v>
      </c>
      <c r="B135" s="165"/>
      <c r="C135" s="162"/>
      <c r="D135" s="162">
        <v>6329390</v>
      </c>
      <c r="E135" s="162"/>
      <c r="F135" s="163">
        <f>D135/C132</f>
        <v>5.5038173913043477E-2</v>
      </c>
      <c r="G135" s="280"/>
      <c r="H135" s="280"/>
      <c r="I135" s="283"/>
    </row>
    <row r="136" spans="1:9" x14ac:dyDescent="0.25">
      <c r="A136" s="166">
        <v>200933</v>
      </c>
      <c r="B136" s="165"/>
      <c r="C136" s="158"/>
      <c r="D136" s="158"/>
      <c r="E136" s="158"/>
      <c r="F136" s="158"/>
      <c r="G136" s="280"/>
      <c r="H136" s="280"/>
      <c r="I136" s="283"/>
    </row>
    <row r="137" spans="1:9" x14ac:dyDescent="0.25">
      <c r="A137" s="168">
        <v>2012</v>
      </c>
      <c r="B137" s="167">
        <v>41910</v>
      </c>
      <c r="C137" s="163"/>
      <c r="D137" s="163"/>
      <c r="E137" s="163"/>
      <c r="F137" s="163"/>
      <c r="G137" s="280"/>
      <c r="H137" s="280"/>
      <c r="I137" s="283"/>
    </row>
    <row r="138" spans="1:9" x14ac:dyDescent="0.25">
      <c r="A138" s="169"/>
      <c r="B138" s="165"/>
      <c r="D138" s="163"/>
      <c r="E138" s="163"/>
      <c r="F138" s="163"/>
      <c r="G138" s="280"/>
      <c r="H138" s="280"/>
      <c r="I138" s="283"/>
    </row>
    <row r="139" spans="1:9" x14ac:dyDescent="0.25">
      <c r="A139" s="172" t="s">
        <v>214</v>
      </c>
      <c r="B139" s="170"/>
      <c r="C139" s="171"/>
      <c r="D139" s="171"/>
      <c r="E139" s="171"/>
      <c r="F139" s="171"/>
      <c r="G139" s="281"/>
      <c r="H139" s="281"/>
      <c r="I139" s="284"/>
    </row>
    <row r="140" spans="1:9" x14ac:dyDescent="0.25">
      <c r="A140" s="158" t="s">
        <v>234</v>
      </c>
      <c r="B140" s="159"/>
      <c r="C140" s="160">
        <v>395000000</v>
      </c>
      <c r="D140" s="160"/>
      <c r="E140" s="160"/>
      <c r="F140" s="160"/>
      <c r="G140" s="285" t="s">
        <v>270</v>
      </c>
      <c r="H140" s="279" t="s">
        <v>235</v>
      </c>
      <c r="I140" s="282" t="s">
        <v>237</v>
      </c>
    </row>
    <row r="141" spans="1:9" x14ac:dyDescent="0.25">
      <c r="A141" s="158" t="s">
        <v>219</v>
      </c>
      <c r="B141" s="158" t="s">
        <v>205</v>
      </c>
      <c r="D141" s="161"/>
      <c r="E141" s="161"/>
      <c r="F141" s="161"/>
      <c r="G141" s="286"/>
      <c r="H141" s="280"/>
      <c r="I141" s="283"/>
    </row>
    <row r="142" spans="1:9" x14ac:dyDescent="0.25">
      <c r="A142" s="158" t="s">
        <v>220</v>
      </c>
      <c r="B142" s="165"/>
      <c r="C142" s="158"/>
      <c r="D142" s="158"/>
      <c r="E142" s="158"/>
      <c r="F142" s="158"/>
      <c r="G142" s="286"/>
      <c r="H142" s="280"/>
      <c r="I142" s="283"/>
    </row>
    <row r="143" spans="1:9" x14ac:dyDescent="0.25">
      <c r="A143" s="158" t="s">
        <v>199</v>
      </c>
      <c r="B143" s="165"/>
      <c r="C143" s="162"/>
      <c r="D143" s="162">
        <v>22981715</v>
      </c>
      <c r="E143" s="161">
        <f>C140/A144</f>
        <v>584.31952662721892</v>
      </c>
      <c r="F143" s="163">
        <f>D143/C140</f>
        <v>5.8181556962025316E-2</v>
      </c>
      <c r="G143" s="286"/>
      <c r="H143" s="280"/>
      <c r="I143" s="283"/>
    </row>
    <row r="144" spans="1:9" x14ac:dyDescent="0.25">
      <c r="A144" s="166">
        <v>676000</v>
      </c>
      <c r="B144" s="167">
        <v>41660</v>
      </c>
      <c r="C144" s="158"/>
      <c r="D144" s="158"/>
      <c r="E144" s="158"/>
      <c r="F144" s="158"/>
      <c r="G144" s="286"/>
      <c r="H144" s="280"/>
      <c r="I144" s="283"/>
    </row>
    <row r="145" spans="1:9" x14ac:dyDescent="0.25">
      <c r="A145" s="168"/>
      <c r="B145" s="165"/>
      <c r="C145" s="163"/>
      <c r="D145" s="163"/>
      <c r="E145" s="163"/>
      <c r="F145" s="163"/>
      <c r="G145" s="286"/>
      <c r="H145" s="280"/>
      <c r="I145" s="283"/>
    </row>
    <row r="146" spans="1:9" x14ac:dyDescent="0.25">
      <c r="A146" s="169">
        <v>2010</v>
      </c>
      <c r="B146" s="165"/>
      <c r="D146" s="163"/>
      <c r="E146" s="163"/>
      <c r="F146" s="163"/>
      <c r="G146" s="286"/>
      <c r="H146" s="280"/>
      <c r="I146" s="283"/>
    </row>
    <row r="147" spans="1:9" x14ac:dyDescent="0.25">
      <c r="A147" s="172">
        <v>0.98499999999999999</v>
      </c>
      <c r="B147" s="170"/>
      <c r="C147" s="171"/>
      <c r="D147" s="171"/>
      <c r="E147" s="171"/>
      <c r="F147" s="171"/>
      <c r="G147" s="287"/>
      <c r="H147" s="281"/>
      <c r="I147" s="284"/>
    </row>
  </sheetData>
  <mergeCells count="54">
    <mergeCell ref="G4:G11"/>
    <mergeCell ref="H4:H11"/>
    <mergeCell ref="I4:I11"/>
    <mergeCell ref="G12:G19"/>
    <mergeCell ref="H12:H19"/>
    <mergeCell ref="I12:I19"/>
    <mergeCell ref="G20:G27"/>
    <mergeCell ref="H20:H27"/>
    <mergeCell ref="I20:I27"/>
    <mergeCell ref="G28:G35"/>
    <mergeCell ref="H28:H35"/>
    <mergeCell ref="I28:I35"/>
    <mergeCell ref="G36:G43"/>
    <mergeCell ref="H36:H43"/>
    <mergeCell ref="I36:I43"/>
    <mergeCell ref="G44:G51"/>
    <mergeCell ref="H44:H51"/>
    <mergeCell ref="I44:I51"/>
    <mergeCell ref="G52:G59"/>
    <mergeCell ref="H52:H59"/>
    <mergeCell ref="I52:I59"/>
    <mergeCell ref="G60:G67"/>
    <mergeCell ref="H60:H67"/>
    <mergeCell ref="I60:I67"/>
    <mergeCell ref="G68:G75"/>
    <mergeCell ref="H68:H75"/>
    <mergeCell ref="I68:I75"/>
    <mergeCell ref="G76:G83"/>
    <mergeCell ref="H76:H83"/>
    <mergeCell ref="I76:I83"/>
    <mergeCell ref="G84:G91"/>
    <mergeCell ref="H84:H91"/>
    <mergeCell ref="I84:I91"/>
    <mergeCell ref="G92:G99"/>
    <mergeCell ref="H92:H99"/>
    <mergeCell ref="I92:I99"/>
    <mergeCell ref="G100:G107"/>
    <mergeCell ref="H100:H107"/>
    <mergeCell ref="I100:I107"/>
    <mergeCell ref="G108:G115"/>
    <mergeCell ref="H108:H115"/>
    <mergeCell ref="I108:I115"/>
    <mergeCell ref="G116:G123"/>
    <mergeCell ref="H116:H123"/>
    <mergeCell ref="I116:I123"/>
    <mergeCell ref="G124:G131"/>
    <mergeCell ref="H124:H131"/>
    <mergeCell ref="I124:I131"/>
    <mergeCell ref="G132:G139"/>
    <mergeCell ref="H132:H139"/>
    <mergeCell ref="I132:I139"/>
    <mergeCell ref="G140:G147"/>
    <mergeCell ref="H140:H147"/>
    <mergeCell ref="I140:I14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8965D-A131-48DB-B1EB-824600D5AB9A}">
  <dimension ref="A1"/>
  <sheetViews>
    <sheetView workbookViewId="0"/>
  </sheetViews>
  <sheetFormatPr defaultRowHeight="14.4" x14ac:dyDescent="0.3"/>
  <cols>
    <col min="1" max="1" width="25.44140625" customWidth="1"/>
    <col min="2" max="2" width="12.6640625" customWidth="1"/>
    <col min="3" max="3" width="4" customWidth="1"/>
    <col min="4" max="4" width="18.33203125" customWidth="1"/>
    <col min="5" max="5" width="10.33203125" bestFit="1" customWidth="1"/>
    <col min="9" max="9" width="1.6640625" customWidth="1"/>
    <col min="10" max="10" width="14.6640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Annual CF</vt:lpstr>
      <vt:lpstr>YoC Analysis</vt:lpstr>
      <vt:lpstr>Condo Alternative</vt:lpstr>
      <vt:lpstr>Rents</vt:lpstr>
      <vt:lpstr>Monthly CF</vt:lpstr>
      <vt:lpstr>Alternative Use Analysis</vt:lpstr>
      <vt:lpstr>Boston Sales</vt:lpstr>
      <vt:lpstr>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dc:creator>
  <cp:keywords/>
  <dc:description/>
  <cp:lastModifiedBy>Connor Taub</cp:lastModifiedBy>
  <cp:revision/>
  <dcterms:created xsi:type="dcterms:W3CDTF">2019-07-21T19:21:06Z</dcterms:created>
  <dcterms:modified xsi:type="dcterms:W3CDTF">2023-12-11T22:03:19Z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06df712-1eb1-49af-b824-fa00878542e2_Enabled">
    <vt:lpwstr>true</vt:lpwstr>
  </property>
  <property fmtid="{D5CDD505-2E9C-101B-9397-08002B2CF9AE}" pid="3" name="MSIP_Label_506df712-1eb1-49af-b824-fa00878542e2_SetDate">
    <vt:lpwstr>2023-11-24T17:04:20Z</vt:lpwstr>
  </property>
  <property fmtid="{D5CDD505-2E9C-101B-9397-08002B2CF9AE}" pid="4" name="MSIP_Label_506df712-1eb1-49af-b824-fa00878542e2_Method">
    <vt:lpwstr>Standard</vt:lpwstr>
  </property>
  <property fmtid="{D5CDD505-2E9C-101B-9397-08002B2CF9AE}" pid="5" name="MSIP_Label_506df712-1eb1-49af-b824-fa00878542e2_Name">
    <vt:lpwstr>General</vt:lpwstr>
  </property>
  <property fmtid="{D5CDD505-2E9C-101B-9397-08002B2CF9AE}" pid="6" name="MSIP_Label_506df712-1eb1-49af-b824-fa00878542e2_SiteId">
    <vt:lpwstr>a46b38c1-4ac6-4f45-8eb2-dcd9f0d149bf</vt:lpwstr>
  </property>
  <property fmtid="{D5CDD505-2E9C-101B-9397-08002B2CF9AE}" pid="7" name="MSIP_Label_506df712-1eb1-49af-b824-fa00878542e2_ActionId">
    <vt:lpwstr>e423e595-d91d-49fa-b517-47f4f6f9470f</vt:lpwstr>
  </property>
  <property fmtid="{D5CDD505-2E9C-101B-9397-08002B2CF9AE}" pid="8" name="MSIP_Label_506df712-1eb1-49af-b824-fa00878542e2_ContentBits">
    <vt:lpwstr>0</vt:lpwstr>
  </property>
</Properties>
</file>