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P" sheetId="1" r:id="rId4"/>
    <sheet state="visible" name="TSLA" sheetId="2" r:id="rId5"/>
    <sheet state="visible" name="GOOG" sheetId="3" r:id="rId6"/>
    <sheet state="visible" name="AAPL" sheetId="4" r:id="rId7"/>
    <sheet state="visible" name="FB" sheetId="5" r:id="rId8"/>
    <sheet state="visible" name="NFLX" sheetId="6" r:id="rId9"/>
    <sheet state="visible" name="AMZN" sheetId="7" r:id="rId10"/>
  </sheets>
  <definedNames/>
  <calcPr/>
</workbook>
</file>

<file path=xl/sharedStrings.xml><?xml version="1.0" encoding="utf-8"?>
<sst xmlns="http://schemas.openxmlformats.org/spreadsheetml/2006/main" count="18" uniqueCount="8">
  <si>
    <t>Tesla</t>
  </si>
  <si>
    <t>Google</t>
  </si>
  <si>
    <t>Apple</t>
  </si>
  <si>
    <t>Facebook</t>
  </si>
  <si>
    <t>Netflix</t>
  </si>
  <si>
    <t>Amazon</t>
  </si>
  <si>
    <t>Open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</si>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</sst>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4" fillId="0" fontId="1" numFmtId="0" xfId="0" applyBorder="1" applyFont="1"/>
    <xf borderId="4" fillId="8" fontId="3" numFmtId="0" xfId="0" applyBorder="1" applyFill="1" applyFont="1"/>
    <xf borderId="4" fillId="0" fontId="1" numFmtId="164" xfId="0" applyBorder="1" applyFont="1" applyNumberForma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3"/>
      <c r="G2" s="4" t="s">
        <v>1</v>
      </c>
      <c r="H2" s="2"/>
      <c r="I2" s="2"/>
      <c r="J2" s="3"/>
      <c r="L2" s="5" t="s">
        <v>2</v>
      </c>
      <c r="M2" s="2"/>
      <c r="N2" s="2"/>
      <c r="O2" s="3"/>
      <c r="Q2" s="6" t="s">
        <v>3</v>
      </c>
      <c r="R2" s="2"/>
      <c r="S2" s="2"/>
      <c r="T2" s="3"/>
      <c r="V2" s="7" t="s">
        <v>4</v>
      </c>
      <c r="W2" s="2"/>
      <c r="X2" s="2"/>
      <c r="Y2" s="3"/>
      <c r="AA2" s="8" t="s">
        <v>5</v>
      </c>
      <c r="AB2" s="2"/>
      <c r="AC2" s="2"/>
      <c r="AD2" s="3"/>
    </row>
    <row r="3">
      <c r="B3" s="9" t="str">
        <f>IFERROR(__xludf.DUMMYFUNCTION("GOOGLEFINANCE(""TSLA"", ""open"", TODAY()-1500, TODAY())"),"Date")</f>
        <v>Date</v>
      </c>
      <c r="C3" s="9" t="str">
        <f>IFERROR(__xludf.DUMMYFUNCTION("""COMPUTED_VALUE"""),"Open")</f>
        <v>Open</v>
      </c>
      <c r="D3" s="10" t="str">
        <f>IFERROR(__xludf.DUMMYFUNCTION("GOOGLEFINANCE(""TSLA"", ""close"", TODAY()-1500, TODAY())"),"Date")</f>
        <v>Date</v>
      </c>
      <c r="E3" s="9" t="str">
        <f>IFERROR(__xludf.DUMMYFUNCTION("""COMPUTED_VALUE"""),"Close")</f>
        <v>Close</v>
      </c>
      <c r="G3" s="9" t="str">
        <f>IFERROR(__xludf.DUMMYFUNCTION("GOOGLEFINANCE(""GOOG"", ""open"", TODAY()-1500, TODAY())"),"Date")</f>
        <v>Date</v>
      </c>
      <c r="H3" s="9" t="str">
        <f>IFERROR(__xludf.DUMMYFUNCTION("""COMPUTED_VALUE"""),"Open")</f>
        <v>Open</v>
      </c>
      <c r="I3" s="10" t="str">
        <f>IFERROR(__xludf.DUMMYFUNCTION("GOOGLEFINANCE(""GOOG"", ""close"", TODAY()-1500, TODAY())"),"Date")</f>
        <v>Date</v>
      </c>
      <c r="J3" s="9" t="str">
        <f>IFERROR(__xludf.DUMMYFUNCTION("""COMPUTED_VALUE"""),"Close")</f>
        <v>Close</v>
      </c>
      <c r="L3" s="9" t="str">
        <f>IFERROR(__xludf.DUMMYFUNCTION("GOOGLEFINANCE(""AAPL"", ""open"", TODAY()-1500, TODAY())"),"Date")</f>
        <v>Date</v>
      </c>
      <c r="M3" s="9" t="str">
        <f>IFERROR(__xludf.DUMMYFUNCTION("""COMPUTED_VALUE"""),"Open")</f>
        <v>Open</v>
      </c>
      <c r="N3" s="10" t="str">
        <f>IFERROR(__xludf.DUMMYFUNCTION("GOOGLEFINANCE(""AAPL"", ""close"", TODAY()-1500, TODAY())"),"Date")</f>
        <v>Date</v>
      </c>
      <c r="O3" s="9" t="str">
        <f>IFERROR(__xludf.DUMMYFUNCTION("""COMPUTED_VALUE"""),"Close")</f>
        <v>Close</v>
      </c>
      <c r="Q3" s="9" t="str">
        <f>IFERROR(__xludf.DUMMYFUNCTION("GOOGLEFINANCE(""FB"", ""open"", TODAY()-1500, TODAY())"),"Date")</f>
        <v>Date</v>
      </c>
      <c r="R3" s="9" t="str">
        <f>IFERROR(__xludf.DUMMYFUNCTION("""COMPUTED_VALUE"""),"Open")</f>
        <v>Open</v>
      </c>
      <c r="S3" s="10" t="str">
        <f>IFERROR(__xludf.DUMMYFUNCTION("GOOGLEFINANCE(""FB"", ""close"", TODAY()-1500, TODAY())"),"Date")</f>
        <v>Date</v>
      </c>
      <c r="T3" s="9" t="str">
        <f>IFERROR(__xludf.DUMMYFUNCTION("""COMPUTED_VALUE"""),"Close")</f>
        <v>Close</v>
      </c>
      <c r="V3" s="9" t="str">
        <f>IFERROR(__xludf.DUMMYFUNCTION("GOOGLEFINANCE(""NFLX"", ""open"", TODAY()-1500, TODAY())"),"Date")</f>
        <v>Date</v>
      </c>
      <c r="W3" s="9" t="str">
        <f>IFERROR(__xludf.DUMMYFUNCTION("""COMPUTED_VALUE"""),"Open")</f>
        <v>Open</v>
      </c>
      <c r="X3" s="10" t="str">
        <f>IFERROR(__xludf.DUMMYFUNCTION("GOOGLEFINANCE(""NFLX"", ""close"", TODAY()-1500, TODAY())"),"Date")</f>
        <v>Date</v>
      </c>
      <c r="Y3" s="9" t="str">
        <f>IFERROR(__xludf.DUMMYFUNCTION("""COMPUTED_VALUE"""),"Close")</f>
        <v>Close</v>
      </c>
      <c r="AA3" s="9" t="str">
        <f>IFERROR(__xludf.DUMMYFUNCTION("GOOGLEFINANCE(""AMZN"", ""open"", TODAY()-1500, TODAY())"),"Date")</f>
        <v>Date</v>
      </c>
      <c r="AB3" s="9" t="str">
        <f>IFERROR(__xludf.DUMMYFUNCTION("""COMPUTED_VALUE"""),"Open")</f>
        <v>Open</v>
      </c>
      <c r="AC3" s="10" t="str">
        <f>IFERROR(__xludf.DUMMYFUNCTION("GOOGLEFINANCE(""AMZN"", ""close"", TODAY()-1500, TODAY())"),"Date")</f>
        <v>Date</v>
      </c>
      <c r="AD3" s="9" t="str">
        <f>IFERROR(__xludf.DUMMYFUNCTION("""COMPUTED_VALUE"""),"Close")</f>
        <v>Close</v>
      </c>
    </row>
    <row r="4">
      <c r="B4" s="11">
        <f>IFERROR(__xludf.DUMMYFUNCTION("""COMPUTED_VALUE"""),43052.66666666667)</f>
        <v>43052.66667</v>
      </c>
      <c r="C4" s="9">
        <f>IFERROR(__xludf.DUMMYFUNCTION("""COMPUTED_VALUE"""),60.03)</f>
        <v>60.03</v>
      </c>
      <c r="D4" s="11">
        <f>IFERROR(__xludf.DUMMYFUNCTION("""COMPUTED_VALUE"""),43052.66666666667)</f>
        <v>43052.66667</v>
      </c>
      <c r="E4" s="9">
        <f>IFERROR(__xludf.DUMMYFUNCTION("""COMPUTED_VALUE"""),63.08)</f>
        <v>63.08</v>
      </c>
      <c r="G4" s="11">
        <f>IFERROR(__xludf.DUMMYFUNCTION("""COMPUTED_VALUE"""),43052.66666666667)</f>
        <v>43052.66667</v>
      </c>
      <c r="H4" s="9">
        <f>IFERROR(__xludf.DUMMYFUNCTION("""COMPUTED_VALUE"""),1023.42)</f>
        <v>1023.42</v>
      </c>
      <c r="I4" s="11">
        <f>IFERROR(__xludf.DUMMYFUNCTION("""COMPUTED_VALUE"""),43052.66666666667)</f>
        <v>43052.66667</v>
      </c>
      <c r="J4" s="9">
        <f>IFERROR(__xludf.DUMMYFUNCTION("""COMPUTED_VALUE"""),1025.75)</f>
        <v>1025.75</v>
      </c>
      <c r="L4" s="11">
        <f>IFERROR(__xludf.DUMMYFUNCTION("""COMPUTED_VALUE"""),43052.66666666667)</f>
        <v>43052.66667</v>
      </c>
      <c r="M4" s="9">
        <f>IFERROR(__xludf.DUMMYFUNCTION("""COMPUTED_VALUE"""),43.38)</f>
        <v>43.38</v>
      </c>
      <c r="N4" s="11">
        <f>IFERROR(__xludf.DUMMYFUNCTION("""COMPUTED_VALUE"""),43052.66666666667)</f>
        <v>43052.66667</v>
      </c>
      <c r="O4" s="9">
        <f>IFERROR(__xludf.DUMMYFUNCTION("""COMPUTED_VALUE"""),43.49)</f>
        <v>43.49</v>
      </c>
      <c r="Q4" s="11">
        <f>IFERROR(__xludf.DUMMYFUNCTION("""COMPUTED_VALUE"""),43052.66666666667)</f>
        <v>43052.66667</v>
      </c>
      <c r="R4" s="9">
        <f>IFERROR(__xludf.DUMMYFUNCTION("""COMPUTED_VALUE"""),177.5)</f>
        <v>177.5</v>
      </c>
      <c r="S4" s="11">
        <f>IFERROR(__xludf.DUMMYFUNCTION("""COMPUTED_VALUE"""),43052.66666666667)</f>
        <v>43052.66667</v>
      </c>
      <c r="T4" s="9">
        <f>IFERROR(__xludf.DUMMYFUNCTION("""COMPUTED_VALUE"""),178.77)</f>
        <v>178.77</v>
      </c>
      <c r="V4" s="11">
        <f>IFERROR(__xludf.DUMMYFUNCTION("""COMPUTED_VALUE"""),43052.66666666667)</f>
        <v>43052.66667</v>
      </c>
      <c r="W4" s="9">
        <f>IFERROR(__xludf.DUMMYFUNCTION("""COMPUTED_VALUE"""),191.12)</f>
        <v>191.12</v>
      </c>
      <c r="X4" s="11">
        <f>IFERROR(__xludf.DUMMYFUNCTION("""COMPUTED_VALUE"""),43052.66666666667)</f>
        <v>43052.66667</v>
      </c>
      <c r="Y4" s="9">
        <f>IFERROR(__xludf.DUMMYFUNCTION("""COMPUTED_VALUE"""),195.08)</f>
        <v>195.08</v>
      </c>
      <c r="AA4" s="11">
        <f>IFERROR(__xludf.DUMMYFUNCTION("""COMPUTED_VALUE"""),43052.66666666667)</f>
        <v>43052.66667</v>
      </c>
      <c r="AB4" s="9">
        <f>IFERROR(__xludf.DUMMYFUNCTION("""COMPUTED_VALUE"""),1123.0)</f>
        <v>1123</v>
      </c>
      <c r="AC4" s="11">
        <f>IFERROR(__xludf.DUMMYFUNCTION("""COMPUTED_VALUE"""),43052.66666666667)</f>
        <v>43052.66667</v>
      </c>
      <c r="AD4" s="9">
        <f>IFERROR(__xludf.DUMMYFUNCTION("""COMPUTED_VALUE"""),1129.17)</f>
        <v>1129.17</v>
      </c>
    </row>
    <row r="5">
      <c r="B5" s="11">
        <f>IFERROR(__xludf.DUMMYFUNCTION("""COMPUTED_VALUE"""),43053.66666666667)</f>
        <v>43053.66667</v>
      </c>
      <c r="C5" s="9">
        <f>IFERROR(__xludf.DUMMYFUNCTION("""COMPUTED_VALUE"""),63.0)</f>
        <v>63</v>
      </c>
      <c r="D5" s="11">
        <f>IFERROR(__xludf.DUMMYFUNCTION("""COMPUTED_VALUE"""),43053.66666666667)</f>
        <v>43053.66667</v>
      </c>
      <c r="E5" s="9">
        <f>IFERROR(__xludf.DUMMYFUNCTION("""COMPUTED_VALUE"""),61.74)</f>
        <v>61.74</v>
      </c>
      <c r="G5" s="11">
        <f>IFERROR(__xludf.DUMMYFUNCTION("""COMPUTED_VALUE"""),43053.66666666667)</f>
        <v>43053.66667</v>
      </c>
      <c r="H5" s="9">
        <f>IFERROR(__xludf.DUMMYFUNCTION("""COMPUTED_VALUE"""),1022.59)</f>
        <v>1022.59</v>
      </c>
      <c r="I5" s="11">
        <f>IFERROR(__xludf.DUMMYFUNCTION("""COMPUTED_VALUE"""),43053.66666666667)</f>
        <v>43053.66667</v>
      </c>
      <c r="J5" s="9">
        <f>IFERROR(__xludf.DUMMYFUNCTION("""COMPUTED_VALUE"""),1026.0)</f>
        <v>1026</v>
      </c>
      <c r="L5" s="11">
        <f>IFERROR(__xludf.DUMMYFUNCTION("""COMPUTED_VALUE"""),43053.66666666667)</f>
        <v>43053.66667</v>
      </c>
      <c r="M5" s="9">
        <f>IFERROR(__xludf.DUMMYFUNCTION("""COMPUTED_VALUE"""),43.26)</f>
        <v>43.26</v>
      </c>
      <c r="N5" s="11">
        <f>IFERROR(__xludf.DUMMYFUNCTION("""COMPUTED_VALUE"""),43053.66666666667)</f>
        <v>43053.66667</v>
      </c>
      <c r="O5" s="9">
        <f>IFERROR(__xludf.DUMMYFUNCTION("""COMPUTED_VALUE"""),42.84)</f>
        <v>42.84</v>
      </c>
      <c r="Q5" s="11">
        <f>IFERROR(__xludf.DUMMYFUNCTION("""COMPUTED_VALUE"""),43053.66666666667)</f>
        <v>43053.66667</v>
      </c>
      <c r="R5" s="9">
        <f>IFERROR(__xludf.DUMMYFUNCTION("""COMPUTED_VALUE"""),178.13)</f>
        <v>178.13</v>
      </c>
      <c r="S5" s="11">
        <f>IFERROR(__xludf.DUMMYFUNCTION("""COMPUTED_VALUE"""),43053.66666666667)</f>
        <v>43053.66667</v>
      </c>
      <c r="T5" s="9">
        <f>IFERROR(__xludf.DUMMYFUNCTION("""COMPUTED_VALUE"""),178.07)</f>
        <v>178.07</v>
      </c>
      <c r="V5" s="11">
        <f>IFERROR(__xludf.DUMMYFUNCTION("""COMPUTED_VALUE"""),43053.66666666667)</f>
        <v>43053.66667</v>
      </c>
      <c r="W5" s="9">
        <f>IFERROR(__xludf.DUMMYFUNCTION("""COMPUTED_VALUE"""),193.64)</f>
        <v>193.64</v>
      </c>
      <c r="X5" s="11">
        <f>IFERROR(__xludf.DUMMYFUNCTION("""COMPUTED_VALUE"""),43053.66666666667)</f>
        <v>43053.66667</v>
      </c>
      <c r="Y5" s="9">
        <f>IFERROR(__xludf.DUMMYFUNCTION("""COMPUTED_VALUE"""),195.71)</f>
        <v>195.71</v>
      </c>
      <c r="AA5" s="11">
        <f>IFERROR(__xludf.DUMMYFUNCTION("""COMPUTED_VALUE"""),43053.66666666667)</f>
        <v>43053.66667</v>
      </c>
      <c r="AB5" s="9">
        <f>IFERROR(__xludf.DUMMYFUNCTION("""COMPUTED_VALUE"""),1130.11)</f>
        <v>1130.11</v>
      </c>
      <c r="AC5" s="11">
        <f>IFERROR(__xludf.DUMMYFUNCTION("""COMPUTED_VALUE"""),43053.66666666667)</f>
        <v>43053.66667</v>
      </c>
      <c r="AD5" s="9">
        <f>IFERROR(__xludf.DUMMYFUNCTION("""COMPUTED_VALUE"""),1136.84)</f>
        <v>1136.84</v>
      </c>
    </row>
    <row r="6">
      <c r="B6" s="11">
        <f>IFERROR(__xludf.DUMMYFUNCTION("""COMPUTED_VALUE"""),43054.66666666667)</f>
        <v>43054.66667</v>
      </c>
      <c r="C6" s="9">
        <f>IFERROR(__xludf.DUMMYFUNCTION("""COMPUTED_VALUE"""),61.2)</f>
        <v>61.2</v>
      </c>
      <c r="D6" s="11">
        <f>IFERROR(__xludf.DUMMYFUNCTION("""COMPUTED_VALUE"""),43054.66666666667)</f>
        <v>43054.66667</v>
      </c>
      <c r="E6" s="9">
        <f>IFERROR(__xludf.DUMMYFUNCTION("""COMPUTED_VALUE"""),62.26)</f>
        <v>62.26</v>
      </c>
      <c r="G6" s="11">
        <f>IFERROR(__xludf.DUMMYFUNCTION("""COMPUTED_VALUE"""),43054.66666666667)</f>
        <v>43054.66667</v>
      </c>
      <c r="H6" s="9">
        <f>IFERROR(__xludf.DUMMYFUNCTION("""COMPUTED_VALUE"""),1019.21)</f>
        <v>1019.21</v>
      </c>
      <c r="I6" s="11">
        <f>IFERROR(__xludf.DUMMYFUNCTION("""COMPUTED_VALUE"""),43054.66666666667)</f>
        <v>43054.66667</v>
      </c>
      <c r="J6" s="9">
        <f>IFERROR(__xludf.DUMMYFUNCTION("""COMPUTED_VALUE"""),1020.91)</f>
        <v>1020.91</v>
      </c>
      <c r="L6" s="11">
        <f>IFERROR(__xludf.DUMMYFUNCTION("""COMPUTED_VALUE"""),43054.66666666667)</f>
        <v>43054.66667</v>
      </c>
      <c r="M6" s="9">
        <f>IFERROR(__xludf.DUMMYFUNCTION("""COMPUTED_VALUE"""),42.49)</f>
        <v>42.49</v>
      </c>
      <c r="N6" s="11">
        <f>IFERROR(__xludf.DUMMYFUNCTION("""COMPUTED_VALUE"""),43054.66666666667)</f>
        <v>43054.66667</v>
      </c>
      <c r="O6" s="9">
        <f>IFERROR(__xludf.DUMMYFUNCTION("""COMPUTED_VALUE"""),42.27)</f>
        <v>42.27</v>
      </c>
      <c r="Q6" s="11">
        <f>IFERROR(__xludf.DUMMYFUNCTION("""COMPUTED_VALUE"""),43054.66666666667)</f>
        <v>43054.66667</v>
      </c>
      <c r="R6" s="9">
        <f>IFERROR(__xludf.DUMMYFUNCTION("""COMPUTED_VALUE"""),176.66)</f>
        <v>176.66</v>
      </c>
      <c r="S6" s="11">
        <f>IFERROR(__xludf.DUMMYFUNCTION("""COMPUTED_VALUE"""),43054.66666666667)</f>
        <v>43054.66667</v>
      </c>
      <c r="T6" s="9">
        <f>IFERROR(__xludf.DUMMYFUNCTION("""COMPUTED_VALUE"""),177.95)</f>
        <v>177.95</v>
      </c>
      <c r="V6" s="11">
        <f>IFERROR(__xludf.DUMMYFUNCTION("""COMPUTED_VALUE"""),43054.66666666667)</f>
        <v>43054.66667</v>
      </c>
      <c r="W6" s="9">
        <f>IFERROR(__xludf.DUMMYFUNCTION("""COMPUTED_VALUE"""),194.54)</f>
        <v>194.54</v>
      </c>
      <c r="X6" s="11">
        <f>IFERROR(__xludf.DUMMYFUNCTION("""COMPUTED_VALUE"""),43054.66666666667)</f>
        <v>43054.66667</v>
      </c>
      <c r="Y6" s="9">
        <f>IFERROR(__xludf.DUMMYFUNCTION("""COMPUTED_VALUE"""),192.12)</f>
        <v>192.12</v>
      </c>
      <c r="AA6" s="11">
        <f>IFERROR(__xludf.DUMMYFUNCTION("""COMPUTED_VALUE"""),43054.66666666667)</f>
        <v>43054.66667</v>
      </c>
      <c r="AB6" s="9">
        <f>IFERROR(__xludf.DUMMYFUNCTION("""COMPUTED_VALUE"""),1127.01)</f>
        <v>1127.01</v>
      </c>
      <c r="AC6" s="11">
        <f>IFERROR(__xludf.DUMMYFUNCTION("""COMPUTED_VALUE"""),43054.66666666667)</f>
        <v>43054.66667</v>
      </c>
      <c r="AD6" s="9">
        <f>IFERROR(__xludf.DUMMYFUNCTION("""COMPUTED_VALUE"""),1126.69)</f>
        <v>1126.69</v>
      </c>
    </row>
    <row r="7">
      <c r="B7" s="11">
        <f>IFERROR(__xludf.DUMMYFUNCTION("""COMPUTED_VALUE"""),43055.66666666667)</f>
        <v>43055.66667</v>
      </c>
      <c r="C7" s="9">
        <f>IFERROR(__xludf.DUMMYFUNCTION("""COMPUTED_VALUE"""),62.8)</f>
        <v>62.8</v>
      </c>
      <c r="D7" s="11">
        <f>IFERROR(__xludf.DUMMYFUNCTION("""COMPUTED_VALUE"""),43055.66666666667)</f>
        <v>43055.66667</v>
      </c>
      <c r="E7" s="9">
        <f>IFERROR(__xludf.DUMMYFUNCTION("""COMPUTED_VALUE"""),62.5)</f>
        <v>62.5</v>
      </c>
      <c r="G7" s="11">
        <f>IFERROR(__xludf.DUMMYFUNCTION("""COMPUTED_VALUE"""),43055.66666666667)</f>
        <v>43055.66667</v>
      </c>
      <c r="H7" s="9">
        <f>IFERROR(__xludf.DUMMYFUNCTION("""COMPUTED_VALUE"""),1022.52)</f>
        <v>1022.52</v>
      </c>
      <c r="I7" s="11">
        <f>IFERROR(__xludf.DUMMYFUNCTION("""COMPUTED_VALUE"""),43055.66666666667)</f>
        <v>43055.66667</v>
      </c>
      <c r="J7" s="9">
        <f>IFERROR(__xludf.DUMMYFUNCTION("""COMPUTED_VALUE"""),1032.5)</f>
        <v>1032.5</v>
      </c>
      <c r="L7" s="11">
        <f>IFERROR(__xludf.DUMMYFUNCTION("""COMPUTED_VALUE"""),43055.66666666667)</f>
        <v>43055.66667</v>
      </c>
      <c r="M7" s="9">
        <f>IFERROR(__xludf.DUMMYFUNCTION("""COMPUTED_VALUE"""),42.8)</f>
        <v>42.8</v>
      </c>
      <c r="N7" s="11">
        <f>IFERROR(__xludf.DUMMYFUNCTION("""COMPUTED_VALUE"""),43055.66666666667)</f>
        <v>43055.66667</v>
      </c>
      <c r="O7" s="9">
        <f>IFERROR(__xludf.DUMMYFUNCTION("""COMPUTED_VALUE"""),42.78)</f>
        <v>42.78</v>
      </c>
      <c r="Q7" s="11">
        <f>IFERROR(__xludf.DUMMYFUNCTION("""COMPUTED_VALUE"""),43055.66666666667)</f>
        <v>43055.66667</v>
      </c>
      <c r="R7" s="9">
        <f>IFERROR(__xludf.DUMMYFUNCTION("""COMPUTED_VALUE"""),178.76)</f>
        <v>178.76</v>
      </c>
      <c r="S7" s="11">
        <f>IFERROR(__xludf.DUMMYFUNCTION("""COMPUTED_VALUE"""),43055.66666666667)</f>
        <v>43055.66667</v>
      </c>
      <c r="T7" s="9">
        <f>IFERROR(__xludf.DUMMYFUNCTION("""COMPUTED_VALUE"""),179.59)</f>
        <v>179.59</v>
      </c>
      <c r="V7" s="11">
        <f>IFERROR(__xludf.DUMMYFUNCTION("""COMPUTED_VALUE"""),43055.66666666667)</f>
        <v>43055.66667</v>
      </c>
      <c r="W7" s="9">
        <f>IFERROR(__xludf.DUMMYFUNCTION("""COMPUTED_VALUE"""),194.33)</f>
        <v>194.33</v>
      </c>
      <c r="X7" s="11">
        <f>IFERROR(__xludf.DUMMYFUNCTION("""COMPUTED_VALUE"""),43055.66666666667)</f>
        <v>43055.66667</v>
      </c>
      <c r="Y7" s="9">
        <f>IFERROR(__xludf.DUMMYFUNCTION("""COMPUTED_VALUE"""),195.51)</f>
        <v>195.51</v>
      </c>
      <c r="AA7" s="11">
        <f>IFERROR(__xludf.DUMMYFUNCTION("""COMPUTED_VALUE"""),43055.66666666667)</f>
        <v>43055.66667</v>
      </c>
      <c r="AB7" s="9">
        <f>IFERROR(__xludf.DUMMYFUNCTION("""COMPUTED_VALUE"""),1130.16)</f>
        <v>1130.16</v>
      </c>
      <c r="AC7" s="11">
        <f>IFERROR(__xludf.DUMMYFUNCTION("""COMPUTED_VALUE"""),43055.66666666667)</f>
        <v>43055.66667</v>
      </c>
      <c r="AD7" s="9">
        <f>IFERROR(__xludf.DUMMYFUNCTION("""COMPUTED_VALUE"""),1137.29)</f>
        <v>1137.29</v>
      </c>
    </row>
    <row r="8">
      <c r="B8" s="11">
        <f>IFERROR(__xludf.DUMMYFUNCTION("""COMPUTED_VALUE"""),43056.66666666667)</f>
        <v>43056.66667</v>
      </c>
      <c r="C8" s="9">
        <f>IFERROR(__xludf.DUMMYFUNCTION("""COMPUTED_VALUE"""),65.13)</f>
        <v>65.13</v>
      </c>
      <c r="D8" s="11">
        <f>IFERROR(__xludf.DUMMYFUNCTION("""COMPUTED_VALUE"""),43056.66666666667)</f>
        <v>43056.66667</v>
      </c>
      <c r="E8" s="9">
        <f>IFERROR(__xludf.DUMMYFUNCTION("""COMPUTED_VALUE"""),63.01)</f>
        <v>63.01</v>
      </c>
      <c r="G8" s="11">
        <f>IFERROR(__xludf.DUMMYFUNCTION("""COMPUTED_VALUE"""),43056.66666666667)</f>
        <v>43056.66667</v>
      </c>
      <c r="H8" s="9">
        <f>IFERROR(__xludf.DUMMYFUNCTION("""COMPUTED_VALUE"""),1034.01)</f>
        <v>1034.01</v>
      </c>
      <c r="I8" s="11">
        <f>IFERROR(__xludf.DUMMYFUNCTION("""COMPUTED_VALUE"""),43056.66666666667)</f>
        <v>43056.66667</v>
      </c>
      <c r="J8" s="9">
        <f>IFERROR(__xludf.DUMMYFUNCTION("""COMPUTED_VALUE"""),1019.09)</f>
        <v>1019.09</v>
      </c>
      <c r="L8" s="11">
        <f>IFERROR(__xludf.DUMMYFUNCTION("""COMPUTED_VALUE"""),43056.66666666667)</f>
        <v>43056.66667</v>
      </c>
      <c r="M8" s="9">
        <f>IFERROR(__xludf.DUMMYFUNCTION("""COMPUTED_VALUE"""),42.76)</f>
        <v>42.76</v>
      </c>
      <c r="N8" s="11">
        <f>IFERROR(__xludf.DUMMYFUNCTION("""COMPUTED_VALUE"""),43056.66666666667)</f>
        <v>43056.66667</v>
      </c>
      <c r="O8" s="9">
        <f>IFERROR(__xludf.DUMMYFUNCTION("""COMPUTED_VALUE"""),42.54)</f>
        <v>42.54</v>
      </c>
      <c r="Q8" s="11">
        <f>IFERROR(__xludf.DUMMYFUNCTION("""COMPUTED_VALUE"""),43056.66666666667)</f>
        <v>43056.66667</v>
      </c>
      <c r="R8" s="9">
        <f>IFERROR(__xludf.DUMMYFUNCTION("""COMPUTED_VALUE"""),179.3)</f>
        <v>179.3</v>
      </c>
      <c r="S8" s="11">
        <f>IFERROR(__xludf.DUMMYFUNCTION("""COMPUTED_VALUE"""),43056.66666666667)</f>
        <v>43056.66667</v>
      </c>
      <c r="T8" s="9">
        <f>IFERROR(__xludf.DUMMYFUNCTION("""COMPUTED_VALUE"""),179.0)</f>
        <v>179</v>
      </c>
      <c r="V8" s="11">
        <f>IFERROR(__xludf.DUMMYFUNCTION("""COMPUTED_VALUE"""),43056.66666666667)</f>
        <v>43056.66667</v>
      </c>
      <c r="W8" s="9">
        <f>IFERROR(__xludf.DUMMYFUNCTION("""COMPUTED_VALUE"""),195.74)</f>
        <v>195.74</v>
      </c>
      <c r="X8" s="11">
        <f>IFERROR(__xludf.DUMMYFUNCTION("""COMPUTED_VALUE"""),43056.66666666667)</f>
        <v>43056.66667</v>
      </c>
      <c r="Y8" s="9">
        <f>IFERROR(__xludf.DUMMYFUNCTION("""COMPUTED_VALUE"""),193.2)</f>
        <v>193.2</v>
      </c>
      <c r="AA8" s="11">
        <f>IFERROR(__xludf.DUMMYFUNCTION("""COMPUTED_VALUE"""),43056.66666666667)</f>
        <v>43056.66667</v>
      </c>
      <c r="AB8" s="9">
        <f>IFERROR(__xludf.DUMMYFUNCTION("""COMPUTED_VALUE"""),1138.28)</f>
        <v>1138.28</v>
      </c>
      <c r="AC8" s="11">
        <f>IFERROR(__xludf.DUMMYFUNCTION("""COMPUTED_VALUE"""),43056.66666666667)</f>
        <v>43056.66667</v>
      </c>
      <c r="AD8" s="9">
        <f>IFERROR(__xludf.DUMMYFUNCTION("""COMPUTED_VALUE"""),1129.88)</f>
        <v>1129.88</v>
      </c>
    </row>
    <row r="9">
      <c r="B9" s="11">
        <f>IFERROR(__xludf.DUMMYFUNCTION("""COMPUTED_VALUE"""),43059.66666666667)</f>
        <v>43059.66667</v>
      </c>
      <c r="C9" s="9">
        <f>IFERROR(__xludf.DUMMYFUNCTION("""COMPUTED_VALUE"""),62.76)</f>
        <v>62.76</v>
      </c>
      <c r="D9" s="11">
        <f>IFERROR(__xludf.DUMMYFUNCTION("""COMPUTED_VALUE"""),43059.66666666667)</f>
        <v>43059.66667</v>
      </c>
      <c r="E9" s="9">
        <f>IFERROR(__xludf.DUMMYFUNCTION("""COMPUTED_VALUE"""),61.75)</f>
        <v>61.75</v>
      </c>
      <c r="G9" s="11">
        <f>IFERROR(__xludf.DUMMYFUNCTION("""COMPUTED_VALUE"""),43059.66666666667)</f>
        <v>43059.66667</v>
      </c>
      <c r="H9" s="9">
        <f>IFERROR(__xludf.DUMMYFUNCTION("""COMPUTED_VALUE"""),1020.26)</f>
        <v>1020.26</v>
      </c>
      <c r="I9" s="11">
        <f>IFERROR(__xludf.DUMMYFUNCTION("""COMPUTED_VALUE"""),43059.66666666667)</f>
        <v>43059.66667</v>
      </c>
      <c r="J9" s="9">
        <f>IFERROR(__xludf.DUMMYFUNCTION("""COMPUTED_VALUE"""),1018.38)</f>
        <v>1018.38</v>
      </c>
      <c r="L9" s="11">
        <f>IFERROR(__xludf.DUMMYFUNCTION("""COMPUTED_VALUE"""),43059.66666666667)</f>
        <v>43059.66667</v>
      </c>
      <c r="M9" s="9">
        <f>IFERROR(__xludf.DUMMYFUNCTION("""COMPUTED_VALUE"""),42.57)</f>
        <v>42.57</v>
      </c>
      <c r="N9" s="11">
        <f>IFERROR(__xludf.DUMMYFUNCTION("""COMPUTED_VALUE"""),43059.66666666667)</f>
        <v>43059.66667</v>
      </c>
      <c r="O9" s="9">
        <f>IFERROR(__xludf.DUMMYFUNCTION("""COMPUTED_VALUE"""),42.5)</f>
        <v>42.5</v>
      </c>
      <c r="Q9" s="11">
        <f>IFERROR(__xludf.DUMMYFUNCTION("""COMPUTED_VALUE"""),43059.66666666667)</f>
        <v>43059.66667</v>
      </c>
      <c r="R9" s="9">
        <f>IFERROR(__xludf.DUMMYFUNCTION("""COMPUTED_VALUE"""),178.87)</f>
        <v>178.87</v>
      </c>
      <c r="S9" s="11">
        <f>IFERROR(__xludf.DUMMYFUNCTION("""COMPUTED_VALUE"""),43059.66666666667)</f>
        <v>43059.66667</v>
      </c>
      <c r="T9" s="9">
        <f>IFERROR(__xludf.DUMMYFUNCTION("""COMPUTED_VALUE"""),178.74)</f>
        <v>178.74</v>
      </c>
      <c r="V9" s="11">
        <f>IFERROR(__xludf.DUMMYFUNCTION("""COMPUTED_VALUE"""),43059.66666666667)</f>
        <v>43059.66667</v>
      </c>
      <c r="W9" s="9">
        <f>IFERROR(__xludf.DUMMYFUNCTION("""COMPUTED_VALUE"""),193.3)</f>
        <v>193.3</v>
      </c>
      <c r="X9" s="11">
        <f>IFERROR(__xludf.DUMMYFUNCTION("""COMPUTED_VALUE"""),43059.66666666667)</f>
        <v>43059.66667</v>
      </c>
      <c r="Y9" s="9">
        <f>IFERROR(__xludf.DUMMYFUNCTION("""COMPUTED_VALUE"""),194.1)</f>
        <v>194.1</v>
      </c>
      <c r="AA9" s="11">
        <f>IFERROR(__xludf.DUMMYFUNCTION("""COMPUTED_VALUE"""),43059.66666666667)</f>
        <v>43059.66667</v>
      </c>
      <c r="AB9" s="9">
        <f>IFERROR(__xludf.DUMMYFUNCTION("""COMPUTED_VALUE"""),1129.77)</f>
        <v>1129.77</v>
      </c>
      <c r="AC9" s="11">
        <f>IFERROR(__xludf.DUMMYFUNCTION("""COMPUTED_VALUE"""),43059.66666666667)</f>
        <v>43059.66667</v>
      </c>
      <c r="AD9" s="9">
        <f>IFERROR(__xludf.DUMMYFUNCTION("""COMPUTED_VALUE"""),1126.31)</f>
        <v>1126.31</v>
      </c>
    </row>
    <row r="10">
      <c r="B10" s="11">
        <f>IFERROR(__xludf.DUMMYFUNCTION("""COMPUTED_VALUE"""),43060.66666666667)</f>
        <v>43060.66667</v>
      </c>
      <c r="C10" s="9">
        <f>IFERROR(__xludf.DUMMYFUNCTION("""COMPUTED_VALUE"""),62.17)</f>
        <v>62.17</v>
      </c>
      <c r="D10" s="11">
        <f>IFERROR(__xludf.DUMMYFUNCTION("""COMPUTED_VALUE"""),43060.66666666667)</f>
        <v>43060.66667</v>
      </c>
      <c r="E10" s="9">
        <f>IFERROR(__xludf.DUMMYFUNCTION("""COMPUTED_VALUE"""),63.56)</f>
        <v>63.56</v>
      </c>
      <c r="G10" s="11">
        <f>IFERROR(__xludf.DUMMYFUNCTION("""COMPUTED_VALUE"""),43060.66666666667)</f>
        <v>43060.66667</v>
      </c>
      <c r="H10" s="9">
        <f>IFERROR(__xludf.DUMMYFUNCTION("""COMPUTED_VALUE"""),1023.31)</f>
        <v>1023.31</v>
      </c>
      <c r="I10" s="11">
        <f>IFERROR(__xludf.DUMMYFUNCTION("""COMPUTED_VALUE"""),43060.66666666667)</f>
        <v>43060.66667</v>
      </c>
      <c r="J10" s="9">
        <f>IFERROR(__xludf.DUMMYFUNCTION("""COMPUTED_VALUE"""),1034.49)</f>
        <v>1034.49</v>
      </c>
      <c r="L10" s="11">
        <f>IFERROR(__xludf.DUMMYFUNCTION("""COMPUTED_VALUE"""),43060.66666666667)</f>
        <v>43060.66667</v>
      </c>
      <c r="M10" s="9">
        <f>IFERROR(__xludf.DUMMYFUNCTION("""COMPUTED_VALUE"""),42.7)</f>
        <v>42.7</v>
      </c>
      <c r="N10" s="11">
        <f>IFERROR(__xludf.DUMMYFUNCTION("""COMPUTED_VALUE"""),43060.66666666667)</f>
        <v>43060.66667</v>
      </c>
      <c r="O10" s="9">
        <f>IFERROR(__xludf.DUMMYFUNCTION("""COMPUTED_VALUE"""),43.29)</f>
        <v>43.29</v>
      </c>
      <c r="Q10" s="11">
        <f>IFERROR(__xludf.DUMMYFUNCTION("""COMPUTED_VALUE"""),43060.66666666667)</f>
        <v>43060.66667</v>
      </c>
      <c r="R10" s="9">
        <f>IFERROR(__xludf.DUMMYFUNCTION("""COMPUTED_VALUE"""),179.15)</f>
        <v>179.15</v>
      </c>
      <c r="S10" s="11">
        <f>IFERROR(__xludf.DUMMYFUNCTION("""COMPUTED_VALUE"""),43060.66666666667)</f>
        <v>43060.66667</v>
      </c>
      <c r="T10" s="9">
        <f>IFERROR(__xludf.DUMMYFUNCTION("""COMPUTED_VALUE"""),181.86)</f>
        <v>181.86</v>
      </c>
      <c r="V10" s="11">
        <f>IFERROR(__xludf.DUMMYFUNCTION("""COMPUTED_VALUE"""),43060.66666666667)</f>
        <v>43060.66667</v>
      </c>
      <c r="W10" s="9">
        <f>IFERROR(__xludf.DUMMYFUNCTION("""COMPUTED_VALUE"""),195.04)</f>
        <v>195.04</v>
      </c>
      <c r="X10" s="11">
        <f>IFERROR(__xludf.DUMMYFUNCTION("""COMPUTED_VALUE"""),43060.66666666667)</f>
        <v>43060.66667</v>
      </c>
      <c r="Y10" s="9">
        <f>IFERROR(__xludf.DUMMYFUNCTION("""COMPUTED_VALUE"""),196.23)</f>
        <v>196.23</v>
      </c>
      <c r="AA10" s="11">
        <f>IFERROR(__xludf.DUMMYFUNCTION("""COMPUTED_VALUE"""),43060.66666666667)</f>
        <v>43060.66667</v>
      </c>
      <c r="AB10" s="9">
        <f>IFERROR(__xludf.DUMMYFUNCTION("""COMPUTED_VALUE"""),1132.86)</f>
        <v>1132.86</v>
      </c>
      <c r="AC10" s="11">
        <f>IFERROR(__xludf.DUMMYFUNCTION("""COMPUTED_VALUE"""),43060.66666666667)</f>
        <v>43060.66667</v>
      </c>
      <c r="AD10" s="9">
        <f>IFERROR(__xludf.DUMMYFUNCTION("""COMPUTED_VALUE"""),1139.49)</f>
        <v>1139.49</v>
      </c>
    </row>
    <row r="11">
      <c r="B11" s="11">
        <f>IFERROR(__xludf.DUMMYFUNCTION("""COMPUTED_VALUE"""),43061.66666666667)</f>
        <v>43061.66667</v>
      </c>
      <c r="C11" s="9">
        <f>IFERROR(__xludf.DUMMYFUNCTION("""COMPUTED_VALUE"""),63.35)</f>
        <v>63.35</v>
      </c>
      <c r="D11" s="11">
        <f>IFERROR(__xludf.DUMMYFUNCTION("""COMPUTED_VALUE"""),43061.66666666667)</f>
        <v>43061.66667</v>
      </c>
      <c r="E11" s="9">
        <f>IFERROR(__xludf.DUMMYFUNCTION("""COMPUTED_VALUE"""),62.52)</f>
        <v>62.52</v>
      </c>
      <c r="G11" s="11">
        <f>IFERROR(__xludf.DUMMYFUNCTION("""COMPUTED_VALUE"""),43061.66666666667)</f>
        <v>43061.66667</v>
      </c>
      <c r="H11" s="9">
        <f>IFERROR(__xludf.DUMMYFUNCTION("""COMPUTED_VALUE"""),1035.0)</f>
        <v>1035</v>
      </c>
      <c r="I11" s="11">
        <f>IFERROR(__xludf.DUMMYFUNCTION("""COMPUTED_VALUE"""),43061.66666666667)</f>
        <v>43061.66667</v>
      </c>
      <c r="J11" s="9">
        <f>IFERROR(__xludf.DUMMYFUNCTION("""COMPUTED_VALUE"""),1035.96)</f>
        <v>1035.96</v>
      </c>
      <c r="L11" s="11">
        <f>IFERROR(__xludf.DUMMYFUNCTION("""COMPUTED_VALUE"""),43061.66666666667)</f>
        <v>43061.66667</v>
      </c>
      <c r="M11" s="9">
        <f>IFERROR(__xludf.DUMMYFUNCTION("""COMPUTED_VALUE"""),43.34)</f>
        <v>43.34</v>
      </c>
      <c r="N11" s="11">
        <f>IFERROR(__xludf.DUMMYFUNCTION("""COMPUTED_VALUE"""),43061.66666666667)</f>
        <v>43061.66667</v>
      </c>
      <c r="O11" s="9">
        <f>IFERROR(__xludf.DUMMYFUNCTION("""COMPUTED_VALUE"""),43.74)</f>
        <v>43.74</v>
      </c>
      <c r="Q11" s="11">
        <f>IFERROR(__xludf.DUMMYFUNCTION("""COMPUTED_VALUE"""),43061.66666666667)</f>
        <v>43061.66667</v>
      </c>
      <c r="R11" s="9">
        <f>IFERROR(__xludf.DUMMYFUNCTION("""COMPUTED_VALUE"""),181.3)</f>
        <v>181.3</v>
      </c>
      <c r="S11" s="11">
        <f>IFERROR(__xludf.DUMMYFUNCTION("""COMPUTED_VALUE"""),43061.66666666667)</f>
        <v>43061.66667</v>
      </c>
      <c r="T11" s="9">
        <f>IFERROR(__xludf.DUMMYFUNCTION("""COMPUTED_VALUE"""),180.87)</f>
        <v>180.87</v>
      </c>
      <c r="V11" s="11">
        <f>IFERROR(__xludf.DUMMYFUNCTION("""COMPUTED_VALUE"""),43061.66666666667)</f>
        <v>43061.66667</v>
      </c>
      <c r="W11" s="9">
        <f>IFERROR(__xludf.DUMMYFUNCTION("""COMPUTED_VALUE"""),196.58)</f>
        <v>196.58</v>
      </c>
      <c r="X11" s="11">
        <f>IFERROR(__xludf.DUMMYFUNCTION("""COMPUTED_VALUE"""),43061.66666666667)</f>
        <v>43061.66667</v>
      </c>
      <c r="Y11" s="9">
        <f>IFERROR(__xludf.DUMMYFUNCTION("""COMPUTED_VALUE"""),196.32)</f>
        <v>196.32</v>
      </c>
      <c r="AA11" s="11">
        <f>IFERROR(__xludf.DUMMYFUNCTION("""COMPUTED_VALUE"""),43061.66666666667)</f>
        <v>43061.66667</v>
      </c>
      <c r="AB11" s="9">
        <f>IFERROR(__xludf.DUMMYFUNCTION("""COMPUTED_VALUE"""),1141.0)</f>
        <v>1141</v>
      </c>
      <c r="AC11" s="11">
        <f>IFERROR(__xludf.DUMMYFUNCTION("""COMPUTED_VALUE"""),43061.66666666667)</f>
        <v>43061.66667</v>
      </c>
      <c r="AD11" s="9">
        <f>IFERROR(__xludf.DUMMYFUNCTION("""COMPUTED_VALUE"""),1156.16)</f>
        <v>1156.16</v>
      </c>
    </row>
    <row r="12">
      <c r="B12" s="11">
        <f>IFERROR(__xludf.DUMMYFUNCTION("""COMPUTED_VALUE"""),43063.54166666667)</f>
        <v>43063.54167</v>
      </c>
      <c r="C12" s="9">
        <f>IFERROR(__xludf.DUMMYFUNCTION("""COMPUTED_VALUE"""),62.76)</f>
        <v>62.76</v>
      </c>
      <c r="D12" s="11">
        <f>IFERROR(__xludf.DUMMYFUNCTION("""COMPUTED_VALUE"""),43063.54166666667)</f>
        <v>43063.54167</v>
      </c>
      <c r="E12" s="9">
        <f>IFERROR(__xludf.DUMMYFUNCTION("""COMPUTED_VALUE"""),63.11)</f>
        <v>63.11</v>
      </c>
      <c r="G12" s="11">
        <f>IFERROR(__xludf.DUMMYFUNCTION("""COMPUTED_VALUE"""),43063.54166666667)</f>
        <v>43063.54167</v>
      </c>
      <c r="H12" s="9">
        <f>IFERROR(__xludf.DUMMYFUNCTION("""COMPUTED_VALUE"""),1035.87)</f>
        <v>1035.87</v>
      </c>
      <c r="I12" s="11">
        <f>IFERROR(__xludf.DUMMYFUNCTION("""COMPUTED_VALUE"""),43063.54166666667)</f>
        <v>43063.54167</v>
      </c>
      <c r="J12" s="9">
        <f>IFERROR(__xludf.DUMMYFUNCTION("""COMPUTED_VALUE"""),1040.61)</f>
        <v>1040.61</v>
      </c>
      <c r="L12" s="11">
        <f>IFERROR(__xludf.DUMMYFUNCTION("""COMPUTED_VALUE"""),43063.54166666667)</f>
        <v>43063.54167</v>
      </c>
      <c r="M12" s="9">
        <f>IFERROR(__xludf.DUMMYFUNCTION("""COMPUTED_VALUE"""),43.78)</f>
        <v>43.78</v>
      </c>
      <c r="N12" s="11">
        <f>IFERROR(__xludf.DUMMYFUNCTION("""COMPUTED_VALUE"""),43063.54166666667)</f>
        <v>43063.54167</v>
      </c>
      <c r="O12" s="9">
        <f>IFERROR(__xludf.DUMMYFUNCTION("""COMPUTED_VALUE"""),43.74)</f>
        <v>43.74</v>
      </c>
      <c r="Q12" s="11">
        <f>IFERROR(__xludf.DUMMYFUNCTION("""COMPUTED_VALUE"""),43063.54166666667)</f>
        <v>43063.54167</v>
      </c>
      <c r="R12" s="9">
        <f>IFERROR(__xludf.DUMMYFUNCTION("""COMPUTED_VALUE"""),180.4)</f>
        <v>180.4</v>
      </c>
      <c r="S12" s="11">
        <f>IFERROR(__xludf.DUMMYFUNCTION("""COMPUTED_VALUE"""),43063.54166666667)</f>
        <v>43063.54167</v>
      </c>
      <c r="T12" s="9">
        <f>IFERROR(__xludf.DUMMYFUNCTION("""COMPUTED_VALUE"""),182.78)</f>
        <v>182.78</v>
      </c>
      <c r="V12" s="11">
        <f>IFERROR(__xludf.DUMMYFUNCTION("""COMPUTED_VALUE"""),43063.54166666667)</f>
        <v>43063.54167</v>
      </c>
      <c r="W12" s="9">
        <f>IFERROR(__xludf.DUMMYFUNCTION("""COMPUTED_VALUE"""),196.65)</f>
        <v>196.65</v>
      </c>
      <c r="X12" s="11">
        <f>IFERROR(__xludf.DUMMYFUNCTION("""COMPUTED_VALUE"""),43063.54166666667)</f>
        <v>43063.54167</v>
      </c>
      <c r="Y12" s="9">
        <f>IFERROR(__xludf.DUMMYFUNCTION("""COMPUTED_VALUE"""),195.75)</f>
        <v>195.75</v>
      </c>
      <c r="AA12" s="11">
        <f>IFERROR(__xludf.DUMMYFUNCTION("""COMPUTED_VALUE"""),43063.54166666667)</f>
        <v>43063.54167</v>
      </c>
      <c r="AB12" s="9">
        <f>IFERROR(__xludf.DUMMYFUNCTION("""COMPUTED_VALUE"""),1160.7)</f>
        <v>1160.7</v>
      </c>
      <c r="AC12" s="11">
        <f>IFERROR(__xludf.DUMMYFUNCTION("""COMPUTED_VALUE"""),43063.54166666667)</f>
        <v>43063.54167</v>
      </c>
      <c r="AD12" s="9">
        <f>IFERROR(__xludf.DUMMYFUNCTION("""COMPUTED_VALUE"""),1186.0)</f>
        <v>1186</v>
      </c>
    </row>
    <row r="13">
      <c r="B13" s="11">
        <f>IFERROR(__xludf.DUMMYFUNCTION("""COMPUTED_VALUE"""),43066.66666666667)</f>
        <v>43066.66667</v>
      </c>
      <c r="C13" s="9">
        <f>IFERROR(__xludf.DUMMYFUNCTION("""COMPUTED_VALUE"""),62.65)</f>
        <v>62.65</v>
      </c>
      <c r="D13" s="11">
        <f>IFERROR(__xludf.DUMMYFUNCTION("""COMPUTED_VALUE"""),43066.66666666667)</f>
        <v>43066.66667</v>
      </c>
      <c r="E13" s="9">
        <f>IFERROR(__xludf.DUMMYFUNCTION("""COMPUTED_VALUE"""),63.36)</f>
        <v>63.36</v>
      </c>
      <c r="G13" s="11">
        <f>IFERROR(__xludf.DUMMYFUNCTION("""COMPUTED_VALUE"""),43066.66666666667)</f>
        <v>43066.66667</v>
      </c>
      <c r="H13" s="9">
        <f>IFERROR(__xludf.DUMMYFUNCTION("""COMPUTED_VALUE"""),1040.0)</f>
        <v>1040</v>
      </c>
      <c r="I13" s="11">
        <f>IFERROR(__xludf.DUMMYFUNCTION("""COMPUTED_VALUE"""),43066.66666666667)</f>
        <v>43066.66667</v>
      </c>
      <c r="J13" s="9">
        <f>IFERROR(__xludf.DUMMYFUNCTION("""COMPUTED_VALUE"""),1054.21)</f>
        <v>1054.21</v>
      </c>
      <c r="L13" s="11">
        <f>IFERROR(__xludf.DUMMYFUNCTION("""COMPUTED_VALUE"""),43066.66666666667)</f>
        <v>43066.66667</v>
      </c>
      <c r="M13" s="9">
        <f>IFERROR(__xludf.DUMMYFUNCTION("""COMPUTED_VALUE"""),43.76)</f>
        <v>43.76</v>
      </c>
      <c r="N13" s="11">
        <f>IFERROR(__xludf.DUMMYFUNCTION("""COMPUTED_VALUE"""),43066.66666666667)</f>
        <v>43066.66667</v>
      </c>
      <c r="O13" s="9">
        <f>IFERROR(__xludf.DUMMYFUNCTION("""COMPUTED_VALUE"""),43.52)</f>
        <v>43.52</v>
      </c>
      <c r="Q13" s="11">
        <f>IFERROR(__xludf.DUMMYFUNCTION("""COMPUTED_VALUE"""),43066.66666666667)</f>
        <v>43066.66667</v>
      </c>
      <c r="R13" s="9">
        <f>IFERROR(__xludf.DUMMYFUNCTION("""COMPUTED_VALUE"""),182.56)</f>
        <v>182.56</v>
      </c>
      <c r="S13" s="11">
        <f>IFERROR(__xludf.DUMMYFUNCTION("""COMPUTED_VALUE"""),43066.66666666667)</f>
        <v>43066.66667</v>
      </c>
      <c r="T13" s="9">
        <f>IFERROR(__xludf.DUMMYFUNCTION("""COMPUTED_VALUE"""),183.03)</f>
        <v>183.03</v>
      </c>
      <c r="V13" s="11">
        <f>IFERROR(__xludf.DUMMYFUNCTION("""COMPUTED_VALUE"""),43066.66666666667)</f>
        <v>43066.66667</v>
      </c>
      <c r="W13" s="9">
        <f>IFERROR(__xludf.DUMMYFUNCTION("""COMPUTED_VALUE"""),195.56)</f>
        <v>195.56</v>
      </c>
      <c r="X13" s="11">
        <f>IFERROR(__xludf.DUMMYFUNCTION("""COMPUTED_VALUE"""),43066.66666666667)</f>
        <v>43066.66667</v>
      </c>
      <c r="Y13" s="9">
        <f>IFERROR(__xludf.DUMMYFUNCTION("""COMPUTED_VALUE"""),195.05)</f>
        <v>195.05</v>
      </c>
      <c r="AA13" s="11">
        <f>IFERROR(__xludf.DUMMYFUNCTION("""COMPUTED_VALUE"""),43066.66666666667)</f>
        <v>43066.66667</v>
      </c>
      <c r="AB13" s="9">
        <f>IFERROR(__xludf.DUMMYFUNCTION("""COMPUTED_VALUE"""),1202.66)</f>
        <v>1202.66</v>
      </c>
      <c r="AC13" s="11">
        <f>IFERROR(__xludf.DUMMYFUNCTION("""COMPUTED_VALUE"""),43066.66666666667)</f>
        <v>43066.66667</v>
      </c>
      <c r="AD13" s="9">
        <f>IFERROR(__xludf.DUMMYFUNCTION("""COMPUTED_VALUE"""),1195.83)</f>
        <v>1195.83</v>
      </c>
    </row>
    <row r="14">
      <c r="B14" s="11">
        <f>IFERROR(__xludf.DUMMYFUNCTION("""COMPUTED_VALUE"""),43067.66666666667)</f>
        <v>43067.66667</v>
      </c>
      <c r="C14" s="9">
        <f>IFERROR(__xludf.DUMMYFUNCTION("""COMPUTED_VALUE"""),63.27)</f>
        <v>63.27</v>
      </c>
      <c r="D14" s="11">
        <f>IFERROR(__xludf.DUMMYFUNCTION("""COMPUTED_VALUE"""),43067.66666666667)</f>
        <v>43067.66667</v>
      </c>
      <c r="E14" s="9">
        <f>IFERROR(__xludf.DUMMYFUNCTION("""COMPUTED_VALUE"""),63.51)</f>
        <v>63.51</v>
      </c>
      <c r="G14" s="11">
        <f>IFERROR(__xludf.DUMMYFUNCTION("""COMPUTED_VALUE"""),43067.66666666667)</f>
        <v>43067.66667</v>
      </c>
      <c r="H14" s="9">
        <f>IFERROR(__xludf.DUMMYFUNCTION("""COMPUTED_VALUE"""),1055.09)</f>
        <v>1055.09</v>
      </c>
      <c r="I14" s="11">
        <f>IFERROR(__xludf.DUMMYFUNCTION("""COMPUTED_VALUE"""),43067.66666666667)</f>
        <v>43067.66667</v>
      </c>
      <c r="J14" s="9">
        <f>IFERROR(__xludf.DUMMYFUNCTION("""COMPUTED_VALUE"""),1047.41)</f>
        <v>1047.41</v>
      </c>
      <c r="L14" s="11">
        <f>IFERROR(__xludf.DUMMYFUNCTION("""COMPUTED_VALUE"""),43067.66666666667)</f>
        <v>43067.66667</v>
      </c>
      <c r="M14" s="9">
        <f>IFERROR(__xludf.DUMMYFUNCTION("""COMPUTED_VALUE"""),43.58)</f>
        <v>43.58</v>
      </c>
      <c r="N14" s="11">
        <f>IFERROR(__xludf.DUMMYFUNCTION("""COMPUTED_VALUE"""),43067.66666666667)</f>
        <v>43067.66667</v>
      </c>
      <c r="O14" s="9">
        <f>IFERROR(__xludf.DUMMYFUNCTION("""COMPUTED_VALUE"""),43.27)</f>
        <v>43.27</v>
      </c>
      <c r="Q14" s="11">
        <f>IFERROR(__xludf.DUMMYFUNCTION("""COMPUTED_VALUE"""),43067.66666666667)</f>
        <v>43067.66667</v>
      </c>
      <c r="R14" s="9">
        <f>IFERROR(__xludf.DUMMYFUNCTION("""COMPUTED_VALUE"""),183.51)</f>
        <v>183.51</v>
      </c>
      <c r="S14" s="11">
        <f>IFERROR(__xludf.DUMMYFUNCTION("""COMPUTED_VALUE"""),43067.66666666667)</f>
        <v>43067.66667</v>
      </c>
      <c r="T14" s="9">
        <f>IFERROR(__xludf.DUMMYFUNCTION("""COMPUTED_VALUE"""),182.42)</f>
        <v>182.42</v>
      </c>
      <c r="V14" s="11">
        <f>IFERROR(__xludf.DUMMYFUNCTION("""COMPUTED_VALUE"""),43067.66666666667)</f>
        <v>43067.66667</v>
      </c>
      <c r="W14" s="9">
        <f>IFERROR(__xludf.DUMMYFUNCTION("""COMPUTED_VALUE"""),195.34)</f>
        <v>195.34</v>
      </c>
      <c r="X14" s="11">
        <f>IFERROR(__xludf.DUMMYFUNCTION("""COMPUTED_VALUE"""),43067.66666666667)</f>
        <v>43067.66667</v>
      </c>
      <c r="Y14" s="9">
        <f>IFERROR(__xludf.DUMMYFUNCTION("""COMPUTED_VALUE"""),199.18)</f>
        <v>199.18</v>
      </c>
      <c r="AA14" s="11">
        <f>IFERROR(__xludf.DUMMYFUNCTION("""COMPUTED_VALUE"""),43067.66666666667)</f>
        <v>43067.66667</v>
      </c>
      <c r="AB14" s="9">
        <f>IFERROR(__xludf.DUMMYFUNCTION("""COMPUTED_VALUE"""),1204.88)</f>
        <v>1204.88</v>
      </c>
      <c r="AC14" s="11">
        <f>IFERROR(__xludf.DUMMYFUNCTION("""COMPUTED_VALUE"""),43067.66666666667)</f>
        <v>43067.66667</v>
      </c>
      <c r="AD14" s="9">
        <f>IFERROR(__xludf.DUMMYFUNCTION("""COMPUTED_VALUE"""),1193.6)</f>
        <v>1193.6</v>
      </c>
    </row>
    <row r="15">
      <c r="B15" s="11">
        <f>IFERROR(__xludf.DUMMYFUNCTION("""COMPUTED_VALUE"""),43068.66666666667)</f>
        <v>43068.66667</v>
      </c>
      <c r="C15" s="9">
        <f>IFERROR(__xludf.DUMMYFUNCTION("""COMPUTED_VALUE"""),63.46)</f>
        <v>63.46</v>
      </c>
      <c r="D15" s="11">
        <f>IFERROR(__xludf.DUMMYFUNCTION("""COMPUTED_VALUE"""),43068.66666666667)</f>
        <v>43068.66667</v>
      </c>
      <c r="E15" s="9">
        <f>IFERROR(__xludf.DUMMYFUNCTION("""COMPUTED_VALUE"""),61.51)</f>
        <v>61.51</v>
      </c>
      <c r="G15" s="11">
        <f>IFERROR(__xludf.DUMMYFUNCTION("""COMPUTED_VALUE"""),43068.66666666667)</f>
        <v>43068.66667</v>
      </c>
      <c r="H15" s="9">
        <f>IFERROR(__xludf.DUMMYFUNCTION("""COMPUTED_VALUE"""),1042.68)</f>
        <v>1042.68</v>
      </c>
      <c r="I15" s="11">
        <f>IFERROR(__xludf.DUMMYFUNCTION("""COMPUTED_VALUE"""),43068.66666666667)</f>
        <v>43068.66667</v>
      </c>
      <c r="J15" s="9">
        <f>IFERROR(__xludf.DUMMYFUNCTION("""COMPUTED_VALUE"""),1021.66)</f>
        <v>1021.66</v>
      </c>
      <c r="L15" s="11">
        <f>IFERROR(__xludf.DUMMYFUNCTION("""COMPUTED_VALUE"""),43068.66666666667)</f>
        <v>43068.66667</v>
      </c>
      <c r="M15" s="9">
        <f>IFERROR(__xludf.DUMMYFUNCTION("""COMPUTED_VALUE"""),43.16)</f>
        <v>43.16</v>
      </c>
      <c r="N15" s="11">
        <f>IFERROR(__xludf.DUMMYFUNCTION("""COMPUTED_VALUE"""),43068.66666666667)</f>
        <v>43068.66667</v>
      </c>
      <c r="O15" s="9">
        <f>IFERROR(__xludf.DUMMYFUNCTION("""COMPUTED_VALUE"""),42.37)</f>
        <v>42.37</v>
      </c>
      <c r="Q15" s="11">
        <f>IFERROR(__xludf.DUMMYFUNCTION("""COMPUTED_VALUE"""),43068.66666666667)</f>
        <v>43068.66667</v>
      </c>
      <c r="R15" s="9">
        <f>IFERROR(__xludf.DUMMYFUNCTION("""COMPUTED_VALUE"""),181.89)</f>
        <v>181.89</v>
      </c>
      <c r="S15" s="11">
        <f>IFERROR(__xludf.DUMMYFUNCTION("""COMPUTED_VALUE"""),43068.66666666667)</f>
        <v>43068.66667</v>
      </c>
      <c r="T15" s="9">
        <f>IFERROR(__xludf.DUMMYFUNCTION("""COMPUTED_VALUE"""),175.13)</f>
        <v>175.13</v>
      </c>
      <c r="V15" s="11">
        <f>IFERROR(__xludf.DUMMYFUNCTION("""COMPUTED_VALUE"""),43068.66666666667)</f>
        <v>43068.66667</v>
      </c>
      <c r="W15" s="9">
        <f>IFERROR(__xludf.DUMMYFUNCTION("""COMPUTED_VALUE"""),198.91)</f>
        <v>198.91</v>
      </c>
      <c r="X15" s="11">
        <f>IFERROR(__xludf.DUMMYFUNCTION("""COMPUTED_VALUE"""),43068.66666666667)</f>
        <v>43068.66667</v>
      </c>
      <c r="Y15" s="9">
        <f>IFERROR(__xludf.DUMMYFUNCTION("""COMPUTED_VALUE"""),188.15)</f>
        <v>188.15</v>
      </c>
      <c r="AA15" s="11">
        <f>IFERROR(__xludf.DUMMYFUNCTION("""COMPUTED_VALUE"""),43068.66666666667)</f>
        <v>43068.66667</v>
      </c>
      <c r="AB15" s="9">
        <f>IFERROR(__xludf.DUMMYFUNCTION("""COMPUTED_VALUE"""),1194.8)</f>
        <v>1194.8</v>
      </c>
      <c r="AC15" s="11">
        <f>IFERROR(__xludf.DUMMYFUNCTION("""COMPUTED_VALUE"""),43068.66666666667)</f>
        <v>43068.66667</v>
      </c>
      <c r="AD15" s="9">
        <f>IFERROR(__xludf.DUMMYFUNCTION("""COMPUTED_VALUE"""),1161.27)</f>
        <v>1161.27</v>
      </c>
    </row>
    <row r="16">
      <c r="B16" s="11">
        <f>IFERROR(__xludf.DUMMYFUNCTION("""COMPUTED_VALUE"""),43069.66666666667)</f>
        <v>43069.66667</v>
      </c>
      <c r="C16" s="9">
        <f>IFERROR(__xludf.DUMMYFUNCTION("""COMPUTED_VALUE"""),61.71)</f>
        <v>61.71</v>
      </c>
      <c r="D16" s="11">
        <f>IFERROR(__xludf.DUMMYFUNCTION("""COMPUTED_VALUE"""),43069.66666666667)</f>
        <v>43069.66667</v>
      </c>
      <c r="E16" s="9">
        <f>IFERROR(__xludf.DUMMYFUNCTION("""COMPUTED_VALUE"""),61.77)</f>
        <v>61.77</v>
      </c>
      <c r="G16" s="11">
        <f>IFERROR(__xludf.DUMMYFUNCTION("""COMPUTED_VALUE"""),43069.66666666667)</f>
        <v>43069.66667</v>
      </c>
      <c r="H16" s="9">
        <f>IFERROR(__xludf.DUMMYFUNCTION("""COMPUTED_VALUE"""),1022.37)</f>
        <v>1022.37</v>
      </c>
      <c r="I16" s="11">
        <f>IFERROR(__xludf.DUMMYFUNCTION("""COMPUTED_VALUE"""),43069.66666666667)</f>
        <v>43069.66667</v>
      </c>
      <c r="J16" s="9">
        <f>IFERROR(__xludf.DUMMYFUNCTION("""COMPUTED_VALUE"""),1021.41)</f>
        <v>1021.41</v>
      </c>
      <c r="L16" s="11">
        <f>IFERROR(__xludf.DUMMYFUNCTION("""COMPUTED_VALUE"""),43069.66666666667)</f>
        <v>43069.66667</v>
      </c>
      <c r="M16" s="9">
        <f>IFERROR(__xludf.DUMMYFUNCTION("""COMPUTED_VALUE"""),42.61)</f>
        <v>42.61</v>
      </c>
      <c r="N16" s="11">
        <f>IFERROR(__xludf.DUMMYFUNCTION("""COMPUTED_VALUE"""),43069.66666666667)</f>
        <v>43069.66667</v>
      </c>
      <c r="O16" s="9">
        <f>IFERROR(__xludf.DUMMYFUNCTION("""COMPUTED_VALUE"""),42.96)</f>
        <v>42.96</v>
      </c>
      <c r="Q16" s="11">
        <f>IFERROR(__xludf.DUMMYFUNCTION("""COMPUTED_VALUE"""),43069.66666666667)</f>
        <v>43069.66667</v>
      </c>
      <c r="R16" s="9">
        <f>IFERROR(__xludf.DUMMYFUNCTION("""COMPUTED_VALUE"""),176.85)</f>
        <v>176.85</v>
      </c>
      <c r="S16" s="11">
        <f>IFERROR(__xludf.DUMMYFUNCTION("""COMPUTED_VALUE"""),43069.66666666667)</f>
        <v>43069.66667</v>
      </c>
      <c r="T16" s="9">
        <f>IFERROR(__xludf.DUMMYFUNCTION("""COMPUTED_VALUE"""),177.18)</f>
        <v>177.18</v>
      </c>
      <c r="V16" s="11">
        <f>IFERROR(__xludf.DUMMYFUNCTION("""COMPUTED_VALUE"""),43069.66666666667)</f>
        <v>43069.66667</v>
      </c>
      <c r="W16" s="9">
        <f>IFERROR(__xludf.DUMMYFUNCTION("""COMPUTED_VALUE"""),190.31)</f>
        <v>190.31</v>
      </c>
      <c r="X16" s="11">
        <f>IFERROR(__xludf.DUMMYFUNCTION("""COMPUTED_VALUE"""),43069.66666666667)</f>
        <v>43069.66667</v>
      </c>
      <c r="Y16" s="9">
        <f>IFERROR(__xludf.DUMMYFUNCTION("""COMPUTED_VALUE"""),187.58)</f>
        <v>187.58</v>
      </c>
      <c r="AA16" s="11">
        <f>IFERROR(__xludf.DUMMYFUNCTION("""COMPUTED_VALUE"""),43069.66666666667)</f>
        <v>43069.66667</v>
      </c>
      <c r="AB16" s="9">
        <f>IFERROR(__xludf.DUMMYFUNCTION("""COMPUTED_VALUE"""),1167.1)</f>
        <v>1167.1</v>
      </c>
      <c r="AC16" s="11">
        <f>IFERROR(__xludf.DUMMYFUNCTION("""COMPUTED_VALUE"""),43069.66666666667)</f>
        <v>43069.66667</v>
      </c>
      <c r="AD16" s="9">
        <f>IFERROR(__xludf.DUMMYFUNCTION("""COMPUTED_VALUE"""),1176.75)</f>
        <v>1176.75</v>
      </c>
    </row>
    <row r="17">
      <c r="B17" s="11">
        <f>IFERROR(__xludf.DUMMYFUNCTION("""COMPUTED_VALUE"""),43070.66666666667)</f>
        <v>43070.66667</v>
      </c>
      <c r="C17" s="9">
        <f>IFERROR(__xludf.DUMMYFUNCTION("""COMPUTED_VALUE"""),61.09)</f>
        <v>61.09</v>
      </c>
      <c r="D17" s="11">
        <f>IFERROR(__xludf.DUMMYFUNCTION("""COMPUTED_VALUE"""),43070.66666666667)</f>
        <v>43070.66667</v>
      </c>
      <c r="E17" s="9">
        <f>IFERROR(__xludf.DUMMYFUNCTION("""COMPUTED_VALUE"""),61.31)</f>
        <v>61.31</v>
      </c>
      <c r="G17" s="11">
        <f>IFERROR(__xludf.DUMMYFUNCTION("""COMPUTED_VALUE"""),43070.66666666667)</f>
        <v>43070.66667</v>
      </c>
      <c r="H17" s="9">
        <f>IFERROR(__xludf.DUMMYFUNCTION("""COMPUTED_VALUE"""),1015.8)</f>
        <v>1015.8</v>
      </c>
      <c r="I17" s="11">
        <f>IFERROR(__xludf.DUMMYFUNCTION("""COMPUTED_VALUE"""),43070.66666666667)</f>
        <v>43070.66667</v>
      </c>
      <c r="J17" s="9">
        <f>IFERROR(__xludf.DUMMYFUNCTION("""COMPUTED_VALUE"""),1010.17)</f>
        <v>1010.17</v>
      </c>
      <c r="L17" s="11">
        <f>IFERROR(__xludf.DUMMYFUNCTION("""COMPUTED_VALUE"""),43070.66666666667)</f>
        <v>43070.66667</v>
      </c>
      <c r="M17" s="9">
        <f>IFERROR(__xludf.DUMMYFUNCTION("""COMPUTED_VALUE"""),42.49)</f>
        <v>42.49</v>
      </c>
      <c r="N17" s="11">
        <f>IFERROR(__xludf.DUMMYFUNCTION("""COMPUTED_VALUE"""),43070.66666666667)</f>
        <v>43070.66667</v>
      </c>
      <c r="O17" s="9">
        <f>IFERROR(__xludf.DUMMYFUNCTION("""COMPUTED_VALUE"""),42.76)</f>
        <v>42.76</v>
      </c>
      <c r="Q17" s="11">
        <f>IFERROR(__xludf.DUMMYFUNCTION("""COMPUTED_VALUE"""),43070.66666666667)</f>
        <v>43070.66667</v>
      </c>
      <c r="R17" s="9">
        <f>IFERROR(__xludf.DUMMYFUNCTION("""COMPUTED_VALUE"""),176.03)</f>
        <v>176.03</v>
      </c>
      <c r="S17" s="11">
        <f>IFERROR(__xludf.DUMMYFUNCTION("""COMPUTED_VALUE"""),43070.66666666667)</f>
        <v>43070.66667</v>
      </c>
      <c r="T17" s="9">
        <f>IFERROR(__xludf.DUMMYFUNCTION("""COMPUTED_VALUE"""),175.1)</f>
        <v>175.1</v>
      </c>
      <c r="V17" s="11">
        <f>IFERROR(__xludf.DUMMYFUNCTION("""COMPUTED_VALUE"""),43070.66666666667)</f>
        <v>43070.66667</v>
      </c>
      <c r="W17" s="9">
        <f>IFERROR(__xludf.DUMMYFUNCTION("""COMPUTED_VALUE"""),186.99)</f>
        <v>186.99</v>
      </c>
      <c r="X17" s="11">
        <f>IFERROR(__xludf.DUMMYFUNCTION("""COMPUTED_VALUE"""),43070.66666666667)</f>
        <v>43070.66667</v>
      </c>
      <c r="Y17" s="9">
        <f>IFERROR(__xludf.DUMMYFUNCTION("""COMPUTED_VALUE"""),186.82)</f>
        <v>186.82</v>
      </c>
      <c r="AA17" s="11">
        <f>IFERROR(__xludf.DUMMYFUNCTION("""COMPUTED_VALUE"""),43070.66666666667)</f>
        <v>43070.66667</v>
      </c>
      <c r="AB17" s="9">
        <f>IFERROR(__xludf.DUMMYFUNCTION("""COMPUTED_VALUE"""),1172.05)</f>
        <v>1172.05</v>
      </c>
      <c r="AC17" s="11">
        <f>IFERROR(__xludf.DUMMYFUNCTION("""COMPUTED_VALUE"""),43070.66666666667)</f>
        <v>43070.66667</v>
      </c>
      <c r="AD17" s="9">
        <f>IFERROR(__xludf.DUMMYFUNCTION("""COMPUTED_VALUE"""),1162.35)</f>
        <v>1162.35</v>
      </c>
    </row>
    <row r="18">
      <c r="B18" s="11">
        <f>IFERROR(__xludf.DUMMYFUNCTION("""COMPUTED_VALUE"""),43073.66666666667)</f>
        <v>43073.66667</v>
      </c>
      <c r="C18" s="9">
        <f>IFERROR(__xludf.DUMMYFUNCTION("""COMPUTED_VALUE"""),61.3)</f>
        <v>61.3</v>
      </c>
      <c r="D18" s="11">
        <f>IFERROR(__xludf.DUMMYFUNCTION("""COMPUTED_VALUE"""),43073.66666666667)</f>
        <v>43073.66667</v>
      </c>
      <c r="E18" s="9">
        <f>IFERROR(__xludf.DUMMYFUNCTION("""COMPUTED_VALUE"""),61.04)</f>
        <v>61.04</v>
      </c>
      <c r="G18" s="11">
        <f>IFERROR(__xludf.DUMMYFUNCTION("""COMPUTED_VALUE"""),43073.66666666667)</f>
        <v>43073.66667</v>
      </c>
      <c r="H18" s="9">
        <f>IFERROR(__xludf.DUMMYFUNCTION("""COMPUTED_VALUE"""),1012.66)</f>
        <v>1012.66</v>
      </c>
      <c r="I18" s="11">
        <f>IFERROR(__xludf.DUMMYFUNCTION("""COMPUTED_VALUE"""),43073.66666666667)</f>
        <v>43073.66667</v>
      </c>
      <c r="J18" s="9">
        <f>IFERROR(__xludf.DUMMYFUNCTION("""COMPUTED_VALUE"""),998.68)</f>
        <v>998.68</v>
      </c>
      <c r="L18" s="11">
        <f>IFERROR(__xludf.DUMMYFUNCTION("""COMPUTED_VALUE"""),43073.66666666667)</f>
        <v>43073.66667</v>
      </c>
      <c r="M18" s="9">
        <f>IFERROR(__xludf.DUMMYFUNCTION("""COMPUTED_VALUE"""),43.12)</f>
        <v>43.12</v>
      </c>
      <c r="N18" s="11">
        <f>IFERROR(__xludf.DUMMYFUNCTION("""COMPUTED_VALUE"""),43073.66666666667)</f>
        <v>43073.66667</v>
      </c>
      <c r="O18" s="9">
        <f>IFERROR(__xludf.DUMMYFUNCTION("""COMPUTED_VALUE"""),42.45)</f>
        <v>42.45</v>
      </c>
      <c r="Q18" s="11">
        <f>IFERROR(__xludf.DUMMYFUNCTION("""COMPUTED_VALUE"""),43073.66666666667)</f>
        <v>43073.66667</v>
      </c>
      <c r="R18" s="9">
        <f>IFERROR(__xludf.DUMMYFUNCTION("""COMPUTED_VALUE"""),176.29)</f>
        <v>176.29</v>
      </c>
      <c r="S18" s="11">
        <f>IFERROR(__xludf.DUMMYFUNCTION("""COMPUTED_VALUE"""),43073.66666666667)</f>
        <v>43073.66667</v>
      </c>
      <c r="T18" s="9">
        <f>IFERROR(__xludf.DUMMYFUNCTION("""COMPUTED_VALUE"""),171.47)</f>
        <v>171.47</v>
      </c>
      <c r="V18" s="11">
        <f>IFERROR(__xludf.DUMMYFUNCTION("""COMPUTED_VALUE"""),43073.66666666667)</f>
        <v>43073.66667</v>
      </c>
      <c r="W18" s="9">
        <f>IFERROR(__xludf.DUMMYFUNCTION("""COMPUTED_VALUE"""),189.36)</f>
        <v>189.36</v>
      </c>
      <c r="X18" s="11">
        <f>IFERROR(__xludf.DUMMYFUNCTION("""COMPUTED_VALUE"""),43073.66666666667)</f>
        <v>43073.66667</v>
      </c>
      <c r="Y18" s="9">
        <f>IFERROR(__xludf.DUMMYFUNCTION("""COMPUTED_VALUE"""),184.04)</f>
        <v>184.04</v>
      </c>
      <c r="AA18" s="11">
        <f>IFERROR(__xludf.DUMMYFUNCTION("""COMPUTED_VALUE"""),43073.66666666667)</f>
        <v>43073.66667</v>
      </c>
      <c r="AB18" s="9">
        <f>IFERROR(__xludf.DUMMYFUNCTION("""COMPUTED_VALUE"""),1173.85)</f>
        <v>1173.85</v>
      </c>
      <c r="AC18" s="11">
        <f>IFERROR(__xludf.DUMMYFUNCTION("""COMPUTED_VALUE"""),43073.66666666667)</f>
        <v>43073.66667</v>
      </c>
      <c r="AD18" s="9">
        <f>IFERROR(__xludf.DUMMYFUNCTION("""COMPUTED_VALUE"""),1133.95)</f>
        <v>1133.95</v>
      </c>
    </row>
    <row r="19">
      <c r="B19" s="11">
        <f>IFERROR(__xludf.DUMMYFUNCTION("""COMPUTED_VALUE"""),43074.66666666667)</f>
        <v>43074.66667</v>
      </c>
      <c r="C19" s="9">
        <f>IFERROR(__xludf.DUMMYFUNCTION("""COMPUTED_VALUE"""),60.4)</f>
        <v>60.4</v>
      </c>
      <c r="D19" s="11">
        <f>IFERROR(__xludf.DUMMYFUNCTION("""COMPUTED_VALUE"""),43074.66666666667)</f>
        <v>43074.66667</v>
      </c>
      <c r="E19" s="9">
        <f>IFERROR(__xludf.DUMMYFUNCTION("""COMPUTED_VALUE"""),60.74)</f>
        <v>60.74</v>
      </c>
      <c r="G19" s="11">
        <f>IFERROR(__xludf.DUMMYFUNCTION("""COMPUTED_VALUE"""),43074.66666666667)</f>
        <v>43074.66667</v>
      </c>
      <c r="H19" s="9">
        <f>IFERROR(__xludf.DUMMYFUNCTION("""COMPUTED_VALUE"""),995.94)</f>
        <v>995.94</v>
      </c>
      <c r="I19" s="11">
        <f>IFERROR(__xludf.DUMMYFUNCTION("""COMPUTED_VALUE"""),43074.66666666667)</f>
        <v>43074.66667</v>
      </c>
      <c r="J19" s="9">
        <f>IFERROR(__xludf.DUMMYFUNCTION("""COMPUTED_VALUE"""),1005.15)</f>
        <v>1005.15</v>
      </c>
      <c r="L19" s="11">
        <f>IFERROR(__xludf.DUMMYFUNCTION("""COMPUTED_VALUE"""),43074.66666666667)</f>
        <v>43074.66667</v>
      </c>
      <c r="M19" s="9">
        <f>IFERROR(__xludf.DUMMYFUNCTION("""COMPUTED_VALUE"""),42.27)</f>
        <v>42.27</v>
      </c>
      <c r="N19" s="11">
        <f>IFERROR(__xludf.DUMMYFUNCTION("""COMPUTED_VALUE"""),43074.66666666667)</f>
        <v>43074.66667</v>
      </c>
      <c r="O19" s="9">
        <f>IFERROR(__xludf.DUMMYFUNCTION("""COMPUTED_VALUE"""),42.41)</f>
        <v>42.41</v>
      </c>
      <c r="Q19" s="11">
        <f>IFERROR(__xludf.DUMMYFUNCTION("""COMPUTED_VALUE"""),43074.66666666667)</f>
        <v>43074.66667</v>
      </c>
      <c r="R19" s="9">
        <f>IFERROR(__xludf.DUMMYFUNCTION("""COMPUTED_VALUE"""),170.45)</f>
        <v>170.45</v>
      </c>
      <c r="S19" s="11">
        <f>IFERROR(__xludf.DUMMYFUNCTION("""COMPUTED_VALUE"""),43074.66666666667)</f>
        <v>43074.66667</v>
      </c>
      <c r="T19" s="9">
        <f>IFERROR(__xludf.DUMMYFUNCTION("""COMPUTED_VALUE"""),172.83)</f>
        <v>172.83</v>
      </c>
      <c r="V19" s="11">
        <f>IFERROR(__xludf.DUMMYFUNCTION("""COMPUTED_VALUE"""),43074.66666666667)</f>
        <v>43074.66667</v>
      </c>
      <c r="W19" s="9">
        <f>IFERROR(__xludf.DUMMYFUNCTION("""COMPUTED_VALUE"""),183.5)</f>
        <v>183.5</v>
      </c>
      <c r="X19" s="11">
        <f>IFERROR(__xludf.DUMMYFUNCTION("""COMPUTED_VALUE"""),43074.66666666667)</f>
        <v>43074.66667</v>
      </c>
      <c r="Y19" s="9">
        <f>IFERROR(__xludf.DUMMYFUNCTION("""COMPUTED_VALUE"""),184.21)</f>
        <v>184.21</v>
      </c>
      <c r="AA19" s="11">
        <f>IFERROR(__xludf.DUMMYFUNCTION("""COMPUTED_VALUE"""),43074.66666666667)</f>
        <v>43074.66667</v>
      </c>
      <c r="AB19" s="9">
        <f>IFERROR(__xludf.DUMMYFUNCTION("""COMPUTED_VALUE"""),1128.26)</f>
        <v>1128.26</v>
      </c>
      <c r="AC19" s="11">
        <f>IFERROR(__xludf.DUMMYFUNCTION("""COMPUTED_VALUE"""),43074.66666666667)</f>
        <v>43074.66667</v>
      </c>
      <c r="AD19" s="9">
        <f>IFERROR(__xludf.DUMMYFUNCTION("""COMPUTED_VALUE"""),1141.57)</f>
        <v>1141.57</v>
      </c>
    </row>
    <row r="20">
      <c r="B20" s="11">
        <f>IFERROR(__xludf.DUMMYFUNCTION("""COMPUTED_VALUE"""),43075.66666666667)</f>
        <v>43075.66667</v>
      </c>
      <c r="C20" s="9">
        <f>IFERROR(__xludf.DUMMYFUNCTION("""COMPUTED_VALUE"""),60.02)</f>
        <v>60.02</v>
      </c>
      <c r="D20" s="11">
        <f>IFERROR(__xludf.DUMMYFUNCTION("""COMPUTED_VALUE"""),43075.66666666667)</f>
        <v>43075.66667</v>
      </c>
      <c r="E20" s="9">
        <f>IFERROR(__xludf.DUMMYFUNCTION("""COMPUTED_VALUE"""),62.65)</f>
        <v>62.65</v>
      </c>
      <c r="G20" s="11">
        <f>IFERROR(__xludf.DUMMYFUNCTION("""COMPUTED_VALUE"""),43075.66666666667)</f>
        <v>43075.66667</v>
      </c>
      <c r="H20" s="9">
        <f>IFERROR(__xludf.DUMMYFUNCTION("""COMPUTED_VALUE"""),1001.5)</f>
        <v>1001.5</v>
      </c>
      <c r="I20" s="11">
        <f>IFERROR(__xludf.DUMMYFUNCTION("""COMPUTED_VALUE"""),43075.66666666667)</f>
        <v>43075.66667</v>
      </c>
      <c r="J20" s="9">
        <f>IFERROR(__xludf.DUMMYFUNCTION("""COMPUTED_VALUE"""),1018.38)</f>
        <v>1018.38</v>
      </c>
      <c r="L20" s="11">
        <f>IFERROR(__xludf.DUMMYFUNCTION("""COMPUTED_VALUE"""),43075.66666666667)</f>
        <v>43075.66667</v>
      </c>
      <c r="M20" s="9">
        <f>IFERROR(__xludf.DUMMYFUNCTION("""COMPUTED_VALUE"""),41.88)</f>
        <v>41.88</v>
      </c>
      <c r="N20" s="11">
        <f>IFERROR(__xludf.DUMMYFUNCTION("""COMPUTED_VALUE"""),43075.66666666667)</f>
        <v>43075.66667</v>
      </c>
      <c r="O20" s="9">
        <f>IFERROR(__xludf.DUMMYFUNCTION("""COMPUTED_VALUE"""),42.25)</f>
        <v>42.25</v>
      </c>
      <c r="Q20" s="11">
        <f>IFERROR(__xludf.DUMMYFUNCTION("""COMPUTED_VALUE"""),43075.66666666667)</f>
        <v>43075.66667</v>
      </c>
      <c r="R20" s="9">
        <f>IFERROR(__xludf.DUMMYFUNCTION("""COMPUTED_VALUE"""),172.5)</f>
        <v>172.5</v>
      </c>
      <c r="S20" s="11">
        <f>IFERROR(__xludf.DUMMYFUNCTION("""COMPUTED_VALUE"""),43075.66666666667)</f>
        <v>43075.66667</v>
      </c>
      <c r="T20" s="9">
        <f>IFERROR(__xludf.DUMMYFUNCTION("""COMPUTED_VALUE"""),176.06)</f>
        <v>176.06</v>
      </c>
      <c r="V20" s="11">
        <f>IFERROR(__xludf.DUMMYFUNCTION("""COMPUTED_VALUE"""),43075.66666666667)</f>
        <v>43075.66667</v>
      </c>
      <c r="W20" s="9">
        <f>IFERROR(__xludf.DUMMYFUNCTION("""COMPUTED_VALUE"""),183.38)</f>
        <v>183.38</v>
      </c>
      <c r="X20" s="11">
        <f>IFERROR(__xludf.DUMMYFUNCTION("""COMPUTED_VALUE"""),43075.66666666667)</f>
        <v>43075.66667</v>
      </c>
      <c r="Y20" s="9">
        <f>IFERROR(__xludf.DUMMYFUNCTION("""COMPUTED_VALUE"""),185.3)</f>
        <v>185.3</v>
      </c>
      <c r="AA20" s="11">
        <f>IFERROR(__xludf.DUMMYFUNCTION("""COMPUTED_VALUE"""),43075.66666666667)</f>
        <v>43075.66667</v>
      </c>
      <c r="AB20" s="9">
        <f>IFERROR(__xludf.DUMMYFUNCTION("""COMPUTED_VALUE"""),1137.99)</f>
        <v>1137.99</v>
      </c>
      <c r="AC20" s="11">
        <f>IFERROR(__xludf.DUMMYFUNCTION("""COMPUTED_VALUE"""),43075.66666666667)</f>
        <v>43075.66667</v>
      </c>
      <c r="AD20" s="9">
        <f>IFERROR(__xludf.DUMMYFUNCTION("""COMPUTED_VALUE"""),1152.35)</f>
        <v>1152.35</v>
      </c>
    </row>
    <row r="21">
      <c r="B21" s="11">
        <f>IFERROR(__xludf.DUMMYFUNCTION("""COMPUTED_VALUE"""),43076.66666666667)</f>
        <v>43076.66667</v>
      </c>
      <c r="C21" s="9">
        <f>IFERROR(__xludf.DUMMYFUNCTION("""COMPUTED_VALUE"""),62.4)</f>
        <v>62.4</v>
      </c>
      <c r="D21" s="11">
        <f>IFERROR(__xludf.DUMMYFUNCTION("""COMPUTED_VALUE"""),43076.66666666667)</f>
        <v>43076.66667</v>
      </c>
      <c r="E21" s="9">
        <f>IFERROR(__xludf.DUMMYFUNCTION("""COMPUTED_VALUE"""),62.25)</f>
        <v>62.25</v>
      </c>
      <c r="G21" s="11">
        <f>IFERROR(__xludf.DUMMYFUNCTION("""COMPUTED_VALUE"""),43076.66666666667)</f>
        <v>43076.66667</v>
      </c>
      <c r="H21" s="9">
        <f>IFERROR(__xludf.DUMMYFUNCTION("""COMPUTED_VALUE"""),1020.43)</f>
        <v>1020.43</v>
      </c>
      <c r="I21" s="11">
        <f>IFERROR(__xludf.DUMMYFUNCTION("""COMPUTED_VALUE"""),43076.66666666667)</f>
        <v>43076.66667</v>
      </c>
      <c r="J21" s="9">
        <f>IFERROR(__xludf.DUMMYFUNCTION("""COMPUTED_VALUE"""),1030.93)</f>
        <v>1030.93</v>
      </c>
      <c r="L21" s="11">
        <f>IFERROR(__xludf.DUMMYFUNCTION("""COMPUTED_VALUE"""),43076.66666666667)</f>
        <v>43076.66667</v>
      </c>
      <c r="M21" s="9">
        <f>IFERROR(__xludf.DUMMYFUNCTION("""COMPUTED_VALUE"""),42.26)</f>
        <v>42.26</v>
      </c>
      <c r="N21" s="11">
        <f>IFERROR(__xludf.DUMMYFUNCTION("""COMPUTED_VALUE"""),43076.66666666667)</f>
        <v>43076.66667</v>
      </c>
      <c r="O21" s="9">
        <f>IFERROR(__xludf.DUMMYFUNCTION("""COMPUTED_VALUE"""),42.33)</f>
        <v>42.33</v>
      </c>
      <c r="Q21" s="11">
        <f>IFERROR(__xludf.DUMMYFUNCTION("""COMPUTED_VALUE"""),43076.66666666667)</f>
        <v>43076.66667</v>
      </c>
      <c r="R21" s="9">
        <f>IFERROR(__xludf.DUMMYFUNCTION("""COMPUTED_VALUE"""),175.8)</f>
        <v>175.8</v>
      </c>
      <c r="S21" s="11">
        <f>IFERROR(__xludf.DUMMYFUNCTION("""COMPUTED_VALUE"""),43076.66666666667)</f>
        <v>43076.66667</v>
      </c>
      <c r="T21" s="9">
        <f>IFERROR(__xludf.DUMMYFUNCTION("""COMPUTED_VALUE"""),180.14)</f>
        <v>180.14</v>
      </c>
      <c r="V21" s="11">
        <f>IFERROR(__xludf.DUMMYFUNCTION("""COMPUTED_VALUE"""),43076.66666666667)</f>
        <v>43076.66667</v>
      </c>
      <c r="W21" s="9">
        <f>IFERROR(__xludf.DUMMYFUNCTION("""COMPUTED_VALUE"""),185.71)</f>
        <v>185.71</v>
      </c>
      <c r="X21" s="11">
        <f>IFERROR(__xludf.DUMMYFUNCTION("""COMPUTED_VALUE"""),43076.66666666667)</f>
        <v>43076.66667</v>
      </c>
      <c r="Y21" s="9">
        <f>IFERROR(__xludf.DUMMYFUNCTION("""COMPUTED_VALUE"""),185.2)</f>
        <v>185.2</v>
      </c>
      <c r="AA21" s="11">
        <f>IFERROR(__xludf.DUMMYFUNCTION("""COMPUTED_VALUE"""),43076.66666666667)</f>
        <v>43076.66667</v>
      </c>
      <c r="AB21" s="9">
        <f>IFERROR(__xludf.DUMMYFUNCTION("""COMPUTED_VALUE"""),1156.59)</f>
        <v>1156.59</v>
      </c>
      <c r="AC21" s="11">
        <f>IFERROR(__xludf.DUMMYFUNCTION("""COMPUTED_VALUE"""),43076.66666666667)</f>
        <v>43076.66667</v>
      </c>
      <c r="AD21" s="9">
        <f>IFERROR(__xludf.DUMMYFUNCTION("""COMPUTED_VALUE"""),1159.79)</f>
        <v>1159.79</v>
      </c>
    </row>
    <row r="22">
      <c r="B22" s="11">
        <f>IFERROR(__xludf.DUMMYFUNCTION("""COMPUTED_VALUE"""),43077.66666666667)</f>
        <v>43077.66667</v>
      </c>
      <c r="C22" s="9">
        <f>IFERROR(__xludf.DUMMYFUNCTION("""COMPUTED_VALUE"""),62.92)</f>
        <v>62.92</v>
      </c>
      <c r="D22" s="11">
        <f>IFERROR(__xludf.DUMMYFUNCTION("""COMPUTED_VALUE"""),43077.66666666667)</f>
        <v>43077.66667</v>
      </c>
      <c r="E22" s="9">
        <f>IFERROR(__xludf.DUMMYFUNCTION("""COMPUTED_VALUE"""),63.03)</f>
        <v>63.03</v>
      </c>
      <c r="G22" s="11">
        <f>IFERROR(__xludf.DUMMYFUNCTION("""COMPUTED_VALUE"""),43077.66666666667)</f>
        <v>43077.66667</v>
      </c>
      <c r="H22" s="9">
        <f>IFERROR(__xludf.DUMMYFUNCTION("""COMPUTED_VALUE"""),1037.49)</f>
        <v>1037.49</v>
      </c>
      <c r="I22" s="11">
        <f>IFERROR(__xludf.DUMMYFUNCTION("""COMPUTED_VALUE"""),43077.66666666667)</f>
        <v>43077.66667</v>
      </c>
      <c r="J22" s="9">
        <f>IFERROR(__xludf.DUMMYFUNCTION("""COMPUTED_VALUE"""),1037.05)</f>
        <v>1037.05</v>
      </c>
      <c r="L22" s="11">
        <f>IFERROR(__xludf.DUMMYFUNCTION("""COMPUTED_VALUE"""),43077.66666666667)</f>
        <v>43077.66667</v>
      </c>
      <c r="M22" s="9">
        <f>IFERROR(__xludf.DUMMYFUNCTION("""COMPUTED_VALUE"""),42.62)</f>
        <v>42.62</v>
      </c>
      <c r="N22" s="11">
        <f>IFERROR(__xludf.DUMMYFUNCTION("""COMPUTED_VALUE"""),43077.66666666667)</f>
        <v>43077.66667</v>
      </c>
      <c r="O22" s="9">
        <f>IFERROR(__xludf.DUMMYFUNCTION("""COMPUTED_VALUE"""),42.34)</f>
        <v>42.34</v>
      </c>
      <c r="Q22" s="11">
        <f>IFERROR(__xludf.DUMMYFUNCTION("""COMPUTED_VALUE"""),43077.66666666667)</f>
        <v>43077.66667</v>
      </c>
      <c r="R22" s="9">
        <f>IFERROR(__xludf.DUMMYFUNCTION("""COMPUTED_VALUE"""),181.53)</f>
        <v>181.53</v>
      </c>
      <c r="S22" s="11">
        <f>IFERROR(__xludf.DUMMYFUNCTION("""COMPUTED_VALUE"""),43077.66666666667)</f>
        <v>43077.66667</v>
      </c>
      <c r="T22" s="9">
        <f>IFERROR(__xludf.DUMMYFUNCTION("""COMPUTED_VALUE"""),179.0)</f>
        <v>179</v>
      </c>
      <c r="V22" s="11">
        <f>IFERROR(__xludf.DUMMYFUNCTION("""COMPUTED_VALUE"""),43077.66666666667)</f>
        <v>43077.66667</v>
      </c>
      <c r="W22" s="9">
        <f>IFERROR(__xludf.DUMMYFUNCTION("""COMPUTED_VALUE"""),186.5)</f>
        <v>186.5</v>
      </c>
      <c r="X22" s="11">
        <f>IFERROR(__xludf.DUMMYFUNCTION("""COMPUTED_VALUE"""),43077.66666666667)</f>
        <v>43077.66667</v>
      </c>
      <c r="Y22" s="9">
        <f>IFERROR(__xludf.DUMMYFUNCTION("""COMPUTED_VALUE"""),188.54)</f>
        <v>188.54</v>
      </c>
      <c r="AA22" s="11">
        <f>IFERROR(__xludf.DUMMYFUNCTION("""COMPUTED_VALUE"""),43077.66666666667)</f>
        <v>43077.66667</v>
      </c>
      <c r="AB22" s="9">
        <f>IFERROR(__xludf.DUMMYFUNCTION("""COMPUTED_VALUE"""),1170.4)</f>
        <v>1170.4</v>
      </c>
      <c r="AC22" s="11">
        <f>IFERROR(__xludf.DUMMYFUNCTION("""COMPUTED_VALUE"""),43077.66666666667)</f>
        <v>43077.66667</v>
      </c>
      <c r="AD22" s="9">
        <f>IFERROR(__xludf.DUMMYFUNCTION("""COMPUTED_VALUE"""),1162.0)</f>
        <v>1162</v>
      </c>
    </row>
    <row r="23">
      <c r="B23" s="11">
        <f>IFERROR(__xludf.DUMMYFUNCTION("""COMPUTED_VALUE"""),43080.66666666667)</f>
        <v>43080.66667</v>
      </c>
      <c r="C23" s="9">
        <f>IFERROR(__xludf.DUMMYFUNCTION("""COMPUTED_VALUE"""),62.93)</f>
        <v>62.93</v>
      </c>
      <c r="D23" s="11">
        <f>IFERROR(__xludf.DUMMYFUNCTION("""COMPUTED_VALUE"""),43080.66666666667)</f>
        <v>43080.66667</v>
      </c>
      <c r="E23" s="9">
        <f>IFERROR(__xludf.DUMMYFUNCTION("""COMPUTED_VALUE"""),65.78)</f>
        <v>65.78</v>
      </c>
      <c r="G23" s="11">
        <f>IFERROR(__xludf.DUMMYFUNCTION("""COMPUTED_VALUE"""),43080.66666666667)</f>
        <v>43080.66667</v>
      </c>
      <c r="H23" s="9">
        <f>IFERROR(__xludf.DUMMYFUNCTION("""COMPUTED_VALUE"""),1035.5)</f>
        <v>1035.5</v>
      </c>
      <c r="I23" s="11">
        <f>IFERROR(__xludf.DUMMYFUNCTION("""COMPUTED_VALUE"""),43080.66666666667)</f>
        <v>43080.66667</v>
      </c>
      <c r="J23" s="9">
        <f>IFERROR(__xludf.DUMMYFUNCTION("""COMPUTED_VALUE"""),1041.1)</f>
        <v>1041.1</v>
      </c>
      <c r="L23" s="11">
        <f>IFERROR(__xludf.DUMMYFUNCTION("""COMPUTED_VALUE"""),43080.66666666667)</f>
        <v>43080.66667</v>
      </c>
      <c r="M23" s="9">
        <f>IFERROR(__xludf.DUMMYFUNCTION("""COMPUTED_VALUE"""),42.3)</f>
        <v>42.3</v>
      </c>
      <c r="N23" s="11">
        <f>IFERROR(__xludf.DUMMYFUNCTION("""COMPUTED_VALUE"""),43080.66666666667)</f>
        <v>43080.66667</v>
      </c>
      <c r="O23" s="9">
        <f>IFERROR(__xludf.DUMMYFUNCTION("""COMPUTED_VALUE"""),43.17)</f>
        <v>43.17</v>
      </c>
      <c r="Q23" s="11">
        <f>IFERROR(__xludf.DUMMYFUNCTION("""COMPUTED_VALUE"""),43080.66666666667)</f>
        <v>43080.66667</v>
      </c>
      <c r="R23" s="9">
        <f>IFERROR(__xludf.DUMMYFUNCTION("""COMPUTED_VALUE"""),179.3)</f>
        <v>179.3</v>
      </c>
      <c r="S23" s="11">
        <f>IFERROR(__xludf.DUMMYFUNCTION("""COMPUTED_VALUE"""),43080.66666666667)</f>
        <v>43080.66667</v>
      </c>
      <c r="T23" s="9">
        <f>IFERROR(__xludf.DUMMYFUNCTION("""COMPUTED_VALUE"""),179.04)</f>
        <v>179.04</v>
      </c>
      <c r="V23" s="11">
        <f>IFERROR(__xludf.DUMMYFUNCTION("""COMPUTED_VALUE"""),43080.66666666667)</f>
        <v>43080.66667</v>
      </c>
      <c r="W23" s="9">
        <f>IFERROR(__xludf.DUMMYFUNCTION("""COMPUTED_VALUE"""),187.85)</f>
        <v>187.85</v>
      </c>
      <c r="X23" s="11">
        <f>IFERROR(__xludf.DUMMYFUNCTION("""COMPUTED_VALUE"""),43080.66666666667)</f>
        <v>43080.66667</v>
      </c>
      <c r="Y23" s="9">
        <f>IFERROR(__xludf.DUMMYFUNCTION("""COMPUTED_VALUE"""),186.22)</f>
        <v>186.22</v>
      </c>
      <c r="AA23" s="11">
        <f>IFERROR(__xludf.DUMMYFUNCTION("""COMPUTED_VALUE"""),43080.66666666667)</f>
        <v>43080.66667</v>
      </c>
      <c r="AB23" s="9">
        <f>IFERROR(__xludf.DUMMYFUNCTION("""COMPUTED_VALUE"""),1164.6)</f>
        <v>1164.6</v>
      </c>
      <c r="AC23" s="11">
        <f>IFERROR(__xludf.DUMMYFUNCTION("""COMPUTED_VALUE"""),43080.66666666667)</f>
        <v>43080.66667</v>
      </c>
      <c r="AD23" s="9">
        <f>IFERROR(__xludf.DUMMYFUNCTION("""COMPUTED_VALUE"""),1168.92)</f>
        <v>1168.92</v>
      </c>
    </row>
    <row r="24">
      <c r="B24" s="11">
        <f>IFERROR(__xludf.DUMMYFUNCTION("""COMPUTED_VALUE"""),43081.66666666667)</f>
        <v>43081.66667</v>
      </c>
      <c r="C24" s="9">
        <f>IFERROR(__xludf.DUMMYFUNCTION("""COMPUTED_VALUE"""),66.09)</f>
        <v>66.09</v>
      </c>
      <c r="D24" s="11">
        <f>IFERROR(__xludf.DUMMYFUNCTION("""COMPUTED_VALUE"""),43081.66666666667)</f>
        <v>43081.66667</v>
      </c>
      <c r="E24" s="9">
        <f>IFERROR(__xludf.DUMMYFUNCTION("""COMPUTED_VALUE"""),68.21)</f>
        <v>68.21</v>
      </c>
      <c r="G24" s="11">
        <f>IFERROR(__xludf.DUMMYFUNCTION("""COMPUTED_VALUE"""),43081.66666666667)</f>
        <v>43081.66667</v>
      </c>
      <c r="H24" s="9">
        <f>IFERROR(__xludf.DUMMYFUNCTION("""COMPUTED_VALUE"""),1039.63)</f>
        <v>1039.63</v>
      </c>
      <c r="I24" s="11">
        <f>IFERROR(__xludf.DUMMYFUNCTION("""COMPUTED_VALUE"""),43081.66666666667)</f>
        <v>43081.66667</v>
      </c>
      <c r="J24" s="9">
        <f>IFERROR(__xludf.DUMMYFUNCTION("""COMPUTED_VALUE"""),1040.48)</f>
        <v>1040.48</v>
      </c>
      <c r="L24" s="11">
        <f>IFERROR(__xludf.DUMMYFUNCTION("""COMPUTED_VALUE"""),43081.66666666667)</f>
        <v>43081.66667</v>
      </c>
      <c r="M24" s="9">
        <f>IFERROR(__xludf.DUMMYFUNCTION("""COMPUTED_VALUE"""),43.04)</f>
        <v>43.04</v>
      </c>
      <c r="N24" s="11">
        <f>IFERROR(__xludf.DUMMYFUNCTION("""COMPUTED_VALUE"""),43081.66666666667)</f>
        <v>43081.66667</v>
      </c>
      <c r="O24" s="9">
        <f>IFERROR(__xludf.DUMMYFUNCTION("""COMPUTED_VALUE"""),42.93)</f>
        <v>42.93</v>
      </c>
      <c r="Q24" s="11">
        <f>IFERROR(__xludf.DUMMYFUNCTION("""COMPUTED_VALUE"""),43081.66666666667)</f>
        <v>43081.66667</v>
      </c>
      <c r="R24" s="9">
        <f>IFERROR(__xludf.DUMMYFUNCTION("""COMPUTED_VALUE"""),178.6)</f>
        <v>178.6</v>
      </c>
      <c r="S24" s="11">
        <f>IFERROR(__xludf.DUMMYFUNCTION("""COMPUTED_VALUE"""),43081.66666666667)</f>
        <v>43081.66667</v>
      </c>
      <c r="T24" s="9">
        <f>IFERROR(__xludf.DUMMYFUNCTION("""COMPUTED_VALUE"""),176.96)</f>
        <v>176.96</v>
      </c>
      <c r="V24" s="11">
        <f>IFERROR(__xludf.DUMMYFUNCTION("""COMPUTED_VALUE"""),43081.66666666667)</f>
        <v>43081.66667</v>
      </c>
      <c r="W24" s="9">
        <f>IFERROR(__xludf.DUMMYFUNCTION("""COMPUTED_VALUE"""),186.01)</f>
        <v>186.01</v>
      </c>
      <c r="X24" s="11">
        <f>IFERROR(__xludf.DUMMYFUNCTION("""COMPUTED_VALUE"""),43081.66666666667)</f>
        <v>43081.66667</v>
      </c>
      <c r="Y24" s="9">
        <f>IFERROR(__xludf.DUMMYFUNCTION("""COMPUTED_VALUE"""),185.73)</f>
        <v>185.73</v>
      </c>
      <c r="AA24" s="11">
        <f>IFERROR(__xludf.DUMMYFUNCTION("""COMPUTED_VALUE"""),43081.66666666667)</f>
        <v>43081.66667</v>
      </c>
      <c r="AB24" s="9">
        <f>IFERROR(__xludf.DUMMYFUNCTION("""COMPUTED_VALUE"""),1166.51)</f>
        <v>1166.51</v>
      </c>
      <c r="AC24" s="11">
        <f>IFERROR(__xludf.DUMMYFUNCTION("""COMPUTED_VALUE"""),43081.66666666667)</f>
        <v>43081.66667</v>
      </c>
      <c r="AD24" s="9">
        <f>IFERROR(__xludf.DUMMYFUNCTION("""COMPUTED_VALUE"""),1165.08)</f>
        <v>1165.08</v>
      </c>
    </row>
    <row r="25">
      <c r="B25" s="11">
        <f>IFERROR(__xludf.DUMMYFUNCTION("""COMPUTED_VALUE"""),43082.66666666667)</f>
        <v>43082.66667</v>
      </c>
      <c r="C25" s="9">
        <f>IFERROR(__xludf.DUMMYFUNCTION("""COMPUTED_VALUE"""),68.19)</f>
        <v>68.19</v>
      </c>
      <c r="D25" s="11">
        <f>IFERROR(__xludf.DUMMYFUNCTION("""COMPUTED_VALUE"""),43082.66666666667)</f>
        <v>43082.66667</v>
      </c>
      <c r="E25" s="9">
        <f>IFERROR(__xludf.DUMMYFUNCTION("""COMPUTED_VALUE"""),67.81)</f>
        <v>67.81</v>
      </c>
      <c r="G25" s="11">
        <f>IFERROR(__xludf.DUMMYFUNCTION("""COMPUTED_VALUE"""),43082.66666666667)</f>
        <v>43082.66667</v>
      </c>
      <c r="H25" s="9">
        <f>IFERROR(__xludf.DUMMYFUNCTION("""COMPUTED_VALUE"""),1046.12)</f>
        <v>1046.12</v>
      </c>
      <c r="I25" s="11">
        <f>IFERROR(__xludf.DUMMYFUNCTION("""COMPUTED_VALUE"""),43082.66666666667)</f>
        <v>43082.66667</v>
      </c>
      <c r="J25" s="9">
        <f>IFERROR(__xludf.DUMMYFUNCTION("""COMPUTED_VALUE"""),1040.61)</f>
        <v>1040.61</v>
      </c>
      <c r="L25" s="11">
        <f>IFERROR(__xludf.DUMMYFUNCTION("""COMPUTED_VALUE"""),43082.66666666667)</f>
        <v>43082.66667</v>
      </c>
      <c r="M25" s="9">
        <f>IFERROR(__xludf.DUMMYFUNCTION("""COMPUTED_VALUE"""),43.13)</f>
        <v>43.13</v>
      </c>
      <c r="N25" s="11">
        <f>IFERROR(__xludf.DUMMYFUNCTION("""COMPUTED_VALUE"""),43082.66666666667)</f>
        <v>43082.66667</v>
      </c>
      <c r="O25" s="9">
        <f>IFERROR(__xludf.DUMMYFUNCTION("""COMPUTED_VALUE"""),43.07)</f>
        <v>43.07</v>
      </c>
      <c r="Q25" s="11">
        <f>IFERROR(__xludf.DUMMYFUNCTION("""COMPUTED_VALUE"""),43082.66666666667)</f>
        <v>43082.66667</v>
      </c>
      <c r="R25" s="9">
        <f>IFERROR(__xludf.DUMMYFUNCTION("""COMPUTED_VALUE"""),177.3)</f>
        <v>177.3</v>
      </c>
      <c r="S25" s="11">
        <f>IFERROR(__xludf.DUMMYFUNCTION("""COMPUTED_VALUE"""),43082.66666666667)</f>
        <v>43082.66667</v>
      </c>
      <c r="T25" s="9">
        <f>IFERROR(__xludf.DUMMYFUNCTION("""COMPUTED_VALUE"""),178.3)</f>
        <v>178.3</v>
      </c>
      <c r="V25" s="11">
        <f>IFERROR(__xludf.DUMMYFUNCTION("""COMPUTED_VALUE"""),43082.66666666667)</f>
        <v>43082.66667</v>
      </c>
      <c r="W25" s="9">
        <f>IFERROR(__xludf.DUMMYFUNCTION("""COMPUTED_VALUE"""),186.1)</f>
        <v>186.1</v>
      </c>
      <c r="X25" s="11">
        <f>IFERROR(__xludf.DUMMYFUNCTION("""COMPUTED_VALUE"""),43082.66666666667)</f>
        <v>43082.66667</v>
      </c>
      <c r="Y25" s="9">
        <f>IFERROR(__xludf.DUMMYFUNCTION("""COMPUTED_VALUE"""),187.86)</f>
        <v>187.86</v>
      </c>
      <c r="AA25" s="11">
        <f>IFERROR(__xludf.DUMMYFUNCTION("""COMPUTED_VALUE"""),43082.66666666667)</f>
        <v>43082.66667</v>
      </c>
      <c r="AB25" s="9">
        <f>IFERROR(__xludf.DUMMYFUNCTION("""COMPUTED_VALUE"""),1170.0)</f>
        <v>1170</v>
      </c>
      <c r="AC25" s="11">
        <f>IFERROR(__xludf.DUMMYFUNCTION("""COMPUTED_VALUE"""),43082.66666666667)</f>
        <v>43082.66667</v>
      </c>
      <c r="AD25" s="9">
        <f>IFERROR(__xludf.DUMMYFUNCTION("""COMPUTED_VALUE"""),1164.13)</f>
        <v>1164.13</v>
      </c>
    </row>
    <row r="26">
      <c r="B26" s="11">
        <f>IFERROR(__xludf.DUMMYFUNCTION("""COMPUTED_VALUE"""),43083.66666666667)</f>
        <v>43083.66667</v>
      </c>
      <c r="C26" s="9">
        <f>IFERROR(__xludf.DUMMYFUNCTION("""COMPUTED_VALUE"""),68.2)</f>
        <v>68.2</v>
      </c>
      <c r="D26" s="11">
        <f>IFERROR(__xludf.DUMMYFUNCTION("""COMPUTED_VALUE"""),43083.66666666667)</f>
        <v>43083.66667</v>
      </c>
      <c r="E26" s="9">
        <f>IFERROR(__xludf.DUMMYFUNCTION("""COMPUTED_VALUE"""),67.58)</f>
        <v>67.58</v>
      </c>
      <c r="G26" s="11">
        <f>IFERROR(__xludf.DUMMYFUNCTION("""COMPUTED_VALUE"""),43083.66666666667)</f>
        <v>43083.66667</v>
      </c>
      <c r="H26" s="9">
        <f>IFERROR(__xludf.DUMMYFUNCTION("""COMPUTED_VALUE"""),1045.0)</f>
        <v>1045</v>
      </c>
      <c r="I26" s="11">
        <f>IFERROR(__xludf.DUMMYFUNCTION("""COMPUTED_VALUE"""),43083.66666666667)</f>
        <v>43083.66667</v>
      </c>
      <c r="J26" s="9">
        <f>IFERROR(__xludf.DUMMYFUNCTION("""COMPUTED_VALUE"""),1049.15)</f>
        <v>1049.15</v>
      </c>
      <c r="L26" s="11">
        <f>IFERROR(__xludf.DUMMYFUNCTION("""COMPUTED_VALUE"""),43083.66666666667)</f>
        <v>43083.66667</v>
      </c>
      <c r="M26" s="9">
        <f>IFERROR(__xludf.DUMMYFUNCTION("""COMPUTED_VALUE"""),43.1)</f>
        <v>43.1</v>
      </c>
      <c r="N26" s="11">
        <f>IFERROR(__xludf.DUMMYFUNCTION("""COMPUTED_VALUE"""),43083.66666666667)</f>
        <v>43083.66667</v>
      </c>
      <c r="O26" s="9">
        <f>IFERROR(__xludf.DUMMYFUNCTION("""COMPUTED_VALUE"""),43.06)</f>
        <v>43.06</v>
      </c>
      <c r="Q26" s="11">
        <f>IFERROR(__xludf.DUMMYFUNCTION("""COMPUTED_VALUE"""),43083.66666666667)</f>
        <v>43083.66667</v>
      </c>
      <c r="R26" s="9">
        <f>IFERROR(__xludf.DUMMYFUNCTION("""COMPUTED_VALUE"""),178.29)</f>
        <v>178.29</v>
      </c>
      <c r="S26" s="11">
        <f>IFERROR(__xludf.DUMMYFUNCTION("""COMPUTED_VALUE"""),43083.66666666667)</f>
        <v>43083.66667</v>
      </c>
      <c r="T26" s="9">
        <f>IFERROR(__xludf.DUMMYFUNCTION("""COMPUTED_VALUE"""),178.39)</f>
        <v>178.39</v>
      </c>
      <c r="V26" s="11">
        <f>IFERROR(__xludf.DUMMYFUNCTION("""COMPUTED_VALUE"""),43083.66666666667)</f>
        <v>43083.66667</v>
      </c>
      <c r="W26" s="9">
        <f>IFERROR(__xludf.DUMMYFUNCTION("""COMPUTED_VALUE"""),187.98)</f>
        <v>187.98</v>
      </c>
      <c r="X26" s="11">
        <f>IFERROR(__xludf.DUMMYFUNCTION("""COMPUTED_VALUE"""),43083.66666666667)</f>
        <v>43083.66667</v>
      </c>
      <c r="Y26" s="9">
        <f>IFERROR(__xludf.DUMMYFUNCTION("""COMPUTED_VALUE"""),189.56)</f>
        <v>189.56</v>
      </c>
      <c r="AA26" s="11">
        <f>IFERROR(__xludf.DUMMYFUNCTION("""COMPUTED_VALUE"""),43083.66666666667)</f>
        <v>43083.66667</v>
      </c>
      <c r="AB26" s="9">
        <f>IFERROR(__xludf.DUMMYFUNCTION("""COMPUTED_VALUE"""),1163.71)</f>
        <v>1163.71</v>
      </c>
      <c r="AC26" s="11">
        <f>IFERROR(__xludf.DUMMYFUNCTION("""COMPUTED_VALUE"""),43083.66666666667)</f>
        <v>43083.66667</v>
      </c>
      <c r="AD26" s="9">
        <f>IFERROR(__xludf.DUMMYFUNCTION("""COMPUTED_VALUE"""),1174.26)</f>
        <v>1174.26</v>
      </c>
    </row>
    <row r="27">
      <c r="B27" s="11">
        <f>IFERROR(__xludf.DUMMYFUNCTION("""COMPUTED_VALUE"""),43084.66666666667)</f>
        <v>43084.66667</v>
      </c>
      <c r="C27" s="9">
        <f>IFERROR(__xludf.DUMMYFUNCTION("""COMPUTED_VALUE"""),68.41)</f>
        <v>68.41</v>
      </c>
      <c r="D27" s="11">
        <f>IFERROR(__xludf.DUMMYFUNCTION("""COMPUTED_VALUE"""),43084.66666666667)</f>
        <v>43084.66667</v>
      </c>
      <c r="E27" s="9">
        <f>IFERROR(__xludf.DUMMYFUNCTION("""COMPUTED_VALUE"""),68.69)</f>
        <v>68.69</v>
      </c>
      <c r="G27" s="11">
        <f>IFERROR(__xludf.DUMMYFUNCTION("""COMPUTED_VALUE"""),43084.66666666667)</f>
        <v>43084.66667</v>
      </c>
      <c r="H27" s="9">
        <f>IFERROR(__xludf.DUMMYFUNCTION("""COMPUTED_VALUE"""),1054.61)</f>
        <v>1054.61</v>
      </c>
      <c r="I27" s="11">
        <f>IFERROR(__xludf.DUMMYFUNCTION("""COMPUTED_VALUE"""),43084.66666666667)</f>
        <v>43084.66667</v>
      </c>
      <c r="J27" s="9">
        <f>IFERROR(__xludf.DUMMYFUNCTION("""COMPUTED_VALUE"""),1064.19)</f>
        <v>1064.19</v>
      </c>
      <c r="L27" s="11">
        <f>IFERROR(__xludf.DUMMYFUNCTION("""COMPUTED_VALUE"""),43084.66666666667)</f>
        <v>43084.66667</v>
      </c>
      <c r="M27" s="9">
        <f>IFERROR(__xludf.DUMMYFUNCTION("""COMPUTED_VALUE"""),43.41)</f>
        <v>43.41</v>
      </c>
      <c r="N27" s="11">
        <f>IFERROR(__xludf.DUMMYFUNCTION("""COMPUTED_VALUE"""),43084.66666666667)</f>
        <v>43084.66667</v>
      </c>
      <c r="O27" s="9">
        <f>IFERROR(__xludf.DUMMYFUNCTION("""COMPUTED_VALUE"""),43.49)</f>
        <v>43.49</v>
      </c>
      <c r="Q27" s="11">
        <f>IFERROR(__xludf.DUMMYFUNCTION("""COMPUTED_VALUE"""),43084.66666666667)</f>
        <v>43084.66667</v>
      </c>
      <c r="R27" s="9">
        <f>IFERROR(__xludf.DUMMYFUNCTION("""COMPUTED_VALUE"""),179.02)</f>
        <v>179.02</v>
      </c>
      <c r="S27" s="11">
        <f>IFERROR(__xludf.DUMMYFUNCTION("""COMPUTED_VALUE"""),43084.66666666667)</f>
        <v>43084.66667</v>
      </c>
      <c r="T27" s="9">
        <f>IFERROR(__xludf.DUMMYFUNCTION("""COMPUTED_VALUE"""),180.18)</f>
        <v>180.18</v>
      </c>
      <c r="V27" s="11">
        <f>IFERROR(__xludf.DUMMYFUNCTION("""COMPUTED_VALUE"""),43084.66666666667)</f>
        <v>43084.66667</v>
      </c>
      <c r="W27" s="9">
        <f>IFERROR(__xludf.DUMMYFUNCTION("""COMPUTED_VALUE"""),189.61)</f>
        <v>189.61</v>
      </c>
      <c r="X27" s="11">
        <f>IFERROR(__xludf.DUMMYFUNCTION("""COMPUTED_VALUE"""),43084.66666666667)</f>
        <v>43084.66667</v>
      </c>
      <c r="Y27" s="9">
        <f>IFERROR(__xludf.DUMMYFUNCTION("""COMPUTED_VALUE"""),190.12)</f>
        <v>190.12</v>
      </c>
      <c r="AA27" s="11">
        <f>IFERROR(__xludf.DUMMYFUNCTION("""COMPUTED_VALUE"""),43084.66666666667)</f>
        <v>43084.66667</v>
      </c>
      <c r="AB27" s="9">
        <f>IFERROR(__xludf.DUMMYFUNCTION("""COMPUTED_VALUE"""),1179.03)</f>
        <v>1179.03</v>
      </c>
      <c r="AC27" s="11">
        <f>IFERROR(__xludf.DUMMYFUNCTION("""COMPUTED_VALUE"""),43084.66666666667)</f>
        <v>43084.66667</v>
      </c>
      <c r="AD27" s="9">
        <f>IFERROR(__xludf.DUMMYFUNCTION("""COMPUTED_VALUE"""),1179.14)</f>
        <v>1179.14</v>
      </c>
    </row>
    <row r="28">
      <c r="B28" s="11">
        <f>IFERROR(__xludf.DUMMYFUNCTION("""COMPUTED_VALUE"""),43087.66666666667)</f>
        <v>43087.66667</v>
      </c>
      <c r="C28" s="9">
        <f>IFERROR(__xludf.DUMMYFUNCTION("""COMPUTED_VALUE"""),68.98)</f>
        <v>68.98</v>
      </c>
      <c r="D28" s="11">
        <f>IFERROR(__xludf.DUMMYFUNCTION("""COMPUTED_VALUE"""),43087.66666666667)</f>
        <v>43087.66667</v>
      </c>
      <c r="E28" s="9">
        <f>IFERROR(__xludf.DUMMYFUNCTION("""COMPUTED_VALUE"""),67.77)</f>
        <v>67.77</v>
      </c>
      <c r="G28" s="11">
        <f>IFERROR(__xludf.DUMMYFUNCTION("""COMPUTED_VALUE"""),43087.66666666667)</f>
        <v>43087.66667</v>
      </c>
      <c r="H28" s="9">
        <f>IFERROR(__xludf.DUMMYFUNCTION("""COMPUTED_VALUE"""),1066.08)</f>
        <v>1066.08</v>
      </c>
      <c r="I28" s="11">
        <f>IFERROR(__xludf.DUMMYFUNCTION("""COMPUTED_VALUE"""),43087.66666666667)</f>
        <v>43087.66667</v>
      </c>
      <c r="J28" s="9">
        <f>IFERROR(__xludf.DUMMYFUNCTION("""COMPUTED_VALUE"""),1077.14)</f>
        <v>1077.14</v>
      </c>
      <c r="L28" s="11">
        <f>IFERROR(__xludf.DUMMYFUNCTION("""COMPUTED_VALUE"""),43087.66666666667)</f>
        <v>43087.66667</v>
      </c>
      <c r="M28" s="9">
        <f>IFERROR(__xludf.DUMMYFUNCTION("""COMPUTED_VALUE"""),43.72)</f>
        <v>43.72</v>
      </c>
      <c r="N28" s="11">
        <f>IFERROR(__xludf.DUMMYFUNCTION("""COMPUTED_VALUE"""),43087.66666666667)</f>
        <v>43087.66667</v>
      </c>
      <c r="O28" s="9">
        <f>IFERROR(__xludf.DUMMYFUNCTION("""COMPUTED_VALUE"""),44.11)</f>
        <v>44.11</v>
      </c>
      <c r="Q28" s="11">
        <f>IFERROR(__xludf.DUMMYFUNCTION("""COMPUTED_VALUE"""),43087.66666666667)</f>
        <v>43087.66667</v>
      </c>
      <c r="R28" s="9">
        <f>IFERROR(__xludf.DUMMYFUNCTION("""COMPUTED_VALUE"""),181.01)</f>
        <v>181.01</v>
      </c>
      <c r="S28" s="11">
        <f>IFERROR(__xludf.DUMMYFUNCTION("""COMPUTED_VALUE"""),43087.66666666667)</f>
        <v>43087.66667</v>
      </c>
      <c r="T28" s="9">
        <f>IFERROR(__xludf.DUMMYFUNCTION("""COMPUTED_VALUE"""),180.82)</f>
        <v>180.82</v>
      </c>
      <c r="V28" s="11">
        <f>IFERROR(__xludf.DUMMYFUNCTION("""COMPUTED_VALUE"""),43087.66666666667)</f>
        <v>43087.66667</v>
      </c>
      <c r="W28" s="9">
        <f>IFERROR(__xludf.DUMMYFUNCTION("""COMPUTED_VALUE"""),191.2)</f>
        <v>191.2</v>
      </c>
      <c r="X28" s="11">
        <f>IFERROR(__xludf.DUMMYFUNCTION("""COMPUTED_VALUE"""),43087.66666666667)</f>
        <v>43087.66667</v>
      </c>
      <c r="Y28" s="9">
        <f>IFERROR(__xludf.DUMMYFUNCTION("""COMPUTED_VALUE"""),190.42)</f>
        <v>190.42</v>
      </c>
      <c r="AA28" s="11">
        <f>IFERROR(__xludf.DUMMYFUNCTION("""COMPUTED_VALUE"""),43087.66666666667)</f>
        <v>43087.66667</v>
      </c>
      <c r="AB28" s="9">
        <f>IFERROR(__xludf.DUMMYFUNCTION("""COMPUTED_VALUE"""),1187.37)</f>
        <v>1187.37</v>
      </c>
      <c r="AC28" s="11">
        <f>IFERROR(__xludf.DUMMYFUNCTION("""COMPUTED_VALUE"""),43087.66666666667)</f>
        <v>43087.66667</v>
      </c>
      <c r="AD28" s="9">
        <f>IFERROR(__xludf.DUMMYFUNCTION("""COMPUTED_VALUE"""),1190.58)</f>
        <v>1190.58</v>
      </c>
    </row>
    <row r="29">
      <c r="B29" s="11">
        <f>IFERROR(__xludf.DUMMYFUNCTION("""COMPUTED_VALUE"""),43088.66666666667)</f>
        <v>43088.66667</v>
      </c>
      <c r="C29" s="9">
        <f>IFERROR(__xludf.DUMMYFUNCTION("""COMPUTED_VALUE"""),68.05)</f>
        <v>68.05</v>
      </c>
      <c r="D29" s="11">
        <f>IFERROR(__xludf.DUMMYFUNCTION("""COMPUTED_VALUE"""),43088.66666666667)</f>
        <v>43088.66667</v>
      </c>
      <c r="E29" s="9">
        <f>IFERROR(__xludf.DUMMYFUNCTION("""COMPUTED_VALUE"""),66.22)</f>
        <v>66.22</v>
      </c>
      <c r="G29" s="11">
        <f>IFERROR(__xludf.DUMMYFUNCTION("""COMPUTED_VALUE"""),43088.66666666667)</f>
        <v>43088.66667</v>
      </c>
      <c r="H29" s="9">
        <f>IFERROR(__xludf.DUMMYFUNCTION("""COMPUTED_VALUE"""),1075.2)</f>
        <v>1075.2</v>
      </c>
      <c r="I29" s="11">
        <f>IFERROR(__xludf.DUMMYFUNCTION("""COMPUTED_VALUE"""),43088.66666666667)</f>
        <v>43088.66667</v>
      </c>
      <c r="J29" s="9">
        <f>IFERROR(__xludf.DUMMYFUNCTION("""COMPUTED_VALUE"""),1070.68)</f>
        <v>1070.68</v>
      </c>
      <c r="L29" s="11">
        <f>IFERROR(__xludf.DUMMYFUNCTION("""COMPUTED_VALUE"""),43088.66666666667)</f>
        <v>43088.66667</v>
      </c>
      <c r="M29" s="9">
        <f>IFERROR(__xludf.DUMMYFUNCTION("""COMPUTED_VALUE"""),43.76)</f>
        <v>43.76</v>
      </c>
      <c r="N29" s="11">
        <f>IFERROR(__xludf.DUMMYFUNCTION("""COMPUTED_VALUE"""),43088.66666666667)</f>
        <v>43088.66667</v>
      </c>
      <c r="O29" s="9">
        <f>IFERROR(__xludf.DUMMYFUNCTION("""COMPUTED_VALUE"""),43.64)</f>
        <v>43.64</v>
      </c>
      <c r="Q29" s="11">
        <f>IFERROR(__xludf.DUMMYFUNCTION("""COMPUTED_VALUE"""),43088.66666666667)</f>
        <v>43088.66667</v>
      </c>
      <c r="R29" s="9">
        <f>IFERROR(__xludf.DUMMYFUNCTION("""COMPUTED_VALUE"""),179.95)</f>
        <v>179.95</v>
      </c>
      <c r="S29" s="11">
        <f>IFERROR(__xludf.DUMMYFUNCTION("""COMPUTED_VALUE"""),43088.66666666667)</f>
        <v>43088.66667</v>
      </c>
      <c r="T29" s="9">
        <f>IFERROR(__xludf.DUMMYFUNCTION("""COMPUTED_VALUE"""),179.51)</f>
        <v>179.51</v>
      </c>
      <c r="V29" s="11">
        <f>IFERROR(__xludf.DUMMYFUNCTION("""COMPUTED_VALUE"""),43088.66666666667)</f>
        <v>43088.66667</v>
      </c>
      <c r="W29" s="9">
        <f>IFERROR(__xludf.DUMMYFUNCTION("""COMPUTED_VALUE"""),190.18)</f>
        <v>190.18</v>
      </c>
      <c r="X29" s="11">
        <f>IFERROR(__xludf.DUMMYFUNCTION("""COMPUTED_VALUE"""),43088.66666666667)</f>
        <v>43088.66667</v>
      </c>
      <c r="Y29" s="9">
        <f>IFERROR(__xludf.DUMMYFUNCTION("""COMPUTED_VALUE"""),187.02)</f>
        <v>187.02</v>
      </c>
      <c r="AA29" s="11">
        <f>IFERROR(__xludf.DUMMYFUNCTION("""COMPUTED_VALUE"""),43088.66666666667)</f>
        <v>43088.66667</v>
      </c>
      <c r="AB29" s="9">
        <f>IFERROR(__xludf.DUMMYFUNCTION("""COMPUTED_VALUE"""),1189.15)</f>
        <v>1189.15</v>
      </c>
      <c r="AC29" s="11">
        <f>IFERROR(__xludf.DUMMYFUNCTION("""COMPUTED_VALUE"""),43088.66666666667)</f>
        <v>43088.66667</v>
      </c>
      <c r="AD29" s="9">
        <f>IFERROR(__xludf.DUMMYFUNCTION("""COMPUTED_VALUE"""),1187.38)</f>
        <v>1187.38</v>
      </c>
    </row>
    <row r="30">
      <c r="B30" s="11">
        <f>IFERROR(__xludf.DUMMYFUNCTION("""COMPUTED_VALUE"""),43089.66666666667)</f>
        <v>43089.66667</v>
      </c>
      <c r="C30" s="9">
        <f>IFERROR(__xludf.DUMMYFUNCTION("""COMPUTED_VALUE"""),66.54)</f>
        <v>66.54</v>
      </c>
      <c r="D30" s="11">
        <f>IFERROR(__xludf.DUMMYFUNCTION("""COMPUTED_VALUE"""),43089.66666666667)</f>
        <v>43089.66667</v>
      </c>
      <c r="E30" s="9">
        <f>IFERROR(__xludf.DUMMYFUNCTION("""COMPUTED_VALUE"""),65.8)</f>
        <v>65.8</v>
      </c>
      <c r="G30" s="11">
        <f>IFERROR(__xludf.DUMMYFUNCTION("""COMPUTED_VALUE"""),43089.66666666667)</f>
        <v>43089.66667</v>
      </c>
      <c r="H30" s="9">
        <f>IFERROR(__xludf.DUMMYFUNCTION("""COMPUTED_VALUE"""),1071.78)</f>
        <v>1071.78</v>
      </c>
      <c r="I30" s="11">
        <f>IFERROR(__xludf.DUMMYFUNCTION("""COMPUTED_VALUE"""),43089.66666666667)</f>
        <v>43089.66667</v>
      </c>
      <c r="J30" s="9">
        <f>IFERROR(__xludf.DUMMYFUNCTION("""COMPUTED_VALUE"""),1064.95)</f>
        <v>1064.95</v>
      </c>
      <c r="L30" s="11">
        <f>IFERROR(__xludf.DUMMYFUNCTION("""COMPUTED_VALUE"""),43089.66666666667)</f>
        <v>43089.66667</v>
      </c>
      <c r="M30" s="9">
        <f>IFERROR(__xludf.DUMMYFUNCTION("""COMPUTED_VALUE"""),43.72)</f>
        <v>43.72</v>
      </c>
      <c r="N30" s="11">
        <f>IFERROR(__xludf.DUMMYFUNCTION("""COMPUTED_VALUE"""),43089.66666666667)</f>
        <v>43089.66667</v>
      </c>
      <c r="O30" s="9">
        <f>IFERROR(__xludf.DUMMYFUNCTION("""COMPUTED_VALUE"""),43.59)</f>
        <v>43.59</v>
      </c>
      <c r="Q30" s="11">
        <f>IFERROR(__xludf.DUMMYFUNCTION("""COMPUTED_VALUE"""),43089.66666666667)</f>
        <v>43089.66667</v>
      </c>
      <c r="R30" s="9">
        <f>IFERROR(__xludf.DUMMYFUNCTION("""COMPUTED_VALUE"""),179.81)</f>
        <v>179.81</v>
      </c>
      <c r="S30" s="11">
        <f>IFERROR(__xludf.DUMMYFUNCTION("""COMPUTED_VALUE"""),43089.66666666667)</f>
        <v>43089.66667</v>
      </c>
      <c r="T30" s="9">
        <f>IFERROR(__xludf.DUMMYFUNCTION("""COMPUTED_VALUE"""),177.89)</f>
        <v>177.89</v>
      </c>
      <c r="V30" s="11">
        <f>IFERROR(__xludf.DUMMYFUNCTION("""COMPUTED_VALUE"""),43089.66666666667)</f>
        <v>43089.66667</v>
      </c>
      <c r="W30" s="9">
        <f>IFERROR(__xludf.DUMMYFUNCTION("""COMPUTED_VALUE"""),187.94)</f>
        <v>187.94</v>
      </c>
      <c r="X30" s="11">
        <f>IFERROR(__xludf.DUMMYFUNCTION("""COMPUTED_VALUE"""),43089.66666666667)</f>
        <v>43089.66667</v>
      </c>
      <c r="Y30" s="9">
        <f>IFERROR(__xludf.DUMMYFUNCTION("""COMPUTED_VALUE"""),188.82)</f>
        <v>188.82</v>
      </c>
      <c r="AA30" s="11">
        <f>IFERROR(__xludf.DUMMYFUNCTION("""COMPUTED_VALUE"""),43089.66666666667)</f>
        <v>43089.66667</v>
      </c>
      <c r="AB30" s="9">
        <f>IFERROR(__xludf.DUMMYFUNCTION("""COMPUTED_VALUE"""),1190.5)</f>
        <v>1190.5</v>
      </c>
      <c r="AC30" s="11">
        <f>IFERROR(__xludf.DUMMYFUNCTION("""COMPUTED_VALUE"""),43089.66666666667)</f>
        <v>43089.66667</v>
      </c>
      <c r="AD30" s="9">
        <f>IFERROR(__xludf.DUMMYFUNCTION("""COMPUTED_VALUE"""),1177.62)</f>
        <v>1177.62</v>
      </c>
    </row>
    <row r="31">
      <c r="B31" s="11">
        <f>IFERROR(__xludf.DUMMYFUNCTION("""COMPUTED_VALUE"""),43090.66666666667)</f>
        <v>43090.66667</v>
      </c>
      <c r="C31" s="9">
        <f>IFERROR(__xludf.DUMMYFUNCTION("""COMPUTED_VALUE"""),65.92)</f>
        <v>65.92</v>
      </c>
      <c r="D31" s="11">
        <f>IFERROR(__xludf.DUMMYFUNCTION("""COMPUTED_VALUE"""),43090.66666666667)</f>
        <v>43090.66667</v>
      </c>
      <c r="E31" s="9">
        <f>IFERROR(__xludf.DUMMYFUNCTION("""COMPUTED_VALUE"""),66.33)</f>
        <v>66.33</v>
      </c>
      <c r="G31" s="11">
        <f>IFERROR(__xludf.DUMMYFUNCTION("""COMPUTED_VALUE"""),43090.66666666667)</f>
        <v>43090.66667</v>
      </c>
      <c r="H31" s="9">
        <f>IFERROR(__xludf.DUMMYFUNCTION("""COMPUTED_VALUE"""),1064.95)</f>
        <v>1064.95</v>
      </c>
      <c r="I31" s="11">
        <f>IFERROR(__xludf.DUMMYFUNCTION("""COMPUTED_VALUE"""),43090.66666666667)</f>
        <v>43090.66667</v>
      </c>
      <c r="J31" s="9">
        <f>IFERROR(__xludf.DUMMYFUNCTION("""COMPUTED_VALUE"""),1063.63)</f>
        <v>1063.63</v>
      </c>
      <c r="L31" s="11">
        <f>IFERROR(__xludf.DUMMYFUNCTION("""COMPUTED_VALUE"""),43090.66666666667)</f>
        <v>43090.66667</v>
      </c>
      <c r="M31" s="9">
        <f>IFERROR(__xludf.DUMMYFUNCTION("""COMPUTED_VALUE"""),43.54)</f>
        <v>43.54</v>
      </c>
      <c r="N31" s="11">
        <f>IFERROR(__xludf.DUMMYFUNCTION("""COMPUTED_VALUE"""),43090.66666666667)</f>
        <v>43090.66667</v>
      </c>
      <c r="O31" s="9">
        <f>IFERROR(__xludf.DUMMYFUNCTION("""COMPUTED_VALUE"""),43.75)</f>
        <v>43.75</v>
      </c>
      <c r="Q31" s="11">
        <f>IFERROR(__xludf.DUMMYFUNCTION("""COMPUTED_VALUE"""),43090.66666666667)</f>
        <v>43090.66667</v>
      </c>
      <c r="R31" s="9">
        <f>IFERROR(__xludf.DUMMYFUNCTION("""COMPUTED_VALUE"""),177.94)</f>
        <v>177.94</v>
      </c>
      <c r="S31" s="11">
        <f>IFERROR(__xludf.DUMMYFUNCTION("""COMPUTED_VALUE"""),43090.66666666667)</f>
        <v>43090.66667</v>
      </c>
      <c r="T31" s="9">
        <f>IFERROR(__xludf.DUMMYFUNCTION("""COMPUTED_VALUE"""),177.45)</f>
        <v>177.45</v>
      </c>
      <c r="V31" s="11">
        <f>IFERROR(__xludf.DUMMYFUNCTION("""COMPUTED_VALUE"""),43090.66666666667)</f>
        <v>43090.66667</v>
      </c>
      <c r="W31" s="9">
        <f>IFERROR(__xludf.DUMMYFUNCTION("""COMPUTED_VALUE"""),189.44)</f>
        <v>189.44</v>
      </c>
      <c r="X31" s="11">
        <f>IFERROR(__xludf.DUMMYFUNCTION("""COMPUTED_VALUE"""),43090.66666666667)</f>
        <v>43090.66667</v>
      </c>
      <c r="Y31" s="9">
        <f>IFERROR(__xludf.DUMMYFUNCTION("""COMPUTED_VALUE"""),188.62)</f>
        <v>188.62</v>
      </c>
      <c r="AA31" s="11">
        <f>IFERROR(__xludf.DUMMYFUNCTION("""COMPUTED_VALUE"""),43090.66666666667)</f>
        <v>43090.66667</v>
      </c>
      <c r="AB31" s="9">
        <f>IFERROR(__xludf.DUMMYFUNCTION("""COMPUTED_VALUE"""),1175.9)</f>
        <v>1175.9</v>
      </c>
      <c r="AC31" s="11">
        <f>IFERROR(__xludf.DUMMYFUNCTION("""COMPUTED_VALUE"""),43090.66666666667)</f>
        <v>43090.66667</v>
      </c>
      <c r="AD31" s="9">
        <f>IFERROR(__xludf.DUMMYFUNCTION("""COMPUTED_VALUE"""),1174.76)</f>
        <v>1174.76</v>
      </c>
    </row>
    <row r="32">
      <c r="B32" s="11">
        <f>IFERROR(__xludf.DUMMYFUNCTION("""COMPUTED_VALUE"""),43091.66666666667)</f>
        <v>43091.66667</v>
      </c>
      <c r="C32" s="9">
        <f>IFERROR(__xludf.DUMMYFUNCTION("""COMPUTED_VALUE"""),65.9)</f>
        <v>65.9</v>
      </c>
      <c r="D32" s="11">
        <f>IFERROR(__xludf.DUMMYFUNCTION("""COMPUTED_VALUE"""),43091.66666666667)</f>
        <v>43091.66667</v>
      </c>
      <c r="E32" s="9">
        <f>IFERROR(__xludf.DUMMYFUNCTION("""COMPUTED_VALUE"""),65.04)</f>
        <v>65.04</v>
      </c>
      <c r="G32" s="11">
        <f>IFERROR(__xludf.DUMMYFUNCTION("""COMPUTED_VALUE"""),43091.66666666667)</f>
        <v>43091.66667</v>
      </c>
      <c r="H32" s="9">
        <f>IFERROR(__xludf.DUMMYFUNCTION("""COMPUTED_VALUE"""),1061.11)</f>
        <v>1061.11</v>
      </c>
      <c r="I32" s="11">
        <f>IFERROR(__xludf.DUMMYFUNCTION("""COMPUTED_VALUE"""),43091.66666666667)</f>
        <v>43091.66667</v>
      </c>
      <c r="J32" s="9">
        <f>IFERROR(__xludf.DUMMYFUNCTION("""COMPUTED_VALUE"""),1060.12)</f>
        <v>1060.12</v>
      </c>
      <c r="L32" s="11">
        <f>IFERROR(__xludf.DUMMYFUNCTION("""COMPUTED_VALUE"""),43091.66666666667)</f>
        <v>43091.66667</v>
      </c>
      <c r="M32" s="9">
        <f>IFERROR(__xludf.DUMMYFUNCTION("""COMPUTED_VALUE"""),43.67)</f>
        <v>43.67</v>
      </c>
      <c r="N32" s="11">
        <f>IFERROR(__xludf.DUMMYFUNCTION("""COMPUTED_VALUE"""),43091.66666666667)</f>
        <v>43091.66667</v>
      </c>
      <c r="O32" s="9">
        <f>IFERROR(__xludf.DUMMYFUNCTION("""COMPUTED_VALUE"""),43.75)</f>
        <v>43.75</v>
      </c>
      <c r="Q32" s="11">
        <f>IFERROR(__xludf.DUMMYFUNCTION("""COMPUTED_VALUE"""),43091.66666666667)</f>
        <v>43091.66667</v>
      </c>
      <c r="R32" s="9">
        <f>IFERROR(__xludf.DUMMYFUNCTION("""COMPUTED_VALUE"""),177.14)</f>
        <v>177.14</v>
      </c>
      <c r="S32" s="11">
        <f>IFERROR(__xludf.DUMMYFUNCTION("""COMPUTED_VALUE"""),43091.66666666667)</f>
        <v>43091.66667</v>
      </c>
      <c r="T32" s="9">
        <f>IFERROR(__xludf.DUMMYFUNCTION("""COMPUTED_VALUE"""),177.2)</f>
        <v>177.2</v>
      </c>
      <c r="V32" s="11">
        <f>IFERROR(__xludf.DUMMYFUNCTION("""COMPUTED_VALUE"""),43091.66666666667)</f>
        <v>43091.66667</v>
      </c>
      <c r="W32" s="9">
        <f>IFERROR(__xludf.DUMMYFUNCTION("""COMPUTED_VALUE"""),188.33)</f>
        <v>188.33</v>
      </c>
      <c r="X32" s="11">
        <f>IFERROR(__xludf.DUMMYFUNCTION("""COMPUTED_VALUE"""),43091.66666666667)</f>
        <v>43091.66667</v>
      </c>
      <c r="Y32" s="9">
        <f>IFERROR(__xludf.DUMMYFUNCTION("""COMPUTED_VALUE"""),189.94)</f>
        <v>189.94</v>
      </c>
      <c r="AA32" s="11">
        <f>IFERROR(__xludf.DUMMYFUNCTION("""COMPUTED_VALUE"""),43091.66666666667)</f>
        <v>43091.66667</v>
      </c>
      <c r="AB32" s="9">
        <f>IFERROR(__xludf.DUMMYFUNCTION("""COMPUTED_VALUE"""),1172.08)</f>
        <v>1172.08</v>
      </c>
      <c r="AC32" s="11">
        <f>IFERROR(__xludf.DUMMYFUNCTION("""COMPUTED_VALUE"""),43091.66666666667)</f>
        <v>43091.66667</v>
      </c>
      <c r="AD32" s="9">
        <f>IFERROR(__xludf.DUMMYFUNCTION("""COMPUTED_VALUE"""),1168.36)</f>
        <v>1168.36</v>
      </c>
    </row>
    <row r="33">
      <c r="B33" s="11">
        <f>IFERROR(__xludf.DUMMYFUNCTION("""COMPUTED_VALUE"""),43095.66666666667)</f>
        <v>43095.66667</v>
      </c>
      <c r="C33" s="9">
        <f>IFERROR(__xludf.DUMMYFUNCTION("""COMPUTED_VALUE"""),64.77)</f>
        <v>64.77</v>
      </c>
      <c r="D33" s="11">
        <f>IFERROR(__xludf.DUMMYFUNCTION("""COMPUTED_VALUE"""),43095.66666666667)</f>
        <v>43095.66667</v>
      </c>
      <c r="E33" s="9">
        <f>IFERROR(__xludf.DUMMYFUNCTION("""COMPUTED_VALUE"""),63.46)</f>
        <v>63.46</v>
      </c>
      <c r="G33" s="11">
        <f>IFERROR(__xludf.DUMMYFUNCTION("""COMPUTED_VALUE"""),43095.66666666667)</f>
        <v>43095.66667</v>
      </c>
      <c r="H33" s="9">
        <f>IFERROR(__xludf.DUMMYFUNCTION("""COMPUTED_VALUE"""),1058.07)</f>
        <v>1058.07</v>
      </c>
      <c r="I33" s="11">
        <f>IFERROR(__xludf.DUMMYFUNCTION("""COMPUTED_VALUE"""),43095.66666666667)</f>
        <v>43095.66667</v>
      </c>
      <c r="J33" s="9">
        <f>IFERROR(__xludf.DUMMYFUNCTION("""COMPUTED_VALUE"""),1056.74)</f>
        <v>1056.74</v>
      </c>
      <c r="L33" s="11">
        <f>IFERROR(__xludf.DUMMYFUNCTION("""COMPUTED_VALUE"""),43095.66666666667)</f>
        <v>43095.66667</v>
      </c>
      <c r="M33" s="9">
        <f>IFERROR(__xludf.DUMMYFUNCTION("""COMPUTED_VALUE"""),42.7)</f>
        <v>42.7</v>
      </c>
      <c r="N33" s="11">
        <f>IFERROR(__xludf.DUMMYFUNCTION("""COMPUTED_VALUE"""),43095.66666666667)</f>
        <v>43095.66667</v>
      </c>
      <c r="O33" s="9">
        <f>IFERROR(__xludf.DUMMYFUNCTION("""COMPUTED_VALUE"""),42.64)</f>
        <v>42.64</v>
      </c>
      <c r="Q33" s="11">
        <f>IFERROR(__xludf.DUMMYFUNCTION("""COMPUTED_VALUE"""),43095.66666666667)</f>
        <v>43095.66667</v>
      </c>
      <c r="R33" s="9">
        <f>IFERROR(__xludf.DUMMYFUNCTION("""COMPUTED_VALUE"""),176.63)</f>
        <v>176.63</v>
      </c>
      <c r="S33" s="11">
        <f>IFERROR(__xludf.DUMMYFUNCTION("""COMPUTED_VALUE"""),43095.66666666667)</f>
        <v>43095.66667</v>
      </c>
      <c r="T33" s="9">
        <f>IFERROR(__xludf.DUMMYFUNCTION("""COMPUTED_VALUE"""),175.99)</f>
        <v>175.99</v>
      </c>
      <c r="V33" s="11">
        <f>IFERROR(__xludf.DUMMYFUNCTION("""COMPUTED_VALUE"""),43095.66666666667)</f>
        <v>43095.66667</v>
      </c>
      <c r="W33" s="9">
        <f>IFERROR(__xludf.DUMMYFUNCTION("""COMPUTED_VALUE"""),189.78)</f>
        <v>189.78</v>
      </c>
      <c r="X33" s="11">
        <f>IFERROR(__xludf.DUMMYFUNCTION("""COMPUTED_VALUE"""),43095.66666666667)</f>
        <v>43095.66667</v>
      </c>
      <c r="Y33" s="9">
        <f>IFERROR(__xludf.DUMMYFUNCTION("""COMPUTED_VALUE"""),187.76)</f>
        <v>187.76</v>
      </c>
      <c r="AA33" s="11">
        <f>IFERROR(__xludf.DUMMYFUNCTION("""COMPUTED_VALUE"""),43095.66666666667)</f>
        <v>43095.66667</v>
      </c>
      <c r="AB33" s="9">
        <f>IFERROR(__xludf.DUMMYFUNCTION("""COMPUTED_VALUE"""),1168.36)</f>
        <v>1168.36</v>
      </c>
      <c r="AC33" s="11">
        <f>IFERROR(__xludf.DUMMYFUNCTION("""COMPUTED_VALUE"""),43095.66666666667)</f>
        <v>43095.66667</v>
      </c>
      <c r="AD33" s="9">
        <f>IFERROR(__xludf.DUMMYFUNCTION("""COMPUTED_VALUE"""),1176.76)</f>
        <v>1176.76</v>
      </c>
    </row>
    <row r="34">
      <c r="B34" s="11">
        <f>IFERROR(__xludf.DUMMYFUNCTION("""COMPUTED_VALUE"""),43096.66666666667)</f>
        <v>43096.66667</v>
      </c>
      <c r="C34" s="9">
        <f>IFERROR(__xludf.DUMMYFUNCTION("""COMPUTED_VALUE"""),63.2)</f>
        <v>63.2</v>
      </c>
      <c r="D34" s="11">
        <f>IFERROR(__xludf.DUMMYFUNCTION("""COMPUTED_VALUE"""),43096.66666666667)</f>
        <v>43096.66667</v>
      </c>
      <c r="E34" s="9">
        <f>IFERROR(__xludf.DUMMYFUNCTION("""COMPUTED_VALUE"""),62.33)</f>
        <v>62.33</v>
      </c>
      <c r="G34" s="11">
        <f>IFERROR(__xludf.DUMMYFUNCTION("""COMPUTED_VALUE"""),43096.66666666667)</f>
        <v>43096.66667</v>
      </c>
      <c r="H34" s="9">
        <f>IFERROR(__xludf.DUMMYFUNCTION("""COMPUTED_VALUE"""),1057.39)</f>
        <v>1057.39</v>
      </c>
      <c r="I34" s="11">
        <f>IFERROR(__xludf.DUMMYFUNCTION("""COMPUTED_VALUE"""),43096.66666666667)</f>
        <v>43096.66667</v>
      </c>
      <c r="J34" s="9">
        <f>IFERROR(__xludf.DUMMYFUNCTION("""COMPUTED_VALUE"""),1049.37)</f>
        <v>1049.37</v>
      </c>
      <c r="L34" s="11">
        <f>IFERROR(__xludf.DUMMYFUNCTION("""COMPUTED_VALUE"""),43096.66666666667)</f>
        <v>43096.66667</v>
      </c>
      <c r="M34" s="9">
        <f>IFERROR(__xludf.DUMMYFUNCTION("""COMPUTED_VALUE"""),42.53)</f>
        <v>42.53</v>
      </c>
      <c r="N34" s="11">
        <f>IFERROR(__xludf.DUMMYFUNCTION("""COMPUTED_VALUE"""),43096.66666666667)</f>
        <v>43096.66667</v>
      </c>
      <c r="O34" s="9">
        <f>IFERROR(__xludf.DUMMYFUNCTION("""COMPUTED_VALUE"""),42.65)</f>
        <v>42.65</v>
      </c>
      <c r="Q34" s="11">
        <f>IFERROR(__xludf.DUMMYFUNCTION("""COMPUTED_VALUE"""),43096.66666666667)</f>
        <v>43096.66667</v>
      </c>
      <c r="R34" s="9">
        <f>IFERROR(__xludf.DUMMYFUNCTION("""COMPUTED_VALUE"""),176.55)</f>
        <v>176.55</v>
      </c>
      <c r="S34" s="11">
        <f>IFERROR(__xludf.DUMMYFUNCTION("""COMPUTED_VALUE"""),43096.66666666667)</f>
        <v>43096.66667</v>
      </c>
      <c r="T34" s="9">
        <f>IFERROR(__xludf.DUMMYFUNCTION("""COMPUTED_VALUE"""),177.62)</f>
        <v>177.62</v>
      </c>
      <c r="V34" s="11">
        <f>IFERROR(__xludf.DUMMYFUNCTION("""COMPUTED_VALUE"""),43096.66666666667)</f>
        <v>43096.66667</v>
      </c>
      <c r="W34" s="9">
        <f>IFERROR(__xludf.DUMMYFUNCTION("""COMPUTED_VALUE"""),187.8)</f>
        <v>187.8</v>
      </c>
      <c r="X34" s="11">
        <f>IFERROR(__xludf.DUMMYFUNCTION("""COMPUTED_VALUE"""),43096.66666666667)</f>
        <v>43096.66667</v>
      </c>
      <c r="Y34" s="9">
        <f>IFERROR(__xludf.DUMMYFUNCTION("""COMPUTED_VALUE"""),186.24)</f>
        <v>186.24</v>
      </c>
      <c r="AA34" s="11">
        <f>IFERROR(__xludf.DUMMYFUNCTION("""COMPUTED_VALUE"""),43096.66666666667)</f>
        <v>43096.66667</v>
      </c>
      <c r="AB34" s="9">
        <f>IFERROR(__xludf.DUMMYFUNCTION("""COMPUTED_VALUE"""),1179.91)</f>
        <v>1179.91</v>
      </c>
      <c r="AC34" s="11">
        <f>IFERROR(__xludf.DUMMYFUNCTION("""COMPUTED_VALUE"""),43096.66666666667)</f>
        <v>43096.66667</v>
      </c>
      <c r="AD34" s="9">
        <f>IFERROR(__xludf.DUMMYFUNCTION("""COMPUTED_VALUE"""),1182.26)</f>
        <v>1182.26</v>
      </c>
    </row>
    <row r="35">
      <c r="B35" s="11">
        <f>IFERROR(__xludf.DUMMYFUNCTION("""COMPUTED_VALUE"""),43097.66666666667)</f>
        <v>43097.66667</v>
      </c>
      <c r="C35" s="9">
        <f>IFERROR(__xludf.DUMMYFUNCTION("""COMPUTED_VALUE"""),62.35)</f>
        <v>62.35</v>
      </c>
      <c r="D35" s="11">
        <f>IFERROR(__xludf.DUMMYFUNCTION("""COMPUTED_VALUE"""),43097.66666666667)</f>
        <v>43097.66667</v>
      </c>
      <c r="E35" s="9">
        <f>IFERROR(__xludf.DUMMYFUNCTION("""COMPUTED_VALUE"""),63.07)</f>
        <v>63.07</v>
      </c>
      <c r="G35" s="11">
        <f>IFERROR(__xludf.DUMMYFUNCTION("""COMPUTED_VALUE"""),43097.66666666667)</f>
        <v>43097.66667</v>
      </c>
      <c r="H35" s="9">
        <f>IFERROR(__xludf.DUMMYFUNCTION("""COMPUTED_VALUE"""),1051.6)</f>
        <v>1051.6</v>
      </c>
      <c r="I35" s="11">
        <f>IFERROR(__xludf.DUMMYFUNCTION("""COMPUTED_VALUE"""),43097.66666666667)</f>
        <v>43097.66667</v>
      </c>
      <c r="J35" s="9">
        <f>IFERROR(__xludf.DUMMYFUNCTION("""COMPUTED_VALUE"""),1048.14)</f>
        <v>1048.14</v>
      </c>
      <c r="L35" s="11">
        <f>IFERROR(__xludf.DUMMYFUNCTION("""COMPUTED_VALUE"""),43097.66666666667)</f>
        <v>43097.66667</v>
      </c>
      <c r="M35" s="9">
        <f>IFERROR(__xludf.DUMMYFUNCTION("""COMPUTED_VALUE"""),42.75)</f>
        <v>42.75</v>
      </c>
      <c r="N35" s="11">
        <f>IFERROR(__xludf.DUMMYFUNCTION("""COMPUTED_VALUE"""),43097.66666666667)</f>
        <v>43097.66667</v>
      </c>
      <c r="O35" s="9">
        <f>IFERROR(__xludf.DUMMYFUNCTION("""COMPUTED_VALUE"""),42.77)</f>
        <v>42.77</v>
      </c>
      <c r="Q35" s="11">
        <f>IFERROR(__xludf.DUMMYFUNCTION("""COMPUTED_VALUE"""),43097.66666666667)</f>
        <v>43097.66667</v>
      </c>
      <c r="R35" s="9">
        <f>IFERROR(__xludf.DUMMYFUNCTION("""COMPUTED_VALUE"""),177.95)</f>
        <v>177.95</v>
      </c>
      <c r="S35" s="11">
        <f>IFERROR(__xludf.DUMMYFUNCTION("""COMPUTED_VALUE"""),43097.66666666667)</f>
        <v>43097.66667</v>
      </c>
      <c r="T35" s="9">
        <f>IFERROR(__xludf.DUMMYFUNCTION("""COMPUTED_VALUE"""),177.92)</f>
        <v>177.92</v>
      </c>
      <c r="V35" s="11">
        <f>IFERROR(__xludf.DUMMYFUNCTION("""COMPUTED_VALUE"""),43097.66666666667)</f>
        <v>43097.66667</v>
      </c>
      <c r="W35" s="9">
        <f>IFERROR(__xludf.DUMMYFUNCTION("""COMPUTED_VALUE"""),187.18)</f>
        <v>187.18</v>
      </c>
      <c r="X35" s="11">
        <f>IFERROR(__xludf.DUMMYFUNCTION("""COMPUTED_VALUE"""),43097.66666666667)</f>
        <v>43097.66667</v>
      </c>
      <c r="Y35" s="9">
        <f>IFERROR(__xludf.DUMMYFUNCTION("""COMPUTED_VALUE"""),192.71)</f>
        <v>192.71</v>
      </c>
      <c r="AA35" s="11">
        <f>IFERROR(__xludf.DUMMYFUNCTION("""COMPUTED_VALUE"""),43097.66666666667)</f>
        <v>43097.66667</v>
      </c>
      <c r="AB35" s="9">
        <f>IFERROR(__xludf.DUMMYFUNCTION("""COMPUTED_VALUE"""),1189.0)</f>
        <v>1189</v>
      </c>
      <c r="AC35" s="11">
        <f>IFERROR(__xludf.DUMMYFUNCTION("""COMPUTED_VALUE"""),43097.66666666667)</f>
        <v>43097.66667</v>
      </c>
      <c r="AD35" s="9">
        <f>IFERROR(__xludf.DUMMYFUNCTION("""COMPUTED_VALUE"""),1186.1)</f>
        <v>1186.1</v>
      </c>
    </row>
    <row r="36">
      <c r="B36" s="11">
        <f>IFERROR(__xludf.DUMMYFUNCTION("""COMPUTED_VALUE"""),43098.66666666667)</f>
        <v>43098.66667</v>
      </c>
      <c r="C36" s="9">
        <f>IFERROR(__xludf.DUMMYFUNCTION("""COMPUTED_VALUE"""),63.24)</f>
        <v>63.24</v>
      </c>
      <c r="D36" s="11">
        <f>IFERROR(__xludf.DUMMYFUNCTION("""COMPUTED_VALUE"""),43098.66666666667)</f>
        <v>43098.66667</v>
      </c>
      <c r="E36" s="9">
        <f>IFERROR(__xludf.DUMMYFUNCTION("""COMPUTED_VALUE"""),62.27)</f>
        <v>62.27</v>
      </c>
      <c r="G36" s="11">
        <f>IFERROR(__xludf.DUMMYFUNCTION("""COMPUTED_VALUE"""),43098.66666666667)</f>
        <v>43098.66667</v>
      </c>
      <c r="H36" s="9">
        <f>IFERROR(__xludf.DUMMYFUNCTION("""COMPUTED_VALUE"""),1046.72)</f>
        <v>1046.72</v>
      </c>
      <c r="I36" s="11">
        <f>IFERROR(__xludf.DUMMYFUNCTION("""COMPUTED_VALUE"""),43098.66666666667)</f>
        <v>43098.66667</v>
      </c>
      <c r="J36" s="9">
        <f>IFERROR(__xludf.DUMMYFUNCTION("""COMPUTED_VALUE"""),1046.4)</f>
        <v>1046.4</v>
      </c>
      <c r="L36" s="11">
        <f>IFERROR(__xludf.DUMMYFUNCTION("""COMPUTED_VALUE"""),43098.66666666667)</f>
        <v>43098.66667</v>
      </c>
      <c r="M36" s="9">
        <f>IFERROR(__xludf.DUMMYFUNCTION("""COMPUTED_VALUE"""),42.63)</f>
        <v>42.63</v>
      </c>
      <c r="N36" s="11">
        <f>IFERROR(__xludf.DUMMYFUNCTION("""COMPUTED_VALUE"""),43098.66666666667)</f>
        <v>43098.66667</v>
      </c>
      <c r="O36" s="9">
        <f>IFERROR(__xludf.DUMMYFUNCTION("""COMPUTED_VALUE"""),42.31)</f>
        <v>42.31</v>
      </c>
      <c r="Q36" s="11">
        <f>IFERROR(__xludf.DUMMYFUNCTION("""COMPUTED_VALUE"""),43098.66666666667)</f>
        <v>43098.66667</v>
      </c>
      <c r="R36" s="9">
        <f>IFERROR(__xludf.DUMMYFUNCTION("""COMPUTED_VALUE"""),178.0)</f>
        <v>178</v>
      </c>
      <c r="S36" s="11">
        <f>IFERROR(__xludf.DUMMYFUNCTION("""COMPUTED_VALUE"""),43098.66666666667)</f>
        <v>43098.66667</v>
      </c>
      <c r="T36" s="9">
        <f>IFERROR(__xludf.DUMMYFUNCTION("""COMPUTED_VALUE"""),176.46)</f>
        <v>176.46</v>
      </c>
      <c r="V36" s="11">
        <f>IFERROR(__xludf.DUMMYFUNCTION("""COMPUTED_VALUE"""),43098.66666666667)</f>
        <v>43098.66667</v>
      </c>
      <c r="W36" s="9">
        <f>IFERROR(__xludf.DUMMYFUNCTION("""COMPUTED_VALUE"""),192.51)</f>
        <v>192.51</v>
      </c>
      <c r="X36" s="11">
        <f>IFERROR(__xludf.DUMMYFUNCTION("""COMPUTED_VALUE"""),43098.66666666667)</f>
        <v>43098.66667</v>
      </c>
      <c r="Y36" s="9">
        <f>IFERROR(__xludf.DUMMYFUNCTION("""COMPUTED_VALUE"""),191.96)</f>
        <v>191.96</v>
      </c>
      <c r="AA36" s="11">
        <f>IFERROR(__xludf.DUMMYFUNCTION("""COMPUTED_VALUE"""),43098.66666666667)</f>
        <v>43098.66667</v>
      </c>
      <c r="AB36" s="9">
        <f>IFERROR(__xludf.DUMMYFUNCTION("""COMPUTED_VALUE"""),1182.35)</f>
        <v>1182.35</v>
      </c>
      <c r="AC36" s="11">
        <f>IFERROR(__xludf.DUMMYFUNCTION("""COMPUTED_VALUE"""),43098.66666666667)</f>
        <v>43098.66667</v>
      </c>
      <c r="AD36" s="9">
        <f>IFERROR(__xludf.DUMMYFUNCTION("""COMPUTED_VALUE"""),1169.47)</f>
        <v>1169.47</v>
      </c>
    </row>
    <row r="37">
      <c r="B37" s="11">
        <f>IFERROR(__xludf.DUMMYFUNCTION("""COMPUTED_VALUE"""),43102.66666666667)</f>
        <v>43102.66667</v>
      </c>
      <c r="C37" s="9">
        <f>IFERROR(__xludf.DUMMYFUNCTION("""COMPUTED_VALUE"""),62.4)</f>
        <v>62.4</v>
      </c>
      <c r="D37" s="11">
        <f>IFERROR(__xludf.DUMMYFUNCTION("""COMPUTED_VALUE"""),43102.66666666667)</f>
        <v>43102.66667</v>
      </c>
      <c r="E37" s="9">
        <f>IFERROR(__xludf.DUMMYFUNCTION("""COMPUTED_VALUE"""),64.11)</f>
        <v>64.11</v>
      </c>
      <c r="G37" s="11">
        <f>IFERROR(__xludf.DUMMYFUNCTION("""COMPUTED_VALUE"""),43102.66666666667)</f>
        <v>43102.66667</v>
      </c>
      <c r="H37" s="9">
        <f>IFERROR(__xludf.DUMMYFUNCTION("""COMPUTED_VALUE"""),1048.34)</f>
        <v>1048.34</v>
      </c>
      <c r="I37" s="11">
        <f>IFERROR(__xludf.DUMMYFUNCTION("""COMPUTED_VALUE"""),43102.66666666667)</f>
        <v>43102.66667</v>
      </c>
      <c r="J37" s="9">
        <f>IFERROR(__xludf.DUMMYFUNCTION("""COMPUTED_VALUE"""),1065.0)</f>
        <v>1065</v>
      </c>
      <c r="L37" s="11">
        <f>IFERROR(__xludf.DUMMYFUNCTION("""COMPUTED_VALUE"""),43102.66666666667)</f>
        <v>43102.66667</v>
      </c>
      <c r="M37" s="9">
        <f>IFERROR(__xludf.DUMMYFUNCTION("""COMPUTED_VALUE"""),42.54)</f>
        <v>42.54</v>
      </c>
      <c r="N37" s="11">
        <f>IFERROR(__xludf.DUMMYFUNCTION("""COMPUTED_VALUE"""),43102.66666666667)</f>
        <v>43102.66667</v>
      </c>
      <c r="O37" s="9">
        <f>IFERROR(__xludf.DUMMYFUNCTION("""COMPUTED_VALUE"""),43.07)</f>
        <v>43.07</v>
      </c>
      <c r="Q37" s="11">
        <f>IFERROR(__xludf.DUMMYFUNCTION("""COMPUTED_VALUE"""),43102.66666666667)</f>
        <v>43102.66667</v>
      </c>
      <c r="R37" s="9">
        <f>IFERROR(__xludf.DUMMYFUNCTION("""COMPUTED_VALUE"""),177.68)</f>
        <v>177.68</v>
      </c>
      <c r="S37" s="11">
        <f>IFERROR(__xludf.DUMMYFUNCTION("""COMPUTED_VALUE"""),43102.66666666667)</f>
        <v>43102.66667</v>
      </c>
      <c r="T37" s="9">
        <f>IFERROR(__xludf.DUMMYFUNCTION("""COMPUTED_VALUE"""),181.42)</f>
        <v>181.42</v>
      </c>
      <c r="V37" s="11">
        <f>IFERROR(__xludf.DUMMYFUNCTION("""COMPUTED_VALUE"""),43102.66666666667)</f>
        <v>43102.66667</v>
      </c>
      <c r="W37" s="9">
        <f>IFERROR(__xludf.DUMMYFUNCTION("""COMPUTED_VALUE"""),196.1)</f>
        <v>196.1</v>
      </c>
      <c r="X37" s="11">
        <f>IFERROR(__xludf.DUMMYFUNCTION("""COMPUTED_VALUE"""),43102.66666666667)</f>
        <v>43102.66667</v>
      </c>
      <c r="Y37" s="9">
        <f>IFERROR(__xludf.DUMMYFUNCTION("""COMPUTED_VALUE"""),201.07)</f>
        <v>201.07</v>
      </c>
      <c r="AA37" s="11">
        <f>IFERROR(__xludf.DUMMYFUNCTION("""COMPUTED_VALUE"""),43102.66666666667)</f>
        <v>43102.66667</v>
      </c>
      <c r="AB37" s="9">
        <f>IFERROR(__xludf.DUMMYFUNCTION("""COMPUTED_VALUE"""),1172.0)</f>
        <v>1172</v>
      </c>
      <c r="AC37" s="11">
        <f>IFERROR(__xludf.DUMMYFUNCTION("""COMPUTED_VALUE"""),43102.66666666667)</f>
        <v>43102.66667</v>
      </c>
      <c r="AD37" s="9">
        <f>IFERROR(__xludf.DUMMYFUNCTION("""COMPUTED_VALUE"""),1189.01)</f>
        <v>1189.01</v>
      </c>
    </row>
    <row r="38">
      <c r="B38" s="11">
        <f>IFERROR(__xludf.DUMMYFUNCTION("""COMPUTED_VALUE"""),43103.66666666667)</f>
        <v>43103.66667</v>
      </c>
      <c r="C38" s="9">
        <f>IFERROR(__xludf.DUMMYFUNCTION("""COMPUTED_VALUE"""),64.2)</f>
        <v>64.2</v>
      </c>
      <c r="D38" s="11">
        <f>IFERROR(__xludf.DUMMYFUNCTION("""COMPUTED_VALUE"""),43103.66666666667)</f>
        <v>43103.66667</v>
      </c>
      <c r="E38" s="9">
        <f>IFERROR(__xludf.DUMMYFUNCTION("""COMPUTED_VALUE"""),63.45)</f>
        <v>63.45</v>
      </c>
      <c r="G38" s="11">
        <f>IFERROR(__xludf.DUMMYFUNCTION("""COMPUTED_VALUE"""),43103.66666666667)</f>
        <v>43103.66667</v>
      </c>
      <c r="H38" s="9">
        <f>IFERROR(__xludf.DUMMYFUNCTION("""COMPUTED_VALUE"""),1064.31)</f>
        <v>1064.31</v>
      </c>
      <c r="I38" s="11">
        <f>IFERROR(__xludf.DUMMYFUNCTION("""COMPUTED_VALUE"""),43103.66666666667)</f>
        <v>43103.66667</v>
      </c>
      <c r="J38" s="9">
        <f>IFERROR(__xludf.DUMMYFUNCTION("""COMPUTED_VALUE"""),1082.48)</f>
        <v>1082.48</v>
      </c>
      <c r="L38" s="11">
        <f>IFERROR(__xludf.DUMMYFUNCTION("""COMPUTED_VALUE"""),43103.66666666667)</f>
        <v>43103.66667</v>
      </c>
      <c r="M38" s="9">
        <f>IFERROR(__xludf.DUMMYFUNCTION("""COMPUTED_VALUE"""),43.13)</f>
        <v>43.13</v>
      </c>
      <c r="N38" s="11">
        <f>IFERROR(__xludf.DUMMYFUNCTION("""COMPUTED_VALUE"""),43103.66666666667)</f>
        <v>43103.66667</v>
      </c>
      <c r="O38" s="9">
        <f>IFERROR(__xludf.DUMMYFUNCTION("""COMPUTED_VALUE"""),43.06)</f>
        <v>43.06</v>
      </c>
      <c r="Q38" s="11">
        <f>IFERROR(__xludf.DUMMYFUNCTION("""COMPUTED_VALUE"""),43103.66666666667)</f>
        <v>43103.66667</v>
      </c>
      <c r="R38" s="9">
        <f>IFERROR(__xludf.DUMMYFUNCTION("""COMPUTED_VALUE"""),181.88)</f>
        <v>181.88</v>
      </c>
      <c r="S38" s="11">
        <f>IFERROR(__xludf.DUMMYFUNCTION("""COMPUTED_VALUE"""),43103.66666666667)</f>
        <v>43103.66667</v>
      </c>
      <c r="T38" s="9">
        <f>IFERROR(__xludf.DUMMYFUNCTION("""COMPUTED_VALUE"""),184.67)</f>
        <v>184.67</v>
      </c>
      <c r="V38" s="11">
        <f>IFERROR(__xludf.DUMMYFUNCTION("""COMPUTED_VALUE"""),43103.66666666667)</f>
        <v>43103.66667</v>
      </c>
      <c r="W38" s="9">
        <f>IFERROR(__xludf.DUMMYFUNCTION("""COMPUTED_VALUE"""),202.05)</f>
        <v>202.05</v>
      </c>
      <c r="X38" s="11">
        <f>IFERROR(__xludf.DUMMYFUNCTION("""COMPUTED_VALUE"""),43103.66666666667)</f>
        <v>43103.66667</v>
      </c>
      <c r="Y38" s="9">
        <f>IFERROR(__xludf.DUMMYFUNCTION("""COMPUTED_VALUE"""),205.05)</f>
        <v>205.05</v>
      </c>
      <c r="AA38" s="11">
        <f>IFERROR(__xludf.DUMMYFUNCTION("""COMPUTED_VALUE"""),43103.66666666667)</f>
        <v>43103.66667</v>
      </c>
      <c r="AB38" s="9">
        <f>IFERROR(__xludf.DUMMYFUNCTION("""COMPUTED_VALUE"""),1188.3)</f>
        <v>1188.3</v>
      </c>
      <c r="AC38" s="11">
        <f>IFERROR(__xludf.DUMMYFUNCTION("""COMPUTED_VALUE"""),43103.66666666667)</f>
        <v>43103.66667</v>
      </c>
      <c r="AD38" s="9">
        <f>IFERROR(__xludf.DUMMYFUNCTION("""COMPUTED_VALUE"""),1204.2)</f>
        <v>1204.2</v>
      </c>
    </row>
    <row r="39">
      <c r="B39" s="11">
        <f>IFERROR(__xludf.DUMMYFUNCTION("""COMPUTED_VALUE"""),43104.66666666667)</f>
        <v>43104.66667</v>
      </c>
      <c r="C39" s="9">
        <f>IFERROR(__xludf.DUMMYFUNCTION("""COMPUTED_VALUE"""),62.57)</f>
        <v>62.57</v>
      </c>
      <c r="D39" s="11">
        <f>IFERROR(__xludf.DUMMYFUNCTION("""COMPUTED_VALUE"""),43104.66666666667)</f>
        <v>43104.66667</v>
      </c>
      <c r="E39" s="9">
        <f>IFERROR(__xludf.DUMMYFUNCTION("""COMPUTED_VALUE"""),62.92)</f>
        <v>62.92</v>
      </c>
      <c r="G39" s="11">
        <f>IFERROR(__xludf.DUMMYFUNCTION("""COMPUTED_VALUE"""),43104.66666666667)</f>
        <v>43104.66667</v>
      </c>
      <c r="H39" s="9">
        <f>IFERROR(__xludf.DUMMYFUNCTION("""COMPUTED_VALUE"""),1088.0)</f>
        <v>1088</v>
      </c>
      <c r="I39" s="11">
        <f>IFERROR(__xludf.DUMMYFUNCTION("""COMPUTED_VALUE"""),43104.66666666667)</f>
        <v>43104.66667</v>
      </c>
      <c r="J39" s="9">
        <f>IFERROR(__xludf.DUMMYFUNCTION("""COMPUTED_VALUE"""),1086.4)</f>
        <v>1086.4</v>
      </c>
      <c r="L39" s="11">
        <f>IFERROR(__xludf.DUMMYFUNCTION("""COMPUTED_VALUE"""),43104.66666666667)</f>
        <v>43104.66667</v>
      </c>
      <c r="M39" s="9">
        <f>IFERROR(__xludf.DUMMYFUNCTION("""COMPUTED_VALUE"""),43.14)</f>
        <v>43.14</v>
      </c>
      <c r="N39" s="11">
        <f>IFERROR(__xludf.DUMMYFUNCTION("""COMPUTED_VALUE"""),43104.66666666667)</f>
        <v>43104.66667</v>
      </c>
      <c r="O39" s="9">
        <f>IFERROR(__xludf.DUMMYFUNCTION("""COMPUTED_VALUE"""),43.26)</f>
        <v>43.26</v>
      </c>
      <c r="Q39" s="11">
        <f>IFERROR(__xludf.DUMMYFUNCTION("""COMPUTED_VALUE"""),43104.66666666667)</f>
        <v>43104.66667</v>
      </c>
      <c r="R39" s="9">
        <f>IFERROR(__xludf.DUMMYFUNCTION("""COMPUTED_VALUE"""),184.9)</f>
        <v>184.9</v>
      </c>
      <c r="S39" s="11">
        <f>IFERROR(__xludf.DUMMYFUNCTION("""COMPUTED_VALUE"""),43104.66666666667)</f>
        <v>43104.66667</v>
      </c>
      <c r="T39" s="9">
        <f>IFERROR(__xludf.DUMMYFUNCTION("""COMPUTED_VALUE"""),184.33)</f>
        <v>184.33</v>
      </c>
      <c r="V39" s="11">
        <f>IFERROR(__xludf.DUMMYFUNCTION("""COMPUTED_VALUE"""),43104.66666666667)</f>
        <v>43104.66667</v>
      </c>
      <c r="W39" s="9">
        <f>IFERROR(__xludf.DUMMYFUNCTION("""COMPUTED_VALUE"""),206.2)</f>
        <v>206.2</v>
      </c>
      <c r="X39" s="11">
        <f>IFERROR(__xludf.DUMMYFUNCTION("""COMPUTED_VALUE"""),43104.66666666667)</f>
        <v>43104.66667</v>
      </c>
      <c r="Y39" s="9">
        <f>IFERROR(__xludf.DUMMYFUNCTION("""COMPUTED_VALUE"""),205.63)</f>
        <v>205.63</v>
      </c>
      <c r="AA39" s="11">
        <f>IFERROR(__xludf.DUMMYFUNCTION("""COMPUTED_VALUE"""),43104.66666666667)</f>
        <v>43104.66667</v>
      </c>
      <c r="AB39" s="9">
        <f>IFERROR(__xludf.DUMMYFUNCTION("""COMPUTED_VALUE"""),1205.0)</f>
        <v>1205</v>
      </c>
      <c r="AC39" s="11">
        <f>IFERROR(__xludf.DUMMYFUNCTION("""COMPUTED_VALUE"""),43104.66666666667)</f>
        <v>43104.66667</v>
      </c>
      <c r="AD39" s="9">
        <f>IFERROR(__xludf.DUMMYFUNCTION("""COMPUTED_VALUE"""),1209.59)</f>
        <v>1209.59</v>
      </c>
    </row>
    <row r="40">
      <c r="B40" s="11">
        <f>IFERROR(__xludf.DUMMYFUNCTION("""COMPUTED_VALUE"""),43105.66666666667)</f>
        <v>43105.66667</v>
      </c>
      <c r="C40" s="9">
        <f>IFERROR(__xludf.DUMMYFUNCTION("""COMPUTED_VALUE"""),63.32)</f>
        <v>63.32</v>
      </c>
      <c r="D40" s="11">
        <f>IFERROR(__xludf.DUMMYFUNCTION("""COMPUTED_VALUE"""),43105.66666666667)</f>
        <v>43105.66667</v>
      </c>
      <c r="E40" s="9">
        <f>IFERROR(__xludf.DUMMYFUNCTION("""COMPUTED_VALUE"""),63.32)</f>
        <v>63.32</v>
      </c>
      <c r="G40" s="11">
        <f>IFERROR(__xludf.DUMMYFUNCTION("""COMPUTED_VALUE"""),43105.66666666667)</f>
        <v>43105.66667</v>
      </c>
      <c r="H40" s="9">
        <f>IFERROR(__xludf.DUMMYFUNCTION("""COMPUTED_VALUE"""),1094.0)</f>
        <v>1094</v>
      </c>
      <c r="I40" s="11">
        <f>IFERROR(__xludf.DUMMYFUNCTION("""COMPUTED_VALUE"""),43105.66666666667)</f>
        <v>43105.66667</v>
      </c>
      <c r="J40" s="9">
        <f>IFERROR(__xludf.DUMMYFUNCTION("""COMPUTED_VALUE"""),1102.23)</f>
        <v>1102.23</v>
      </c>
      <c r="L40" s="11">
        <f>IFERROR(__xludf.DUMMYFUNCTION("""COMPUTED_VALUE"""),43105.66666666667)</f>
        <v>43105.66667</v>
      </c>
      <c r="M40" s="9">
        <f>IFERROR(__xludf.DUMMYFUNCTION("""COMPUTED_VALUE"""),43.36)</f>
        <v>43.36</v>
      </c>
      <c r="N40" s="11">
        <f>IFERROR(__xludf.DUMMYFUNCTION("""COMPUTED_VALUE"""),43105.66666666667)</f>
        <v>43105.66667</v>
      </c>
      <c r="O40" s="9">
        <f>IFERROR(__xludf.DUMMYFUNCTION("""COMPUTED_VALUE"""),43.75)</f>
        <v>43.75</v>
      </c>
      <c r="Q40" s="11">
        <f>IFERROR(__xludf.DUMMYFUNCTION("""COMPUTED_VALUE"""),43105.66666666667)</f>
        <v>43105.66667</v>
      </c>
      <c r="R40" s="9">
        <f>IFERROR(__xludf.DUMMYFUNCTION("""COMPUTED_VALUE"""),185.59)</f>
        <v>185.59</v>
      </c>
      <c r="S40" s="11">
        <f>IFERROR(__xludf.DUMMYFUNCTION("""COMPUTED_VALUE"""),43105.66666666667)</f>
        <v>43105.66667</v>
      </c>
      <c r="T40" s="9">
        <f>IFERROR(__xludf.DUMMYFUNCTION("""COMPUTED_VALUE"""),186.85)</f>
        <v>186.85</v>
      </c>
      <c r="V40" s="11">
        <f>IFERROR(__xludf.DUMMYFUNCTION("""COMPUTED_VALUE"""),43105.66666666667)</f>
        <v>43105.66667</v>
      </c>
      <c r="W40" s="9">
        <f>IFERROR(__xludf.DUMMYFUNCTION("""COMPUTED_VALUE"""),207.25)</f>
        <v>207.25</v>
      </c>
      <c r="X40" s="11">
        <f>IFERROR(__xludf.DUMMYFUNCTION("""COMPUTED_VALUE"""),43105.66666666667)</f>
        <v>43105.66667</v>
      </c>
      <c r="Y40" s="9">
        <f>IFERROR(__xludf.DUMMYFUNCTION("""COMPUTED_VALUE"""),209.99)</f>
        <v>209.99</v>
      </c>
      <c r="AA40" s="11">
        <f>IFERROR(__xludf.DUMMYFUNCTION("""COMPUTED_VALUE"""),43105.66666666667)</f>
        <v>43105.66667</v>
      </c>
      <c r="AB40" s="9">
        <f>IFERROR(__xludf.DUMMYFUNCTION("""COMPUTED_VALUE"""),1217.51)</f>
        <v>1217.51</v>
      </c>
      <c r="AC40" s="11">
        <f>IFERROR(__xludf.DUMMYFUNCTION("""COMPUTED_VALUE"""),43105.66666666667)</f>
        <v>43105.66667</v>
      </c>
      <c r="AD40" s="9">
        <f>IFERROR(__xludf.DUMMYFUNCTION("""COMPUTED_VALUE"""),1229.14)</f>
        <v>1229.14</v>
      </c>
    </row>
    <row r="41">
      <c r="B41" s="11">
        <f>IFERROR(__xludf.DUMMYFUNCTION("""COMPUTED_VALUE"""),43108.66666666667)</f>
        <v>43108.66667</v>
      </c>
      <c r="C41" s="9">
        <f>IFERROR(__xludf.DUMMYFUNCTION("""COMPUTED_VALUE"""),63.2)</f>
        <v>63.2</v>
      </c>
      <c r="D41" s="11">
        <f>IFERROR(__xludf.DUMMYFUNCTION("""COMPUTED_VALUE"""),43108.66666666667)</f>
        <v>43108.66667</v>
      </c>
      <c r="E41" s="9">
        <f>IFERROR(__xludf.DUMMYFUNCTION("""COMPUTED_VALUE"""),67.28)</f>
        <v>67.28</v>
      </c>
      <c r="G41" s="11">
        <f>IFERROR(__xludf.DUMMYFUNCTION("""COMPUTED_VALUE"""),43108.66666666667)</f>
        <v>43108.66667</v>
      </c>
      <c r="H41" s="9">
        <f>IFERROR(__xludf.DUMMYFUNCTION("""COMPUTED_VALUE"""),1102.23)</f>
        <v>1102.23</v>
      </c>
      <c r="I41" s="11">
        <f>IFERROR(__xludf.DUMMYFUNCTION("""COMPUTED_VALUE"""),43108.66666666667)</f>
        <v>43108.66667</v>
      </c>
      <c r="J41" s="9">
        <f>IFERROR(__xludf.DUMMYFUNCTION("""COMPUTED_VALUE"""),1106.94)</f>
        <v>1106.94</v>
      </c>
      <c r="L41" s="11">
        <f>IFERROR(__xludf.DUMMYFUNCTION("""COMPUTED_VALUE"""),43108.66666666667)</f>
        <v>43108.66667</v>
      </c>
      <c r="M41" s="9">
        <f>IFERROR(__xludf.DUMMYFUNCTION("""COMPUTED_VALUE"""),43.59)</f>
        <v>43.59</v>
      </c>
      <c r="N41" s="11">
        <f>IFERROR(__xludf.DUMMYFUNCTION("""COMPUTED_VALUE"""),43108.66666666667)</f>
        <v>43108.66667</v>
      </c>
      <c r="O41" s="9">
        <f>IFERROR(__xludf.DUMMYFUNCTION("""COMPUTED_VALUE"""),43.59)</f>
        <v>43.59</v>
      </c>
      <c r="Q41" s="11">
        <f>IFERROR(__xludf.DUMMYFUNCTION("""COMPUTED_VALUE"""),43108.66666666667)</f>
        <v>43108.66667</v>
      </c>
      <c r="R41" s="9">
        <f>IFERROR(__xludf.DUMMYFUNCTION("""COMPUTED_VALUE"""),187.2)</f>
        <v>187.2</v>
      </c>
      <c r="S41" s="11">
        <f>IFERROR(__xludf.DUMMYFUNCTION("""COMPUTED_VALUE"""),43108.66666666667)</f>
        <v>43108.66667</v>
      </c>
      <c r="T41" s="9">
        <f>IFERROR(__xludf.DUMMYFUNCTION("""COMPUTED_VALUE"""),188.28)</f>
        <v>188.28</v>
      </c>
      <c r="V41" s="11">
        <f>IFERROR(__xludf.DUMMYFUNCTION("""COMPUTED_VALUE"""),43108.66666666667)</f>
        <v>43108.66667</v>
      </c>
      <c r="W41" s="9">
        <f>IFERROR(__xludf.DUMMYFUNCTION("""COMPUTED_VALUE"""),210.02)</f>
        <v>210.02</v>
      </c>
      <c r="X41" s="11">
        <f>IFERROR(__xludf.DUMMYFUNCTION("""COMPUTED_VALUE"""),43108.66666666667)</f>
        <v>43108.66667</v>
      </c>
      <c r="Y41" s="9">
        <f>IFERROR(__xludf.DUMMYFUNCTION("""COMPUTED_VALUE"""),212.05)</f>
        <v>212.05</v>
      </c>
      <c r="AA41" s="11">
        <f>IFERROR(__xludf.DUMMYFUNCTION("""COMPUTED_VALUE"""),43108.66666666667)</f>
        <v>43108.66667</v>
      </c>
      <c r="AB41" s="9">
        <f>IFERROR(__xludf.DUMMYFUNCTION("""COMPUTED_VALUE"""),1236.0)</f>
        <v>1236</v>
      </c>
      <c r="AC41" s="11">
        <f>IFERROR(__xludf.DUMMYFUNCTION("""COMPUTED_VALUE"""),43108.66666666667)</f>
        <v>43108.66667</v>
      </c>
      <c r="AD41" s="9">
        <f>IFERROR(__xludf.DUMMYFUNCTION("""COMPUTED_VALUE"""),1246.87)</f>
        <v>1246.87</v>
      </c>
    </row>
    <row r="42">
      <c r="B42" s="11">
        <f>IFERROR(__xludf.DUMMYFUNCTION("""COMPUTED_VALUE"""),43109.66666666667)</f>
        <v>43109.66667</v>
      </c>
      <c r="C42" s="9">
        <f>IFERROR(__xludf.DUMMYFUNCTION("""COMPUTED_VALUE"""),67.03)</f>
        <v>67.03</v>
      </c>
      <c r="D42" s="11">
        <f>IFERROR(__xludf.DUMMYFUNCTION("""COMPUTED_VALUE"""),43109.66666666667)</f>
        <v>43109.66667</v>
      </c>
      <c r="E42" s="9">
        <f>IFERROR(__xludf.DUMMYFUNCTION("""COMPUTED_VALUE"""),66.74)</f>
        <v>66.74</v>
      </c>
      <c r="G42" s="11">
        <f>IFERROR(__xludf.DUMMYFUNCTION("""COMPUTED_VALUE"""),43109.66666666667)</f>
        <v>43109.66667</v>
      </c>
      <c r="H42" s="9">
        <f>IFERROR(__xludf.DUMMYFUNCTION("""COMPUTED_VALUE"""),1109.4)</f>
        <v>1109.4</v>
      </c>
      <c r="I42" s="11">
        <f>IFERROR(__xludf.DUMMYFUNCTION("""COMPUTED_VALUE"""),43109.66666666667)</f>
        <v>43109.66667</v>
      </c>
      <c r="J42" s="9">
        <f>IFERROR(__xludf.DUMMYFUNCTION("""COMPUTED_VALUE"""),1106.26)</f>
        <v>1106.26</v>
      </c>
      <c r="L42" s="11">
        <f>IFERROR(__xludf.DUMMYFUNCTION("""COMPUTED_VALUE"""),43109.66666666667)</f>
        <v>43109.66667</v>
      </c>
      <c r="M42" s="9">
        <f>IFERROR(__xludf.DUMMYFUNCTION("""COMPUTED_VALUE"""),43.64)</f>
        <v>43.64</v>
      </c>
      <c r="N42" s="11">
        <f>IFERROR(__xludf.DUMMYFUNCTION("""COMPUTED_VALUE"""),43109.66666666667)</f>
        <v>43109.66667</v>
      </c>
      <c r="O42" s="9">
        <f>IFERROR(__xludf.DUMMYFUNCTION("""COMPUTED_VALUE"""),43.58)</f>
        <v>43.58</v>
      </c>
      <c r="Q42" s="11">
        <f>IFERROR(__xludf.DUMMYFUNCTION("""COMPUTED_VALUE"""),43109.66666666667)</f>
        <v>43109.66667</v>
      </c>
      <c r="R42" s="9">
        <f>IFERROR(__xludf.DUMMYFUNCTION("""COMPUTED_VALUE"""),188.7)</f>
        <v>188.7</v>
      </c>
      <c r="S42" s="11">
        <f>IFERROR(__xludf.DUMMYFUNCTION("""COMPUTED_VALUE"""),43109.66666666667)</f>
        <v>43109.66667</v>
      </c>
      <c r="T42" s="9">
        <f>IFERROR(__xludf.DUMMYFUNCTION("""COMPUTED_VALUE"""),187.87)</f>
        <v>187.87</v>
      </c>
      <c r="V42" s="11">
        <f>IFERROR(__xludf.DUMMYFUNCTION("""COMPUTED_VALUE"""),43109.66666666667)</f>
        <v>43109.66667</v>
      </c>
      <c r="W42" s="9">
        <f>IFERROR(__xludf.DUMMYFUNCTION("""COMPUTED_VALUE"""),212.11)</f>
        <v>212.11</v>
      </c>
      <c r="X42" s="11">
        <f>IFERROR(__xludf.DUMMYFUNCTION("""COMPUTED_VALUE"""),43109.66666666667)</f>
        <v>43109.66667</v>
      </c>
      <c r="Y42" s="9">
        <f>IFERROR(__xludf.DUMMYFUNCTION("""COMPUTED_VALUE"""),209.31)</f>
        <v>209.31</v>
      </c>
      <c r="AA42" s="11">
        <f>IFERROR(__xludf.DUMMYFUNCTION("""COMPUTED_VALUE"""),43109.66666666667)</f>
        <v>43109.66667</v>
      </c>
      <c r="AB42" s="9">
        <f>IFERROR(__xludf.DUMMYFUNCTION("""COMPUTED_VALUE"""),1256.9)</f>
        <v>1256.9</v>
      </c>
      <c r="AC42" s="11">
        <f>IFERROR(__xludf.DUMMYFUNCTION("""COMPUTED_VALUE"""),43109.66666666667)</f>
        <v>43109.66667</v>
      </c>
      <c r="AD42" s="9">
        <f>IFERROR(__xludf.DUMMYFUNCTION("""COMPUTED_VALUE"""),1252.7)</f>
        <v>1252.7</v>
      </c>
    </row>
    <row r="43">
      <c r="B43" s="11">
        <f>IFERROR(__xludf.DUMMYFUNCTION("""COMPUTED_VALUE"""),43110.66666666667)</f>
        <v>43110.66667</v>
      </c>
      <c r="C43" s="9">
        <f>IFERROR(__xludf.DUMMYFUNCTION("""COMPUTED_VALUE"""),66.44)</f>
        <v>66.44</v>
      </c>
      <c r="D43" s="11">
        <f>IFERROR(__xludf.DUMMYFUNCTION("""COMPUTED_VALUE"""),43110.66666666667)</f>
        <v>43110.66667</v>
      </c>
      <c r="E43" s="9">
        <f>IFERROR(__xludf.DUMMYFUNCTION("""COMPUTED_VALUE"""),66.96)</f>
        <v>66.96</v>
      </c>
      <c r="G43" s="11">
        <f>IFERROR(__xludf.DUMMYFUNCTION("""COMPUTED_VALUE"""),43110.66666666667)</f>
        <v>43110.66667</v>
      </c>
      <c r="H43" s="9">
        <f>IFERROR(__xludf.DUMMYFUNCTION("""COMPUTED_VALUE"""),1097.1)</f>
        <v>1097.1</v>
      </c>
      <c r="I43" s="11">
        <f>IFERROR(__xludf.DUMMYFUNCTION("""COMPUTED_VALUE"""),43110.66666666667)</f>
        <v>43110.66667</v>
      </c>
      <c r="J43" s="9">
        <f>IFERROR(__xludf.DUMMYFUNCTION("""COMPUTED_VALUE"""),1102.61)</f>
        <v>1102.61</v>
      </c>
      <c r="L43" s="11">
        <f>IFERROR(__xludf.DUMMYFUNCTION("""COMPUTED_VALUE"""),43110.66666666667)</f>
        <v>43110.66667</v>
      </c>
      <c r="M43" s="9">
        <f>IFERROR(__xludf.DUMMYFUNCTION("""COMPUTED_VALUE"""),43.29)</f>
        <v>43.29</v>
      </c>
      <c r="N43" s="11">
        <f>IFERROR(__xludf.DUMMYFUNCTION("""COMPUTED_VALUE"""),43110.66666666667)</f>
        <v>43110.66667</v>
      </c>
      <c r="O43" s="9">
        <f>IFERROR(__xludf.DUMMYFUNCTION("""COMPUTED_VALUE"""),43.57)</f>
        <v>43.57</v>
      </c>
      <c r="Q43" s="11">
        <f>IFERROR(__xludf.DUMMYFUNCTION("""COMPUTED_VALUE"""),43110.66666666667)</f>
        <v>43110.66667</v>
      </c>
      <c r="R43" s="9">
        <f>IFERROR(__xludf.DUMMYFUNCTION("""COMPUTED_VALUE"""),186.94)</f>
        <v>186.94</v>
      </c>
      <c r="S43" s="11">
        <f>IFERROR(__xludf.DUMMYFUNCTION("""COMPUTED_VALUE"""),43110.66666666667)</f>
        <v>43110.66667</v>
      </c>
      <c r="T43" s="9">
        <f>IFERROR(__xludf.DUMMYFUNCTION("""COMPUTED_VALUE"""),187.84)</f>
        <v>187.84</v>
      </c>
      <c r="V43" s="11">
        <f>IFERROR(__xludf.DUMMYFUNCTION("""COMPUTED_VALUE"""),43110.66666666667)</f>
        <v>43110.66667</v>
      </c>
      <c r="W43" s="9">
        <f>IFERROR(__xludf.DUMMYFUNCTION("""COMPUTED_VALUE"""),207.57)</f>
        <v>207.57</v>
      </c>
      <c r="X43" s="11">
        <f>IFERROR(__xludf.DUMMYFUNCTION("""COMPUTED_VALUE"""),43110.66666666667)</f>
        <v>43110.66667</v>
      </c>
      <c r="Y43" s="9">
        <f>IFERROR(__xludf.DUMMYFUNCTION("""COMPUTED_VALUE"""),212.52)</f>
        <v>212.52</v>
      </c>
      <c r="AA43" s="11">
        <f>IFERROR(__xludf.DUMMYFUNCTION("""COMPUTED_VALUE"""),43110.66666666667)</f>
        <v>43110.66667</v>
      </c>
      <c r="AB43" s="9">
        <f>IFERROR(__xludf.DUMMYFUNCTION("""COMPUTED_VALUE"""),1245.15)</f>
        <v>1245.15</v>
      </c>
      <c r="AC43" s="11">
        <f>IFERROR(__xludf.DUMMYFUNCTION("""COMPUTED_VALUE"""),43110.66666666667)</f>
        <v>43110.66667</v>
      </c>
      <c r="AD43" s="9">
        <f>IFERROR(__xludf.DUMMYFUNCTION("""COMPUTED_VALUE"""),1254.33)</f>
        <v>1254.33</v>
      </c>
    </row>
    <row r="44">
      <c r="B44" s="11">
        <f>IFERROR(__xludf.DUMMYFUNCTION("""COMPUTED_VALUE"""),43111.66666666667)</f>
        <v>43111.66667</v>
      </c>
      <c r="C44" s="9">
        <f>IFERROR(__xludf.DUMMYFUNCTION("""COMPUTED_VALUE"""),67.05)</f>
        <v>67.05</v>
      </c>
      <c r="D44" s="11">
        <f>IFERROR(__xludf.DUMMYFUNCTION("""COMPUTED_VALUE"""),43111.66666666667)</f>
        <v>43111.66667</v>
      </c>
      <c r="E44" s="9">
        <f>IFERROR(__xludf.DUMMYFUNCTION("""COMPUTED_VALUE"""),67.59)</f>
        <v>67.59</v>
      </c>
      <c r="G44" s="11">
        <f>IFERROR(__xludf.DUMMYFUNCTION("""COMPUTED_VALUE"""),43111.66666666667)</f>
        <v>43111.66667</v>
      </c>
      <c r="H44" s="9">
        <f>IFERROR(__xludf.DUMMYFUNCTION("""COMPUTED_VALUE"""),1106.3)</f>
        <v>1106.3</v>
      </c>
      <c r="I44" s="11">
        <f>IFERROR(__xludf.DUMMYFUNCTION("""COMPUTED_VALUE"""),43111.66666666667)</f>
        <v>43111.66667</v>
      </c>
      <c r="J44" s="9">
        <f>IFERROR(__xludf.DUMMYFUNCTION("""COMPUTED_VALUE"""),1105.52)</f>
        <v>1105.52</v>
      </c>
      <c r="L44" s="11">
        <f>IFERROR(__xludf.DUMMYFUNCTION("""COMPUTED_VALUE"""),43111.66666666667)</f>
        <v>43111.66667</v>
      </c>
      <c r="M44" s="9">
        <f>IFERROR(__xludf.DUMMYFUNCTION("""COMPUTED_VALUE"""),43.65)</f>
        <v>43.65</v>
      </c>
      <c r="N44" s="11">
        <f>IFERROR(__xludf.DUMMYFUNCTION("""COMPUTED_VALUE"""),43111.66666666667)</f>
        <v>43111.66667</v>
      </c>
      <c r="O44" s="9">
        <f>IFERROR(__xludf.DUMMYFUNCTION("""COMPUTED_VALUE"""),43.82)</f>
        <v>43.82</v>
      </c>
      <c r="Q44" s="11">
        <f>IFERROR(__xludf.DUMMYFUNCTION("""COMPUTED_VALUE"""),43111.66666666667)</f>
        <v>43111.66667</v>
      </c>
      <c r="R44" s="9">
        <f>IFERROR(__xludf.DUMMYFUNCTION("""COMPUTED_VALUE"""),188.4)</f>
        <v>188.4</v>
      </c>
      <c r="S44" s="11">
        <f>IFERROR(__xludf.DUMMYFUNCTION("""COMPUTED_VALUE"""),43111.66666666667)</f>
        <v>43111.66667</v>
      </c>
      <c r="T44" s="9">
        <f>IFERROR(__xludf.DUMMYFUNCTION("""COMPUTED_VALUE"""),187.77)</f>
        <v>187.77</v>
      </c>
      <c r="V44" s="11">
        <f>IFERROR(__xludf.DUMMYFUNCTION("""COMPUTED_VALUE"""),43111.66666666667)</f>
        <v>43111.66667</v>
      </c>
      <c r="W44" s="9">
        <f>IFERROR(__xludf.DUMMYFUNCTION("""COMPUTED_VALUE"""),214.29)</f>
        <v>214.29</v>
      </c>
      <c r="X44" s="11">
        <f>IFERROR(__xludf.DUMMYFUNCTION("""COMPUTED_VALUE"""),43111.66666666667)</f>
        <v>43111.66667</v>
      </c>
      <c r="Y44" s="9">
        <f>IFERROR(__xludf.DUMMYFUNCTION("""COMPUTED_VALUE"""),217.24)</f>
        <v>217.24</v>
      </c>
      <c r="AA44" s="11">
        <f>IFERROR(__xludf.DUMMYFUNCTION("""COMPUTED_VALUE"""),43111.66666666667)</f>
        <v>43111.66667</v>
      </c>
      <c r="AB44" s="9">
        <f>IFERROR(__xludf.DUMMYFUNCTION("""COMPUTED_VALUE"""),1259.74)</f>
        <v>1259.74</v>
      </c>
      <c r="AC44" s="11">
        <f>IFERROR(__xludf.DUMMYFUNCTION("""COMPUTED_VALUE"""),43111.66666666667)</f>
        <v>43111.66667</v>
      </c>
      <c r="AD44" s="9">
        <f>IFERROR(__xludf.DUMMYFUNCTION("""COMPUTED_VALUE"""),1276.68)</f>
        <v>1276.68</v>
      </c>
    </row>
    <row r="45">
      <c r="B45" s="11">
        <f>IFERROR(__xludf.DUMMYFUNCTION("""COMPUTED_VALUE"""),43112.66666666667)</f>
        <v>43112.66667</v>
      </c>
      <c r="C45" s="9">
        <f>IFERROR(__xludf.DUMMYFUNCTION("""COMPUTED_VALUE"""),67.73)</f>
        <v>67.73</v>
      </c>
      <c r="D45" s="11">
        <f>IFERROR(__xludf.DUMMYFUNCTION("""COMPUTED_VALUE"""),43112.66666666667)</f>
        <v>43112.66667</v>
      </c>
      <c r="E45" s="9">
        <f>IFERROR(__xludf.DUMMYFUNCTION("""COMPUTED_VALUE"""),67.24)</f>
        <v>67.24</v>
      </c>
      <c r="G45" s="11">
        <f>IFERROR(__xludf.DUMMYFUNCTION("""COMPUTED_VALUE"""),43112.66666666667)</f>
        <v>43112.66667</v>
      </c>
      <c r="H45" s="9">
        <f>IFERROR(__xludf.DUMMYFUNCTION("""COMPUTED_VALUE"""),1102.41)</f>
        <v>1102.41</v>
      </c>
      <c r="I45" s="11">
        <f>IFERROR(__xludf.DUMMYFUNCTION("""COMPUTED_VALUE"""),43112.66666666667)</f>
        <v>43112.66667</v>
      </c>
      <c r="J45" s="9">
        <f>IFERROR(__xludf.DUMMYFUNCTION("""COMPUTED_VALUE"""),1122.26)</f>
        <v>1122.26</v>
      </c>
      <c r="L45" s="11">
        <f>IFERROR(__xludf.DUMMYFUNCTION("""COMPUTED_VALUE"""),43112.66666666667)</f>
        <v>43112.66667</v>
      </c>
      <c r="M45" s="9">
        <f>IFERROR(__xludf.DUMMYFUNCTION("""COMPUTED_VALUE"""),44.05)</f>
        <v>44.05</v>
      </c>
      <c r="N45" s="11">
        <f>IFERROR(__xludf.DUMMYFUNCTION("""COMPUTED_VALUE"""),43112.66666666667)</f>
        <v>43112.66667</v>
      </c>
      <c r="O45" s="9">
        <f>IFERROR(__xludf.DUMMYFUNCTION("""COMPUTED_VALUE"""),44.27)</f>
        <v>44.27</v>
      </c>
      <c r="Q45" s="11">
        <f>IFERROR(__xludf.DUMMYFUNCTION("""COMPUTED_VALUE"""),43112.66666666667)</f>
        <v>43112.66667</v>
      </c>
      <c r="R45" s="9">
        <f>IFERROR(__xludf.DUMMYFUNCTION("""COMPUTED_VALUE"""),178.06)</f>
        <v>178.06</v>
      </c>
      <c r="S45" s="11">
        <f>IFERROR(__xludf.DUMMYFUNCTION("""COMPUTED_VALUE"""),43112.66666666667)</f>
        <v>43112.66667</v>
      </c>
      <c r="T45" s="9">
        <f>IFERROR(__xludf.DUMMYFUNCTION("""COMPUTED_VALUE"""),179.37)</f>
        <v>179.37</v>
      </c>
      <c r="V45" s="11">
        <f>IFERROR(__xludf.DUMMYFUNCTION("""COMPUTED_VALUE"""),43112.66666666667)</f>
        <v>43112.66667</v>
      </c>
      <c r="W45" s="9">
        <f>IFERROR(__xludf.DUMMYFUNCTION("""COMPUTED_VALUE"""),217.18)</f>
        <v>217.18</v>
      </c>
      <c r="X45" s="11">
        <f>IFERROR(__xludf.DUMMYFUNCTION("""COMPUTED_VALUE"""),43112.66666666667)</f>
        <v>43112.66667</v>
      </c>
      <c r="Y45" s="9">
        <f>IFERROR(__xludf.DUMMYFUNCTION("""COMPUTED_VALUE"""),221.23)</f>
        <v>221.23</v>
      </c>
      <c r="AA45" s="11">
        <f>IFERROR(__xludf.DUMMYFUNCTION("""COMPUTED_VALUE"""),43112.66666666667)</f>
        <v>43112.66667</v>
      </c>
      <c r="AB45" s="9">
        <f>IFERROR(__xludf.DUMMYFUNCTION("""COMPUTED_VALUE"""),1273.39)</f>
        <v>1273.39</v>
      </c>
      <c r="AC45" s="11">
        <f>IFERROR(__xludf.DUMMYFUNCTION("""COMPUTED_VALUE"""),43112.66666666667)</f>
        <v>43112.66667</v>
      </c>
      <c r="AD45" s="9">
        <f>IFERROR(__xludf.DUMMYFUNCTION("""COMPUTED_VALUE"""),1305.2)</f>
        <v>1305.2</v>
      </c>
    </row>
    <row r="46">
      <c r="B46" s="11">
        <f>IFERROR(__xludf.DUMMYFUNCTION("""COMPUTED_VALUE"""),43116.66666666667)</f>
        <v>43116.66667</v>
      </c>
      <c r="C46" s="9">
        <f>IFERROR(__xludf.DUMMYFUNCTION("""COMPUTED_VALUE"""),67.51)</f>
        <v>67.51</v>
      </c>
      <c r="D46" s="11">
        <f>IFERROR(__xludf.DUMMYFUNCTION("""COMPUTED_VALUE"""),43116.66666666667)</f>
        <v>43116.66667</v>
      </c>
      <c r="E46" s="9">
        <f>IFERROR(__xludf.DUMMYFUNCTION("""COMPUTED_VALUE"""),68.01)</f>
        <v>68.01</v>
      </c>
      <c r="G46" s="11">
        <f>IFERROR(__xludf.DUMMYFUNCTION("""COMPUTED_VALUE"""),43116.66666666667)</f>
        <v>43116.66667</v>
      </c>
      <c r="H46" s="9">
        <f>IFERROR(__xludf.DUMMYFUNCTION("""COMPUTED_VALUE"""),1132.51)</f>
        <v>1132.51</v>
      </c>
      <c r="I46" s="11">
        <f>IFERROR(__xludf.DUMMYFUNCTION("""COMPUTED_VALUE"""),43116.66666666667)</f>
        <v>43116.66667</v>
      </c>
      <c r="J46" s="9">
        <f>IFERROR(__xludf.DUMMYFUNCTION("""COMPUTED_VALUE"""),1121.76)</f>
        <v>1121.76</v>
      </c>
      <c r="L46" s="11">
        <f>IFERROR(__xludf.DUMMYFUNCTION("""COMPUTED_VALUE"""),43116.66666666667)</f>
        <v>43116.66667</v>
      </c>
      <c r="M46" s="9">
        <f>IFERROR(__xludf.DUMMYFUNCTION("""COMPUTED_VALUE"""),44.48)</f>
        <v>44.48</v>
      </c>
      <c r="N46" s="11">
        <f>IFERROR(__xludf.DUMMYFUNCTION("""COMPUTED_VALUE"""),43116.66666666667)</f>
        <v>43116.66667</v>
      </c>
      <c r="O46" s="9">
        <f>IFERROR(__xludf.DUMMYFUNCTION("""COMPUTED_VALUE"""),44.05)</f>
        <v>44.05</v>
      </c>
      <c r="Q46" s="11">
        <f>IFERROR(__xludf.DUMMYFUNCTION("""COMPUTED_VALUE"""),43116.66666666667)</f>
        <v>43116.66667</v>
      </c>
      <c r="R46" s="9">
        <f>IFERROR(__xludf.DUMMYFUNCTION("""COMPUTED_VALUE"""),181.5)</f>
        <v>181.5</v>
      </c>
      <c r="S46" s="11">
        <f>IFERROR(__xludf.DUMMYFUNCTION("""COMPUTED_VALUE"""),43116.66666666667)</f>
        <v>43116.66667</v>
      </c>
      <c r="T46" s="9">
        <f>IFERROR(__xludf.DUMMYFUNCTION("""COMPUTED_VALUE"""),178.39)</f>
        <v>178.39</v>
      </c>
      <c r="V46" s="11">
        <f>IFERROR(__xludf.DUMMYFUNCTION("""COMPUTED_VALUE"""),43116.66666666667)</f>
        <v>43116.66667</v>
      </c>
      <c r="W46" s="9">
        <f>IFERROR(__xludf.DUMMYFUNCTION("""COMPUTED_VALUE"""),224.24)</f>
        <v>224.24</v>
      </c>
      <c r="X46" s="11">
        <f>IFERROR(__xludf.DUMMYFUNCTION("""COMPUTED_VALUE"""),43116.66666666667)</f>
        <v>43116.66667</v>
      </c>
      <c r="Y46" s="9">
        <f>IFERROR(__xludf.DUMMYFUNCTION("""COMPUTED_VALUE"""),221.53)</f>
        <v>221.53</v>
      </c>
      <c r="AA46" s="11">
        <f>IFERROR(__xludf.DUMMYFUNCTION("""COMPUTED_VALUE"""),43116.66666666667)</f>
        <v>43116.66667</v>
      </c>
      <c r="AB46" s="9">
        <f>IFERROR(__xludf.DUMMYFUNCTION("""COMPUTED_VALUE"""),1323.0)</f>
        <v>1323</v>
      </c>
      <c r="AC46" s="11">
        <f>IFERROR(__xludf.DUMMYFUNCTION("""COMPUTED_VALUE"""),43116.66666666667)</f>
        <v>43116.66667</v>
      </c>
      <c r="AD46" s="9">
        <f>IFERROR(__xludf.DUMMYFUNCTION("""COMPUTED_VALUE"""),1304.86)</f>
        <v>1304.86</v>
      </c>
    </row>
    <row r="47">
      <c r="B47" s="11">
        <f>IFERROR(__xludf.DUMMYFUNCTION("""COMPUTED_VALUE"""),43117.66666666667)</f>
        <v>43117.66667</v>
      </c>
      <c r="C47" s="9">
        <f>IFERROR(__xludf.DUMMYFUNCTION("""COMPUTED_VALUE"""),68.09)</f>
        <v>68.09</v>
      </c>
      <c r="D47" s="11">
        <f>IFERROR(__xludf.DUMMYFUNCTION("""COMPUTED_VALUE"""),43117.66666666667)</f>
        <v>43117.66667</v>
      </c>
      <c r="E47" s="9">
        <f>IFERROR(__xludf.DUMMYFUNCTION("""COMPUTED_VALUE"""),69.43)</f>
        <v>69.43</v>
      </c>
      <c r="G47" s="11">
        <f>IFERROR(__xludf.DUMMYFUNCTION("""COMPUTED_VALUE"""),43117.66666666667)</f>
        <v>43117.66667</v>
      </c>
      <c r="H47" s="9">
        <f>IFERROR(__xludf.DUMMYFUNCTION("""COMPUTED_VALUE"""),1126.22)</f>
        <v>1126.22</v>
      </c>
      <c r="I47" s="11">
        <f>IFERROR(__xludf.DUMMYFUNCTION("""COMPUTED_VALUE"""),43117.66666666667)</f>
        <v>43117.66667</v>
      </c>
      <c r="J47" s="9">
        <f>IFERROR(__xludf.DUMMYFUNCTION("""COMPUTED_VALUE"""),1131.98)</f>
        <v>1131.98</v>
      </c>
      <c r="L47" s="11">
        <f>IFERROR(__xludf.DUMMYFUNCTION("""COMPUTED_VALUE"""),43117.66666666667)</f>
        <v>43117.66667</v>
      </c>
      <c r="M47" s="9">
        <f>IFERROR(__xludf.DUMMYFUNCTION("""COMPUTED_VALUE"""),44.04)</f>
        <v>44.04</v>
      </c>
      <c r="N47" s="11">
        <f>IFERROR(__xludf.DUMMYFUNCTION("""COMPUTED_VALUE"""),43117.66666666667)</f>
        <v>43117.66667</v>
      </c>
      <c r="O47" s="9">
        <f>IFERROR(__xludf.DUMMYFUNCTION("""COMPUTED_VALUE"""),44.78)</f>
        <v>44.78</v>
      </c>
      <c r="Q47" s="11">
        <f>IFERROR(__xludf.DUMMYFUNCTION("""COMPUTED_VALUE"""),43117.66666666667)</f>
        <v>43117.66667</v>
      </c>
      <c r="R47" s="9">
        <f>IFERROR(__xludf.DUMMYFUNCTION("""COMPUTED_VALUE"""),179.26)</f>
        <v>179.26</v>
      </c>
      <c r="S47" s="11">
        <f>IFERROR(__xludf.DUMMYFUNCTION("""COMPUTED_VALUE"""),43117.66666666667)</f>
        <v>43117.66667</v>
      </c>
      <c r="T47" s="9">
        <f>IFERROR(__xludf.DUMMYFUNCTION("""COMPUTED_VALUE"""),177.6)</f>
        <v>177.6</v>
      </c>
      <c r="V47" s="11">
        <f>IFERROR(__xludf.DUMMYFUNCTION("""COMPUTED_VALUE"""),43117.66666666667)</f>
        <v>43117.66667</v>
      </c>
      <c r="W47" s="9">
        <f>IFERROR(__xludf.DUMMYFUNCTION("""COMPUTED_VALUE"""),221.0)</f>
        <v>221</v>
      </c>
      <c r="X47" s="11">
        <f>IFERROR(__xludf.DUMMYFUNCTION("""COMPUTED_VALUE"""),43117.66666666667)</f>
        <v>43117.66667</v>
      </c>
      <c r="Y47" s="9">
        <f>IFERROR(__xludf.DUMMYFUNCTION("""COMPUTED_VALUE"""),217.5)</f>
        <v>217.5</v>
      </c>
      <c r="AA47" s="11">
        <f>IFERROR(__xludf.DUMMYFUNCTION("""COMPUTED_VALUE"""),43117.66666666667)</f>
        <v>43117.66667</v>
      </c>
      <c r="AB47" s="9">
        <f>IFERROR(__xludf.DUMMYFUNCTION("""COMPUTED_VALUE"""),1312.24)</f>
        <v>1312.24</v>
      </c>
      <c r="AC47" s="11">
        <f>IFERROR(__xludf.DUMMYFUNCTION("""COMPUTED_VALUE"""),43117.66666666667)</f>
        <v>43117.66667</v>
      </c>
      <c r="AD47" s="9">
        <f>IFERROR(__xludf.DUMMYFUNCTION("""COMPUTED_VALUE"""),1295.0)</f>
        <v>1295</v>
      </c>
    </row>
    <row r="48">
      <c r="B48" s="11">
        <f>IFERROR(__xludf.DUMMYFUNCTION("""COMPUTED_VALUE"""),43118.66666666667)</f>
        <v>43118.66667</v>
      </c>
      <c r="C48" s="9">
        <f>IFERROR(__xludf.DUMMYFUNCTION("""COMPUTED_VALUE"""),69.13)</f>
        <v>69.13</v>
      </c>
      <c r="D48" s="11">
        <f>IFERROR(__xludf.DUMMYFUNCTION("""COMPUTED_VALUE"""),43118.66666666667)</f>
        <v>43118.66667</v>
      </c>
      <c r="E48" s="9">
        <f>IFERROR(__xludf.DUMMYFUNCTION("""COMPUTED_VALUE"""),68.91)</f>
        <v>68.91</v>
      </c>
      <c r="G48" s="11">
        <f>IFERROR(__xludf.DUMMYFUNCTION("""COMPUTED_VALUE"""),43118.66666666667)</f>
        <v>43118.66667</v>
      </c>
      <c r="H48" s="9">
        <f>IFERROR(__xludf.DUMMYFUNCTION("""COMPUTED_VALUE"""),1131.41)</f>
        <v>1131.41</v>
      </c>
      <c r="I48" s="11">
        <f>IFERROR(__xludf.DUMMYFUNCTION("""COMPUTED_VALUE"""),43118.66666666667)</f>
        <v>43118.66667</v>
      </c>
      <c r="J48" s="9">
        <f>IFERROR(__xludf.DUMMYFUNCTION("""COMPUTED_VALUE"""),1129.79)</f>
        <v>1129.79</v>
      </c>
      <c r="L48" s="11">
        <f>IFERROR(__xludf.DUMMYFUNCTION("""COMPUTED_VALUE"""),43118.66666666667)</f>
        <v>43118.66667</v>
      </c>
      <c r="M48" s="9">
        <f>IFERROR(__xludf.DUMMYFUNCTION("""COMPUTED_VALUE"""),44.84)</f>
        <v>44.84</v>
      </c>
      <c r="N48" s="11">
        <f>IFERROR(__xludf.DUMMYFUNCTION("""COMPUTED_VALUE"""),43118.66666666667)</f>
        <v>43118.66667</v>
      </c>
      <c r="O48" s="9">
        <f>IFERROR(__xludf.DUMMYFUNCTION("""COMPUTED_VALUE"""),44.82)</f>
        <v>44.82</v>
      </c>
      <c r="Q48" s="11">
        <f>IFERROR(__xludf.DUMMYFUNCTION("""COMPUTED_VALUE"""),43118.66666666667)</f>
        <v>43118.66667</v>
      </c>
      <c r="R48" s="9">
        <f>IFERROR(__xludf.DUMMYFUNCTION("""COMPUTED_VALUE"""),178.13)</f>
        <v>178.13</v>
      </c>
      <c r="S48" s="11">
        <f>IFERROR(__xludf.DUMMYFUNCTION("""COMPUTED_VALUE"""),43118.66666666667)</f>
        <v>43118.66667</v>
      </c>
      <c r="T48" s="9">
        <f>IFERROR(__xludf.DUMMYFUNCTION("""COMPUTED_VALUE"""),179.8)</f>
        <v>179.8</v>
      </c>
      <c r="V48" s="11">
        <f>IFERROR(__xludf.DUMMYFUNCTION("""COMPUTED_VALUE"""),43118.66666666667)</f>
        <v>43118.66667</v>
      </c>
      <c r="W48" s="9">
        <f>IFERROR(__xludf.DUMMYFUNCTION("""COMPUTED_VALUE"""),220.34)</f>
        <v>220.34</v>
      </c>
      <c r="X48" s="11">
        <f>IFERROR(__xludf.DUMMYFUNCTION("""COMPUTED_VALUE"""),43118.66666666667)</f>
        <v>43118.66667</v>
      </c>
      <c r="Y48" s="9">
        <f>IFERROR(__xludf.DUMMYFUNCTION("""COMPUTED_VALUE"""),220.33)</f>
        <v>220.33</v>
      </c>
      <c r="AA48" s="11">
        <f>IFERROR(__xludf.DUMMYFUNCTION("""COMPUTED_VALUE"""),43118.66666666667)</f>
        <v>43118.66667</v>
      </c>
      <c r="AB48" s="9">
        <f>IFERROR(__xludf.DUMMYFUNCTION("""COMPUTED_VALUE"""),1293.95)</f>
        <v>1293.95</v>
      </c>
      <c r="AC48" s="11">
        <f>IFERROR(__xludf.DUMMYFUNCTION("""COMPUTED_VALUE"""),43118.66666666667)</f>
        <v>43118.66667</v>
      </c>
      <c r="AD48" s="9">
        <f>IFERROR(__xludf.DUMMYFUNCTION("""COMPUTED_VALUE"""),1293.32)</f>
        <v>1293.32</v>
      </c>
    </row>
    <row r="49">
      <c r="B49" s="11">
        <f>IFERROR(__xludf.DUMMYFUNCTION("""COMPUTED_VALUE"""),43119.66666666667)</f>
        <v>43119.66667</v>
      </c>
      <c r="C49" s="9">
        <f>IFERROR(__xludf.DUMMYFUNCTION("""COMPUTED_VALUE"""),69.0)</f>
        <v>69</v>
      </c>
      <c r="D49" s="11">
        <f>IFERROR(__xludf.DUMMYFUNCTION("""COMPUTED_VALUE"""),43119.66666666667)</f>
        <v>43119.66667</v>
      </c>
      <c r="E49" s="9">
        <f>IFERROR(__xludf.DUMMYFUNCTION("""COMPUTED_VALUE"""),70.0)</f>
        <v>70</v>
      </c>
      <c r="G49" s="11">
        <f>IFERROR(__xludf.DUMMYFUNCTION("""COMPUTED_VALUE"""),43119.66666666667)</f>
        <v>43119.66667</v>
      </c>
      <c r="H49" s="9">
        <f>IFERROR(__xludf.DUMMYFUNCTION("""COMPUTED_VALUE"""),1131.83)</f>
        <v>1131.83</v>
      </c>
      <c r="I49" s="11">
        <f>IFERROR(__xludf.DUMMYFUNCTION("""COMPUTED_VALUE"""),43119.66666666667)</f>
        <v>43119.66667</v>
      </c>
      <c r="J49" s="9">
        <f>IFERROR(__xludf.DUMMYFUNCTION("""COMPUTED_VALUE"""),1137.51)</f>
        <v>1137.51</v>
      </c>
      <c r="L49" s="11">
        <f>IFERROR(__xludf.DUMMYFUNCTION("""COMPUTED_VALUE"""),43119.66666666667)</f>
        <v>43119.66667</v>
      </c>
      <c r="M49" s="9">
        <f>IFERROR(__xludf.DUMMYFUNCTION("""COMPUTED_VALUE"""),44.65)</f>
        <v>44.65</v>
      </c>
      <c r="N49" s="11">
        <f>IFERROR(__xludf.DUMMYFUNCTION("""COMPUTED_VALUE"""),43119.66666666667)</f>
        <v>43119.66667</v>
      </c>
      <c r="O49" s="9">
        <f>IFERROR(__xludf.DUMMYFUNCTION("""COMPUTED_VALUE"""),44.62)</f>
        <v>44.62</v>
      </c>
      <c r="Q49" s="11">
        <f>IFERROR(__xludf.DUMMYFUNCTION("""COMPUTED_VALUE"""),43119.66666666667)</f>
        <v>43119.66667</v>
      </c>
      <c r="R49" s="9">
        <f>IFERROR(__xludf.DUMMYFUNCTION("""COMPUTED_VALUE"""),180.85)</f>
        <v>180.85</v>
      </c>
      <c r="S49" s="11">
        <f>IFERROR(__xludf.DUMMYFUNCTION("""COMPUTED_VALUE"""),43119.66666666667)</f>
        <v>43119.66667</v>
      </c>
      <c r="T49" s="9">
        <f>IFERROR(__xludf.DUMMYFUNCTION("""COMPUTED_VALUE"""),181.29)</f>
        <v>181.29</v>
      </c>
      <c r="V49" s="11">
        <f>IFERROR(__xludf.DUMMYFUNCTION("""COMPUTED_VALUE"""),43119.66666666667)</f>
        <v>43119.66667</v>
      </c>
      <c r="W49" s="9">
        <f>IFERROR(__xludf.DUMMYFUNCTION("""COMPUTED_VALUE"""),222.75)</f>
        <v>222.75</v>
      </c>
      <c r="X49" s="11">
        <f>IFERROR(__xludf.DUMMYFUNCTION("""COMPUTED_VALUE"""),43119.66666666667)</f>
        <v>43119.66667</v>
      </c>
      <c r="Y49" s="9">
        <f>IFERROR(__xludf.DUMMYFUNCTION("""COMPUTED_VALUE"""),220.46)</f>
        <v>220.46</v>
      </c>
      <c r="AA49" s="11">
        <f>IFERROR(__xludf.DUMMYFUNCTION("""COMPUTED_VALUE"""),43119.66666666667)</f>
        <v>43119.66667</v>
      </c>
      <c r="AB49" s="9">
        <f>IFERROR(__xludf.DUMMYFUNCTION("""COMPUTED_VALUE"""),1312.0)</f>
        <v>1312</v>
      </c>
      <c r="AC49" s="11">
        <f>IFERROR(__xludf.DUMMYFUNCTION("""COMPUTED_VALUE"""),43119.66666666667)</f>
        <v>43119.66667</v>
      </c>
      <c r="AD49" s="9">
        <f>IFERROR(__xludf.DUMMYFUNCTION("""COMPUTED_VALUE"""),1294.58)</f>
        <v>1294.58</v>
      </c>
    </row>
    <row r="50">
      <c r="B50" s="11">
        <f>IFERROR(__xludf.DUMMYFUNCTION("""COMPUTED_VALUE"""),43122.66666666667)</f>
        <v>43122.66667</v>
      </c>
      <c r="C50" s="9">
        <f>IFERROR(__xludf.DUMMYFUNCTION("""COMPUTED_VALUE"""),69.88)</f>
        <v>69.88</v>
      </c>
      <c r="D50" s="11">
        <f>IFERROR(__xludf.DUMMYFUNCTION("""COMPUTED_VALUE"""),43122.66666666667)</f>
        <v>43122.66667</v>
      </c>
      <c r="E50" s="9">
        <f>IFERROR(__xludf.DUMMYFUNCTION("""COMPUTED_VALUE"""),70.31)</f>
        <v>70.31</v>
      </c>
      <c r="G50" s="11">
        <f>IFERROR(__xludf.DUMMYFUNCTION("""COMPUTED_VALUE"""),43122.66666666667)</f>
        <v>43122.66667</v>
      </c>
      <c r="H50" s="9">
        <f>IFERROR(__xludf.DUMMYFUNCTION("""COMPUTED_VALUE"""),1137.49)</f>
        <v>1137.49</v>
      </c>
      <c r="I50" s="11">
        <f>IFERROR(__xludf.DUMMYFUNCTION("""COMPUTED_VALUE"""),43122.66666666667)</f>
        <v>43122.66667</v>
      </c>
      <c r="J50" s="9">
        <f>IFERROR(__xludf.DUMMYFUNCTION("""COMPUTED_VALUE"""),1155.81)</f>
        <v>1155.81</v>
      </c>
      <c r="L50" s="11">
        <f>IFERROR(__xludf.DUMMYFUNCTION("""COMPUTED_VALUE"""),43122.66666666667)</f>
        <v>43122.66667</v>
      </c>
      <c r="M50" s="9">
        <f>IFERROR(__xludf.DUMMYFUNCTION("""COMPUTED_VALUE"""),44.33)</f>
        <v>44.33</v>
      </c>
      <c r="N50" s="11">
        <f>IFERROR(__xludf.DUMMYFUNCTION("""COMPUTED_VALUE"""),43122.66666666667)</f>
        <v>43122.66667</v>
      </c>
      <c r="O50" s="9">
        <f>IFERROR(__xludf.DUMMYFUNCTION("""COMPUTED_VALUE"""),44.25)</f>
        <v>44.25</v>
      </c>
      <c r="Q50" s="11">
        <f>IFERROR(__xludf.DUMMYFUNCTION("""COMPUTED_VALUE"""),43122.66666666667)</f>
        <v>43122.66667</v>
      </c>
      <c r="R50" s="9">
        <f>IFERROR(__xludf.DUMMYFUNCTION("""COMPUTED_VALUE"""),180.8)</f>
        <v>180.8</v>
      </c>
      <c r="S50" s="11">
        <f>IFERROR(__xludf.DUMMYFUNCTION("""COMPUTED_VALUE"""),43122.66666666667)</f>
        <v>43122.66667</v>
      </c>
      <c r="T50" s="9">
        <f>IFERROR(__xludf.DUMMYFUNCTION("""COMPUTED_VALUE"""),185.37)</f>
        <v>185.37</v>
      </c>
      <c r="V50" s="11">
        <f>IFERROR(__xludf.DUMMYFUNCTION("""COMPUTED_VALUE"""),43122.66666666667)</f>
        <v>43122.66667</v>
      </c>
      <c r="W50" s="9">
        <f>IFERROR(__xludf.DUMMYFUNCTION("""COMPUTED_VALUE"""),222.0)</f>
        <v>222</v>
      </c>
      <c r="X50" s="11">
        <f>IFERROR(__xludf.DUMMYFUNCTION("""COMPUTED_VALUE"""),43122.66666666667)</f>
        <v>43122.66667</v>
      </c>
      <c r="Y50" s="9">
        <f>IFERROR(__xludf.DUMMYFUNCTION("""COMPUTED_VALUE"""),227.58)</f>
        <v>227.58</v>
      </c>
      <c r="AA50" s="11">
        <f>IFERROR(__xludf.DUMMYFUNCTION("""COMPUTED_VALUE"""),43122.66666666667)</f>
        <v>43122.66667</v>
      </c>
      <c r="AB50" s="9">
        <f>IFERROR(__xludf.DUMMYFUNCTION("""COMPUTED_VALUE"""),1297.17)</f>
        <v>1297.17</v>
      </c>
      <c r="AC50" s="11">
        <f>IFERROR(__xludf.DUMMYFUNCTION("""COMPUTED_VALUE"""),43122.66666666667)</f>
        <v>43122.66667</v>
      </c>
      <c r="AD50" s="9">
        <f>IFERROR(__xludf.DUMMYFUNCTION("""COMPUTED_VALUE"""),1327.31)</f>
        <v>1327.31</v>
      </c>
    </row>
    <row r="51">
      <c r="B51" s="11">
        <f>IFERROR(__xludf.DUMMYFUNCTION("""COMPUTED_VALUE"""),43123.66666666667)</f>
        <v>43123.66667</v>
      </c>
      <c r="C51" s="9">
        <f>IFERROR(__xludf.DUMMYFUNCTION("""COMPUTED_VALUE"""),72.0)</f>
        <v>72</v>
      </c>
      <c r="D51" s="11">
        <f>IFERROR(__xludf.DUMMYFUNCTION("""COMPUTED_VALUE"""),43123.66666666667)</f>
        <v>43123.66667</v>
      </c>
      <c r="E51" s="9">
        <f>IFERROR(__xludf.DUMMYFUNCTION("""COMPUTED_VALUE"""),70.56)</f>
        <v>70.56</v>
      </c>
      <c r="G51" s="11">
        <f>IFERROR(__xludf.DUMMYFUNCTION("""COMPUTED_VALUE"""),43123.66666666667)</f>
        <v>43123.66667</v>
      </c>
      <c r="H51" s="9">
        <f>IFERROR(__xludf.DUMMYFUNCTION("""COMPUTED_VALUE"""),1159.85)</f>
        <v>1159.85</v>
      </c>
      <c r="I51" s="11">
        <f>IFERROR(__xludf.DUMMYFUNCTION("""COMPUTED_VALUE"""),43123.66666666667)</f>
        <v>43123.66667</v>
      </c>
      <c r="J51" s="9">
        <f>IFERROR(__xludf.DUMMYFUNCTION("""COMPUTED_VALUE"""),1169.97)</f>
        <v>1169.97</v>
      </c>
      <c r="L51" s="11">
        <f>IFERROR(__xludf.DUMMYFUNCTION("""COMPUTED_VALUE"""),43123.66666666667)</f>
        <v>43123.66667</v>
      </c>
      <c r="M51" s="9">
        <f>IFERROR(__xludf.DUMMYFUNCTION("""COMPUTED_VALUE"""),44.33)</f>
        <v>44.33</v>
      </c>
      <c r="N51" s="11">
        <f>IFERROR(__xludf.DUMMYFUNCTION("""COMPUTED_VALUE"""),43123.66666666667)</f>
        <v>43123.66667</v>
      </c>
      <c r="O51" s="9">
        <f>IFERROR(__xludf.DUMMYFUNCTION("""COMPUTED_VALUE"""),44.26)</f>
        <v>44.26</v>
      </c>
      <c r="Q51" s="11">
        <f>IFERROR(__xludf.DUMMYFUNCTION("""COMPUTED_VALUE"""),43123.66666666667)</f>
        <v>43123.66667</v>
      </c>
      <c r="R51" s="9">
        <f>IFERROR(__xludf.DUMMYFUNCTION("""COMPUTED_VALUE"""),186.05)</f>
        <v>186.05</v>
      </c>
      <c r="S51" s="11">
        <f>IFERROR(__xludf.DUMMYFUNCTION("""COMPUTED_VALUE"""),43123.66666666667)</f>
        <v>43123.66667</v>
      </c>
      <c r="T51" s="9">
        <f>IFERROR(__xludf.DUMMYFUNCTION("""COMPUTED_VALUE"""),189.35)</f>
        <v>189.35</v>
      </c>
      <c r="V51" s="11">
        <f>IFERROR(__xludf.DUMMYFUNCTION("""COMPUTED_VALUE"""),43123.66666666667)</f>
        <v>43123.66667</v>
      </c>
      <c r="W51" s="9">
        <f>IFERROR(__xludf.DUMMYFUNCTION("""COMPUTED_VALUE"""),255.05)</f>
        <v>255.05</v>
      </c>
      <c r="X51" s="11">
        <f>IFERROR(__xludf.DUMMYFUNCTION("""COMPUTED_VALUE"""),43123.66666666667)</f>
        <v>43123.66667</v>
      </c>
      <c r="Y51" s="9">
        <f>IFERROR(__xludf.DUMMYFUNCTION("""COMPUTED_VALUE"""),250.29)</f>
        <v>250.29</v>
      </c>
      <c r="AA51" s="11">
        <f>IFERROR(__xludf.DUMMYFUNCTION("""COMPUTED_VALUE"""),43123.66666666667)</f>
        <v>43123.66667</v>
      </c>
      <c r="AB51" s="9">
        <f>IFERROR(__xludf.DUMMYFUNCTION("""COMPUTED_VALUE"""),1338.09)</f>
        <v>1338.09</v>
      </c>
      <c r="AC51" s="11">
        <f>IFERROR(__xludf.DUMMYFUNCTION("""COMPUTED_VALUE"""),43123.66666666667)</f>
        <v>43123.66667</v>
      </c>
      <c r="AD51" s="9">
        <f>IFERROR(__xludf.DUMMYFUNCTION("""COMPUTED_VALUE"""),1362.54)</f>
        <v>1362.54</v>
      </c>
    </row>
    <row r="52">
      <c r="B52" s="11">
        <f>IFERROR(__xludf.DUMMYFUNCTION("""COMPUTED_VALUE"""),43124.66666666667)</f>
        <v>43124.66667</v>
      </c>
      <c r="C52" s="9">
        <f>IFERROR(__xludf.DUMMYFUNCTION("""COMPUTED_VALUE"""),70.92)</f>
        <v>70.92</v>
      </c>
      <c r="D52" s="11">
        <f>IFERROR(__xludf.DUMMYFUNCTION("""COMPUTED_VALUE"""),43124.66666666667)</f>
        <v>43124.66667</v>
      </c>
      <c r="E52" s="9">
        <f>IFERROR(__xludf.DUMMYFUNCTION("""COMPUTED_VALUE"""),69.18)</f>
        <v>69.18</v>
      </c>
      <c r="G52" s="11">
        <f>IFERROR(__xludf.DUMMYFUNCTION("""COMPUTED_VALUE"""),43124.66666666667)</f>
        <v>43124.66667</v>
      </c>
      <c r="H52" s="9">
        <f>IFERROR(__xludf.DUMMYFUNCTION("""COMPUTED_VALUE"""),1177.33)</f>
        <v>1177.33</v>
      </c>
      <c r="I52" s="11">
        <f>IFERROR(__xludf.DUMMYFUNCTION("""COMPUTED_VALUE"""),43124.66666666667)</f>
        <v>43124.66667</v>
      </c>
      <c r="J52" s="9">
        <f>IFERROR(__xludf.DUMMYFUNCTION("""COMPUTED_VALUE"""),1164.24)</f>
        <v>1164.24</v>
      </c>
      <c r="L52" s="11">
        <f>IFERROR(__xludf.DUMMYFUNCTION("""COMPUTED_VALUE"""),43124.66666666667)</f>
        <v>43124.66667</v>
      </c>
      <c r="M52" s="9">
        <f>IFERROR(__xludf.DUMMYFUNCTION("""COMPUTED_VALUE"""),44.31)</f>
        <v>44.31</v>
      </c>
      <c r="N52" s="11">
        <f>IFERROR(__xludf.DUMMYFUNCTION("""COMPUTED_VALUE"""),43124.66666666667)</f>
        <v>43124.66667</v>
      </c>
      <c r="O52" s="9">
        <f>IFERROR(__xludf.DUMMYFUNCTION("""COMPUTED_VALUE"""),43.56)</f>
        <v>43.56</v>
      </c>
      <c r="Q52" s="11">
        <f>IFERROR(__xludf.DUMMYFUNCTION("""COMPUTED_VALUE"""),43124.66666666667)</f>
        <v>43124.66667</v>
      </c>
      <c r="R52" s="9">
        <f>IFERROR(__xludf.DUMMYFUNCTION("""COMPUTED_VALUE"""),189.89)</f>
        <v>189.89</v>
      </c>
      <c r="S52" s="11">
        <f>IFERROR(__xludf.DUMMYFUNCTION("""COMPUTED_VALUE"""),43124.66666666667)</f>
        <v>43124.66667</v>
      </c>
      <c r="T52" s="9">
        <f>IFERROR(__xludf.DUMMYFUNCTION("""COMPUTED_VALUE"""),186.55)</f>
        <v>186.55</v>
      </c>
      <c r="V52" s="11">
        <f>IFERROR(__xludf.DUMMYFUNCTION("""COMPUTED_VALUE"""),43124.66666666667)</f>
        <v>43124.66667</v>
      </c>
      <c r="W52" s="9">
        <f>IFERROR(__xludf.DUMMYFUNCTION("""COMPUTED_VALUE"""),250.88)</f>
        <v>250.88</v>
      </c>
      <c r="X52" s="11">
        <f>IFERROR(__xludf.DUMMYFUNCTION("""COMPUTED_VALUE"""),43124.66666666667)</f>
        <v>43124.66667</v>
      </c>
      <c r="Y52" s="9">
        <f>IFERROR(__xludf.DUMMYFUNCTION("""COMPUTED_VALUE"""),261.3)</f>
        <v>261.3</v>
      </c>
      <c r="AA52" s="11">
        <f>IFERROR(__xludf.DUMMYFUNCTION("""COMPUTED_VALUE"""),43124.66666666667)</f>
        <v>43124.66667</v>
      </c>
      <c r="AB52" s="9">
        <f>IFERROR(__xludf.DUMMYFUNCTION("""COMPUTED_VALUE"""),1374.82)</f>
        <v>1374.82</v>
      </c>
      <c r="AC52" s="11">
        <f>IFERROR(__xludf.DUMMYFUNCTION("""COMPUTED_VALUE"""),43124.66666666667)</f>
        <v>43124.66667</v>
      </c>
      <c r="AD52" s="9">
        <f>IFERROR(__xludf.DUMMYFUNCTION("""COMPUTED_VALUE"""),1357.51)</f>
        <v>1357.51</v>
      </c>
    </row>
    <row r="53">
      <c r="B53" s="11">
        <f>IFERROR(__xludf.DUMMYFUNCTION("""COMPUTED_VALUE"""),43125.66666666667)</f>
        <v>43125.66667</v>
      </c>
      <c r="C53" s="9">
        <f>IFERROR(__xludf.DUMMYFUNCTION("""COMPUTED_VALUE"""),69.65)</f>
        <v>69.65</v>
      </c>
      <c r="D53" s="11">
        <f>IFERROR(__xludf.DUMMYFUNCTION("""COMPUTED_VALUE"""),43125.66666666667)</f>
        <v>43125.66667</v>
      </c>
      <c r="E53" s="9">
        <f>IFERROR(__xludf.DUMMYFUNCTION("""COMPUTED_VALUE"""),67.53)</f>
        <v>67.53</v>
      </c>
      <c r="G53" s="11">
        <f>IFERROR(__xludf.DUMMYFUNCTION("""COMPUTED_VALUE"""),43125.66666666667)</f>
        <v>43125.66667</v>
      </c>
      <c r="H53" s="9">
        <f>IFERROR(__xludf.DUMMYFUNCTION("""COMPUTED_VALUE"""),1172.53)</f>
        <v>1172.53</v>
      </c>
      <c r="I53" s="11">
        <f>IFERROR(__xludf.DUMMYFUNCTION("""COMPUTED_VALUE"""),43125.66666666667)</f>
        <v>43125.66667</v>
      </c>
      <c r="J53" s="9">
        <f>IFERROR(__xludf.DUMMYFUNCTION("""COMPUTED_VALUE"""),1170.37)</f>
        <v>1170.37</v>
      </c>
      <c r="L53" s="11">
        <f>IFERROR(__xludf.DUMMYFUNCTION("""COMPUTED_VALUE"""),43125.66666666667)</f>
        <v>43125.66667</v>
      </c>
      <c r="M53" s="9">
        <f>IFERROR(__xludf.DUMMYFUNCTION("""COMPUTED_VALUE"""),43.63)</f>
        <v>43.63</v>
      </c>
      <c r="N53" s="11">
        <f>IFERROR(__xludf.DUMMYFUNCTION("""COMPUTED_VALUE"""),43125.66666666667)</f>
        <v>43125.66667</v>
      </c>
      <c r="O53" s="9">
        <f>IFERROR(__xludf.DUMMYFUNCTION("""COMPUTED_VALUE"""),42.78)</f>
        <v>42.78</v>
      </c>
      <c r="Q53" s="11">
        <f>IFERROR(__xludf.DUMMYFUNCTION("""COMPUTED_VALUE"""),43125.66666666667)</f>
        <v>43125.66667</v>
      </c>
      <c r="R53" s="9">
        <f>IFERROR(__xludf.DUMMYFUNCTION("""COMPUTED_VALUE"""),187.95)</f>
        <v>187.95</v>
      </c>
      <c r="S53" s="11">
        <f>IFERROR(__xludf.DUMMYFUNCTION("""COMPUTED_VALUE"""),43125.66666666667)</f>
        <v>43125.66667</v>
      </c>
      <c r="T53" s="9">
        <f>IFERROR(__xludf.DUMMYFUNCTION("""COMPUTED_VALUE"""),187.48)</f>
        <v>187.48</v>
      </c>
      <c r="V53" s="11">
        <f>IFERROR(__xludf.DUMMYFUNCTION("""COMPUTED_VALUE"""),43125.66666666667)</f>
        <v>43125.66667</v>
      </c>
      <c r="W53" s="9">
        <f>IFERROR(__xludf.DUMMYFUNCTION("""COMPUTED_VALUE"""),263.0)</f>
        <v>263</v>
      </c>
      <c r="X53" s="11">
        <f>IFERROR(__xludf.DUMMYFUNCTION("""COMPUTED_VALUE"""),43125.66666666667)</f>
        <v>43125.66667</v>
      </c>
      <c r="Y53" s="9">
        <f>IFERROR(__xludf.DUMMYFUNCTION("""COMPUTED_VALUE"""),269.7)</f>
        <v>269.7</v>
      </c>
      <c r="AA53" s="11">
        <f>IFERROR(__xludf.DUMMYFUNCTION("""COMPUTED_VALUE"""),43125.66666666667)</f>
        <v>43125.66667</v>
      </c>
      <c r="AB53" s="9">
        <f>IFERROR(__xludf.DUMMYFUNCTION("""COMPUTED_VALUE"""),1368.0)</f>
        <v>1368</v>
      </c>
      <c r="AC53" s="11">
        <f>IFERROR(__xludf.DUMMYFUNCTION("""COMPUTED_VALUE"""),43125.66666666667)</f>
        <v>43125.66667</v>
      </c>
      <c r="AD53" s="9">
        <f>IFERROR(__xludf.DUMMYFUNCTION("""COMPUTED_VALUE"""),1377.95)</f>
        <v>1377.95</v>
      </c>
    </row>
    <row r="54">
      <c r="B54" s="11">
        <f>IFERROR(__xludf.DUMMYFUNCTION("""COMPUTED_VALUE"""),43126.66666666667)</f>
        <v>43126.66667</v>
      </c>
      <c r="C54" s="9">
        <f>IFERROR(__xludf.DUMMYFUNCTION("""COMPUTED_VALUE"""),68.3)</f>
        <v>68.3</v>
      </c>
      <c r="D54" s="11">
        <f>IFERROR(__xludf.DUMMYFUNCTION("""COMPUTED_VALUE"""),43126.66666666667)</f>
        <v>43126.66667</v>
      </c>
      <c r="E54" s="9">
        <f>IFERROR(__xludf.DUMMYFUNCTION("""COMPUTED_VALUE"""),68.57)</f>
        <v>68.57</v>
      </c>
      <c r="G54" s="11">
        <f>IFERROR(__xludf.DUMMYFUNCTION("""COMPUTED_VALUE"""),43126.66666666667)</f>
        <v>43126.66667</v>
      </c>
      <c r="H54" s="9">
        <f>IFERROR(__xludf.DUMMYFUNCTION("""COMPUTED_VALUE"""),1175.08)</f>
        <v>1175.08</v>
      </c>
      <c r="I54" s="11">
        <f>IFERROR(__xludf.DUMMYFUNCTION("""COMPUTED_VALUE"""),43126.66666666667)</f>
        <v>43126.66667</v>
      </c>
      <c r="J54" s="9">
        <f>IFERROR(__xludf.DUMMYFUNCTION("""COMPUTED_VALUE"""),1175.84)</f>
        <v>1175.84</v>
      </c>
      <c r="L54" s="11">
        <f>IFERROR(__xludf.DUMMYFUNCTION("""COMPUTED_VALUE"""),43126.66666666667)</f>
        <v>43126.66667</v>
      </c>
      <c r="M54" s="9">
        <f>IFERROR(__xludf.DUMMYFUNCTION("""COMPUTED_VALUE"""),43.0)</f>
        <v>43</v>
      </c>
      <c r="N54" s="11">
        <f>IFERROR(__xludf.DUMMYFUNCTION("""COMPUTED_VALUE"""),43126.66666666667)</f>
        <v>43126.66667</v>
      </c>
      <c r="O54" s="9">
        <f>IFERROR(__xludf.DUMMYFUNCTION("""COMPUTED_VALUE"""),42.88)</f>
        <v>42.88</v>
      </c>
      <c r="Q54" s="11">
        <f>IFERROR(__xludf.DUMMYFUNCTION("""COMPUTED_VALUE"""),43126.66666666667)</f>
        <v>43126.66667</v>
      </c>
      <c r="R54" s="9">
        <f>IFERROR(__xludf.DUMMYFUNCTION("""COMPUTED_VALUE"""),187.75)</f>
        <v>187.75</v>
      </c>
      <c r="S54" s="11">
        <f>IFERROR(__xludf.DUMMYFUNCTION("""COMPUTED_VALUE"""),43126.66666666667)</f>
        <v>43126.66667</v>
      </c>
      <c r="T54" s="9">
        <f>IFERROR(__xludf.DUMMYFUNCTION("""COMPUTED_VALUE"""),190.0)</f>
        <v>190</v>
      </c>
      <c r="V54" s="11">
        <f>IFERROR(__xludf.DUMMYFUNCTION("""COMPUTED_VALUE"""),43126.66666666667)</f>
        <v>43126.66667</v>
      </c>
      <c r="W54" s="9">
        <f>IFERROR(__xludf.DUMMYFUNCTION("""COMPUTED_VALUE"""),271.49)</f>
        <v>271.49</v>
      </c>
      <c r="X54" s="11">
        <f>IFERROR(__xludf.DUMMYFUNCTION("""COMPUTED_VALUE"""),43126.66666666667)</f>
        <v>43126.66667</v>
      </c>
      <c r="Y54" s="9">
        <f>IFERROR(__xludf.DUMMYFUNCTION("""COMPUTED_VALUE"""),274.6)</f>
        <v>274.6</v>
      </c>
      <c r="AA54" s="11">
        <f>IFERROR(__xludf.DUMMYFUNCTION("""COMPUTED_VALUE"""),43126.66666666667)</f>
        <v>43126.66667</v>
      </c>
      <c r="AB54" s="9">
        <f>IFERROR(__xludf.DUMMYFUNCTION("""COMPUTED_VALUE"""),1392.01)</f>
        <v>1392.01</v>
      </c>
      <c r="AC54" s="11">
        <f>IFERROR(__xludf.DUMMYFUNCTION("""COMPUTED_VALUE"""),43126.66666666667)</f>
        <v>43126.66667</v>
      </c>
      <c r="AD54" s="9">
        <f>IFERROR(__xludf.DUMMYFUNCTION("""COMPUTED_VALUE"""),1402.05)</f>
        <v>1402.05</v>
      </c>
    </row>
    <row r="55">
      <c r="B55" s="11">
        <f>IFERROR(__xludf.DUMMYFUNCTION("""COMPUTED_VALUE"""),43129.66666666667)</f>
        <v>43129.66667</v>
      </c>
      <c r="C55" s="9">
        <f>IFERROR(__xludf.DUMMYFUNCTION("""COMPUTED_VALUE"""),67.97)</f>
        <v>67.97</v>
      </c>
      <c r="D55" s="11">
        <f>IFERROR(__xludf.DUMMYFUNCTION("""COMPUTED_VALUE"""),43129.66666666667)</f>
        <v>43129.66667</v>
      </c>
      <c r="E55" s="9">
        <f>IFERROR(__xludf.DUMMYFUNCTION("""COMPUTED_VALUE"""),69.91)</f>
        <v>69.91</v>
      </c>
      <c r="G55" s="11">
        <f>IFERROR(__xludf.DUMMYFUNCTION("""COMPUTED_VALUE"""),43129.66666666667)</f>
        <v>43129.66667</v>
      </c>
      <c r="H55" s="9">
        <f>IFERROR(__xludf.DUMMYFUNCTION("""COMPUTED_VALUE"""),1176.48)</f>
        <v>1176.48</v>
      </c>
      <c r="I55" s="11">
        <f>IFERROR(__xludf.DUMMYFUNCTION("""COMPUTED_VALUE"""),43129.66666666667)</f>
        <v>43129.66667</v>
      </c>
      <c r="J55" s="9">
        <f>IFERROR(__xludf.DUMMYFUNCTION("""COMPUTED_VALUE"""),1175.58)</f>
        <v>1175.58</v>
      </c>
      <c r="L55" s="11">
        <f>IFERROR(__xludf.DUMMYFUNCTION("""COMPUTED_VALUE"""),43129.66666666667)</f>
        <v>43129.66667</v>
      </c>
      <c r="M55" s="9">
        <f>IFERROR(__xludf.DUMMYFUNCTION("""COMPUTED_VALUE"""),42.54)</f>
        <v>42.54</v>
      </c>
      <c r="N55" s="11">
        <f>IFERROR(__xludf.DUMMYFUNCTION("""COMPUTED_VALUE"""),43129.66666666667)</f>
        <v>43129.66667</v>
      </c>
      <c r="O55" s="9">
        <f>IFERROR(__xludf.DUMMYFUNCTION("""COMPUTED_VALUE"""),41.99)</f>
        <v>41.99</v>
      </c>
      <c r="Q55" s="11">
        <f>IFERROR(__xludf.DUMMYFUNCTION("""COMPUTED_VALUE"""),43129.66666666667)</f>
        <v>43129.66667</v>
      </c>
      <c r="R55" s="9">
        <f>IFERROR(__xludf.DUMMYFUNCTION("""COMPUTED_VALUE"""),188.75)</f>
        <v>188.75</v>
      </c>
      <c r="S55" s="11">
        <f>IFERROR(__xludf.DUMMYFUNCTION("""COMPUTED_VALUE"""),43129.66666666667)</f>
        <v>43129.66667</v>
      </c>
      <c r="T55" s="9">
        <f>IFERROR(__xludf.DUMMYFUNCTION("""COMPUTED_VALUE"""),185.98)</f>
        <v>185.98</v>
      </c>
      <c r="V55" s="11">
        <f>IFERROR(__xludf.DUMMYFUNCTION("""COMPUTED_VALUE"""),43129.66666666667)</f>
        <v>43129.66667</v>
      </c>
      <c r="W55" s="9">
        <f>IFERROR(__xludf.DUMMYFUNCTION("""COMPUTED_VALUE"""),274.2)</f>
        <v>274.2</v>
      </c>
      <c r="X55" s="11">
        <f>IFERROR(__xludf.DUMMYFUNCTION("""COMPUTED_VALUE"""),43129.66666666667)</f>
        <v>43129.66667</v>
      </c>
      <c r="Y55" s="9">
        <f>IFERROR(__xludf.DUMMYFUNCTION("""COMPUTED_VALUE"""),284.59)</f>
        <v>284.59</v>
      </c>
      <c r="AA55" s="11">
        <f>IFERROR(__xludf.DUMMYFUNCTION("""COMPUTED_VALUE"""),43129.66666666667)</f>
        <v>43129.66667</v>
      </c>
      <c r="AB55" s="9">
        <f>IFERROR(__xludf.DUMMYFUNCTION("""COMPUTED_VALUE"""),1409.18)</f>
        <v>1409.18</v>
      </c>
      <c r="AC55" s="11">
        <f>IFERROR(__xludf.DUMMYFUNCTION("""COMPUTED_VALUE"""),43129.66666666667)</f>
        <v>43129.66667</v>
      </c>
      <c r="AD55" s="9">
        <f>IFERROR(__xludf.DUMMYFUNCTION("""COMPUTED_VALUE"""),1417.68)</f>
        <v>1417.68</v>
      </c>
    </row>
    <row r="56">
      <c r="B56" s="11">
        <f>IFERROR(__xludf.DUMMYFUNCTION("""COMPUTED_VALUE"""),43130.66666666667)</f>
        <v>43130.66667</v>
      </c>
      <c r="C56" s="9">
        <f>IFERROR(__xludf.DUMMYFUNCTION("""COMPUTED_VALUE"""),69.03)</f>
        <v>69.03</v>
      </c>
      <c r="D56" s="11">
        <f>IFERROR(__xludf.DUMMYFUNCTION("""COMPUTED_VALUE"""),43130.66666666667)</f>
        <v>43130.66667</v>
      </c>
      <c r="E56" s="9">
        <f>IFERROR(__xludf.DUMMYFUNCTION("""COMPUTED_VALUE"""),69.16)</f>
        <v>69.16</v>
      </c>
      <c r="G56" s="11">
        <f>IFERROR(__xludf.DUMMYFUNCTION("""COMPUTED_VALUE"""),43130.66666666667)</f>
        <v>43130.66667</v>
      </c>
      <c r="H56" s="9">
        <f>IFERROR(__xludf.DUMMYFUNCTION("""COMPUTED_VALUE"""),1167.83)</f>
        <v>1167.83</v>
      </c>
      <c r="I56" s="11">
        <f>IFERROR(__xludf.DUMMYFUNCTION("""COMPUTED_VALUE"""),43130.66666666667)</f>
        <v>43130.66667</v>
      </c>
      <c r="J56" s="9">
        <f>IFERROR(__xludf.DUMMYFUNCTION("""COMPUTED_VALUE"""),1163.69)</f>
        <v>1163.69</v>
      </c>
      <c r="L56" s="11">
        <f>IFERROR(__xludf.DUMMYFUNCTION("""COMPUTED_VALUE"""),43130.66666666667)</f>
        <v>43130.66667</v>
      </c>
      <c r="M56" s="9">
        <f>IFERROR(__xludf.DUMMYFUNCTION("""COMPUTED_VALUE"""),41.38)</f>
        <v>41.38</v>
      </c>
      <c r="N56" s="11">
        <f>IFERROR(__xludf.DUMMYFUNCTION("""COMPUTED_VALUE"""),43130.66666666667)</f>
        <v>43130.66667</v>
      </c>
      <c r="O56" s="9">
        <f>IFERROR(__xludf.DUMMYFUNCTION("""COMPUTED_VALUE"""),41.74)</f>
        <v>41.74</v>
      </c>
      <c r="Q56" s="11">
        <f>IFERROR(__xludf.DUMMYFUNCTION("""COMPUTED_VALUE"""),43130.66666666667)</f>
        <v>43130.66667</v>
      </c>
      <c r="R56" s="9">
        <f>IFERROR(__xludf.DUMMYFUNCTION("""COMPUTED_VALUE"""),183.01)</f>
        <v>183.01</v>
      </c>
      <c r="S56" s="11">
        <f>IFERROR(__xludf.DUMMYFUNCTION("""COMPUTED_VALUE"""),43130.66666666667)</f>
        <v>43130.66667</v>
      </c>
      <c r="T56" s="9">
        <f>IFERROR(__xludf.DUMMYFUNCTION("""COMPUTED_VALUE"""),187.12)</f>
        <v>187.12</v>
      </c>
      <c r="V56" s="11">
        <f>IFERROR(__xludf.DUMMYFUNCTION("""COMPUTED_VALUE"""),43130.66666666667)</f>
        <v>43130.66667</v>
      </c>
      <c r="W56" s="9">
        <f>IFERROR(__xludf.DUMMYFUNCTION("""COMPUTED_VALUE"""),277.0)</f>
        <v>277</v>
      </c>
      <c r="X56" s="11">
        <f>IFERROR(__xludf.DUMMYFUNCTION("""COMPUTED_VALUE"""),43130.66666666667)</f>
        <v>43130.66667</v>
      </c>
      <c r="Y56" s="9">
        <f>IFERROR(__xludf.DUMMYFUNCTION("""COMPUTED_VALUE"""),278.8)</f>
        <v>278.8</v>
      </c>
      <c r="AA56" s="11">
        <f>IFERROR(__xludf.DUMMYFUNCTION("""COMPUTED_VALUE"""),43130.66666666667)</f>
        <v>43130.66667</v>
      </c>
      <c r="AB56" s="9">
        <f>IFERROR(__xludf.DUMMYFUNCTION("""COMPUTED_VALUE"""),1403.17)</f>
        <v>1403.17</v>
      </c>
      <c r="AC56" s="11">
        <f>IFERROR(__xludf.DUMMYFUNCTION("""COMPUTED_VALUE"""),43130.66666666667)</f>
        <v>43130.66667</v>
      </c>
      <c r="AD56" s="9">
        <f>IFERROR(__xludf.DUMMYFUNCTION("""COMPUTED_VALUE"""),1437.82)</f>
        <v>1437.82</v>
      </c>
    </row>
    <row r="57">
      <c r="B57" s="11">
        <f>IFERROR(__xludf.DUMMYFUNCTION("""COMPUTED_VALUE"""),43131.66666666667)</f>
        <v>43131.66667</v>
      </c>
      <c r="C57" s="9">
        <f>IFERROR(__xludf.DUMMYFUNCTION("""COMPUTED_VALUE"""),69.5)</f>
        <v>69.5</v>
      </c>
      <c r="D57" s="11">
        <f>IFERROR(__xludf.DUMMYFUNCTION("""COMPUTED_VALUE"""),43131.66666666667)</f>
        <v>43131.66667</v>
      </c>
      <c r="E57" s="9">
        <f>IFERROR(__xludf.DUMMYFUNCTION("""COMPUTED_VALUE"""),70.86)</f>
        <v>70.86</v>
      </c>
      <c r="G57" s="11">
        <f>IFERROR(__xludf.DUMMYFUNCTION("""COMPUTED_VALUE"""),43131.66666666667)</f>
        <v>43131.66667</v>
      </c>
      <c r="H57" s="9">
        <f>IFERROR(__xludf.DUMMYFUNCTION("""COMPUTED_VALUE"""),1170.57)</f>
        <v>1170.57</v>
      </c>
      <c r="I57" s="11">
        <f>IFERROR(__xludf.DUMMYFUNCTION("""COMPUTED_VALUE"""),43131.66666666667)</f>
        <v>43131.66667</v>
      </c>
      <c r="J57" s="9">
        <f>IFERROR(__xludf.DUMMYFUNCTION("""COMPUTED_VALUE"""),1169.94)</f>
        <v>1169.94</v>
      </c>
      <c r="L57" s="11">
        <f>IFERROR(__xludf.DUMMYFUNCTION("""COMPUTED_VALUE"""),43131.66666666667)</f>
        <v>43131.66667</v>
      </c>
      <c r="M57" s="9">
        <f>IFERROR(__xludf.DUMMYFUNCTION("""COMPUTED_VALUE"""),41.72)</f>
        <v>41.72</v>
      </c>
      <c r="N57" s="11">
        <f>IFERROR(__xludf.DUMMYFUNCTION("""COMPUTED_VALUE"""),43131.66666666667)</f>
        <v>43131.66667</v>
      </c>
      <c r="O57" s="9">
        <f>IFERROR(__xludf.DUMMYFUNCTION("""COMPUTED_VALUE"""),41.86)</f>
        <v>41.86</v>
      </c>
      <c r="Q57" s="11">
        <f>IFERROR(__xludf.DUMMYFUNCTION("""COMPUTED_VALUE"""),43131.66666666667)</f>
        <v>43131.66667</v>
      </c>
      <c r="R57" s="9">
        <f>IFERROR(__xludf.DUMMYFUNCTION("""COMPUTED_VALUE"""),188.37)</f>
        <v>188.37</v>
      </c>
      <c r="S57" s="11">
        <f>IFERROR(__xludf.DUMMYFUNCTION("""COMPUTED_VALUE"""),43131.66666666667)</f>
        <v>43131.66667</v>
      </c>
      <c r="T57" s="9">
        <f>IFERROR(__xludf.DUMMYFUNCTION("""COMPUTED_VALUE"""),186.89)</f>
        <v>186.89</v>
      </c>
      <c r="V57" s="11">
        <f>IFERROR(__xludf.DUMMYFUNCTION("""COMPUTED_VALUE"""),43131.66666666667)</f>
        <v>43131.66667</v>
      </c>
      <c r="W57" s="9">
        <f>IFERROR(__xludf.DUMMYFUNCTION("""COMPUTED_VALUE"""),281.94)</f>
        <v>281.94</v>
      </c>
      <c r="X57" s="11">
        <f>IFERROR(__xludf.DUMMYFUNCTION("""COMPUTED_VALUE"""),43131.66666666667)</f>
        <v>43131.66667</v>
      </c>
      <c r="Y57" s="9">
        <f>IFERROR(__xludf.DUMMYFUNCTION("""COMPUTED_VALUE"""),270.3)</f>
        <v>270.3</v>
      </c>
      <c r="AA57" s="11">
        <f>IFERROR(__xludf.DUMMYFUNCTION("""COMPUTED_VALUE"""),43131.66666666667)</f>
        <v>43131.66667</v>
      </c>
      <c r="AB57" s="9">
        <f>IFERROR(__xludf.DUMMYFUNCTION("""COMPUTED_VALUE"""),1451.3)</f>
        <v>1451.3</v>
      </c>
      <c r="AC57" s="11">
        <f>IFERROR(__xludf.DUMMYFUNCTION("""COMPUTED_VALUE"""),43131.66666666667)</f>
        <v>43131.66667</v>
      </c>
      <c r="AD57" s="9">
        <f>IFERROR(__xludf.DUMMYFUNCTION("""COMPUTED_VALUE"""),1450.89)</f>
        <v>1450.89</v>
      </c>
    </row>
    <row r="58">
      <c r="B58" s="11">
        <f>IFERROR(__xludf.DUMMYFUNCTION("""COMPUTED_VALUE"""),43132.66666666667)</f>
        <v>43132.66667</v>
      </c>
      <c r="C58" s="9">
        <f>IFERROR(__xludf.DUMMYFUNCTION("""COMPUTED_VALUE"""),70.2)</f>
        <v>70.2</v>
      </c>
      <c r="D58" s="11">
        <f>IFERROR(__xludf.DUMMYFUNCTION("""COMPUTED_VALUE"""),43132.66666666667)</f>
        <v>43132.66667</v>
      </c>
      <c r="E58" s="9">
        <f>IFERROR(__xludf.DUMMYFUNCTION("""COMPUTED_VALUE"""),69.85)</f>
        <v>69.85</v>
      </c>
      <c r="G58" s="11">
        <f>IFERROR(__xludf.DUMMYFUNCTION("""COMPUTED_VALUE"""),43132.66666666667)</f>
        <v>43132.66667</v>
      </c>
      <c r="H58" s="9">
        <f>IFERROR(__xludf.DUMMYFUNCTION("""COMPUTED_VALUE"""),1162.61)</f>
        <v>1162.61</v>
      </c>
      <c r="I58" s="11">
        <f>IFERROR(__xludf.DUMMYFUNCTION("""COMPUTED_VALUE"""),43132.66666666667)</f>
        <v>43132.66667</v>
      </c>
      <c r="J58" s="9">
        <f>IFERROR(__xludf.DUMMYFUNCTION("""COMPUTED_VALUE"""),1167.7)</f>
        <v>1167.7</v>
      </c>
      <c r="L58" s="11">
        <f>IFERROR(__xludf.DUMMYFUNCTION("""COMPUTED_VALUE"""),43132.66666666667)</f>
        <v>43132.66667</v>
      </c>
      <c r="M58" s="9">
        <f>IFERROR(__xludf.DUMMYFUNCTION("""COMPUTED_VALUE"""),41.79)</f>
        <v>41.79</v>
      </c>
      <c r="N58" s="11">
        <f>IFERROR(__xludf.DUMMYFUNCTION("""COMPUTED_VALUE"""),43132.66666666667)</f>
        <v>43132.66667</v>
      </c>
      <c r="O58" s="9">
        <f>IFERROR(__xludf.DUMMYFUNCTION("""COMPUTED_VALUE"""),41.95)</f>
        <v>41.95</v>
      </c>
      <c r="Q58" s="11">
        <f>IFERROR(__xludf.DUMMYFUNCTION("""COMPUTED_VALUE"""),43132.66666666667)</f>
        <v>43132.66667</v>
      </c>
      <c r="R58" s="9">
        <f>IFERROR(__xludf.DUMMYFUNCTION("""COMPUTED_VALUE"""),188.22)</f>
        <v>188.22</v>
      </c>
      <c r="S58" s="11">
        <f>IFERROR(__xludf.DUMMYFUNCTION("""COMPUTED_VALUE"""),43132.66666666667)</f>
        <v>43132.66667</v>
      </c>
      <c r="T58" s="9">
        <f>IFERROR(__xludf.DUMMYFUNCTION("""COMPUTED_VALUE"""),193.09)</f>
        <v>193.09</v>
      </c>
      <c r="V58" s="11">
        <f>IFERROR(__xludf.DUMMYFUNCTION("""COMPUTED_VALUE"""),43132.66666666667)</f>
        <v>43132.66667</v>
      </c>
      <c r="W58" s="9">
        <f>IFERROR(__xludf.DUMMYFUNCTION("""COMPUTED_VALUE"""),266.41)</f>
        <v>266.41</v>
      </c>
      <c r="X58" s="11">
        <f>IFERROR(__xludf.DUMMYFUNCTION("""COMPUTED_VALUE"""),43132.66666666667)</f>
        <v>43132.66667</v>
      </c>
      <c r="Y58" s="9">
        <f>IFERROR(__xludf.DUMMYFUNCTION("""COMPUTED_VALUE"""),265.07)</f>
        <v>265.07</v>
      </c>
      <c r="AA58" s="11">
        <f>IFERROR(__xludf.DUMMYFUNCTION("""COMPUTED_VALUE"""),43132.66666666667)</f>
        <v>43132.66667</v>
      </c>
      <c r="AB58" s="9">
        <f>IFERROR(__xludf.DUMMYFUNCTION("""COMPUTED_VALUE"""),1445.0)</f>
        <v>1445</v>
      </c>
      <c r="AC58" s="11">
        <f>IFERROR(__xludf.DUMMYFUNCTION("""COMPUTED_VALUE"""),43132.66666666667)</f>
        <v>43132.66667</v>
      </c>
      <c r="AD58" s="9">
        <f>IFERROR(__xludf.DUMMYFUNCTION("""COMPUTED_VALUE"""),1390.0)</f>
        <v>1390</v>
      </c>
    </row>
    <row r="59">
      <c r="B59" s="11">
        <f>IFERROR(__xludf.DUMMYFUNCTION("""COMPUTED_VALUE"""),43133.66666666667)</f>
        <v>43133.66667</v>
      </c>
      <c r="C59" s="9">
        <f>IFERROR(__xludf.DUMMYFUNCTION("""COMPUTED_VALUE"""),69.69)</f>
        <v>69.69</v>
      </c>
      <c r="D59" s="11">
        <f>IFERROR(__xludf.DUMMYFUNCTION("""COMPUTED_VALUE"""),43133.66666666667)</f>
        <v>43133.66667</v>
      </c>
      <c r="E59" s="9">
        <f>IFERROR(__xludf.DUMMYFUNCTION("""COMPUTED_VALUE"""),68.75)</f>
        <v>68.75</v>
      </c>
      <c r="G59" s="11">
        <f>IFERROR(__xludf.DUMMYFUNCTION("""COMPUTED_VALUE"""),43133.66666666667)</f>
        <v>43133.66667</v>
      </c>
      <c r="H59" s="9">
        <f>IFERROR(__xludf.DUMMYFUNCTION("""COMPUTED_VALUE"""),1122.0)</f>
        <v>1122</v>
      </c>
      <c r="I59" s="11">
        <f>IFERROR(__xludf.DUMMYFUNCTION("""COMPUTED_VALUE"""),43133.66666666667)</f>
        <v>43133.66667</v>
      </c>
      <c r="J59" s="9">
        <f>IFERROR(__xludf.DUMMYFUNCTION("""COMPUTED_VALUE"""),1111.9)</f>
        <v>1111.9</v>
      </c>
      <c r="L59" s="11">
        <f>IFERROR(__xludf.DUMMYFUNCTION("""COMPUTED_VALUE"""),43133.66666666667)</f>
        <v>43133.66667</v>
      </c>
      <c r="M59" s="9">
        <f>IFERROR(__xludf.DUMMYFUNCTION("""COMPUTED_VALUE"""),41.5)</f>
        <v>41.5</v>
      </c>
      <c r="N59" s="11">
        <f>IFERROR(__xludf.DUMMYFUNCTION("""COMPUTED_VALUE"""),43133.66666666667)</f>
        <v>43133.66667</v>
      </c>
      <c r="O59" s="9">
        <f>IFERROR(__xludf.DUMMYFUNCTION("""COMPUTED_VALUE"""),40.13)</f>
        <v>40.13</v>
      </c>
      <c r="Q59" s="11">
        <f>IFERROR(__xludf.DUMMYFUNCTION("""COMPUTED_VALUE"""),43133.66666666667)</f>
        <v>43133.66667</v>
      </c>
      <c r="R59" s="9">
        <f>IFERROR(__xludf.DUMMYFUNCTION("""COMPUTED_VALUE"""),192.04)</f>
        <v>192.04</v>
      </c>
      <c r="S59" s="11">
        <f>IFERROR(__xludf.DUMMYFUNCTION("""COMPUTED_VALUE"""),43133.66666666667)</f>
        <v>43133.66667</v>
      </c>
      <c r="T59" s="9">
        <f>IFERROR(__xludf.DUMMYFUNCTION("""COMPUTED_VALUE"""),190.28)</f>
        <v>190.28</v>
      </c>
      <c r="V59" s="11">
        <f>IFERROR(__xludf.DUMMYFUNCTION("""COMPUTED_VALUE"""),43133.66666666667)</f>
        <v>43133.66667</v>
      </c>
      <c r="W59" s="9">
        <f>IFERROR(__xludf.DUMMYFUNCTION("""COMPUTED_VALUE"""),263.0)</f>
        <v>263</v>
      </c>
      <c r="X59" s="11">
        <f>IFERROR(__xludf.DUMMYFUNCTION("""COMPUTED_VALUE"""),43133.66666666667)</f>
        <v>43133.66667</v>
      </c>
      <c r="Y59" s="9">
        <f>IFERROR(__xludf.DUMMYFUNCTION("""COMPUTED_VALUE"""),267.43)</f>
        <v>267.43</v>
      </c>
      <c r="AA59" s="11">
        <f>IFERROR(__xludf.DUMMYFUNCTION("""COMPUTED_VALUE"""),43133.66666666667)</f>
        <v>43133.66667</v>
      </c>
      <c r="AB59" s="9">
        <f>IFERROR(__xludf.DUMMYFUNCTION("""COMPUTED_VALUE"""),1477.39)</f>
        <v>1477.39</v>
      </c>
      <c r="AC59" s="11">
        <f>IFERROR(__xludf.DUMMYFUNCTION("""COMPUTED_VALUE"""),43133.66666666667)</f>
        <v>43133.66667</v>
      </c>
      <c r="AD59" s="9">
        <f>IFERROR(__xludf.DUMMYFUNCTION("""COMPUTED_VALUE"""),1429.95)</f>
        <v>1429.95</v>
      </c>
    </row>
    <row r="60">
      <c r="B60" s="11">
        <f>IFERROR(__xludf.DUMMYFUNCTION("""COMPUTED_VALUE"""),43136.66666666667)</f>
        <v>43136.66667</v>
      </c>
      <c r="C60" s="9">
        <f>IFERROR(__xludf.DUMMYFUNCTION("""COMPUTED_VALUE"""),67.59)</f>
        <v>67.59</v>
      </c>
      <c r="D60" s="11">
        <f>IFERROR(__xludf.DUMMYFUNCTION("""COMPUTED_VALUE"""),43136.66666666667)</f>
        <v>43136.66667</v>
      </c>
      <c r="E60" s="9">
        <f>IFERROR(__xludf.DUMMYFUNCTION("""COMPUTED_VALUE"""),66.63)</f>
        <v>66.63</v>
      </c>
      <c r="G60" s="11">
        <f>IFERROR(__xludf.DUMMYFUNCTION("""COMPUTED_VALUE"""),43136.66666666667)</f>
        <v>43136.66667</v>
      </c>
      <c r="H60" s="9">
        <f>IFERROR(__xludf.DUMMYFUNCTION("""COMPUTED_VALUE"""),1090.6)</f>
        <v>1090.6</v>
      </c>
      <c r="I60" s="11">
        <f>IFERROR(__xludf.DUMMYFUNCTION("""COMPUTED_VALUE"""),43136.66666666667)</f>
        <v>43136.66667</v>
      </c>
      <c r="J60" s="9">
        <f>IFERROR(__xludf.DUMMYFUNCTION("""COMPUTED_VALUE"""),1055.8)</f>
        <v>1055.8</v>
      </c>
      <c r="L60" s="11">
        <f>IFERROR(__xludf.DUMMYFUNCTION("""COMPUTED_VALUE"""),43136.66666666667)</f>
        <v>43136.66667</v>
      </c>
      <c r="M60" s="9">
        <f>IFERROR(__xludf.DUMMYFUNCTION("""COMPUTED_VALUE"""),39.78)</f>
        <v>39.78</v>
      </c>
      <c r="N60" s="11">
        <f>IFERROR(__xludf.DUMMYFUNCTION("""COMPUTED_VALUE"""),43136.66666666667)</f>
        <v>43136.66667</v>
      </c>
      <c r="O60" s="9">
        <f>IFERROR(__xludf.DUMMYFUNCTION("""COMPUTED_VALUE"""),39.12)</f>
        <v>39.12</v>
      </c>
      <c r="Q60" s="11">
        <f>IFERROR(__xludf.DUMMYFUNCTION("""COMPUTED_VALUE"""),43136.66666666667)</f>
        <v>43136.66667</v>
      </c>
      <c r="R60" s="9">
        <f>IFERROR(__xludf.DUMMYFUNCTION("""COMPUTED_VALUE"""),186.93)</f>
        <v>186.93</v>
      </c>
      <c r="S60" s="11">
        <f>IFERROR(__xludf.DUMMYFUNCTION("""COMPUTED_VALUE"""),43136.66666666667)</f>
        <v>43136.66667</v>
      </c>
      <c r="T60" s="9">
        <f>IFERROR(__xludf.DUMMYFUNCTION("""COMPUTED_VALUE"""),181.26)</f>
        <v>181.26</v>
      </c>
      <c r="V60" s="11">
        <f>IFERROR(__xludf.DUMMYFUNCTION("""COMPUTED_VALUE"""),43136.66666666667)</f>
        <v>43136.66667</v>
      </c>
      <c r="W60" s="9">
        <f>IFERROR(__xludf.DUMMYFUNCTION("""COMPUTED_VALUE"""),262.0)</f>
        <v>262</v>
      </c>
      <c r="X60" s="11">
        <f>IFERROR(__xludf.DUMMYFUNCTION("""COMPUTED_VALUE"""),43136.66666666667)</f>
        <v>43136.66667</v>
      </c>
      <c r="Y60" s="9">
        <f>IFERROR(__xludf.DUMMYFUNCTION("""COMPUTED_VALUE"""),254.26)</f>
        <v>254.26</v>
      </c>
      <c r="AA60" s="11">
        <f>IFERROR(__xludf.DUMMYFUNCTION("""COMPUTED_VALUE"""),43136.66666666667)</f>
        <v>43136.66667</v>
      </c>
      <c r="AB60" s="9">
        <f>IFERROR(__xludf.DUMMYFUNCTION("""COMPUTED_VALUE"""),1402.62)</f>
        <v>1402.62</v>
      </c>
      <c r="AC60" s="11">
        <f>IFERROR(__xludf.DUMMYFUNCTION("""COMPUTED_VALUE"""),43136.66666666667)</f>
        <v>43136.66667</v>
      </c>
      <c r="AD60" s="9">
        <f>IFERROR(__xludf.DUMMYFUNCTION("""COMPUTED_VALUE"""),1390.0)</f>
        <v>1390</v>
      </c>
    </row>
    <row r="61">
      <c r="B61" s="11">
        <f>IFERROR(__xludf.DUMMYFUNCTION("""COMPUTED_VALUE"""),43137.66666666667)</f>
        <v>43137.66667</v>
      </c>
      <c r="C61" s="9">
        <f>IFERROR(__xludf.DUMMYFUNCTION("""COMPUTED_VALUE"""),65.04)</f>
        <v>65.04</v>
      </c>
      <c r="D61" s="11">
        <f>IFERROR(__xludf.DUMMYFUNCTION("""COMPUTED_VALUE"""),43137.66666666667)</f>
        <v>43137.66667</v>
      </c>
      <c r="E61" s="9">
        <f>IFERROR(__xludf.DUMMYFUNCTION("""COMPUTED_VALUE"""),66.79)</f>
        <v>66.79</v>
      </c>
      <c r="G61" s="11">
        <f>IFERROR(__xludf.DUMMYFUNCTION("""COMPUTED_VALUE"""),43137.66666666667)</f>
        <v>43137.66667</v>
      </c>
      <c r="H61" s="9">
        <f>IFERROR(__xludf.DUMMYFUNCTION("""COMPUTED_VALUE"""),1027.18)</f>
        <v>1027.18</v>
      </c>
      <c r="I61" s="11">
        <f>IFERROR(__xludf.DUMMYFUNCTION("""COMPUTED_VALUE"""),43137.66666666667)</f>
        <v>43137.66667</v>
      </c>
      <c r="J61" s="9">
        <f>IFERROR(__xludf.DUMMYFUNCTION("""COMPUTED_VALUE"""),1080.6)</f>
        <v>1080.6</v>
      </c>
      <c r="L61" s="11">
        <f>IFERROR(__xludf.DUMMYFUNCTION("""COMPUTED_VALUE"""),43137.66666666667)</f>
        <v>43137.66667</v>
      </c>
      <c r="M61" s="9">
        <f>IFERROR(__xludf.DUMMYFUNCTION("""COMPUTED_VALUE"""),38.71)</f>
        <v>38.71</v>
      </c>
      <c r="N61" s="11">
        <f>IFERROR(__xludf.DUMMYFUNCTION("""COMPUTED_VALUE"""),43137.66666666667)</f>
        <v>43137.66667</v>
      </c>
      <c r="O61" s="9">
        <f>IFERROR(__xludf.DUMMYFUNCTION("""COMPUTED_VALUE"""),40.76)</f>
        <v>40.76</v>
      </c>
      <c r="Q61" s="11">
        <f>IFERROR(__xludf.DUMMYFUNCTION("""COMPUTED_VALUE"""),43137.66666666667)</f>
        <v>43137.66667</v>
      </c>
      <c r="R61" s="9">
        <f>IFERROR(__xludf.DUMMYFUNCTION("""COMPUTED_VALUE"""),178.57)</f>
        <v>178.57</v>
      </c>
      <c r="S61" s="11">
        <f>IFERROR(__xludf.DUMMYFUNCTION("""COMPUTED_VALUE"""),43137.66666666667)</f>
        <v>43137.66667</v>
      </c>
      <c r="T61" s="9">
        <f>IFERROR(__xludf.DUMMYFUNCTION("""COMPUTED_VALUE"""),185.31)</f>
        <v>185.31</v>
      </c>
      <c r="V61" s="11">
        <f>IFERROR(__xludf.DUMMYFUNCTION("""COMPUTED_VALUE"""),43137.66666666667)</f>
        <v>43137.66667</v>
      </c>
      <c r="W61" s="9">
        <f>IFERROR(__xludf.DUMMYFUNCTION("""COMPUTED_VALUE"""),247.7)</f>
        <v>247.7</v>
      </c>
      <c r="X61" s="11">
        <f>IFERROR(__xludf.DUMMYFUNCTION("""COMPUTED_VALUE"""),43137.66666666667)</f>
        <v>43137.66667</v>
      </c>
      <c r="Y61" s="9">
        <f>IFERROR(__xludf.DUMMYFUNCTION("""COMPUTED_VALUE"""),265.72)</f>
        <v>265.72</v>
      </c>
      <c r="AA61" s="11">
        <f>IFERROR(__xludf.DUMMYFUNCTION("""COMPUTED_VALUE"""),43137.66666666667)</f>
        <v>43137.66667</v>
      </c>
      <c r="AB61" s="9">
        <f>IFERROR(__xludf.DUMMYFUNCTION("""COMPUTED_VALUE"""),1361.46)</f>
        <v>1361.46</v>
      </c>
      <c r="AC61" s="11">
        <f>IFERROR(__xludf.DUMMYFUNCTION("""COMPUTED_VALUE"""),43137.66666666667)</f>
        <v>43137.66667</v>
      </c>
      <c r="AD61" s="9">
        <f>IFERROR(__xludf.DUMMYFUNCTION("""COMPUTED_VALUE"""),1442.84)</f>
        <v>1442.84</v>
      </c>
    </row>
    <row r="62">
      <c r="B62" s="11">
        <f>IFERROR(__xludf.DUMMYFUNCTION("""COMPUTED_VALUE"""),43138.66666666667)</f>
        <v>43138.66667</v>
      </c>
      <c r="C62" s="9">
        <f>IFERROR(__xludf.DUMMYFUNCTION("""COMPUTED_VALUE"""),67.8)</f>
        <v>67.8</v>
      </c>
      <c r="D62" s="11">
        <f>IFERROR(__xludf.DUMMYFUNCTION("""COMPUTED_VALUE"""),43138.66666666667)</f>
        <v>43138.66667</v>
      </c>
      <c r="E62" s="9">
        <f>IFERROR(__xludf.DUMMYFUNCTION("""COMPUTED_VALUE"""),69.0)</f>
        <v>69</v>
      </c>
      <c r="G62" s="11">
        <f>IFERROR(__xludf.DUMMYFUNCTION("""COMPUTED_VALUE"""),43138.66666666667)</f>
        <v>43138.66667</v>
      </c>
      <c r="H62" s="9">
        <f>IFERROR(__xludf.DUMMYFUNCTION("""COMPUTED_VALUE"""),1081.54)</f>
        <v>1081.54</v>
      </c>
      <c r="I62" s="11">
        <f>IFERROR(__xludf.DUMMYFUNCTION("""COMPUTED_VALUE"""),43138.66666666667)</f>
        <v>43138.66667</v>
      </c>
      <c r="J62" s="9">
        <f>IFERROR(__xludf.DUMMYFUNCTION("""COMPUTED_VALUE"""),1048.58)</f>
        <v>1048.58</v>
      </c>
      <c r="L62" s="11">
        <f>IFERROR(__xludf.DUMMYFUNCTION("""COMPUTED_VALUE"""),43138.66666666667)</f>
        <v>43138.66667</v>
      </c>
      <c r="M62" s="9">
        <f>IFERROR(__xludf.DUMMYFUNCTION("""COMPUTED_VALUE"""),40.77)</f>
        <v>40.77</v>
      </c>
      <c r="N62" s="11">
        <f>IFERROR(__xludf.DUMMYFUNCTION("""COMPUTED_VALUE"""),43138.66666666667)</f>
        <v>43138.66667</v>
      </c>
      <c r="O62" s="9">
        <f>IFERROR(__xludf.DUMMYFUNCTION("""COMPUTED_VALUE"""),39.89)</f>
        <v>39.89</v>
      </c>
      <c r="Q62" s="11">
        <f>IFERROR(__xludf.DUMMYFUNCTION("""COMPUTED_VALUE"""),43138.66666666667)</f>
        <v>43138.66667</v>
      </c>
      <c r="R62" s="9">
        <f>IFERROR(__xludf.DUMMYFUNCTION("""COMPUTED_VALUE"""),184.15)</f>
        <v>184.15</v>
      </c>
      <c r="S62" s="11">
        <f>IFERROR(__xludf.DUMMYFUNCTION("""COMPUTED_VALUE"""),43138.66666666667)</f>
        <v>43138.66667</v>
      </c>
      <c r="T62" s="9">
        <f>IFERROR(__xludf.DUMMYFUNCTION("""COMPUTED_VALUE"""),180.18)</f>
        <v>180.18</v>
      </c>
      <c r="V62" s="11">
        <f>IFERROR(__xludf.DUMMYFUNCTION("""COMPUTED_VALUE"""),43138.66666666667)</f>
        <v>43138.66667</v>
      </c>
      <c r="W62" s="9">
        <f>IFERROR(__xludf.DUMMYFUNCTION("""COMPUTED_VALUE"""),266.58)</f>
        <v>266.58</v>
      </c>
      <c r="X62" s="11">
        <f>IFERROR(__xludf.DUMMYFUNCTION("""COMPUTED_VALUE"""),43138.66666666667)</f>
        <v>43138.66667</v>
      </c>
      <c r="Y62" s="9">
        <f>IFERROR(__xludf.DUMMYFUNCTION("""COMPUTED_VALUE"""),264.56)</f>
        <v>264.56</v>
      </c>
      <c r="AA62" s="11">
        <f>IFERROR(__xludf.DUMMYFUNCTION("""COMPUTED_VALUE"""),43138.66666666667)</f>
        <v>43138.66667</v>
      </c>
      <c r="AB62" s="9">
        <f>IFERROR(__xludf.DUMMYFUNCTION("""COMPUTED_VALUE"""),1449.0)</f>
        <v>1449</v>
      </c>
      <c r="AC62" s="11">
        <f>IFERROR(__xludf.DUMMYFUNCTION("""COMPUTED_VALUE"""),43138.66666666667)</f>
        <v>43138.66667</v>
      </c>
      <c r="AD62" s="9">
        <f>IFERROR(__xludf.DUMMYFUNCTION("""COMPUTED_VALUE"""),1416.78)</f>
        <v>1416.78</v>
      </c>
    </row>
    <row r="63">
      <c r="B63" s="11">
        <f>IFERROR(__xludf.DUMMYFUNCTION("""COMPUTED_VALUE"""),43139.66666666667)</f>
        <v>43139.66667</v>
      </c>
      <c r="C63" s="9">
        <f>IFERROR(__xludf.DUMMYFUNCTION("""COMPUTED_VALUE"""),68.66)</f>
        <v>68.66</v>
      </c>
      <c r="D63" s="11">
        <f>IFERROR(__xludf.DUMMYFUNCTION("""COMPUTED_VALUE"""),43139.66666666667)</f>
        <v>43139.66667</v>
      </c>
      <c r="E63" s="9">
        <f>IFERROR(__xludf.DUMMYFUNCTION("""COMPUTED_VALUE"""),63.05)</f>
        <v>63.05</v>
      </c>
      <c r="G63" s="11">
        <f>IFERROR(__xludf.DUMMYFUNCTION("""COMPUTED_VALUE"""),43139.66666666667)</f>
        <v>43139.66667</v>
      </c>
      <c r="H63" s="9">
        <f>IFERROR(__xludf.DUMMYFUNCTION("""COMPUTED_VALUE"""),1055.41)</f>
        <v>1055.41</v>
      </c>
      <c r="I63" s="11">
        <f>IFERROR(__xludf.DUMMYFUNCTION("""COMPUTED_VALUE"""),43139.66666666667)</f>
        <v>43139.66667</v>
      </c>
      <c r="J63" s="9">
        <f>IFERROR(__xludf.DUMMYFUNCTION("""COMPUTED_VALUE"""),1001.52)</f>
        <v>1001.52</v>
      </c>
      <c r="L63" s="11">
        <f>IFERROR(__xludf.DUMMYFUNCTION("""COMPUTED_VALUE"""),43139.66666666667)</f>
        <v>43139.66667</v>
      </c>
      <c r="M63" s="9">
        <f>IFERROR(__xludf.DUMMYFUNCTION("""COMPUTED_VALUE"""),40.07)</f>
        <v>40.07</v>
      </c>
      <c r="N63" s="11">
        <f>IFERROR(__xludf.DUMMYFUNCTION("""COMPUTED_VALUE"""),43139.66666666667)</f>
        <v>43139.66667</v>
      </c>
      <c r="O63" s="9">
        <f>IFERROR(__xludf.DUMMYFUNCTION("""COMPUTED_VALUE"""),38.79)</f>
        <v>38.79</v>
      </c>
      <c r="Q63" s="11">
        <f>IFERROR(__xludf.DUMMYFUNCTION("""COMPUTED_VALUE"""),43139.66666666667)</f>
        <v>43139.66667</v>
      </c>
      <c r="R63" s="9">
        <f>IFERROR(__xludf.DUMMYFUNCTION("""COMPUTED_VALUE"""),181.01)</f>
        <v>181.01</v>
      </c>
      <c r="S63" s="11">
        <f>IFERROR(__xludf.DUMMYFUNCTION("""COMPUTED_VALUE"""),43139.66666666667)</f>
        <v>43139.66667</v>
      </c>
      <c r="T63" s="9">
        <f>IFERROR(__xludf.DUMMYFUNCTION("""COMPUTED_VALUE"""),171.58)</f>
        <v>171.58</v>
      </c>
      <c r="V63" s="11">
        <f>IFERROR(__xludf.DUMMYFUNCTION("""COMPUTED_VALUE"""),43139.66666666667)</f>
        <v>43139.66667</v>
      </c>
      <c r="W63" s="9">
        <f>IFERROR(__xludf.DUMMYFUNCTION("""COMPUTED_VALUE"""),267.08)</f>
        <v>267.08</v>
      </c>
      <c r="X63" s="11">
        <f>IFERROR(__xludf.DUMMYFUNCTION("""COMPUTED_VALUE"""),43139.66666666667)</f>
        <v>43139.66667</v>
      </c>
      <c r="Y63" s="9">
        <f>IFERROR(__xludf.DUMMYFUNCTION("""COMPUTED_VALUE"""),250.1)</f>
        <v>250.1</v>
      </c>
      <c r="AA63" s="11">
        <f>IFERROR(__xludf.DUMMYFUNCTION("""COMPUTED_VALUE"""),43139.66666666667)</f>
        <v>43139.66667</v>
      </c>
      <c r="AB63" s="9">
        <f>IFERROR(__xludf.DUMMYFUNCTION("""COMPUTED_VALUE"""),1429.68)</f>
        <v>1429.68</v>
      </c>
      <c r="AC63" s="11">
        <f>IFERROR(__xludf.DUMMYFUNCTION("""COMPUTED_VALUE"""),43139.66666666667)</f>
        <v>43139.66667</v>
      </c>
      <c r="AD63" s="9">
        <f>IFERROR(__xludf.DUMMYFUNCTION("""COMPUTED_VALUE"""),1350.5)</f>
        <v>1350.5</v>
      </c>
    </row>
    <row r="64">
      <c r="B64" s="11">
        <f>IFERROR(__xludf.DUMMYFUNCTION("""COMPUTED_VALUE"""),43140.66666666667)</f>
        <v>43140.66667</v>
      </c>
      <c r="C64" s="9">
        <f>IFERROR(__xludf.DUMMYFUNCTION("""COMPUTED_VALUE"""),63.99)</f>
        <v>63.99</v>
      </c>
      <c r="D64" s="11">
        <f>IFERROR(__xludf.DUMMYFUNCTION("""COMPUTED_VALUE"""),43140.66666666667)</f>
        <v>43140.66667</v>
      </c>
      <c r="E64" s="9">
        <f>IFERROR(__xludf.DUMMYFUNCTION("""COMPUTED_VALUE"""),62.08)</f>
        <v>62.08</v>
      </c>
      <c r="G64" s="11">
        <f>IFERROR(__xludf.DUMMYFUNCTION("""COMPUTED_VALUE"""),43140.66666666667)</f>
        <v>43140.66667</v>
      </c>
      <c r="H64" s="9">
        <f>IFERROR(__xludf.DUMMYFUNCTION("""COMPUTED_VALUE"""),1017.25)</f>
        <v>1017.25</v>
      </c>
      <c r="I64" s="11">
        <f>IFERROR(__xludf.DUMMYFUNCTION("""COMPUTED_VALUE"""),43140.66666666667)</f>
        <v>43140.66667</v>
      </c>
      <c r="J64" s="9">
        <f>IFERROR(__xludf.DUMMYFUNCTION("""COMPUTED_VALUE"""),1037.78)</f>
        <v>1037.78</v>
      </c>
      <c r="L64" s="11">
        <f>IFERROR(__xludf.DUMMYFUNCTION("""COMPUTED_VALUE"""),43140.66666666667)</f>
        <v>43140.66667</v>
      </c>
      <c r="M64" s="9">
        <f>IFERROR(__xludf.DUMMYFUNCTION("""COMPUTED_VALUE"""),39.27)</f>
        <v>39.27</v>
      </c>
      <c r="N64" s="11">
        <f>IFERROR(__xludf.DUMMYFUNCTION("""COMPUTED_VALUE"""),43140.66666666667)</f>
        <v>43140.66667</v>
      </c>
      <c r="O64" s="9">
        <f>IFERROR(__xludf.DUMMYFUNCTION("""COMPUTED_VALUE"""),39.1)</f>
        <v>39.1</v>
      </c>
      <c r="Q64" s="11">
        <f>IFERROR(__xludf.DUMMYFUNCTION("""COMPUTED_VALUE"""),43140.66666666667)</f>
        <v>43140.66667</v>
      </c>
      <c r="R64" s="9">
        <f>IFERROR(__xludf.DUMMYFUNCTION("""COMPUTED_VALUE"""),174.76)</f>
        <v>174.76</v>
      </c>
      <c r="S64" s="11">
        <f>IFERROR(__xludf.DUMMYFUNCTION("""COMPUTED_VALUE"""),43140.66666666667)</f>
        <v>43140.66667</v>
      </c>
      <c r="T64" s="9">
        <f>IFERROR(__xludf.DUMMYFUNCTION("""COMPUTED_VALUE"""),176.11)</f>
        <v>176.11</v>
      </c>
      <c r="V64" s="11">
        <f>IFERROR(__xludf.DUMMYFUNCTION("""COMPUTED_VALUE"""),43140.66666666667)</f>
        <v>43140.66667</v>
      </c>
      <c r="W64" s="9">
        <f>IFERROR(__xludf.DUMMYFUNCTION("""COMPUTED_VALUE"""),253.85)</f>
        <v>253.85</v>
      </c>
      <c r="X64" s="11">
        <f>IFERROR(__xludf.DUMMYFUNCTION("""COMPUTED_VALUE"""),43140.66666666667)</f>
        <v>43140.66667</v>
      </c>
      <c r="Y64" s="9">
        <f>IFERROR(__xludf.DUMMYFUNCTION("""COMPUTED_VALUE"""),249.47)</f>
        <v>249.47</v>
      </c>
      <c r="AA64" s="11">
        <f>IFERROR(__xludf.DUMMYFUNCTION("""COMPUTED_VALUE"""),43140.66666666667)</f>
        <v>43140.66667</v>
      </c>
      <c r="AB64" s="9">
        <f>IFERROR(__xludf.DUMMYFUNCTION("""COMPUTED_VALUE"""),1373.49)</f>
        <v>1373.49</v>
      </c>
      <c r="AC64" s="11">
        <f>IFERROR(__xludf.DUMMYFUNCTION("""COMPUTED_VALUE"""),43140.66666666667)</f>
        <v>43140.66667</v>
      </c>
      <c r="AD64" s="9">
        <f>IFERROR(__xludf.DUMMYFUNCTION("""COMPUTED_VALUE"""),1339.6)</f>
        <v>1339.6</v>
      </c>
    </row>
    <row r="65">
      <c r="B65" s="11">
        <f>IFERROR(__xludf.DUMMYFUNCTION("""COMPUTED_VALUE"""),43143.66666666667)</f>
        <v>43143.66667</v>
      </c>
      <c r="C65" s="9">
        <f>IFERROR(__xludf.DUMMYFUNCTION("""COMPUTED_VALUE"""),63.23)</f>
        <v>63.23</v>
      </c>
      <c r="D65" s="11">
        <f>IFERROR(__xludf.DUMMYFUNCTION("""COMPUTED_VALUE"""),43143.66666666667)</f>
        <v>43143.66667</v>
      </c>
      <c r="E65" s="9">
        <f>IFERROR(__xludf.DUMMYFUNCTION("""COMPUTED_VALUE"""),63.15)</f>
        <v>63.15</v>
      </c>
      <c r="G65" s="11">
        <f>IFERROR(__xludf.DUMMYFUNCTION("""COMPUTED_VALUE"""),43143.66666666667)</f>
        <v>43143.66667</v>
      </c>
      <c r="H65" s="9">
        <f>IFERROR(__xludf.DUMMYFUNCTION("""COMPUTED_VALUE"""),1048.0)</f>
        <v>1048</v>
      </c>
      <c r="I65" s="11">
        <f>IFERROR(__xludf.DUMMYFUNCTION("""COMPUTED_VALUE"""),43143.66666666667)</f>
        <v>43143.66667</v>
      </c>
      <c r="J65" s="9">
        <f>IFERROR(__xludf.DUMMYFUNCTION("""COMPUTED_VALUE"""),1051.94)</f>
        <v>1051.94</v>
      </c>
      <c r="L65" s="11">
        <f>IFERROR(__xludf.DUMMYFUNCTION("""COMPUTED_VALUE"""),43143.66666666667)</f>
        <v>43143.66667</v>
      </c>
      <c r="M65" s="9">
        <f>IFERROR(__xludf.DUMMYFUNCTION("""COMPUTED_VALUE"""),39.63)</f>
        <v>39.63</v>
      </c>
      <c r="N65" s="11">
        <f>IFERROR(__xludf.DUMMYFUNCTION("""COMPUTED_VALUE"""),43143.66666666667)</f>
        <v>43143.66667</v>
      </c>
      <c r="O65" s="9">
        <f>IFERROR(__xludf.DUMMYFUNCTION("""COMPUTED_VALUE"""),40.68)</f>
        <v>40.68</v>
      </c>
      <c r="Q65" s="11">
        <f>IFERROR(__xludf.DUMMYFUNCTION("""COMPUTED_VALUE"""),43143.66666666667)</f>
        <v>43143.66667</v>
      </c>
      <c r="R65" s="9">
        <f>IFERROR(__xludf.DUMMYFUNCTION("""COMPUTED_VALUE"""),177.06)</f>
        <v>177.06</v>
      </c>
      <c r="S65" s="11">
        <f>IFERROR(__xludf.DUMMYFUNCTION("""COMPUTED_VALUE"""),43143.66666666667)</f>
        <v>43143.66667</v>
      </c>
      <c r="T65" s="9">
        <f>IFERROR(__xludf.DUMMYFUNCTION("""COMPUTED_VALUE"""),176.41)</f>
        <v>176.41</v>
      </c>
      <c r="V65" s="11">
        <f>IFERROR(__xludf.DUMMYFUNCTION("""COMPUTED_VALUE"""),43143.66666666667)</f>
        <v>43143.66667</v>
      </c>
      <c r="W65" s="9">
        <f>IFERROR(__xludf.DUMMYFUNCTION("""COMPUTED_VALUE"""),252.14)</f>
        <v>252.14</v>
      </c>
      <c r="X65" s="11">
        <f>IFERROR(__xludf.DUMMYFUNCTION("""COMPUTED_VALUE"""),43143.66666666667)</f>
        <v>43143.66667</v>
      </c>
      <c r="Y65" s="9">
        <f>IFERROR(__xludf.DUMMYFUNCTION("""COMPUTED_VALUE"""),257.95)</f>
        <v>257.95</v>
      </c>
      <c r="AA65" s="11">
        <f>IFERROR(__xludf.DUMMYFUNCTION("""COMPUTED_VALUE"""),43143.66666666667)</f>
        <v>43143.66667</v>
      </c>
      <c r="AB65" s="9">
        <f>IFERROR(__xludf.DUMMYFUNCTION("""COMPUTED_VALUE"""),1364.67)</f>
        <v>1364.67</v>
      </c>
      <c r="AC65" s="11">
        <f>IFERROR(__xludf.DUMMYFUNCTION("""COMPUTED_VALUE"""),43143.66666666667)</f>
        <v>43143.66667</v>
      </c>
      <c r="AD65" s="9">
        <f>IFERROR(__xludf.DUMMYFUNCTION("""COMPUTED_VALUE"""),1386.23)</f>
        <v>1386.23</v>
      </c>
    </row>
    <row r="66">
      <c r="B66" s="11">
        <f>IFERROR(__xludf.DUMMYFUNCTION("""COMPUTED_VALUE"""),43144.66666666667)</f>
        <v>43144.66667</v>
      </c>
      <c r="C66" s="9">
        <f>IFERROR(__xludf.DUMMYFUNCTION("""COMPUTED_VALUE"""),63.0)</f>
        <v>63</v>
      </c>
      <c r="D66" s="11">
        <f>IFERROR(__xludf.DUMMYFUNCTION("""COMPUTED_VALUE"""),43144.66666666667)</f>
        <v>43144.66667</v>
      </c>
      <c r="E66" s="9">
        <f>IFERROR(__xludf.DUMMYFUNCTION("""COMPUTED_VALUE"""),64.73)</f>
        <v>64.73</v>
      </c>
      <c r="G66" s="11">
        <f>IFERROR(__xludf.DUMMYFUNCTION("""COMPUTED_VALUE"""),43144.66666666667)</f>
        <v>43144.66667</v>
      </c>
      <c r="H66" s="9">
        <f>IFERROR(__xludf.DUMMYFUNCTION("""COMPUTED_VALUE"""),1045.0)</f>
        <v>1045</v>
      </c>
      <c r="I66" s="11">
        <f>IFERROR(__xludf.DUMMYFUNCTION("""COMPUTED_VALUE"""),43144.66666666667)</f>
        <v>43144.66667</v>
      </c>
      <c r="J66" s="9">
        <f>IFERROR(__xludf.DUMMYFUNCTION("""COMPUTED_VALUE"""),1052.1)</f>
        <v>1052.1</v>
      </c>
      <c r="L66" s="11">
        <f>IFERROR(__xludf.DUMMYFUNCTION("""COMPUTED_VALUE"""),43144.66666666667)</f>
        <v>43144.66667</v>
      </c>
      <c r="M66" s="9">
        <f>IFERROR(__xludf.DUMMYFUNCTION("""COMPUTED_VALUE"""),40.49)</f>
        <v>40.49</v>
      </c>
      <c r="N66" s="11">
        <f>IFERROR(__xludf.DUMMYFUNCTION("""COMPUTED_VALUE"""),43144.66666666667)</f>
        <v>43144.66667</v>
      </c>
      <c r="O66" s="9">
        <f>IFERROR(__xludf.DUMMYFUNCTION("""COMPUTED_VALUE"""),41.09)</f>
        <v>41.09</v>
      </c>
      <c r="Q66" s="11">
        <f>IFERROR(__xludf.DUMMYFUNCTION("""COMPUTED_VALUE"""),43144.66666666667)</f>
        <v>43144.66667</v>
      </c>
      <c r="R66" s="9">
        <f>IFERROR(__xludf.DUMMYFUNCTION("""COMPUTED_VALUE"""),175.62)</f>
        <v>175.62</v>
      </c>
      <c r="S66" s="11">
        <f>IFERROR(__xludf.DUMMYFUNCTION("""COMPUTED_VALUE"""),43144.66666666667)</f>
        <v>43144.66667</v>
      </c>
      <c r="T66" s="9">
        <f>IFERROR(__xludf.DUMMYFUNCTION("""COMPUTED_VALUE"""),173.15)</f>
        <v>173.15</v>
      </c>
      <c r="V66" s="11">
        <f>IFERROR(__xludf.DUMMYFUNCTION("""COMPUTED_VALUE"""),43144.66666666667)</f>
        <v>43144.66667</v>
      </c>
      <c r="W66" s="9">
        <f>IFERROR(__xludf.DUMMYFUNCTION("""COMPUTED_VALUE"""),257.29)</f>
        <v>257.29</v>
      </c>
      <c r="X66" s="11">
        <f>IFERROR(__xludf.DUMMYFUNCTION("""COMPUTED_VALUE"""),43144.66666666667)</f>
        <v>43144.66667</v>
      </c>
      <c r="Y66" s="9">
        <f>IFERROR(__xludf.DUMMYFUNCTION("""COMPUTED_VALUE"""),258.27)</f>
        <v>258.27</v>
      </c>
      <c r="AA66" s="11">
        <f>IFERROR(__xludf.DUMMYFUNCTION("""COMPUTED_VALUE"""),43144.66666666667)</f>
        <v>43144.66667</v>
      </c>
      <c r="AB66" s="9">
        <f>IFERROR(__xludf.DUMMYFUNCTION("""COMPUTED_VALUE"""),1385.93)</f>
        <v>1385.93</v>
      </c>
      <c r="AC66" s="11">
        <f>IFERROR(__xludf.DUMMYFUNCTION("""COMPUTED_VALUE"""),43144.66666666667)</f>
        <v>43144.66667</v>
      </c>
      <c r="AD66" s="9">
        <f>IFERROR(__xludf.DUMMYFUNCTION("""COMPUTED_VALUE"""),1414.51)</f>
        <v>1414.51</v>
      </c>
    </row>
    <row r="67">
      <c r="B67" s="11">
        <f>IFERROR(__xludf.DUMMYFUNCTION("""COMPUTED_VALUE"""),43145.66666666667)</f>
        <v>43145.66667</v>
      </c>
      <c r="C67" s="9">
        <f>IFERROR(__xludf.DUMMYFUNCTION("""COMPUTED_VALUE"""),64.17)</f>
        <v>64.17</v>
      </c>
      <c r="D67" s="11">
        <f>IFERROR(__xludf.DUMMYFUNCTION("""COMPUTED_VALUE"""),43145.66666666667)</f>
        <v>43145.66667</v>
      </c>
      <c r="E67" s="9">
        <f>IFERROR(__xludf.DUMMYFUNCTION("""COMPUTED_VALUE"""),64.46)</f>
        <v>64.46</v>
      </c>
      <c r="G67" s="11">
        <f>IFERROR(__xludf.DUMMYFUNCTION("""COMPUTED_VALUE"""),43145.66666666667)</f>
        <v>43145.66667</v>
      </c>
      <c r="H67" s="9">
        <f>IFERROR(__xludf.DUMMYFUNCTION("""COMPUTED_VALUE"""),1048.95)</f>
        <v>1048.95</v>
      </c>
      <c r="I67" s="11">
        <f>IFERROR(__xludf.DUMMYFUNCTION("""COMPUTED_VALUE"""),43145.66666666667)</f>
        <v>43145.66667</v>
      </c>
      <c r="J67" s="9">
        <f>IFERROR(__xludf.DUMMYFUNCTION("""COMPUTED_VALUE"""),1069.7)</f>
        <v>1069.7</v>
      </c>
      <c r="L67" s="11">
        <f>IFERROR(__xludf.DUMMYFUNCTION("""COMPUTED_VALUE"""),43145.66666666667)</f>
        <v>43145.66667</v>
      </c>
      <c r="M67" s="9">
        <f>IFERROR(__xludf.DUMMYFUNCTION("""COMPUTED_VALUE"""),40.76)</f>
        <v>40.76</v>
      </c>
      <c r="N67" s="11">
        <f>IFERROR(__xludf.DUMMYFUNCTION("""COMPUTED_VALUE"""),43145.66666666667)</f>
        <v>43145.66667</v>
      </c>
      <c r="O67" s="9">
        <f>IFERROR(__xludf.DUMMYFUNCTION("""COMPUTED_VALUE"""),41.84)</f>
        <v>41.84</v>
      </c>
      <c r="Q67" s="11">
        <f>IFERROR(__xludf.DUMMYFUNCTION("""COMPUTED_VALUE"""),43145.66666666667)</f>
        <v>43145.66667</v>
      </c>
      <c r="R67" s="9">
        <f>IFERROR(__xludf.DUMMYFUNCTION("""COMPUTED_VALUE"""),173.45)</f>
        <v>173.45</v>
      </c>
      <c r="S67" s="11">
        <f>IFERROR(__xludf.DUMMYFUNCTION("""COMPUTED_VALUE"""),43145.66666666667)</f>
        <v>43145.66667</v>
      </c>
      <c r="T67" s="9">
        <f>IFERROR(__xludf.DUMMYFUNCTION("""COMPUTED_VALUE"""),179.52)</f>
        <v>179.52</v>
      </c>
      <c r="V67" s="11">
        <f>IFERROR(__xludf.DUMMYFUNCTION("""COMPUTED_VALUE"""),43145.66666666667)</f>
        <v>43145.66667</v>
      </c>
      <c r="W67" s="9">
        <f>IFERROR(__xludf.DUMMYFUNCTION("""COMPUTED_VALUE"""),260.47)</f>
        <v>260.47</v>
      </c>
      <c r="X67" s="11">
        <f>IFERROR(__xludf.DUMMYFUNCTION("""COMPUTED_VALUE"""),43145.66666666667)</f>
        <v>43145.66667</v>
      </c>
      <c r="Y67" s="9">
        <f>IFERROR(__xludf.DUMMYFUNCTION("""COMPUTED_VALUE"""),266.0)</f>
        <v>266</v>
      </c>
      <c r="AA67" s="11">
        <f>IFERROR(__xludf.DUMMYFUNCTION("""COMPUTED_VALUE"""),43145.66666666667)</f>
        <v>43145.66667</v>
      </c>
      <c r="AB67" s="9">
        <f>IFERROR(__xludf.DUMMYFUNCTION("""COMPUTED_VALUE"""),1406.25)</f>
        <v>1406.25</v>
      </c>
      <c r="AC67" s="11">
        <f>IFERROR(__xludf.DUMMYFUNCTION("""COMPUTED_VALUE"""),43145.66666666667)</f>
        <v>43145.66667</v>
      </c>
      <c r="AD67" s="9">
        <f>IFERROR(__xludf.DUMMYFUNCTION("""COMPUTED_VALUE"""),1451.05)</f>
        <v>1451.05</v>
      </c>
    </row>
    <row r="68">
      <c r="B68" s="11">
        <f>IFERROR(__xludf.DUMMYFUNCTION("""COMPUTED_VALUE"""),43146.66666666667)</f>
        <v>43146.66667</v>
      </c>
      <c r="C68" s="9">
        <f>IFERROR(__xludf.DUMMYFUNCTION("""COMPUTED_VALUE"""),64.9)</f>
        <v>64.9</v>
      </c>
      <c r="D68" s="11">
        <f>IFERROR(__xludf.DUMMYFUNCTION("""COMPUTED_VALUE"""),43146.66666666667)</f>
        <v>43146.66667</v>
      </c>
      <c r="E68" s="9">
        <f>IFERROR(__xludf.DUMMYFUNCTION("""COMPUTED_VALUE"""),66.81)</f>
        <v>66.81</v>
      </c>
      <c r="G68" s="11">
        <f>IFERROR(__xludf.DUMMYFUNCTION("""COMPUTED_VALUE"""),43146.66666666667)</f>
        <v>43146.66667</v>
      </c>
      <c r="H68" s="9">
        <f>IFERROR(__xludf.DUMMYFUNCTION("""COMPUTED_VALUE"""),1079.07)</f>
        <v>1079.07</v>
      </c>
      <c r="I68" s="11">
        <f>IFERROR(__xludf.DUMMYFUNCTION("""COMPUTED_VALUE"""),43146.66666666667)</f>
        <v>43146.66667</v>
      </c>
      <c r="J68" s="9">
        <f>IFERROR(__xludf.DUMMYFUNCTION("""COMPUTED_VALUE"""),1089.52)</f>
        <v>1089.52</v>
      </c>
      <c r="L68" s="11">
        <f>IFERROR(__xludf.DUMMYFUNCTION("""COMPUTED_VALUE"""),43146.66666666667)</f>
        <v>43146.66667</v>
      </c>
      <c r="M68" s="9">
        <f>IFERROR(__xludf.DUMMYFUNCTION("""COMPUTED_VALUE"""),42.45)</f>
        <v>42.45</v>
      </c>
      <c r="N68" s="11">
        <f>IFERROR(__xludf.DUMMYFUNCTION("""COMPUTED_VALUE"""),43146.66666666667)</f>
        <v>43146.66667</v>
      </c>
      <c r="O68" s="9">
        <f>IFERROR(__xludf.DUMMYFUNCTION("""COMPUTED_VALUE"""),43.25)</f>
        <v>43.25</v>
      </c>
      <c r="Q68" s="11">
        <f>IFERROR(__xludf.DUMMYFUNCTION("""COMPUTED_VALUE"""),43146.66666666667)</f>
        <v>43146.66667</v>
      </c>
      <c r="R68" s="9">
        <f>IFERROR(__xludf.DUMMYFUNCTION("""COMPUTED_VALUE"""),180.5)</f>
        <v>180.5</v>
      </c>
      <c r="S68" s="11">
        <f>IFERROR(__xludf.DUMMYFUNCTION("""COMPUTED_VALUE"""),43146.66666666667)</f>
        <v>43146.66667</v>
      </c>
      <c r="T68" s="9">
        <f>IFERROR(__xludf.DUMMYFUNCTION("""COMPUTED_VALUE"""),179.96)</f>
        <v>179.96</v>
      </c>
      <c r="V68" s="11">
        <f>IFERROR(__xludf.DUMMYFUNCTION("""COMPUTED_VALUE"""),43146.66666666667)</f>
        <v>43146.66667</v>
      </c>
      <c r="W68" s="9">
        <f>IFERROR(__xludf.DUMMYFUNCTION("""COMPUTED_VALUE"""),270.03)</f>
        <v>270.03</v>
      </c>
      <c r="X68" s="11">
        <f>IFERROR(__xludf.DUMMYFUNCTION("""COMPUTED_VALUE"""),43146.66666666667)</f>
        <v>43146.66667</v>
      </c>
      <c r="Y68" s="9">
        <f>IFERROR(__xludf.DUMMYFUNCTION("""COMPUTED_VALUE"""),280.27)</f>
        <v>280.27</v>
      </c>
      <c r="AA68" s="11">
        <f>IFERROR(__xludf.DUMMYFUNCTION("""COMPUTED_VALUE"""),43146.66666666667)</f>
        <v>43146.66667</v>
      </c>
      <c r="AB68" s="9">
        <f>IFERROR(__xludf.DUMMYFUNCTION("""COMPUTED_VALUE"""),1466.89)</f>
        <v>1466.89</v>
      </c>
      <c r="AC68" s="11">
        <f>IFERROR(__xludf.DUMMYFUNCTION("""COMPUTED_VALUE"""),43146.66666666667)</f>
        <v>43146.66667</v>
      </c>
      <c r="AD68" s="9">
        <f>IFERROR(__xludf.DUMMYFUNCTION("""COMPUTED_VALUE"""),1461.76)</f>
        <v>1461.76</v>
      </c>
    </row>
    <row r="69">
      <c r="B69" s="11">
        <f>IFERROR(__xludf.DUMMYFUNCTION("""COMPUTED_VALUE"""),43147.66666666667)</f>
        <v>43147.66667</v>
      </c>
      <c r="C69" s="9">
        <f>IFERROR(__xludf.DUMMYFUNCTION("""COMPUTED_VALUE"""),66.5)</f>
        <v>66.5</v>
      </c>
      <c r="D69" s="11">
        <f>IFERROR(__xludf.DUMMYFUNCTION("""COMPUTED_VALUE"""),43147.66666666667)</f>
        <v>43147.66667</v>
      </c>
      <c r="E69" s="9">
        <f>IFERROR(__xludf.DUMMYFUNCTION("""COMPUTED_VALUE"""),67.1)</f>
        <v>67.1</v>
      </c>
      <c r="G69" s="11">
        <f>IFERROR(__xludf.DUMMYFUNCTION("""COMPUTED_VALUE"""),43147.66666666667)</f>
        <v>43147.66667</v>
      </c>
      <c r="H69" s="9">
        <f>IFERROR(__xludf.DUMMYFUNCTION("""COMPUTED_VALUE"""),1088.41)</f>
        <v>1088.41</v>
      </c>
      <c r="I69" s="11">
        <f>IFERROR(__xludf.DUMMYFUNCTION("""COMPUTED_VALUE"""),43147.66666666667)</f>
        <v>43147.66667</v>
      </c>
      <c r="J69" s="9">
        <f>IFERROR(__xludf.DUMMYFUNCTION("""COMPUTED_VALUE"""),1094.8)</f>
        <v>1094.8</v>
      </c>
      <c r="L69" s="11">
        <f>IFERROR(__xludf.DUMMYFUNCTION("""COMPUTED_VALUE"""),43147.66666666667)</f>
        <v>43147.66667</v>
      </c>
      <c r="M69" s="9">
        <f>IFERROR(__xludf.DUMMYFUNCTION("""COMPUTED_VALUE"""),43.09)</f>
        <v>43.09</v>
      </c>
      <c r="N69" s="11">
        <f>IFERROR(__xludf.DUMMYFUNCTION("""COMPUTED_VALUE"""),43147.66666666667)</f>
        <v>43147.66667</v>
      </c>
      <c r="O69" s="9">
        <f>IFERROR(__xludf.DUMMYFUNCTION("""COMPUTED_VALUE"""),43.11)</f>
        <v>43.11</v>
      </c>
      <c r="Q69" s="11">
        <f>IFERROR(__xludf.DUMMYFUNCTION("""COMPUTED_VALUE"""),43147.66666666667)</f>
        <v>43147.66667</v>
      </c>
      <c r="R69" s="9">
        <f>IFERROR(__xludf.DUMMYFUNCTION("""COMPUTED_VALUE"""),178.99)</f>
        <v>178.99</v>
      </c>
      <c r="S69" s="11">
        <f>IFERROR(__xludf.DUMMYFUNCTION("""COMPUTED_VALUE"""),43147.66666666667)</f>
        <v>43147.66667</v>
      </c>
      <c r="T69" s="9">
        <f>IFERROR(__xludf.DUMMYFUNCTION("""COMPUTED_VALUE"""),177.36)</f>
        <v>177.36</v>
      </c>
      <c r="V69" s="11">
        <f>IFERROR(__xludf.DUMMYFUNCTION("""COMPUTED_VALUE"""),43147.66666666667)</f>
        <v>43147.66667</v>
      </c>
      <c r="W69" s="9">
        <f>IFERROR(__xludf.DUMMYFUNCTION("""COMPUTED_VALUE"""),278.73)</f>
        <v>278.73</v>
      </c>
      <c r="X69" s="11">
        <f>IFERROR(__xludf.DUMMYFUNCTION("""COMPUTED_VALUE"""),43147.66666666667)</f>
        <v>43147.66667</v>
      </c>
      <c r="Y69" s="9">
        <f>IFERROR(__xludf.DUMMYFUNCTION("""COMPUTED_VALUE"""),278.52)</f>
        <v>278.52</v>
      </c>
      <c r="AA69" s="11">
        <f>IFERROR(__xludf.DUMMYFUNCTION("""COMPUTED_VALUE"""),43147.66666666667)</f>
        <v>43147.66667</v>
      </c>
      <c r="AB69" s="9">
        <f>IFERROR(__xludf.DUMMYFUNCTION("""COMPUTED_VALUE"""),1457.37)</f>
        <v>1457.37</v>
      </c>
      <c r="AC69" s="11">
        <f>IFERROR(__xludf.DUMMYFUNCTION("""COMPUTED_VALUE"""),43147.66666666667)</f>
        <v>43147.66667</v>
      </c>
      <c r="AD69" s="9">
        <f>IFERROR(__xludf.DUMMYFUNCTION("""COMPUTED_VALUE"""),1448.69)</f>
        <v>1448.69</v>
      </c>
    </row>
    <row r="70">
      <c r="B70" s="11">
        <f>IFERROR(__xludf.DUMMYFUNCTION("""COMPUTED_VALUE"""),43151.66666666667)</f>
        <v>43151.66667</v>
      </c>
      <c r="C70" s="9">
        <f>IFERROR(__xludf.DUMMYFUNCTION("""COMPUTED_VALUE"""),66.89)</f>
        <v>66.89</v>
      </c>
      <c r="D70" s="11">
        <f>IFERROR(__xludf.DUMMYFUNCTION("""COMPUTED_VALUE"""),43151.66666666667)</f>
        <v>43151.66667</v>
      </c>
      <c r="E70" s="9">
        <f>IFERROR(__xludf.DUMMYFUNCTION("""COMPUTED_VALUE"""),66.95)</f>
        <v>66.95</v>
      </c>
      <c r="G70" s="11">
        <f>IFERROR(__xludf.DUMMYFUNCTION("""COMPUTED_VALUE"""),43151.66666666667)</f>
        <v>43151.66667</v>
      </c>
      <c r="H70" s="9">
        <f>IFERROR(__xludf.DUMMYFUNCTION("""COMPUTED_VALUE"""),1090.57)</f>
        <v>1090.57</v>
      </c>
      <c r="I70" s="11">
        <f>IFERROR(__xludf.DUMMYFUNCTION("""COMPUTED_VALUE"""),43151.66666666667)</f>
        <v>43151.66667</v>
      </c>
      <c r="J70" s="9">
        <f>IFERROR(__xludf.DUMMYFUNCTION("""COMPUTED_VALUE"""),1102.46)</f>
        <v>1102.46</v>
      </c>
      <c r="L70" s="11">
        <f>IFERROR(__xludf.DUMMYFUNCTION("""COMPUTED_VALUE"""),43151.66666666667)</f>
        <v>43151.66667</v>
      </c>
      <c r="M70" s="9">
        <f>IFERROR(__xludf.DUMMYFUNCTION("""COMPUTED_VALUE"""),43.01)</f>
        <v>43.01</v>
      </c>
      <c r="N70" s="11">
        <f>IFERROR(__xludf.DUMMYFUNCTION("""COMPUTED_VALUE"""),43151.66666666667)</f>
        <v>43151.66667</v>
      </c>
      <c r="O70" s="9">
        <f>IFERROR(__xludf.DUMMYFUNCTION("""COMPUTED_VALUE"""),42.96)</f>
        <v>42.96</v>
      </c>
      <c r="Q70" s="11">
        <f>IFERROR(__xludf.DUMMYFUNCTION("""COMPUTED_VALUE"""),43151.66666666667)</f>
        <v>43151.66667</v>
      </c>
      <c r="R70" s="9">
        <f>IFERROR(__xludf.DUMMYFUNCTION("""COMPUTED_VALUE"""),175.77)</f>
        <v>175.77</v>
      </c>
      <c r="S70" s="11">
        <f>IFERROR(__xludf.DUMMYFUNCTION("""COMPUTED_VALUE"""),43151.66666666667)</f>
        <v>43151.66667</v>
      </c>
      <c r="T70" s="9">
        <f>IFERROR(__xludf.DUMMYFUNCTION("""COMPUTED_VALUE"""),176.01)</f>
        <v>176.01</v>
      </c>
      <c r="V70" s="11">
        <f>IFERROR(__xludf.DUMMYFUNCTION("""COMPUTED_VALUE"""),43151.66666666667)</f>
        <v>43151.66667</v>
      </c>
      <c r="W70" s="9">
        <f>IFERROR(__xludf.DUMMYFUNCTION("""COMPUTED_VALUE"""),277.74)</f>
        <v>277.74</v>
      </c>
      <c r="X70" s="11">
        <f>IFERROR(__xludf.DUMMYFUNCTION("""COMPUTED_VALUE"""),43151.66666666667)</f>
        <v>43151.66667</v>
      </c>
      <c r="Y70" s="9">
        <f>IFERROR(__xludf.DUMMYFUNCTION("""COMPUTED_VALUE"""),278.55)</f>
        <v>278.55</v>
      </c>
      <c r="AA70" s="11">
        <f>IFERROR(__xludf.DUMMYFUNCTION("""COMPUTED_VALUE"""),43151.66666666667)</f>
        <v>43151.66667</v>
      </c>
      <c r="AB70" s="9">
        <f>IFERROR(__xludf.DUMMYFUNCTION("""COMPUTED_VALUE"""),1446.49)</f>
        <v>1446.49</v>
      </c>
      <c r="AC70" s="11">
        <f>IFERROR(__xludf.DUMMYFUNCTION("""COMPUTED_VALUE"""),43151.66666666667)</f>
        <v>43151.66667</v>
      </c>
      <c r="AD70" s="9">
        <f>IFERROR(__xludf.DUMMYFUNCTION("""COMPUTED_VALUE"""),1468.35)</f>
        <v>1468.35</v>
      </c>
    </row>
    <row r="71">
      <c r="B71" s="11">
        <f>IFERROR(__xludf.DUMMYFUNCTION("""COMPUTED_VALUE"""),43152.66666666667)</f>
        <v>43152.66667</v>
      </c>
      <c r="C71" s="9">
        <f>IFERROR(__xludf.DUMMYFUNCTION("""COMPUTED_VALUE"""),67.21)</f>
        <v>67.21</v>
      </c>
      <c r="D71" s="11">
        <f>IFERROR(__xludf.DUMMYFUNCTION("""COMPUTED_VALUE"""),43152.66666666667)</f>
        <v>43152.66667</v>
      </c>
      <c r="E71" s="9">
        <f>IFERROR(__xludf.DUMMYFUNCTION("""COMPUTED_VALUE"""),66.66)</f>
        <v>66.66</v>
      </c>
      <c r="G71" s="11">
        <f>IFERROR(__xludf.DUMMYFUNCTION("""COMPUTED_VALUE"""),43152.66666666667)</f>
        <v>43152.66667</v>
      </c>
      <c r="H71" s="9">
        <f>IFERROR(__xludf.DUMMYFUNCTION("""COMPUTED_VALUE"""),1106.47)</f>
        <v>1106.47</v>
      </c>
      <c r="I71" s="11">
        <f>IFERROR(__xludf.DUMMYFUNCTION("""COMPUTED_VALUE"""),43152.66666666667)</f>
        <v>43152.66667</v>
      </c>
      <c r="J71" s="9">
        <f>IFERROR(__xludf.DUMMYFUNCTION("""COMPUTED_VALUE"""),1111.34)</f>
        <v>1111.34</v>
      </c>
      <c r="L71" s="11">
        <f>IFERROR(__xludf.DUMMYFUNCTION("""COMPUTED_VALUE"""),43152.66666666667)</f>
        <v>43152.66667</v>
      </c>
      <c r="M71" s="9">
        <f>IFERROR(__xludf.DUMMYFUNCTION("""COMPUTED_VALUE"""),43.21)</f>
        <v>43.21</v>
      </c>
      <c r="N71" s="11">
        <f>IFERROR(__xludf.DUMMYFUNCTION("""COMPUTED_VALUE"""),43152.66666666667)</f>
        <v>43152.66667</v>
      </c>
      <c r="O71" s="9">
        <f>IFERROR(__xludf.DUMMYFUNCTION("""COMPUTED_VALUE"""),42.77)</f>
        <v>42.77</v>
      </c>
      <c r="Q71" s="11">
        <f>IFERROR(__xludf.DUMMYFUNCTION("""COMPUTED_VALUE"""),43152.66666666667)</f>
        <v>43152.66667</v>
      </c>
      <c r="R71" s="9">
        <f>IFERROR(__xludf.DUMMYFUNCTION("""COMPUTED_VALUE"""),176.71)</f>
        <v>176.71</v>
      </c>
      <c r="S71" s="11">
        <f>IFERROR(__xludf.DUMMYFUNCTION("""COMPUTED_VALUE"""),43152.66666666667)</f>
        <v>43152.66667</v>
      </c>
      <c r="T71" s="9">
        <f>IFERROR(__xludf.DUMMYFUNCTION("""COMPUTED_VALUE"""),177.91)</f>
        <v>177.91</v>
      </c>
      <c r="V71" s="11">
        <f>IFERROR(__xludf.DUMMYFUNCTION("""COMPUTED_VALUE"""),43152.66666666667)</f>
        <v>43152.66667</v>
      </c>
      <c r="W71" s="9">
        <f>IFERROR(__xludf.DUMMYFUNCTION("""COMPUTED_VALUE"""),282.07)</f>
        <v>282.07</v>
      </c>
      <c r="X71" s="11">
        <f>IFERROR(__xludf.DUMMYFUNCTION("""COMPUTED_VALUE"""),43152.66666666667)</f>
        <v>43152.66667</v>
      </c>
      <c r="Y71" s="9">
        <f>IFERROR(__xludf.DUMMYFUNCTION("""COMPUTED_VALUE"""),281.04)</f>
        <v>281.04</v>
      </c>
      <c r="AA71" s="11">
        <f>IFERROR(__xludf.DUMMYFUNCTION("""COMPUTED_VALUE"""),43152.66666666667)</f>
        <v>43152.66667</v>
      </c>
      <c r="AB71" s="9">
        <f>IFERROR(__xludf.DUMMYFUNCTION("""COMPUTED_VALUE"""),1485.0)</f>
        <v>1485</v>
      </c>
      <c r="AC71" s="11">
        <f>IFERROR(__xludf.DUMMYFUNCTION("""COMPUTED_VALUE"""),43152.66666666667)</f>
        <v>43152.66667</v>
      </c>
      <c r="AD71" s="9">
        <f>IFERROR(__xludf.DUMMYFUNCTION("""COMPUTED_VALUE"""),1482.92)</f>
        <v>1482.92</v>
      </c>
    </row>
    <row r="72">
      <c r="B72" s="11">
        <f>IFERROR(__xludf.DUMMYFUNCTION("""COMPUTED_VALUE"""),43153.66666666667)</f>
        <v>43153.66667</v>
      </c>
      <c r="C72" s="9">
        <f>IFERROR(__xludf.DUMMYFUNCTION("""COMPUTED_VALUE"""),67.11)</f>
        <v>67.11</v>
      </c>
      <c r="D72" s="11">
        <f>IFERROR(__xludf.DUMMYFUNCTION("""COMPUTED_VALUE"""),43153.66666666667)</f>
        <v>43153.66667</v>
      </c>
      <c r="E72" s="9">
        <f>IFERROR(__xludf.DUMMYFUNCTION("""COMPUTED_VALUE"""),69.23)</f>
        <v>69.23</v>
      </c>
      <c r="G72" s="11">
        <f>IFERROR(__xludf.DUMMYFUNCTION("""COMPUTED_VALUE"""),43153.66666666667)</f>
        <v>43153.66667</v>
      </c>
      <c r="H72" s="9">
        <f>IFERROR(__xludf.DUMMYFUNCTION("""COMPUTED_VALUE"""),1116.19)</f>
        <v>1116.19</v>
      </c>
      <c r="I72" s="11">
        <f>IFERROR(__xludf.DUMMYFUNCTION("""COMPUTED_VALUE"""),43153.66666666667)</f>
        <v>43153.66667</v>
      </c>
      <c r="J72" s="9">
        <f>IFERROR(__xludf.DUMMYFUNCTION("""COMPUTED_VALUE"""),1106.63)</f>
        <v>1106.63</v>
      </c>
      <c r="L72" s="11">
        <f>IFERROR(__xludf.DUMMYFUNCTION("""COMPUTED_VALUE"""),43153.66666666667)</f>
        <v>43153.66667</v>
      </c>
      <c r="M72" s="9">
        <f>IFERROR(__xludf.DUMMYFUNCTION("""COMPUTED_VALUE"""),42.95)</f>
        <v>42.95</v>
      </c>
      <c r="N72" s="11">
        <f>IFERROR(__xludf.DUMMYFUNCTION("""COMPUTED_VALUE"""),43153.66666666667)</f>
        <v>43153.66667</v>
      </c>
      <c r="O72" s="9">
        <f>IFERROR(__xludf.DUMMYFUNCTION("""COMPUTED_VALUE"""),43.13)</f>
        <v>43.13</v>
      </c>
      <c r="Q72" s="11">
        <f>IFERROR(__xludf.DUMMYFUNCTION("""COMPUTED_VALUE"""),43153.66666666667)</f>
        <v>43153.66667</v>
      </c>
      <c r="R72" s="9">
        <f>IFERROR(__xludf.DUMMYFUNCTION("""COMPUTED_VALUE"""),178.7)</f>
        <v>178.7</v>
      </c>
      <c r="S72" s="11">
        <f>IFERROR(__xludf.DUMMYFUNCTION("""COMPUTED_VALUE"""),43153.66666666667)</f>
        <v>43153.66667</v>
      </c>
      <c r="T72" s="9">
        <f>IFERROR(__xludf.DUMMYFUNCTION("""COMPUTED_VALUE"""),178.99)</f>
        <v>178.99</v>
      </c>
      <c r="V72" s="11">
        <f>IFERROR(__xludf.DUMMYFUNCTION("""COMPUTED_VALUE"""),43153.66666666667)</f>
        <v>43153.66667</v>
      </c>
      <c r="W72" s="9">
        <f>IFERROR(__xludf.DUMMYFUNCTION("""COMPUTED_VALUE"""),283.88)</f>
        <v>283.88</v>
      </c>
      <c r="X72" s="11">
        <f>IFERROR(__xludf.DUMMYFUNCTION("""COMPUTED_VALUE"""),43153.66666666667)</f>
        <v>43153.66667</v>
      </c>
      <c r="Y72" s="9">
        <f>IFERROR(__xludf.DUMMYFUNCTION("""COMPUTED_VALUE"""),278.14)</f>
        <v>278.14</v>
      </c>
      <c r="AA72" s="11">
        <f>IFERROR(__xludf.DUMMYFUNCTION("""COMPUTED_VALUE"""),43153.66666666667)</f>
        <v>43153.66667</v>
      </c>
      <c r="AB72" s="9">
        <f>IFERROR(__xludf.DUMMYFUNCTION("""COMPUTED_VALUE"""),1495.36)</f>
        <v>1495.36</v>
      </c>
      <c r="AC72" s="11">
        <f>IFERROR(__xludf.DUMMYFUNCTION("""COMPUTED_VALUE"""),43153.66666666667)</f>
        <v>43153.66667</v>
      </c>
      <c r="AD72" s="9">
        <f>IFERROR(__xludf.DUMMYFUNCTION("""COMPUTED_VALUE"""),1485.34)</f>
        <v>1485.34</v>
      </c>
    </row>
    <row r="73">
      <c r="B73" s="11">
        <f>IFERROR(__xludf.DUMMYFUNCTION("""COMPUTED_VALUE"""),43154.66666666667)</f>
        <v>43154.66667</v>
      </c>
      <c r="C73" s="9">
        <f>IFERROR(__xludf.DUMMYFUNCTION("""COMPUTED_VALUE"""),69.57)</f>
        <v>69.57</v>
      </c>
      <c r="D73" s="11">
        <f>IFERROR(__xludf.DUMMYFUNCTION("""COMPUTED_VALUE"""),43154.66666666667)</f>
        <v>43154.66667</v>
      </c>
      <c r="E73" s="9">
        <f>IFERROR(__xludf.DUMMYFUNCTION("""COMPUTED_VALUE"""),70.41)</f>
        <v>70.41</v>
      </c>
      <c r="G73" s="11">
        <f>IFERROR(__xludf.DUMMYFUNCTION("""COMPUTED_VALUE"""),43154.66666666667)</f>
        <v>43154.66667</v>
      </c>
      <c r="H73" s="9">
        <f>IFERROR(__xludf.DUMMYFUNCTION("""COMPUTED_VALUE"""),1112.64)</f>
        <v>1112.64</v>
      </c>
      <c r="I73" s="11">
        <f>IFERROR(__xludf.DUMMYFUNCTION("""COMPUTED_VALUE"""),43154.66666666667)</f>
        <v>43154.66667</v>
      </c>
      <c r="J73" s="9">
        <f>IFERROR(__xludf.DUMMYFUNCTION("""COMPUTED_VALUE"""),1126.79)</f>
        <v>1126.79</v>
      </c>
      <c r="L73" s="11">
        <f>IFERROR(__xludf.DUMMYFUNCTION("""COMPUTED_VALUE"""),43154.66666666667)</f>
        <v>43154.66667</v>
      </c>
      <c r="M73" s="9">
        <f>IFERROR(__xludf.DUMMYFUNCTION("""COMPUTED_VALUE"""),43.42)</f>
        <v>43.42</v>
      </c>
      <c r="N73" s="11">
        <f>IFERROR(__xludf.DUMMYFUNCTION("""COMPUTED_VALUE"""),43154.66666666667)</f>
        <v>43154.66667</v>
      </c>
      <c r="O73" s="9">
        <f>IFERROR(__xludf.DUMMYFUNCTION("""COMPUTED_VALUE"""),43.88)</f>
        <v>43.88</v>
      </c>
      <c r="Q73" s="11">
        <f>IFERROR(__xludf.DUMMYFUNCTION("""COMPUTED_VALUE"""),43154.66666666667)</f>
        <v>43154.66667</v>
      </c>
      <c r="R73" s="9">
        <f>IFERROR(__xludf.DUMMYFUNCTION("""COMPUTED_VALUE"""),179.9)</f>
        <v>179.9</v>
      </c>
      <c r="S73" s="11">
        <f>IFERROR(__xludf.DUMMYFUNCTION("""COMPUTED_VALUE"""),43154.66666666667)</f>
        <v>43154.66667</v>
      </c>
      <c r="T73" s="9">
        <f>IFERROR(__xludf.DUMMYFUNCTION("""COMPUTED_VALUE"""),183.29)</f>
        <v>183.29</v>
      </c>
      <c r="V73" s="11">
        <f>IFERROR(__xludf.DUMMYFUNCTION("""COMPUTED_VALUE"""),43154.66666666667)</f>
        <v>43154.66667</v>
      </c>
      <c r="W73" s="9">
        <f>IFERROR(__xludf.DUMMYFUNCTION("""COMPUTED_VALUE"""),281.0)</f>
        <v>281</v>
      </c>
      <c r="X73" s="11">
        <f>IFERROR(__xludf.DUMMYFUNCTION("""COMPUTED_VALUE"""),43154.66666666667)</f>
        <v>43154.66667</v>
      </c>
      <c r="Y73" s="9">
        <f>IFERROR(__xludf.DUMMYFUNCTION("""COMPUTED_VALUE"""),285.93)</f>
        <v>285.93</v>
      </c>
      <c r="AA73" s="11">
        <f>IFERROR(__xludf.DUMMYFUNCTION("""COMPUTED_VALUE"""),43154.66666666667)</f>
        <v>43154.66667</v>
      </c>
      <c r="AB73" s="9">
        <f>IFERROR(__xludf.DUMMYFUNCTION("""COMPUTED_VALUE"""),1495.34)</f>
        <v>1495.34</v>
      </c>
      <c r="AC73" s="11">
        <f>IFERROR(__xludf.DUMMYFUNCTION("""COMPUTED_VALUE"""),43154.66666666667)</f>
        <v>43154.66667</v>
      </c>
      <c r="AD73" s="9">
        <f>IFERROR(__xludf.DUMMYFUNCTION("""COMPUTED_VALUE"""),1500.0)</f>
        <v>1500</v>
      </c>
    </row>
    <row r="74">
      <c r="B74" s="11">
        <f>IFERROR(__xludf.DUMMYFUNCTION("""COMPUTED_VALUE"""),43157.66666666667)</f>
        <v>43157.66667</v>
      </c>
      <c r="C74" s="9">
        <f>IFERROR(__xludf.DUMMYFUNCTION("""COMPUTED_VALUE"""),70.7)</f>
        <v>70.7</v>
      </c>
      <c r="D74" s="11">
        <f>IFERROR(__xludf.DUMMYFUNCTION("""COMPUTED_VALUE"""),43157.66666666667)</f>
        <v>43157.66667</v>
      </c>
      <c r="E74" s="9">
        <f>IFERROR(__xludf.DUMMYFUNCTION("""COMPUTED_VALUE"""),71.48)</f>
        <v>71.48</v>
      </c>
      <c r="G74" s="11">
        <f>IFERROR(__xludf.DUMMYFUNCTION("""COMPUTED_VALUE"""),43157.66666666667)</f>
        <v>43157.66667</v>
      </c>
      <c r="H74" s="9">
        <f>IFERROR(__xludf.DUMMYFUNCTION("""COMPUTED_VALUE"""),1127.8)</f>
        <v>1127.8</v>
      </c>
      <c r="I74" s="11">
        <f>IFERROR(__xludf.DUMMYFUNCTION("""COMPUTED_VALUE"""),43157.66666666667)</f>
        <v>43157.66667</v>
      </c>
      <c r="J74" s="9">
        <f>IFERROR(__xludf.DUMMYFUNCTION("""COMPUTED_VALUE"""),1143.75)</f>
        <v>1143.75</v>
      </c>
      <c r="L74" s="11">
        <f>IFERROR(__xludf.DUMMYFUNCTION("""COMPUTED_VALUE"""),43157.66666666667)</f>
        <v>43157.66667</v>
      </c>
      <c r="M74" s="9">
        <f>IFERROR(__xludf.DUMMYFUNCTION("""COMPUTED_VALUE"""),44.09)</f>
        <v>44.09</v>
      </c>
      <c r="N74" s="11">
        <f>IFERROR(__xludf.DUMMYFUNCTION("""COMPUTED_VALUE"""),43157.66666666667)</f>
        <v>43157.66667</v>
      </c>
      <c r="O74" s="9">
        <f>IFERROR(__xludf.DUMMYFUNCTION("""COMPUTED_VALUE"""),44.74)</f>
        <v>44.74</v>
      </c>
      <c r="Q74" s="11">
        <f>IFERROR(__xludf.DUMMYFUNCTION("""COMPUTED_VALUE"""),43157.66666666667)</f>
        <v>43157.66667</v>
      </c>
      <c r="R74" s="9">
        <f>IFERROR(__xludf.DUMMYFUNCTION("""COMPUTED_VALUE"""),184.58)</f>
        <v>184.58</v>
      </c>
      <c r="S74" s="11">
        <f>IFERROR(__xludf.DUMMYFUNCTION("""COMPUTED_VALUE"""),43157.66666666667)</f>
        <v>43157.66667</v>
      </c>
      <c r="T74" s="9">
        <f>IFERROR(__xludf.DUMMYFUNCTION("""COMPUTED_VALUE"""),184.93)</f>
        <v>184.93</v>
      </c>
      <c r="V74" s="11">
        <f>IFERROR(__xludf.DUMMYFUNCTION("""COMPUTED_VALUE"""),43157.66666666667)</f>
        <v>43157.66667</v>
      </c>
      <c r="W74" s="9">
        <f>IFERROR(__xludf.DUMMYFUNCTION("""COMPUTED_VALUE"""),288.75)</f>
        <v>288.75</v>
      </c>
      <c r="X74" s="11">
        <f>IFERROR(__xludf.DUMMYFUNCTION("""COMPUTED_VALUE"""),43157.66666666667)</f>
        <v>43157.66667</v>
      </c>
      <c r="Y74" s="9">
        <f>IFERROR(__xludf.DUMMYFUNCTION("""COMPUTED_VALUE"""),294.16)</f>
        <v>294.16</v>
      </c>
      <c r="AA74" s="11">
        <f>IFERROR(__xludf.DUMMYFUNCTION("""COMPUTED_VALUE"""),43157.66666666667)</f>
        <v>43157.66667</v>
      </c>
      <c r="AB74" s="9">
        <f>IFERROR(__xludf.DUMMYFUNCTION("""COMPUTED_VALUE"""),1509.2)</f>
        <v>1509.2</v>
      </c>
      <c r="AC74" s="11">
        <f>IFERROR(__xludf.DUMMYFUNCTION("""COMPUTED_VALUE"""),43157.66666666667)</f>
        <v>43157.66667</v>
      </c>
      <c r="AD74" s="9">
        <f>IFERROR(__xludf.DUMMYFUNCTION("""COMPUTED_VALUE"""),1521.95)</f>
        <v>1521.95</v>
      </c>
    </row>
    <row r="75">
      <c r="B75" s="11">
        <f>IFERROR(__xludf.DUMMYFUNCTION("""COMPUTED_VALUE"""),43158.66666666667)</f>
        <v>43158.66667</v>
      </c>
      <c r="C75" s="9">
        <f>IFERROR(__xludf.DUMMYFUNCTION("""COMPUTED_VALUE"""),71.25)</f>
        <v>71.25</v>
      </c>
      <c r="D75" s="11">
        <f>IFERROR(__xludf.DUMMYFUNCTION("""COMPUTED_VALUE"""),43158.66666666667)</f>
        <v>43158.66667</v>
      </c>
      <c r="E75" s="9">
        <f>IFERROR(__xludf.DUMMYFUNCTION("""COMPUTED_VALUE"""),70.2)</f>
        <v>70.2</v>
      </c>
      <c r="G75" s="11">
        <f>IFERROR(__xludf.DUMMYFUNCTION("""COMPUTED_VALUE"""),43158.66666666667)</f>
        <v>43158.66667</v>
      </c>
      <c r="H75" s="9">
        <f>IFERROR(__xludf.DUMMYFUNCTION("""COMPUTED_VALUE"""),1141.24)</f>
        <v>1141.24</v>
      </c>
      <c r="I75" s="11">
        <f>IFERROR(__xludf.DUMMYFUNCTION("""COMPUTED_VALUE"""),43158.66666666667)</f>
        <v>43158.66667</v>
      </c>
      <c r="J75" s="9">
        <f>IFERROR(__xludf.DUMMYFUNCTION("""COMPUTED_VALUE"""),1118.29)</f>
        <v>1118.29</v>
      </c>
      <c r="L75" s="11">
        <f>IFERROR(__xludf.DUMMYFUNCTION("""COMPUTED_VALUE"""),43158.66666666667)</f>
        <v>43158.66667</v>
      </c>
      <c r="M75" s="9">
        <f>IFERROR(__xludf.DUMMYFUNCTION("""COMPUTED_VALUE"""),44.78)</f>
        <v>44.78</v>
      </c>
      <c r="N75" s="11">
        <f>IFERROR(__xludf.DUMMYFUNCTION("""COMPUTED_VALUE"""),43158.66666666667)</f>
        <v>43158.66667</v>
      </c>
      <c r="O75" s="9">
        <f>IFERROR(__xludf.DUMMYFUNCTION("""COMPUTED_VALUE"""),44.6)</f>
        <v>44.6</v>
      </c>
      <c r="Q75" s="11">
        <f>IFERROR(__xludf.DUMMYFUNCTION("""COMPUTED_VALUE"""),43158.66666666667)</f>
        <v>43158.66667</v>
      </c>
      <c r="R75" s="9">
        <f>IFERROR(__xludf.DUMMYFUNCTION("""COMPUTED_VALUE"""),184.45)</f>
        <v>184.45</v>
      </c>
      <c r="S75" s="11">
        <f>IFERROR(__xludf.DUMMYFUNCTION("""COMPUTED_VALUE"""),43158.66666666667)</f>
        <v>43158.66667</v>
      </c>
      <c r="T75" s="9">
        <f>IFERROR(__xludf.DUMMYFUNCTION("""COMPUTED_VALUE"""),181.46)</f>
        <v>181.46</v>
      </c>
      <c r="V75" s="11">
        <f>IFERROR(__xludf.DUMMYFUNCTION("""COMPUTED_VALUE"""),43158.66666666667)</f>
        <v>43158.66667</v>
      </c>
      <c r="W75" s="9">
        <f>IFERROR(__xludf.DUMMYFUNCTION("""COMPUTED_VALUE"""),294.77)</f>
        <v>294.77</v>
      </c>
      <c r="X75" s="11">
        <f>IFERROR(__xludf.DUMMYFUNCTION("""COMPUTED_VALUE"""),43158.66666666667)</f>
        <v>43158.66667</v>
      </c>
      <c r="Y75" s="9">
        <f>IFERROR(__xludf.DUMMYFUNCTION("""COMPUTED_VALUE"""),290.61)</f>
        <v>290.61</v>
      </c>
      <c r="AA75" s="11">
        <f>IFERROR(__xludf.DUMMYFUNCTION("""COMPUTED_VALUE"""),43158.66666666667)</f>
        <v>43158.66667</v>
      </c>
      <c r="AB75" s="9">
        <f>IFERROR(__xludf.DUMMYFUNCTION("""COMPUTED_VALUE"""),1524.5)</f>
        <v>1524.5</v>
      </c>
      <c r="AC75" s="11">
        <f>IFERROR(__xludf.DUMMYFUNCTION("""COMPUTED_VALUE"""),43158.66666666667)</f>
        <v>43158.66667</v>
      </c>
      <c r="AD75" s="9">
        <f>IFERROR(__xludf.DUMMYFUNCTION("""COMPUTED_VALUE"""),1511.98)</f>
        <v>1511.98</v>
      </c>
    </row>
    <row r="76">
      <c r="B76" s="11">
        <f>IFERROR(__xludf.DUMMYFUNCTION("""COMPUTED_VALUE"""),43159.66666666667)</f>
        <v>43159.66667</v>
      </c>
      <c r="C76" s="9">
        <f>IFERROR(__xludf.DUMMYFUNCTION("""COMPUTED_VALUE"""),70.51)</f>
        <v>70.51</v>
      </c>
      <c r="D76" s="11">
        <f>IFERROR(__xludf.DUMMYFUNCTION("""COMPUTED_VALUE"""),43159.66666666667)</f>
        <v>43159.66667</v>
      </c>
      <c r="E76" s="9">
        <f>IFERROR(__xludf.DUMMYFUNCTION("""COMPUTED_VALUE"""),68.61)</f>
        <v>68.61</v>
      </c>
      <c r="G76" s="11">
        <f>IFERROR(__xludf.DUMMYFUNCTION("""COMPUTED_VALUE"""),43159.66666666667)</f>
        <v>43159.66667</v>
      </c>
      <c r="H76" s="9">
        <f>IFERROR(__xludf.DUMMYFUNCTION("""COMPUTED_VALUE"""),1123.03)</f>
        <v>1123.03</v>
      </c>
      <c r="I76" s="11">
        <f>IFERROR(__xludf.DUMMYFUNCTION("""COMPUTED_VALUE"""),43159.66666666667)</f>
        <v>43159.66667</v>
      </c>
      <c r="J76" s="9">
        <f>IFERROR(__xludf.DUMMYFUNCTION("""COMPUTED_VALUE"""),1104.73)</f>
        <v>1104.73</v>
      </c>
      <c r="L76" s="11">
        <f>IFERROR(__xludf.DUMMYFUNCTION("""COMPUTED_VALUE"""),43159.66666666667)</f>
        <v>43159.66667</v>
      </c>
      <c r="M76" s="9">
        <f>IFERROR(__xludf.DUMMYFUNCTION("""COMPUTED_VALUE"""),44.82)</f>
        <v>44.82</v>
      </c>
      <c r="N76" s="11">
        <f>IFERROR(__xludf.DUMMYFUNCTION("""COMPUTED_VALUE"""),43159.66666666667)</f>
        <v>43159.66667</v>
      </c>
      <c r="O76" s="9">
        <f>IFERROR(__xludf.DUMMYFUNCTION("""COMPUTED_VALUE"""),44.53)</f>
        <v>44.53</v>
      </c>
      <c r="Q76" s="11">
        <f>IFERROR(__xludf.DUMMYFUNCTION("""COMPUTED_VALUE"""),43159.66666666667)</f>
        <v>43159.66667</v>
      </c>
      <c r="R76" s="9">
        <f>IFERROR(__xludf.DUMMYFUNCTION("""COMPUTED_VALUE"""),182.3)</f>
        <v>182.3</v>
      </c>
      <c r="S76" s="11">
        <f>IFERROR(__xludf.DUMMYFUNCTION("""COMPUTED_VALUE"""),43159.66666666667)</f>
        <v>43159.66667</v>
      </c>
      <c r="T76" s="9">
        <f>IFERROR(__xludf.DUMMYFUNCTION("""COMPUTED_VALUE"""),178.32)</f>
        <v>178.32</v>
      </c>
      <c r="V76" s="11">
        <f>IFERROR(__xludf.DUMMYFUNCTION("""COMPUTED_VALUE"""),43159.66666666667)</f>
        <v>43159.66667</v>
      </c>
      <c r="W76" s="9">
        <f>IFERROR(__xludf.DUMMYFUNCTION("""COMPUTED_VALUE"""),293.1)</f>
        <v>293.1</v>
      </c>
      <c r="X76" s="11">
        <f>IFERROR(__xludf.DUMMYFUNCTION("""COMPUTED_VALUE"""),43159.66666666667)</f>
        <v>43159.66667</v>
      </c>
      <c r="Y76" s="9">
        <f>IFERROR(__xludf.DUMMYFUNCTION("""COMPUTED_VALUE"""),291.38)</f>
        <v>291.38</v>
      </c>
      <c r="AA76" s="11">
        <f>IFERROR(__xludf.DUMMYFUNCTION("""COMPUTED_VALUE"""),43159.66666666667)</f>
        <v>43159.66667</v>
      </c>
      <c r="AB76" s="9">
        <f>IFERROR(__xludf.DUMMYFUNCTION("""COMPUTED_VALUE"""),1519.51)</f>
        <v>1519.51</v>
      </c>
      <c r="AC76" s="11">
        <f>IFERROR(__xludf.DUMMYFUNCTION("""COMPUTED_VALUE"""),43159.66666666667)</f>
        <v>43159.66667</v>
      </c>
      <c r="AD76" s="9">
        <f>IFERROR(__xludf.DUMMYFUNCTION("""COMPUTED_VALUE"""),1512.45)</f>
        <v>1512.45</v>
      </c>
    </row>
    <row r="77">
      <c r="B77" s="11">
        <f>IFERROR(__xludf.DUMMYFUNCTION("""COMPUTED_VALUE"""),43160.66666666667)</f>
        <v>43160.66667</v>
      </c>
      <c r="C77" s="9">
        <f>IFERROR(__xludf.DUMMYFUNCTION("""COMPUTED_VALUE"""),69.0)</f>
        <v>69</v>
      </c>
      <c r="D77" s="11">
        <f>IFERROR(__xludf.DUMMYFUNCTION("""COMPUTED_VALUE"""),43160.66666666667)</f>
        <v>43160.66667</v>
      </c>
      <c r="E77" s="9">
        <f>IFERROR(__xludf.DUMMYFUNCTION("""COMPUTED_VALUE"""),66.19)</f>
        <v>66.19</v>
      </c>
      <c r="G77" s="11">
        <f>IFERROR(__xludf.DUMMYFUNCTION("""COMPUTED_VALUE"""),43160.66666666667)</f>
        <v>43160.66667</v>
      </c>
      <c r="H77" s="9">
        <f>IFERROR(__xludf.DUMMYFUNCTION("""COMPUTED_VALUE"""),1107.87)</f>
        <v>1107.87</v>
      </c>
      <c r="I77" s="11">
        <f>IFERROR(__xludf.DUMMYFUNCTION("""COMPUTED_VALUE"""),43160.66666666667)</f>
        <v>43160.66667</v>
      </c>
      <c r="J77" s="9">
        <f>IFERROR(__xludf.DUMMYFUNCTION("""COMPUTED_VALUE"""),1069.52)</f>
        <v>1069.52</v>
      </c>
      <c r="L77" s="11">
        <f>IFERROR(__xludf.DUMMYFUNCTION("""COMPUTED_VALUE"""),43160.66666666667)</f>
        <v>43160.66667</v>
      </c>
      <c r="M77" s="9">
        <f>IFERROR(__xludf.DUMMYFUNCTION("""COMPUTED_VALUE"""),44.64)</f>
        <v>44.64</v>
      </c>
      <c r="N77" s="11">
        <f>IFERROR(__xludf.DUMMYFUNCTION("""COMPUTED_VALUE"""),43160.66666666667)</f>
        <v>43160.66667</v>
      </c>
      <c r="O77" s="9">
        <f>IFERROR(__xludf.DUMMYFUNCTION("""COMPUTED_VALUE"""),43.75)</f>
        <v>43.75</v>
      </c>
      <c r="Q77" s="11">
        <f>IFERROR(__xludf.DUMMYFUNCTION("""COMPUTED_VALUE"""),43160.66666666667)</f>
        <v>43160.66667</v>
      </c>
      <c r="R77" s="9">
        <f>IFERROR(__xludf.DUMMYFUNCTION("""COMPUTED_VALUE"""),179.01)</f>
        <v>179.01</v>
      </c>
      <c r="S77" s="11">
        <f>IFERROR(__xludf.DUMMYFUNCTION("""COMPUTED_VALUE"""),43160.66666666667)</f>
        <v>43160.66667</v>
      </c>
      <c r="T77" s="9">
        <f>IFERROR(__xludf.DUMMYFUNCTION("""COMPUTED_VALUE"""),175.94)</f>
        <v>175.94</v>
      </c>
      <c r="V77" s="11">
        <f>IFERROR(__xludf.DUMMYFUNCTION("""COMPUTED_VALUE"""),43160.66666666667)</f>
        <v>43160.66667</v>
      </c>
      <c r="W77" s="9">
        <f>IFERROR(__xludf.DUMMYFUNCTION("""COMPUTED_VALUE"""),292.75)</f>
        <v>292.75</v>
      </c>
      <c r="X77" s="11">
        <f>IFERROR(__xludf.DUMMYFUNCTION("""COMPUTED_VALUE"""),43160.66666666667)</f>
        <v>43160.66667</v>
      </c>
      <c r="Y77" s="9">
        <f>IFERROR(__xludf.DUMMYFUNCTION("""COMPUTED_VALUE"""),290.39)</f>
        <v>290.39</v>
      </c>
      <c r="AA77" s="11">
        <f>IFERROR(__xludf.DUMMYFUNCTION("""COMPUTED_VALUE"""),43160.66666666667)</f>
        <v>43160.66667</v>
      </c>
      <c r="AB77" s="9">
        <f>IFERROR(__xludf.DUMMYFUNCTION("""COMPUTED_VALUE"""),1513.6)</f>
        <v>1513.6</v>
      </c>
      <c r="AC77" s="11">
        <f>IFERROR(__xludf.DUMMYFUNCTION("""COMPUTED_VALUE"""),43160.66666666667)</f>
        <v>43160.66667</v>
      </c>
      <c r="AD77" s="9">
        <f>IFERROR(__xludf.DUMMYFUNCTION("""COMPUTED_VALUE"""),1493.45)</f>
        <v>1493.45</v>
      </c>
    </row>
    <row r="78">
      <c r="B78" s="11">
        <f>IFERROR(__xludf.DUMMYFUNCTION("""COMPUTED_VALUE"""),43161.66666666667)</f>
        <v>43161.66667</v>
      </c>
      <c r="C78" s="9">
        <f>IFERROR(__xludf.DUMMYFUNCTION("""COMPUTED_VALUE"""),65.4)</f>
        <v>65.4</v>
      </c>
      <c r="D78" s="11">
        <f>IFERROR(__xludf.DUMMYFUNCTION("""COMPUTED_VALUE"""),43161.66666666667)</f>
        <v>43161.66667</v>
      </c>
      <c r="E78" s="9">
        <f>IFERROR(__xludf.DUMMYFUNCTION("""COMPUTED_VALUE"""),67.02)</f>
        <v>67.02</v>
      </c>
      <c r="G78" s="11">
        <f>IFERROR(__xludf.DUMMYFUNCTION("""COMPUTED_VALUE"""),43161.66666666667)</f>
        <v>43161.66667</v>
      </c>
      <c r="H78" s="9">
        <f>IFERROR(__xludf.DUMMYFUNCTION("""COMPUTED_VALUE"""),1053.08)</f>
        <v>1053.08</v>
      </c>
      <c r="I78" s="11">
        <f>IFERROR(__xludf.DUMMYFUNCTION("""COMPUTED_VALUE"""),43161.66666666667)</f>
        <v>43161.66667</v>
      </c>
      <c r="J78" s="9">
        <f>IFERROR(__xludf.DUMMYFUNCTION("""COMPUTED_VALUE"""),1078.92)</f>
        <v>1078.92</v>
      </c>
      <c r="L78" s="11">
        <f>IFERROR(__xludf.DUMMYFUNCTION("""COMPUTED_VALUE"""),43161.66666666667)</f>
        <v>43161.66667</v>
      </c>
      <c r="M78" s="9">
        <f>IFERROR(__xludf.DUMMYFUNCTION("""COMPUTED_VALUE"""),43.2)</f>
        <v>43.2</v>
      </c>
      <c r="N78" s="11">
        <f>IFERROR(__xludf.DUMMYFUNCTION("""COMPUTED_VALUE"""),43161.66666666667)</f>
        <v>43161.66667</v>
      </c>
      <c r="O78" s="9">
        <f>IFERROR(__xludf.DUMMYFUNCTION("""COMPUTED_VALUE"""),44.05)</f>
        <v>44.05</v>
      </c>
      <c r="Q78" s="11">
        <f>IFERROR(__xludf.DUMMYFUNCTION("""COMPUTED_VALUE"""),43161.66666666667)</f>
        <v>43161.66667</v>
      </c>
      <c r="R78" s="9">
        <f>IFERROR(__xludf.DUMMYFUNCTION("""COMPUTED_VALUE"""),173.29)</f>
        <v>173.29</v>
      </c>
      <c r="S78" s="11">
        <f>IFERROR(__xludf.DUMMYFUNCTION("""COMPUTED_VALUE"""),43161.66666666667)</f>
        <v>43161.66667</v>
      </c>
      <c r="T78" s="9">
        <f>IFERROR(__xludf.DUMMYFUNCTION("""COMPUTED_VALUE"""),176.62)</f>
        <v>176.62</v>
      </c>
      <c r="V78" s="11">
        <f>IFERROR(__xludf.DUMMYFUNCTION("""COMPUTED_VALUE"""),43161.66666666667)</f>
        <v>43161.66667</v>
      </c>
      <c r="W78" s="9">
        <f>IFERROR(__xludf.DUMMYFUNCTION("""COMPUTED_VALUE"""),284.65)</f>
        <v>284.65</v>
      </c>
      <c r="X78" s="11">
        <f>IFERROR(__xludf.DUMMYFUNCTION("""COMPUTED_VALUE"""),43161.66666666667)</f>
        <v>43161.66667</v>
      </c>
      <c r="Y78" s="9">
        <f>IFERROR(__xludf.DUMMYFUNCTION("""COMPUTED_VALUE"""),301.05)</f>
        <v>301.05</v>
      </c>
      <c r="AA78" s="11">
        <f>IFERROR(__xludf.DUMMYFUNCTION("""COMPUTED_VALUE"""),43161.66666666667)</f>
        <v>43161.66667</v>
      </c>
      <c r="AB78" s="9">
        <f>IFERROR(__xludf.DUMMYFUNCTION("""COMPUTED_VALUE"""),1469.1)</f>
        <v>1469.1</v>
      </c>
      <c r="AC78" s="11">
        <f>IFERROR(__xludf.DUMMYFUNCTION("""COMPUTED_VALUE"""),43161.66666666667)</f>
        <v>43161.66667</v>
      </c>
      <c r="AD78" s="9">
        <f>IFERROR(__xludf.DUMMYFUNCTION("""COMPUTED_VALUE"""),1500.25)</f>
        <v>1500.25</v>
      </c>
    </row>
    <row r="79">
      <c r="B79" s="11">
        <f>IFERROR(__xludf.DUMMYFUNCTION("""COMPUTED_VALUE"""),43164.66666666667)</f>
        <v>43164.66667</v>
      </c>
      <c r="C79" s="9">
        <f>IFERROR(__xludf.DUMMYFUNCTION("""COMPUTED_VALUE"""),66.48)</f>
        <v>66.48</v>
      </c>
      <c r="D79" s="11">
        <f>IFERROR(__xludf.DUMMYFUNCTION("""COMPUTED_VALUE"""),43164.66666666667)</f>
        <v>43164.66667</v>
      </c>
      <c r="E79" s="9">
        <f>IFERROR(__xludf.DUMMYFUNCTION("""COMPUTED_VALUE"""),66.67)</f>
        <v>66.67</v>
      </c>
      <c r="G79" s="11">
        <f>IFERROR(__xludf.DUMMYFUNCTION("""COMPUTED_VALUE"""),43164.66666666667)</f>
        <v>43164.66667</v>
      </c>
      <c r="H79" s="9">
        <f>IFERROR(__xludf.DUMMYFUNCTION("""COMPUTED_VALUE"""),1075.14)</f>
        <v>1075.14</v>
      </c>
      <c r="I79" s="11">
        <f>IFERROR(__xludf.DUMMYFUNCTION("""COMPUTED_VALUE"""),43164.66666666667)</f>
        <v>43164.66667</v>
      </c>
      <c r="J79" s="9">
        <f>IFERROR(__xludf.DUMMYFUNCTION("""COMPUTED_VALUE"""),1090.93)</f>
        <v>1090.93</v>
      </c>
      <c r="L79" s="11">
        <f>IFERROR(__xludf.DUMMYFUNCTION("""COMPUTED_VALUE"""),43164.66666666667)</f>
        <v>43164.66667</v>
      </c>
      <c r="M79" s="9">
        <f>IFERROR(__xludf.DUMMYFUNCTION("""COMPUTED_VALUE"""),43.8)</f>
        <v>43.8</v>
      </c>
      <c r="N79" s="11">
        <f>IFERROR(__xludf.DUMMYFUNCTION("""COMPUTED_VALUE"""),43164.66666666667)</f>
        <v>43164.66667</v>
      </c>
      <c r="O79" s="9">
        <f>IFERROR(__xludf.DUMMYFUNCTION("""COMPUTED_VALUE"""),44.21)</f>
        <v>44.21</v>
      </c>
      <c r="Q79" s="11">
        <f>IFERROR(__xludf.DUMMYFUNCTION("""COMPUTED_VALUE"""),43164.66666666667)</f>
        <v>43164.66667</v>
      </c>
      <c r="R79" s="9">
        <f>IFERROR(__xludf.DUMMYFUNCTION("""COMPUTED_VALUE"""),176.2)</f>
        <v>176.2</v>
      </c>
      <c r="S79" s="11">
        <f>IFERROR(__xludf.DUMMYFUNCTION("""COMPUTED_VALUE"""),43164.66666666667)</f>
        <v>43164.66667</v>
      </c>
      <c r="T79" s="9">
        <f>IFERROR(__xludf.DUMMYFUNCTION("""COMPUTED_VALUE"""),180.4)</f>
        <v>180.4</v>
      </c>
      <c r="V79" s="11">
        <f>IFERROR(__xludf.DUMMYFUNCTION("""COMPUTED_VALUE"""),43164.66666666667)</f>
        <v>43164.66667</v>
      </c>
      <c r="W79" s="9">
        <f>IFERROR(__xludf.DUMMYFUNCTION("""COMPUTED_VALUE"""),302.85)</f>
        <v>302.85</v>
      </c>
      <c r="X79" s="11">
        <f>IFERROR(__xludf.DUMMYFUNCTION("""COMPUTED_VALUE"""),43164.66666666667)</f>
        <v>43164.66667</v>
      </c>
      <c r="Y79" s="9">
        <f>IFERROR(__xludf.DUMMYFUNCTION("""COMPUTED_VALUE"""),315.0)</f>
        <v>315</v>
      </c>
      <c r="AA79" s="11">
        <f>IFERROR(__xludf.DUMMYFUNCTION("""COMPUTED_VALUE"""),43164.66666666667)</f>
        <v>43164.66667</v>
      </c>
      <c r="AB79" s="9">
        <f>IFERROR(__xludf.DUMMYFUNCTION("""COMPUTED_VALUE"""),1494.24)</f>
        <v>1494.24</v>
      </c>
      <c r="AC79" s="11">
        <f>IFERROR(__xludf.DUMMYFUNCTION("""COMPUTED_VALUE"""),43164.66666666667)</f>
        <v>43164.66667</v>
      </c>
      <c r="AD79" s="9">
        <f>IFERROR(__xludf.DUMMYFUNCTION("""COMPUTED_VALUE"""),1523.61)</f>
        <v>1523.61</v>
      </c>
    </row>
    <row r="80">
      <c r="B80" s="11">
        <f>IFERROR(__xludf.DUMMYFUNCTION("""COMPUTED_VALUE"""),43165.66666666667)</f>
        <v>43165.66667</v>
      </c>
      <c r="C80" s="9">
        <f>IFERROR(__xludf.DUMMYFUNCTION("""COMPUTED_VALUE"""),66.75)</f>
        <v>66.75</v>
      </c>
      <c r="D80" s="11">
        <f>IFERROR(__xludf.DUMMYFUNCTION("""COMPUTED_VALUE"""),43165.66666666667)</f>
        <v>43165.66667</v>
      </c>
      <c r="E80" s="9">
        <f>IFERROR(__xludf.DUMMYFUNCTION("""COMPUTED_VALUE"""),65.64)</f>
        <v>65.64</v>
      </c>
      <c r="G80" s="11">
        <f>IFERROR(__xludf.DUMMYFUNCTION("""COMPUTED_VALUE"""),43165.66666666667)</f>
        <v>43165.66667</v>
      </c>
      <c r="H80" s="9">
        <f>IFERROR(__xludf.DUMMYFUNCTION("""COMPUTED_VALUE"""),1099.22)</f>
        <v>1099.22</v>
      </c>
      <c r="I80" s="11">
        <f>IFERROR(__xludf.DUMMYFUNCTION("""COMPUTED_VALUE"""),43165.66666666667)</f>
        <v>43165.66667</v>
      </c>
      <c r="J80" s="9">
        <f>IFERROR(__xludf.DUMMYFUNCTION("""COMPUTED_VALUE"""),1095.06)</f>
        <v>1095.06</v>
      </c>
      <c r="L80" s="11">
        <f>IFERROR(__xludf.DUMMYFUNCTION("""COMPUTED_VALUE"""),43165.66666666667)</f>
        <v>43165.66667</v>
      </c>
      <c r="M80" s="9">
        <f>IFERROR(__xludf.DUMMYFUNCTION("""COMPUTED_VALUE"""),44.48)</f>
        <v>44.48</v>
      </c>
      <c r="N80" s="11">
        <f>IFERROR(__xludf.DUMMYFUNCTION("""COMPUTED_VALUE"""),43165.66666666667)</f>
        <v>43165.66667</v>
      </c>
      <c r="O80" s="9">
        <f>IFERROR(__xludf.DUMMYFUNCTION("""COMPUTED_VALUE"""),44.17)</f>
        <v>44.17</v>
      </c>
      <c r="Q80" s="11">
        <f>IFERROR(__xludf.DUMMYFUNCTION("""COMPUTED_VALUE"""),43165.66666666667)</f>
        <v>43165.66667</v>
      </c>
      <c r="R80" s="9">
        <f>IFERROR(__xludf.DUMMYFUNCTION("""COMPUTED_VALUE"""),181.78)</f>
        <v>181.78</v>
      </c>
      <c r="S80" s="11">
        <f>IFERROR(__xludf.DUMMYFUNCTION("""COMPUTED_VALUE"""),43165.66666666667)</f>
        <v>43165.66667</v>
      </c>
      <c r="T80" s="9">
        <f>IFERROR(__xludf.DUMMYFUNCTION("""COMPUTED_VALUE"""),179.78)</f>
        <v>179.78</v>
      </c>
      <c r="V80" s="11">
        <f>IFERROR(__xludf.DUMMYFUNCTION("""COMPUTED_VALUE"""),43165.66666666667)</f>
        <v>43165.66667</v>
      </c>
      <c r="W80" s="9">
        <f>IFERROR(__xludf.DUMMYFUNCTION("""COMPUTED_VALUE"""),319.88)</f>
        <v>319.88</v>
      </c>
      <c r="X80" s="11">
        <f>IFERROR(__xludf.DUMMYFUNCTION("""COMPUTED_VALUE"""),43165.66666666667)</f>
        <v>43165.66667</v>
      </c>
      <c r="Y80" s="9">
        <f>IFERROR(__xludf.DUMMYFUNCTION("""COMPUTED_VALUE"""),325.22)</f>
        <v>325.22</v>
      </c>
      <c r="AA80" s="11">
        <f>IFERROR(__xludf.DUMMYFUNCTION("""COMPUTED_VALUE"""),43165.66666666667)</f>
        <v>43165.66667</v>
      </c>
      <c r="AB80" s="9">
        <f>IFERROR(__xludf.DUMMYFUNCTION("""COMPUTED_VALUE"""),1533.2)</f>
        <v>1533.2</v>
      </c>
      <c r="AC80" s="11">
        <f>IFERROR(__xludf.DUMMYFUNCTION("""COMPUTED_VALUE"""),43165.66666666667)</f>
        <v>43165.66667</v>
      </c>
      <c r="AD80" s="9">
        <f>IFERROR(__xludf.DUMMYFUNCTION("""COMPUTED_VALUE"""),1537.64)</f>
        <v>1537.64</v>
      </c>
    </row>
    <row r="81">
      <c r="B81" s="11">
        <f>IFERROR(__xludf.DUMMYFUNCTION("""COMPUTED_VALUE"""),43166.66666666667)</f>
        <v>43166.66667</v>
      </c>
      <c r="C81" s="9">
        <f>IFERROR(__xludf.DUMMYFUNCTION("""COMPUTED_VALUE"""),65.09)</f>
        <v>65.09</v>
      </c>
      <c r="D81" s="11">
        <f>IFERROR(__xludf.DUMMYFUNCTION("""COMPUTED_VALUE"""),43166.66666666667)</f>
        <v>43166.66667</v>
      </c>
      <c r="E81" s="9">
        <f>IFERROR(__xludf.DUMMYFUNCTION("""COMPUTED_VALUE"""),66.46)</f>
        <v>66.46</v>
      </c>
      <c r="G81" s="11">
        <f>IFERROR(__xludf.DUMMYFUNCTION("""COMPUTED_VALUE"""),43166.66666666667)</f>
        <v>43166.66667</v>
      </c>
      <c r="H81" s="9">
        <f>IFERROR(__xludf.DUMMYFUNCTION("""COMPUTED_VALUE"""),1089.19)</f>
        <v>1089.19</v>
      </c>
      <c r="I81" s="11">
        <f>IFERROR(__xludf.DUMMYFUNCTION("""COMPUTED_VALUE"""),43166.66666666667)</f>
        <v>43166.66667</v>
      </c>
      <c r="J81" s="9">
        <f>IFERROR(__xludf.DUMMYFUNCTION("""COMPUTED_VALUE"""),1109.64)</f>
        <v>1109.64</v>
      </c>
      <c r="L81" s="11">
        <f>IFERROR(__xludf.DUMMYFUNCTION("""COMPUTED_VALUE"""),43166.66666666667)</f>
        <v>43166.66667</v>
      </c>
      <c r="M81" s="9">
        <f>IFERROR(__xludf.DUMMYFUNCTION("""COMPUTED_VALUE"""),43.74)</f>
        <v>43.74</v>
      </c>
      <c r="N81" s="11">
        <f>IFERROR(__xludf.DUMMYFUNCTION("""COMPUTED_VALUE"""),43166.66666666667)</f>
        <v>43166.66667</v>
      </c>
      <c r="O81" s="9">
        <f>IFERROR(__xludf.DUMMYFUNCTION("""COMPUTED_VALUE"""),43.76)</f>
        <v>43.76</v>
      </c>
      <c r="Q81" s="11">
        <f>IFERROR(__xludf.DUMMYFUNCTION("""COMPUTED_VALUE"""),43166.66666666667)</f>
        <v>43166.66667</v>
      </c>
      <c r="R81" s="9">
        <f>IFERROR(__xludf.DUMMYFUNCTION("""COMPUTED_VALUE"""),178.74)</f>
        <v>178.74</v>
      </c>
      <c r="S81" s="11">
        <f>IFERROR(__xludf.DUMMYFUNCTION("""COMPUTED_VALUE"""),43166.66666666667)</f>
        <v>43166.66667</v>
      </c>
      <c r="T81" s="9">
        <f>IFERROR(__xludf.DUMMYFUNCTION("""COMPUTED_VALUE"""),183.71)</f>
        <v>183.71</v>
      </c>
      <c r="V81" s="11">
        <f>IFERROR(__xludf.DUMMYFUNCTION("""COMPUTED_VALUE"""),43166.66666666667)</f>
        <v>43166.66667</v>
      </c>
      <c r="W81" s="9">
        <f>IFERROR(__xludf.DUMMYFUNCTION("""COMPUTED_VALUE"""),320.0)</f>
        <v>320</v>
      </c>
      <c r="X81" s="11">
        <f>IFERROR(__xludf.DUMMYFUNCTION("""COMPUTED_VALUE"""),43166.66666666667)</f>
        <v>43166.66667</v>
      </c>
      <c r="Y81" s="9">
        <f>IFERROR(__xludf.DUMMYFUNCTION("""COMPUTED_VALUE"""),321.16)</f>
        <v>321.16</v>
      </c>
      <c r="AA81" s="11">
        <f>IFERROR(__xludf.DUMMYFUNCTION("""COMPUTED_VALUE"""),43166.66666666667)</f>
        <v>43166.66667</v>
      </c>
      <c r="AB81" s="9">
        <f>IFERROR(__xludf.DUMMYFUNCTION("""COMPUTED_VALUE"""),1526.52)</f>
        <v>1526.52</v>
      </c>
      <c r="AC81" s="11">
        <f>IFERROR(__xludf.DUMMYFUNCTION("""COMPUTED_VALUE"""),43166.66666666667)</f>
        <v>43166.66667</v>
      </c>
      <c r="AD81" s="9">
        <f>IFERROR(__xludf.DUMMYFUNCTION("""COMPUTED_VALUE"""),1545.0)</f>
        <v>1545</v>
      </c>
    </row>
    <row r="82">
      <c r="B82" s="11">
        <f>IFERROR(__xludf.DUMMYFUNCTION("""COMPUTED_VALUE"""),43167.66666666667)</f>
        <v>43167.66667</v>
      </c>
      <c r="C82" s="9">
        <f>IFERROR(__xludf.DUMMYFUNCTION("""COMPUTED_VALUE"""),66.57)</f>
        <v>66.57</v>
      </c>
      <c r="D82" s="11">
        <f>IFERROR(__xludf.DUMMYFUNCTION("""COMPUTED_VALUE"""),43167.66666666667)</f>
        <v>43167.66667</v>
      </c>
      <c r="E82" s="9">
        <f>IFERROR(__xludf.DUMMYFUNCTION("""COMPUTED_VALUE"""),65.82)</f>
        <v>65.82</v>
      </c>
      <c r="G82" s="11">
        <f>IFERROR(__xludf.DUMMYFUNCTION("""COMPUTED_VALUE"""),43167.66666666667)</f>
        <v>43167.66667</v>
      </c>
      <c r="H82" s="9">
        <f>IFERROR(__xludf.DUMMYFUNCTION("""COMPUTED_VALUE"""),1115.32)</f>
        <v>1115.32</v>
      </c>
      <c r="I82" s="11">
        <f>IFERROR(__xludf.DUMMYFUNCTION("""COMPUTED_VALUE"""),43167.66666666667)</f>
        <v>43167.66667</v>
      </c>
      <c r="J82" s="9">
        <f>IFERROR(__xludf.DUMMYFUNCTION("""COMPUTED_VALUE"""),1126.0)</f>
        <v>1126</v>
      </c>
      <c r="L82" s="11">
        <f>IFERROR(__xludf.DUMMYFUNCTION("""COMPUTED_VALUE"""),43167.66666666667)</f>
        <v>43167.66667</v>
      </c>
      <c r="M82" s="9">
        <f>IFERROR(__xludf.DUMMYFUNCTION("""COMPUTED_VALUE"""),43.87)</f>
        <v>43.87</v>
      </c>
      <c r="N82" s="11">
        <f>IFERROR(__xludf.DUMMYFUNCTION("""COMPUTED_VALUE"""),43167.66666666667)</f>
        <v>43167.66667</v>
      </c>
      <c r="O82" s="9">
        <f>IFERROR(__xludf.DUMMYFUNCTION("""COMPUTED_VALUE"""),44.24)</f>
        <v>44.24</v>
      </c>
      <c r="Q82" s="11">
        <f>IFERROR(__xludf.DUMMYFUNCTION("""COMPUTED_VALUE"""),43167.66666666667)</f>
        <v>43167.66667</v>
      </c>
      <c r="R82" s="9">
        <f>IFERROR(__xludf.DUMMYFUNCTION("""COMPUTED_VALUE"""),183.56)</f>
        <v>183.56</v>
      </c>
      <c r="S82" s="11">
        <f>IFERROR(__xludf.DUMMYFUNCTION("""COMPUTED_VALUE"""),43167.66666666667)</f>
        <v>43167.66667</v>
      </c>
      <c r="T82" s="9">
        <f>IFERROR(__xludf.DUMMYFUNCTION("""COMPUTED_VALUE"""),182.34)</f>
        <v>182.34</v>
      </c>
      <c r="V82" s="11">
        <f>IFERROR(__xludf.DUMMYFUNCTION("""COMPUTED_VALUE"""),43167.66666666667)</f>
        <v>43167.66667</v>
      </c>
      <c r="W82" s="9">
        <f>IFERROR(__xludf.DUMMYFUNCTION("""COMPUTED_VALUE"""),322.2)</f>
        <v>322.2</v>
      </c>
      <c r="X82" s="11">
        <f>IFERROR(__xludf.DUMMYFUNCTION("""COMPUTED_VALUE"""),43167.66666666667)</f>
        <v>43167.66667</v>
      </c>
      <c r="Y82" s="9">
        <f>IFERROR(__xludf.DUMMYFUNCTION("""COMPUTED_VALUE"""),317.0)</f>
        <v>317</v>
      </c>
      <c r="AA82" s="11">
        <f>IFERROR(__xludf.DUMMYFUNCTION("""COMPUTED_VALUE"""),43167.66666666667)</f>
        <v>43167.66667</v>
      </c>
      <c r="AB82" s="9">
        <f>IFERROR(__xludf.DUMMYFUNCTION("""COMPUTED_VALUE"""),1550.0)</f>
        <v>1550</v>
      </c>
      <c r="AC82" s="11">
        <f>IFERROR(__xludf.DUMMYFUNCTION("""COMPUTED_VALUE"""),43167.66666666667)</f>
        <v>43167.66667</v>
      </c>
      <c r="AD82" s="9">
        <f>IFERROR(__xludf.DUMMYFUNCTION("""COMPUTED_VALUE"""),1551.86)</f>
        <v>1551.86</v>
      </c>
    </row>
    <row r="83">
      <c r="B83" s="11">
        <f>IFERROR(__xludf.DUMMYFUNCTION("""COMPUTED_VALUE"""),43168.66666666667)</f>
        <v>43168.66667</v>
      </c>
      <c r="C83" s="9">
        <f>IFERROR(__xludf.DUMMYFUNCTION("""COMPUTED_VALUE"""),64.82)</f>
        <v>64.82</v>
      </c>
      <c r="D83" s="11">
        <f>IFERROR(__xludf.DUMMYFUNCTION("""COMPUTED_VALUE"""),43168.66666666667)</f>
        <v>43168.66667</v>
      </c>
      <c r="E83" s="9">
        <f>IFERROR(__xludf.DUMMYFUNCTION("""COMPUTED_VALUE"""),65.43)</f>
        <v>65.43</v>
      </c>
      <c r="G83" s="11">
        <f>IFERROR(__xludf.DUMMYFUNCTION("""COMPUTED_VALUE"""),43168.66666666667)</f>
        <v>43168.66667</v>
      </c>
      <c r="H83" s="9">
        <f>IFERROR(__xludf.DUMMYFUNCTION("""COMPUTED_VALUE"""),1136.0)</f>
        <v>1136</v>
      </c>
      <c r="I83" s="11">
        <f>IFERROR(__xludf.DUMMYFUNCTION("""COMPUTED_VALUE"""),43168.66666666667)</f>
        <v>43168.66667</v>
      </c>
      <c r="J83" s="9">
        <f>IFERROR(__xludf.DUMMYFUNCTION("""COMPUTED_VALUE"""),1160.04)</f>
        <v>1160.04</v>
      </c>
      <c r="L83" s="11">
        <f>IFERROR(__xludf.DUMMYFUNCTION("""COMPUTED_VALUE"""),43168.66666666667)</f>
        <v>43168.66667</v>
      </c>
      <c r="M83" s="9">
        <f>IFERROR(__xludf.DUMMYFUNCTION("""COMPUTED_VALUE"""),44.49)</f>
        <v>44.49</v>
      </c>
      <c r="N83" s="11">
        <f>IFERROR(__xludf.DUMMYFUNCTION("""COMPUTED_VALUE"""),43168.66666666667)</f>
        <v>43168.66667</v>
      </c>
      <c r="O83" s="9">
        <f>IFERROR(__xludf.DUMMYFUNCTION("""COMPUTED_VALUE"""),45.0)</f>
        <v>45</v>
      </c>
      <c r="Q83" s="11">
        <f>IFERROR(__xludf.DUMMYFUNCTION("""COMPUTED_VALUE"""),43168.66666666667)</f>
        <v>43168.66667</v>
      </c>
      <c r="R83" s="9">
        <f>IFERROR(__xludf.DUMMYFUNCTION("""COMPUTED_VALUE"""),183.91)</f>
        <v>183.91</v>
      </c>
      <c r="S83" s="11">
        <f>IFERROR(__xludf.DUMMYFUNCTION("""COMPUTED_VALUE"""),43168.66666666667)</f>
        <v>43168.66667</v>
      </c>
      <c r="T83" s="9">
        <f>IFERROR(__xludf.DUMMYFUNCTION("""COMPUTED_VALUE"""),185.23)</f>
        <v>185.23</v>
      </c>
      <c r="V83" s="11">
        <f>IFERROR(__xludf.DUMMYFUNCTION("""COMPUTED_VALUE"""),43168.66666666667)</f>
        <v>43168.66667</v>
      </c>
      <c r="W83" s="9">
        <f>IFERROR(__xludf.DUMMYFUNCTION("""COMPUTED_VALUE"""),321.33)</f>
        <v>321.33</v>
      </c>
      <c r="X83" s="11">
        <f>IFERROR(__xludf.DUMMYFUNCTION("""COMPUTED_VALUE"""),43168.66666666667)</f>
        <v>43168.66667</v>
      </c>
      <c r="Y83" s="9">
        <f>IFERROR(__xludf.DUMMYFUNCTION("""COMPUTED_VALUE"""),331.44)</f>
        <v>331.44</v>
      </c>
      <c r="AA83" s="11">
        <f>IFERROR(__xludf.DUMMYFUNCTION("""COMPUTED_VALUE"""),43168.66666666667)</f>
        <v>43168.66667</v>
      </c>
      <c r="AB83" s="9">
        <f>IFERROR(__xludf.DUMMYFUNCTION("""COMPUTED_VALUE"""),1563.5)</f>
        <v>1563.5</v>
      </c>
      <c r="AC83" s="11">
        <f>IFERROR(__xludf.DUMMYFUNCTION("""COMPUTED_VALUE"""),43168.66666666667)</f>
        <v>43168.66667</v>
      </c>
      <c r="AD83" s="9">
        <f>IFERROR(__xludf.DUMMYFUNCTION("""COMPUTED_VALUE"""),1578.89)</f>
        <v>1578.89</v>
      </c>
    </row>
    <row r="84">
      <c r="B84" s="11">
        <f>IFERROR(__xludf.DUMMYFUNCTION("""COMPUTED_VALUE"""),43171.66666666667)</f>
        <v>43171.66667</v>
      </c>
      <c r="C84" s="9">
        <f>IFERROR(__xludf.DUMMYFUNCTION("""COMPUTED_VALUE"""),65.72)</f>
        <v>65.72</v>
      </c>
      <c r="D84" s="11">
        <f>IFERROR(__xludf.DUMMYFUNCTION("""COMPUTED_VALUE"""),43171.66666666667)</f>
        <v>43171.66667</v>
      </c>
      <c r="E84" s="9">
        <f>IFERROR(__xludf.DUMMYFUNCTION("""COMPUTED_VALUE"""),69.1)</f>
        <v>69.1</v>
      </c>
      <c r="G84" s="11">
        <f>IFERROR(__xludf.DUMMYFUNCTION("""COMPUTED_VALUE"""),43171.66666666667)</f>
        <v>43171.66667</v>
      </c>
      <c r="H84" s="9">
        <f>IFERROR(__xludf.DUMMYFUNCTION("""COMPUTED_VALUE"""),1163.85)</f>
        <v>1163.85</v>
      </c>
      <c r="I84" s="11">
        <f>IFERROR(__xludf.DUMMYFUNCTION("""COMPUTED_VALUE"""),43171.66666666667)</f>
        <v>43171.66667</v>
      </c>
      <c r="J84" s="9">
        <f>IFERROR(__xludf.DUMMYFUNCTION("""COMPUTED_VALUE"""),1164.5)</f>
        <v>1164.5</v>
      </c>
      <c r="L84" s="11">
        <f>IFERROR(__xludf.DUMMYFUNCTION("""COMPUTED_VALUE"""),43171.66666666667)</f>
        <v>43171.66667</v>
      </c>
      <c r="M84" s="9">
        <f>IFERROR(__xludf.DUMMYFUNCTION("""COMPUTED_VALUE"""),45.07)</f>
        <v>45.07</v>
      </c>
      <c r="N84" s="11">
        <f>IFERROR(__xludf.DUMMYFUNCTION("""COMPUTED_VALUE"""),43171.66666666667)</f>
        <v>43171.66667</v>
      </c>
      <c r="O84" s="9">
        <f>IFERROR(__xludf.DUMMYFUNCTION("""COMPUTED_VALUE"""),45.43)</f>
        <v>45.43</v>
      </c>
      <c r="Q84" s="11">
        <f>IFERROR(__xludf.DUMMYFUNCTION("""COMPUTED_VALUE"""),43171.66666666667)</f>
        <v>43171.66667</v>
      </c>
      <c r="R84" s="9">
        <f>IFERROR(__xludf.DUMMYFUNCTION("""COMPUTED_VALUE"""),185.23)</f>
        <v>185.23</v>
      </c>
      <c r="S84" s="11">
        <f>IFERROR(__xludf.DUMMYFUNCTION("""COMPUTED_VALUE"""),43171.66666666667)</f>
        <v>43171.66667</v>
      </c>
      <c r="T84" s="9">
        <f>IFERROR(__xludf.DUMMYFUNCTION("""COMPUTED_VALUE"""),184.76)</f>
        <v>184.76</v>
      </c>
      <c r="V84" s="11">
        <f>IFERROR(__xludf.DUMMYFUNCTION("""COMPUTED_VALUE"""),43171.66666666667)</f>
        <v>43171.66667</v>
      </c>
      <c r="W84" s="9">
        <f>IFERROR(__xludf.DUMMYFUNCTION("""COMPUTED_VALUE"""),333.56)</f>
        <v>333.56</v>
      </c>
      <c r="X84" s="11">
        <f>IFERROR(__xludf.DUMMYFUNCTION("""COMPUTED_VALUE"""),43171.66666666667)</f>
        <v>43171.66667</v>
      </c>
      <c r="Y84" s="9">
        <f>IFERROR(__xludf.DUMMYFUNCTION("""COMPUTED_VALUE"""),321.3)</f>
        <v>321.3</v>
      </c>
      <c r="AA84" s="11">
        <f>IFERROR(__xludf.DUMMYFUNCTION("""COMPUTED_VALUE"""),43171.66666666667)</f>
        <v>43171.66667</v>
      </c>
      <c r="AB84" s="9">
        <f>IFERROR(__xludf.DUMMYFUNCTION("""COMPUTED_VALUE"""),1592.6)</f>
        <v>1592.6</v>
      </c>
      <c r="AC84" s="11">
        <f>IFERROR(__xludf.DUMMYFUNCTION("""COMPUTED_VALUE"""),43171.66666666667)</f>
        <v>43171.66667</v>
      </c>
      <c r="AD84" s="9">
        <f>IFERROR(__xludf.DUMMYFUNCTION("""COMPUTED_VALUE"""),1598.39)</f>
        <v>1598.39</v>
      </c>
    </row>
    <row r="85">
      <c r="B85" s="11">
        <f>IFERROR(__xludf.DUMMYFUNCTION("""COMPUTED_VALUE"""),43172.66666666667)</f>
        <v>43172.66667</v>
      </c>
      <c r="C85" s="9">
        <f>IFERROR(__xludf.DUMMYFUNCTION("""COMPUTED_VALUE"""),68.98)</f>
        <v>68.98</v>
      </c>
      <c r="D85" s="11">
        <f>IFERROR(__xludf.DUMMYFUNCTION("""COMPUTED_VALUE"""),43172.66666666667)</f>
        <v>43172.66667</v>
      </c>
      <c r="E85" s="9">
        <f>IFERROR(__xludf.DUMMYFUNCTION("""COMPUTED_VALUE"""),68.37)</f>
        <v>68.37</v>
      </c>
      <c r="G85" s="11">
        <f>IFERROR(__xludf.DUMMYFUNCTION("""COMPUTED_VALUE"""),43172.66666666667)</f>
        <v>43172.66667</v>
      </c>
      <c r="H85" s="9">
        <f>IFERROR(__xludf.DUMMYFUNCTION("""COMPUTED_VALUE"""),1170.0)</f>
        <v>1170</v>
      </c>
      <c r="I85" s="11">
        <f>IFERROR(__xludf.DUMMYFUNCTION("""COMPUTED_VALUE"""),43172.66666666667)</f>
        <v>43172.66667</v>
      </c>
      <c r="J85" s="9">
        <f>IFERROR(__xludf.DUMMYFUNCTION("""COMPUTED_VALUE"""),1138.17)</f>
        <v>1138.17</v>
      </c>
      <c r="L85" s="11">
        <f>IFERROR(__xludf.DUMMYFUNCTION("""COMPUTED_VALUE"""),43172.66666666667)</f>
        <v>43172.66667</v>
      </c>
      <c r="M85" s="9">
        <f>IFERROR(__xludf.DUMMYFUNCTION("""COMPUTED_VALUE"""),45.65)</f>
        <v>45.65</v>
      </c>
      <c r="N85" s="11">
        <f>IFERROR(__xludf.DUMMYFUNCTION("""COMPUTED_VALUE"""),43172.66666666667)</f>
        <v>43172.66667</v>
      </c>
      <c r="O85" s="9">
        <f>IFERROR(__xludf.DUMMYFUNCTION("""COMPUTED_VALUE"""),44.99)</f>
        <v>44.99</v>
      </c>
      <c r="Q85" s="11">
        <f>IFERROR(__xludf.DUMMYFUNCTION("""COMPUTED_VALUE"""),43172.66666666667)</f>
        <v>43172.66667</v>
      </c>
      <c r="R85" s="9">
        <f>IFERROR(__xludf.DUMMYFUNCTION("""COMPUTED_VALUE"""),185.61)</f>
        <v>185.61</v>
      </c>
      <c r="S85" s="11">
        <f>IFERROR(__xludf.DUMMYFUNCTION("""COMPUTED_VALUE"""),43172.66666666667)</f>
        <v>43172.66667</v>
      </c>
      <c r="T85" s="9">
        <f>IFERROR(__xludf.DUMMYFUNCTION("""COMPUTED_VALUE"""),181.88)</f>
        <v>181.88</v>
      </c>
      <c r="V85" s="11">
        <f>IFERROR(__xludf.DUMMYFUNCTION("""COMPUTED_VALUE"""),43172.66666666667)</f>
        <v>43172.66667</v>
      </c>
      <c r="W85" s="9">
        <f>IFERROR(__xludf.DUMMYFUNCTION("""COMPUTED_VALUE"""),323.87)</f>
        <v>323.87</v>
      </c>
      <c r="X85" s="11">
        <f>IFERROR(__xludf.DUMMYFUNCTION("""COMPUTED_VALUE"""),43172.66666666667)</f>
        <v>43172.66667</v>
      </c>
      <c r="Y85" s="9">
        <f>IFERROR(__xludf.DUMMYFUNCTION("""COMPUTED_VALUE"""),315.88)</f>
        <v>315.88</v>
      </c>
      <c r="AA85" s="11">
        <f>IFERROR(__xludf.DUMMYFUNCTION("""COMPUTED_VALUE"""),43172.66666666667)</f>
        <v>43172.66667</v>
      </c>
      <c r="AB85" s="9">
        <f>IFERROR(__xludf.DUMMYFUNCTION("""COMPUTED_VALUE"""),1615.96)</f>
        <v>1615.96</v>
      </c>
      <c r="AC85" s="11">
        <f>IFERROR(__xludf.DUMMYFUNCTION("""COMPUTED_VALUE"""),43172.66666666667)</f>
        <v>43172.66667</v>
      </c>
      <c r="AD85" s="9">
        <f>IFERROR(__xludf.DUMMYFUNCTION("""COMPUTED_VALUE"""),1588.18)</f>
        <v>1588.18</v>
      </c>
    </row>
    <row r="86">
      <c r="B86" s="11">
        <f>IFERROR(__xludf.DUMMYFUNCTION("""COMPUTED_VALUE"""),43173.66666666667)</f>
        <v>43173.66667</v>
      </c>
      <c r="C86" s="9">
        <f>IFERROR(__xludf.DUMMYFUNCTION("""COMPUTED_VALUE"""),67.35)</f>
        <v>67.35</v>
      </c>
      <c r="D86" s="11">
        <f>IFERROR(__xludf.DUMMYFUNCTION("""COMPUTED_VALUE"""),43173.66666666667)</f>
        <v>43173.66667</v>
      </c>
      <c r="E86" s="9">
        <f>IFERROR(__xludf.DUMMYFUNCTION("""COMPUTED_VALUE"""),65.33)</f>
        <v>65.33</v>
      </c>
      <c r="G86" s="11">
        <f>IFERROR(__xludf.DUMMYFUNCTION("""COMPUTED_VALUE"""),43173.66666666667)</f>
        <v>43173.66667</v>
      </c>
      <c r="H86" s="9">
        <f>IFERROR(__xludf.DUMMYFUNCTION("""COMPUTED_VALUE"""),1145.21)</f>
        <v>1145.21</v>
      </c>
      <c r="I86" s="11">
        <f>IFERROR(__xludf.DUMMYFUNCTION("""COMPUTED_VALUE"""),43173.66666666667)</f>
        <v>43173.66667</v>
      </c>
      <c r="J86" s="9">
        <f>IFERROR(__xludf.DUMMYFUNCTION("""COMPUTED_VALUE"""),1149.49)</f>
        <v>1149.49</v>
      </c>
      <c r="L86" s="11">
        <f>IFERROR(__xludf.DUMMYFUNCTION("""COMPUTED_VALUE"""),43173.66666666667)</f>
        <v>43173.66667</v>
      </c>
      <c r="M86" s="9">
        <f>IFERROR(__xludf.DUMMYFUNCTION("""COMPUTED_VALUE"""),45.08)</f>
        <v>45.08</v>
      </c>
      <c r="N86" s="11">
        <f>IFERROR(__xludf.DUMMYFUNCTION("""COMPUTED_VALUE"""),43173.66666666667)</f>
        <v>43173.66667</v>
      </c>
      <c r="O86" s="9">
        <f>IFERROR(__xludf.DUMMYFUNCTION("""COMPUTED_VALUE"""),44.61)</f>
        <v>44.61</v>
      </c>
      <c r="Q86" s="11">
        <f>IFERROR(__xludf.DUMMYFUNCTION("""COMPUTED_VALUE"""),43173.66666666667)</f>
        <v>43173.66667</v>
      </c>
      <c r="R86" s="9">
        <f>IFERROR(__xludf.DUMMYFUNCTION("""COMPUTED_VALUE"""),182.6)</f>
        <v>182.6</v>
      </c>
      <c r="S86" s="11">
        <f>IFERROR(__xludf.DUMMYFUNCTION("""COMPUTED_VALUE"""),43173.66666666667)</f>
        <v>43173.66667</v>
      </c>
      <c r="T86" s="9">
        <f>IFERROR(__xludf.DUMMYFUNCTION("""COMPUTED_VALUE"""),184.19)</f>
        <v>184.19</v>
      </c>
      <c r="V86" s="11">
        <f>IFERROR(__xludf.DUMMYFUNCTION("""COMPUTED_VALUE"""),43173.66666666667)</f>
        <v>43173.66667</v>
      </c>
      <c r="W86" s="9">
        <f>IFERROR(__xludf.DUMMYFUNCTION("""COMPUTED_VALUE"""),318.16)</f>
        <v>318.16</v>
      </c>
      <c r="X86" s="11">
        <f>IFERROR(__xludf.DUMMYFUNCTION("""COMPUTED_VALUE"""),43173.66666666667)</f>
        <v>43173.66667</v>
      </c>
      <c r="Y86" s="9">
        <f>IFERROR(__xludf.DUMMYFUNCTION("""COMPUTED_VALUE"""),321.55)</f>
        <v>321.55</v>
      </c>
      <c r="AA86" s="11">
        <f>IFERROR(__xludf.DUMMYFUNCTION("""COMPUTED_VALUE"""),43173.66666666667)</f>
        <v>43173.66667</v>
      </c>
      <c r="AB86" s="9">
        <f>IFERROR(__xludf.DUMMYFUNCTION("""COMPUTED_VALUE"""),1597.0)</f>
        <v>1597</v>
      </c>
      <c r="AC86" s="11">
        <f>IFERROR(__xludf.DUMMYFUNCTION("""COMPUTED_VALUE"""),43173.66666666667)</f>
        <v>43173.66667</v>
      </c>
      <c r="AD86" s="9">
        <f>IFERROR(__xludf.DUMMYFUNCTION("""COMPUTED_VALUE"""),1591.0)</f>
        <v>1591</v>
      </c>
    </row>
    <row r="87">
      <c r="B87" s="11">
        <f>IFERROR(__xludf.DUMMYFUNCTION("""COMPUTED_VALUE"""),43174.66666666667)</f>
        <v>43174.66667</v>
      </c>
      <c r="C87" s="9">
        <f>IFERROR(__xludf.DUMMYFUNCTION("""COMPUTED_VALUE"""),65.88)</f>
        <v>65.88</v>
      </c>
      <c r="D87" s="11">
        <f>IFERROR(__xludf.DUMMYFUNCTION("""COMPUTED_VALUE"""),43174.66666666667)</f>
        <v>43174.66667</v>
      </c>
      <c r="E87" s="9">
        <f>IFERROR(__xludf.DUMMYFUNCTION("""COMPUTED_VALUE"""),65.12)</f>
        <v>65.12</v>
      </c>
      <c r="G87" s="11">
        <f>IFERROR(__xludf.DUMMYFUNCTION("""COMPUTED_VALUE"""),43174.66666666667)</f>
        <v>43174.66667</v>
      </c>
      <c r="H87" s="9">
        <f>IFERROR(__xludf.DUMMYFUNCTION("""COMPUTED_VALUE"""),1149.96)</f>
        <v>1149.96</v>
      </c>
      <c r="I87" s="11">
        <f>IFERROR(__xludf.DUMMYFUNCTION("""COMPUTED_VALUE"""),43174.66666666667)</f>
        <v>43174.66667</v>
      </c>
      <c r="J87" s="9">
        <f>IFERROR(__xludf.DUMMYFUNCTION("""COMPUTED_VALUE"""),1149.58)</f>
        <v>1149.58</v>
      </c>
      <c r="L87" s="11">
        <f>IFERROR(__xludf.DUMMYFUNCTION("""COMPUTED_VALUE"""),43174.66666666667)</f>
        <v>43174.66667</v>
      </c>
      <c r="M87" s="9">
        <f>IFERROR(__xludf.DUMMYFUNCTION("""COMPUTED_VALUE"""),44.63)</f>
        <v>44.63</v>
      </c>
      <c r="N87" s="11">
        <f>IFERROR(__xludf.DUMMYFUNCTION("""COMPUTED_VALUE"""),43174.66666666667)</f>
        <v>43174.66667</v>
      </c>
      <c r="O87" s="9">
        <f>IFERROR(__xludf.DUMMYFUNCTION("""COMPUTED_VALUE"""),44.66)</f>
        <v>44.66</v>
      </c>
      <c r="Q87" s="11">
        <f>IFERROR(__xludf.DUMMYFUNCTION("""COMPUTED_VALUE"""),43174.66666666667)</f>
        <v>43174.66667</v>
      </c>
      <c r="R87" s="9">
        <f>IFERROR(__xludf.DUMMYFUNCTION("""COMPUTED_VALUE"""),183.24)</f>
        <v>183.24</v>
      </c>
      <c r="S87" s="11">
        <f>IFERROR(__xludf.DUMMYFUNCTION("""COMPUTED_VALUE"""),43174.66666666667)</f>
        <v>43174.66667</v>
      </c>
      <c r="T87" s="9">
        <f>IFERROR(__xludf.DUMMYFUNCTION("""COMPUTED_VALUE"""),183.86)</f>
        <v>183.86</v>
      </c>
      <c r="V87" s="11">
        <f>IFERROR(__xludf.DUMMYFUNCTION("""COMPUTED_VALUE"""),43174.66666666667)</f>
        <v>43174.66667</v>
      </c>
      <c r="W87" s="9">
        <f>IFERROR(__xludf.DUMMYFUNCTION("""COMPUTED_VALUE"""),323.17)</f>
        <v>323.17</v>
      </c>
      <c r="X87" s="11">
        <f>IFERROR(__xludf.DUMMYFUNCTION("""COMPUTED_VALUE"""),43174.66666666667)</f>
        <v>43174.66667</v>
      </c>
      <c r="Y87" s="9">
        <f>IFERROR(__xludf.DUMMYFUNCTION("""COMPUTED_VALUE"""),321.09)</f>
        <v>321.09</v>
      </c>
      <c r="AA87" s="11">
        <f>IFERROR(__xludf.DUMMYFUNCTION("""COMPUTED_VALUE"""),43174.66666666667)</f>
        <v>43174.66667</v>
      </c>
      <c r="AB87" s="9">
        <f>IFERROR(__xludf.DUMMYFUNCTION("""COMPUTED_VALUE"""),1595.0)</f>
        <v>1595</v>
      </c>
      <c r="AC87" s="11">
        <f>IFERROR(__xludf.DUMMYFUNCTION("""COMPUTED_VALUE"""),43174.66666666667)</f>
        <v>43174.66667</v>
      </c>
      <c r="AD87" s="9">
        <f>IFERROR(__xludf.DUMMYFUNCTION("""COMPUTED_VALUE"""),1582.32)</f>
        <v>1582.32</v>
      </c>
    </row>
    <row r="88">
      <c r="B88" s="11">
        <f>IFERROR(__xludf.DUMMYFUNCTION("""COMPUTED_VALUE"""),43175.66666666667)</f>
        <v>43175.66667</v>
      </c>
      <c r="C88" s="9">
        <f>IFERROR(__xludf.DUMMYFUNCTION("""COMPUTED_VALUE"""),65.19)</f>
        <v>65.19</v>
      </c>
      <c r="D88" s="11">
        <f>IFERROR(__xludf.DUMMYFUNCTION("""COMPUTED_VALUE"""),43175.66666666667)</f>
        <v>43175.66667</v>
      </c>
      <c r="E88" s="9">
        <f>IFERROR(__xludf.DUMMYFUNCTION("""COMPUTED_VALUE"""),64.27)</f>
        <v>64.27</v>
      </c>
      <c r="G88" s="11">
        <f>IFERROR(__xludf.DUMMYFUNCTION("""COMPUTED_VALUE"""),43175.66666666667)</f>
        <v>43175.66667</v>
      </c>
      <c r="H88" s="9">
        <f>IFERROR(__xludf.DUMMYFUNCTION("""COMPUTED_VALUE"""),1154.14)</f>
        <v>1154.14</v>
      </c>
      <c r="I88" s="11">
        <f>IFERROR(__xludf.DUMMYFUNCTION("""COMPUTED_VALUE"""),43175.66666666667)</f>
        <v>43175.66667</v>
      </c>
      <c r="J88" s="9">
        <f>IFERROR(__xludf.DUMMYFUNCTION("""COMPUTED_VALUE"""),1135.73)</f>
        <v>1135.73</v>
      </c>
      <c r="L88" s="11">
        <f>IFERROR(__xludf.DUMMYFUNCTION("""COMPUTED_VALUE"""),43175.66666666667)</f>
        <v>43175.66667</v>
      </c>
      <c r="M88" s="9">
        <f>IFERROR(__xludf.DUMMYFUNCTION("""COMPUTED_VALUE"""),44.66)</f>
        <v>44.66</v>
      </c>
      <c r="N88" s="11">
        <f>IFERROR(__xludf.DUMMYFUNCTION("""COMPUTED_VALUE"""),43175.66666666667)</f>
        <v>43175.66667</v>
      </c>
      <c r="O88" s="9">
        <f>IFERROR(__xludf.DUMMYFUNCTION("""COMPUTED_VALUE"""),44.51)</f>
        <v>44.51</v>
      </c>
      <c r="Q88" s="11">
        <f>IFERROR(__xludf.DUMMYFUNCTION("""COMPUTED_VALUE"""),43175.66666666667)</f>
        <v>43175.66667</v>
      </c>
      <c r="R88" s="9">
        <f>IFERROR(__xludf.DUMMYFUNCTION("""COMPUTED_VALUE"""),184.49)</f>
        <v>184.49</v>
      </c>
      <c r="S88" s="11">
        <f>IFERROR(__xludf.DUMMYFUNCTION("""COMPUTED_VALUE"""),43175.66666666667)</f>
        <v>43175.66667</v>
      </c>
      <c r="T88" s="9">
        <f>IFERROR(__xludf.DUMMYFUNCTION("""COMPUTED_VALUE"""),185.09)</f>
        <v>185.09</v>
      </c>
      <c r="V88" s="11">
        <f>IFERROR(__xludf.DUMMYFUNCTION("""COMPUTED_VALUE"""),43175.66666666667)</f>
        <v>43175.66667</v>
      </c>
      <c r="W88" s="9">
        <f>IFERROR(__xludf.DUMMYFUNCTION("""COMPUTED_VALUE"""),321.42)</f>
        <v>321.42</v>
      </c>
      <c r="X88" s="11">
        <f>IFERROR(__xludf.DUMMYFUNCTION("""COMPUTED_VALUE"""),43175.66666666667)</f>
        <v>43175.66667</v>
      </c>
      <c r="Y88" s="9">
        <f>IFERROR(__xludf.DUMMYFUNCTION("""COMPUTED_VALUE"""),318.45)</f>
        <v>318.45</v>
      </c>
      <c r="AA88" s="11">
        <f>IFERROR(__xludf.DUMMYFUNCTION("""COMPUTED_VALUE"""),43175.66666666667)</f>
        <v>43175.66667</v>
      </c>
      <c r="AB88" s="9">
        <f>IFERROR(__xludf.DUMMYFUNCTION("""COMPUTED_VALUE"""),1583.45)</f>
        <v>1583.45</v>
      </c>
      <c r="AC88" s="11">
        <f>IFERROR(__xludf.DUMMYFUNCTION("""COMPUTED_VALUE"""),43175.66666666667)</f>
        <v>43175.66667</v>
      </c>
      <c r="AD88" s="9">
        <f>IFERROR(__xludf.DUMMYFUNCTION("""COMPUTED_VALUE"""),1571.68)</f>
        <v>1571.68</v>
      </c>
    </row>
    <row r="89">
      <c r="B89" s="11">
        <f>IFERROR(__xludf.DUMMYFUNCTION("""COMPUTED_VALUE"""),43178.66666666667)</f>
        <v>43178.66667</v>
      </c>
      <c r="C89" s="9">
        <f>IFERROR(__xludf.DUMMYFUNCTION("""COMPUTED_VALUE"""),63.3)</f>
        <v>63.3</v>
      </c>
      <c r="D89" s="11">
        <f>IFERROR(__xludf.DUMMYFUNCTION("""COMPUTED_VALUE"""),43178.66666666667)</f>
        <v>43178.66667</v>
      </c>
      <c r="E89" s="9">
        <f>IFERROR(__xludf.DUMMYFUNCTION("""COMPUTED_VALUE"""),62.71)</f>
        <v>62.71</v>
      </c>
      <c r="G89" s="11">
        <f>IFERROR(__xludf.DUMMYFUNCTION("""COMPUTED_VALUE"""),43178.66666666667)</f>
        <v>43178.66667</v>
      </c>
      <c r="H89" s="9">
        <f>IFERROR(__xludf.DUMMYFUNCTION("""COMPUTED_VALUE"""),1120.01)</f>
        <v>1120.01</v>
      </c>
      <c r="I89" s="11">
        <f>IFERROR(__xludf.DUMMYFUNCTION("""COMPUTED_VALUE"""),43178.66666666667)</f>
        <v>43178.66667</v>
      </c>
      <c r="J89" s="9">
        <f>IFERROR(__xludf.DUMMYFUNCTION("""COMPUTED_VALUE"""),1099.82)</f>
        <v>1099.82</v>
      </c>
      <c r="L89" s="11">
        <f>IFERROR(__xludf.DUMMYFUNCTION("""COMPUTED_VALUE"""),43178.66666666667)</f>
        <v>43178.66667</v>
      </c>
      <c r="M89" s="9">
        <f>IFERROR(__xludf.DUMMYFUNCTION("""COMPUTED_VALUE"""),44.33)</f>
        <v>44.33</v>
      </c>
      <c r="N89" s="11">
        <f>IFERROR(__xludf.DUMMYFUNCTION("""COMPUTED_VALUE"""),43178.66666666667)</f>
        <v>43178.66667</v>
      </c>
      <c r="O89" s="9">
        <f>IFERROR(__xludf.DUMMYFUNCTION("""COMPUTED_VALUE"""),43.83)</f>
        <v>43.83</v>
      </c>
      <c r="Q89" s="11">
        <f>IFERROR(__xludf.DUMMYFUNCTION("""COMPUTED_VALUE"""),43178.66666666667)</f>
        <v>43178.66667</v>
      </c>
      <c r="R89" s="9">
        <f>IFERROR(__xludf.DUMMYFUNCTION("""COMPUTED_VALUE"""),177.01)</f>
        <v>177.01</v>
      </c>
      <c r="S89" s="11">
        <f>IFERROR(__xludf.DUMMYFUNCTION("""COMPUTED_VALUE"""),43178.66666666667)</f>
        <v>43178.66667</v>
      </c>
      <c r="T89" s="9">
        <f>IFERROR(__xludf.DUMMYFUNCTION("""COMPUTED_VALUE"""),172.56)</f>
        <v>172.56</v>
      </c>
      <c r="V89" s="11">
        <f>IFERROR(__xludf.DUMMYFUNCTION("""COMPUTED_VALUE"""),43178.66666666667)</f>
        <v>43178.66667</v>
      </c>
      <c r="W89" s="9">
        <f>IFERROR(__xludf.DUMMYFUNCTION("""COMPUTED_VALUE"""),315.8)</f>
        <v>315.8</v>
      </c>
      <c r="X89" s="11">
        <f>IFERROR(__xludf.DUMMYFUNCTION("""COMPUTED_VALUE"""),43178.66666666667)</f>
        <v>43178.66667</v>
      </c>
      <c r="Y89" s="9">
        <f>IFERROR(__xludf.DUMMYFUNCTION("""COMPUTED_VALUE"""),313.48)</f>
        <v>313.48</v>
      </c>
      <c r="AA89" s="11">
        <f>IFERROR(__xludf.DUMMYFUNCTION("""COMPUTED_VALUE"""),43178.66666666667)</f>
        <v>43178.66667</v>
      </c>
      <c r="AB89" s="9">
        <f>IFERROR(__xludf.DUMMYFUNCTION("""COMPUTED_VALUE"""),1554.53)</f>
        <v>1554.53</v>
      </c>
      <c r="AC89" s="11">
        <f>IFERROR(__xludf.DUMMYFUNCTION("""COMPUTED_VALUE"""),43178.66666666667)</f>
        <v>43178.66667</v>
      </c>
      <c r="AD89" s="9">
        <f>IFERROR(__xludf.DUMMYFUNCTION("""COMPUTED_VALUE"""),1544.93)</f>
        <v>1544.93</v>
      </c>
    </row>
    <row r="90">
      <c r="B90" s="11">
        <f>IFERROR(__xludf.DUMMYFUNCTION("""COMPUTED_VALUE"""),43179.66666666667)</f>
        <v>43179.66667</v>
      </c>
      <c r="C90" s="9">
        <f>IFERROR(__xludf.DUMMYFUNCTION("""COMPUTED_VALUE"""),62.97)</f>
        <v>62.97</v>
      </c>
      <c r="D90" s="11">
        <f>IFERROR(__xludf.DUMMYFUNCTION("""COMPUTED_VALUE"""),43179.66666666667)</f>
        <v>43179.66667</v>
      </c>
      <c r="E90" s="9">
        <f>IFERROR(__xludf.DUMMYFUNCTION("""COMPUTED_VALUE"""),62.11)</f>
        <v>62.11</v>
      </c>
      <c r="G90" s="11">
        <f>IFERROR(__xludf.DUMMYFUNCTION("""COMPUTED_VALUE"""),43179.66666666667)</f>
        <v>43179.66667</v>
      </c>
      <c r="H90" s="9">
        <f>IFERROR(__xludf.DUMMYFUNCTION("""COMPUTED_VALUE"""),1099.0)</f>
        <v>1099</v>
      </c>
      <c r="I90" s="11">
        <f>IFERROR(__xludf.DUMMYFUNCTION("""COMPUTED_VALUE"""),43179.66666666667)</f>
        <v>43179.66667</v>
      </c>
      <c r="J90" s="9">
        <f>IFERROR(__xludf.DUMMYFUNCTION("""COMPUTED_VALUE"""),1097.71)</f>
        <v>1097.71</v>
      </c>
      <c r="L90" s="11">
        <f>IFERROR(__xludf.DUMMYFUNCTION("""COMPUTED_VALUE"""),43179.66666666667)</f>
        <v>43179.66667</v>
      </c>
      <c r="M90" s="9">
        <f>IFERROR(__xludf.DUMMYFUNCTION("""COMPUTED_VALUE"""),43.81)</f>
        <v>43.81</v>
      </c>
      <c r="N90" s="11">
        <f>IFERROR(__xludf.DUMMYFUNCTION("""COMPUTED_VALUE"""),43179.66666666667)</f>
        <v>43179.66667</v>
      </c>
      <c r="O90" s="9">
        <f>IFERROR(__xludf.DUMMYFUNCTION("""COMPUTED_VALUE"""),43.81)</f>
        <v>43.81</v>
      </c>
      <c r="Q90" s="11">
        <f>IFERROR(__xludf.DUMMYFUNCTION("""COMPUTED_VALUE"""),43179.66666666667)</f>
        <v>43179.66667</v>
      </c>
      <c r="R90" s="9">
        <f>IFERROR(__xludf.DUMMYFUNCTION("""COMPUTED_VALUE"""),167.47)</f>
        <v>167.47</v>
      </c>
      <c r="S90" s="11">
        <f>IFERROR(__xludf.DUMMYFUNCTION("""COMPUTED_VALUE"""),43179.66666666667)</f>
        <v>43179.66667</v>
      </c>
      <c r="T90" s="9">
        <f>IFERROR(__xludf.DUMMYFUNCTION("""COMPUTED_VALUE"""),168.15)</f>
        <v>168.15</v>
      </c>
      <c r="V90" s="11">
        <f>IFERROR(__xludf.DUMMYFUNCTION("""COMPUTED_VALUE"""),43179.66666666667)</f>
        <v>43179.66667</v>
      </c>
      <c r="W90" s="9">
        <f>IFERROR(__xludf.DUMMYFUNCTION("""COMPUTED_VALUE"""),313.26)</f>
        <v>313.26</v>
      </c>
      <c r="X90" s="11">
        <f>IFERROR(__xludf.DUMMYFUNCTION("""COMPUTED_VALUE"""),43179.66666666667)</f>
        <v>43179.66667</v>
      </c>
      <c r="Y90" s="9">
        <f>IFERROR(__xludf.DUMMYFUNCTION("""COMPUTED_VALUE"""),317.5)</f>
        <v>317.5</v>
      </c>
      <c r="AA90" s="11">
        <f>IFERROR(__xludf.DUMMYFUNCTION("""COMPUTED_VALUE"""),43179.66666666667)</f>
        <v>43179.66667</v>
      </c>
      <c r="AB90" s="9">
        <f>IFERROR(__xludf.DUMMYFUNCTION("""COMPUTED_VALUE"""),1550.34)</f>
        <v>1550.34</v>
      </c>
      <c r="AC90" s="11">
        <f>IFERROR(__xludf.DUMMYFUNCTION("""COMPUTED_VALUE"""),43179.66666666667)</f>
        <v>43179.66667</v>
      </c>
      <c r="AD90" s="9">
        <f>IFERROR(__xludf.DUMMYFUNCTION("""COMPUTED_VALUE"""),1586.51)</f>
        <v>1586.51</v>
      </c>
    </row>
    <row r="91">
      <c r="B91" s="11">
        <f>IFERROR(__xludf.DUMMYFUNCTION("""COMPUTED_VALUE"""),43180.66666666667)</f>
        <v>43180.66667</v>
      </c>
      <c r="C91" s="9">
        <f>IFERROR(__xludf.DUMMYFUNCTION("""COMPUTED_VALUE"""),62.05)</f>
        <v>62.05</v>
      </c>
      <c r="D91" s="11">
        <f>IFERROR(__xludf.DUMMYFUNCTION("""COMPUTED_VALUE"""),43180.66666666667)</f>
        <v>43180.66667</v>
      </c>
      <c r="E91" s="9">
        <f>IFERROR(__xludf.DUMMYFUNCTION("""COMPUTED_VALUE"""),63.31)</f>
        <v>63.31</v>
      </c>
      <c r="G91" s="11">
        <f>IFERROR(__xludf.DUMMYFUNCTION("""COMPUTED_VALUE"""),43180.66666666667)</f>
        <v>43180.66667</v>
      </c>
      <c r="H91" s="9">
        <f>IFERROR(__xludf.DUMMYFUNCTION("""COMPUTED_VALUE"""),1092.74)</f>
        <v>1092.74</v>
      </c>
      <c r="I91" s="11">
        <f>IFERROR(__xludf.DUMMYFUNCTION("""COMPUTED_VALUE"""),43180.66666666667)</f>
        <v>43180.66667</v>
      </c>
      <c r="J91" s="9">
        <f>IFERROR(__xludf.DUMMYFUNCTION("""COMPUTED_VALUE"""),1090.88)</f>
        <v>1090.88</v>
      </c>
      <c r="L91" s="11">
        <f>IFERROR(__xludf.DUMMYFUNCTION("""COMPUTED_VALUE"""),43180.66666666667)</f>
        <v>43180.66667</v>
      </c>
      <c r="M91" s="9">
        <f>IFERROR(__xludf.DUMMYFUNCTION("""COMPUTED_VALUE"""),43.76)</f>
        <v>43.76</v>
      </c>
      <c r="N91" s="11">
        <f>IFERROR(__xludf.DUMMYFUNCTION("""COMPUTED_VALUE"""),43180.66666666667)</f>
        <v>43180.66667</v>
      </c>
      <c r="O91" s="9">
        <f>IFERROR(__xludf.DUMMYFUNCTION("""COMPUTED_VALUE"""),42.82)</f>
        <v>42.82</v>
      </c>
      <c r="Q91" s="11">
        <f>IFERROR(__xludf.DUMMYFUNCTION("""COMPUTED_VALUE"""),43180.66666666667)</f>
        <v>43180.66667</v>
      </c>
      <c r="R91" s="9">
        <f>IFERROR(__xludf.DUMMYFUNCTION("""COMPUTED_VALUE"""),164.8)</f>
        <v>164.8</v>
      </c>
      <c r="S91" s="11">
        <f>IFERROR(__xludf.DUMMYFUNCTION("""COMPUTED_VALUE"""),43180.66666666667)</f>
        <v>43180.66667</v>
      </c>
      <c r="T91" s="9">
        <f>IFERROR(__xludf.DUMMYFUNCTION("""COMPUTED_VALUE"""),169.39)</f>
        <v>169.39</v>
      </c>
      <c r="V91" s="11">
        <f>IFERROR(__xludf.DUMMYFUNCTION("""COMPUTED_VALUE"""),43180.66666666667)</f>
        <v>43180.66667</v>
      </c>
      <c r="W91" s="9">
        <f>IFERROR(__xludf.DUMMYFUNCTION("""COMPUTED_VALUE"""),316.35)</f>
        <v>316.35</v>
      </c>
      <c r="X91" s="11">
        <f>IFERROR(__xludf.DUMMYFUNCTION("""COMPUTED_VALUE"""),43180.66666666667)</f>
        <v>43180.66667</v>
      </c>
      <c r="Y91" s="9">
        <f>IFERROR(__xludf.DUMMYFUNCTION("""COMPUTED_VALUE"""),316.48)</f>
        <v>316.48</v>
      </c>
      <c r="AA91" s="11">
        <f>IFERROR(__xludf.DUMMYFUNCTION("""COMPUTED_VALUE"""),43180.66666666667)</f>
        <v>43180.66667</v>
      </c>
      <c r="AB91" s="9">
        <f>IFERROR(__xludf.DUMMYFUNCTION("""COMPUTED_VALUE"""),1586.45)</f>
        <v>1586.45</v>
      </c>
      <c r="AC91" s="11">
        <f>IFERROR(__xludf.DUMMYFUNCTION("""COMPUTED_VALUE"""),43180.66666666667)</f>
        <v>43180.66667</v>
      </c>
      <c r="AD91" s="9">
        <f>IFERROR(__xludf.DUMMYFUNCTION("""COMPUTED_VALUE"""),1581.86)</f>
        <v>1581.86</v>
      </c>
    </row>
    <row r="92">
      <c r="B92" s="11">
        <f>IFERROR(__xludf.DUMMYFUNCTION("""COMPUTED_VALUE"""),43181.66666666667)</f>
        <v>43181.66667</v>
      </c>
      <c r="C92" s="9">
        <f>IFERROR(__xludf.DUMMYFUNCTION("""COMPUTED_VALUE"""),62.78)</f>
        <v>62.78</v>
      </c>
      <c r="D92" s="11">
        <f>IFERROR(__xludf.DUMMYFUNCTION("""COMPUTED_VALUE"""),43181.66666666667)</f>
        <v>43181.66667</v>
      </c>
      <c r="E92" s="9">
        <f>IFERROR(__xludf.DUMMYFUNCTION("""COMPUTED_VALUE"""),61.82)</f>
        <v>61.82</v>
      </c>
      <c r="G92" s="11">
        <f>IFERROR(__xludf.DUMMYFUNCTION("""COMPUTED_VALUE"""),43181.66666666667)</f>
        <v>43181.66667</v>
      </c>
      <c r="H92" s="9">
        <f>IFERROR(__xludf.DUMMYFUNCTION("""COMPUTED_VALUE"""),1081.88)</f>
        <v>1081.88</v>
      </c>
      <c r="I92" s="11">
        <f>IFERROR(__xludf.DUMMYFUNCTION("""COMPUTED_VALUE"""),43181.66666666667)</f>
        <v>43181.66667</v>
      </c>
      <c r="J92" s="9">
        <f>IFERROR(__xludf.DUMMYFUNCTION("""COMPUTED_VALUE"""),1049.08)</f>
        <v>1049.08</v>
      </c>
      <c r="L92" s="11">
        <f>IFERROR(__xludf.DUMMYFUNCTION("""COMPUTED_VALUE"""),43181.66666666667)</f>
        <v>43181.66667</v>
      </c>
      <c r="M92" s="9">
        <f>IFERROR(__xludf.DUMMYFUNCTION("""COMPUTED_VALUE"""),42.5)</f>
        <v>42.5</v>
      </c>
      <c r="N92" s="11">
        <f>IFERROR(__xludf.DUMMYFUNCTION("""COMPUTED_VALUE"""),43181.66666666667)</f>
        <v>43181.66667</v>
      </c>
      <c r="O92" s="9">
        <f>IFERROR(__xludf.DUMMYFUNCTION("""COMPUTED_VALUE"""),42.21)</f>
        <v>42.21</v>
      </c>
      <c r="Q92" s="11">
        <f>IFERROR(__xludf.DUMMYFUNCTION("""COMPUTED_VALUE"""),43181.66666666667)</f>
        <v>43181.66667</v>
      </c>
      <c r="R92" s="9">
        <f>IFERROR(__xludf.DUMMYFUNCTION("""COMPUTED_VALUE"""),166.13)</f>
        <v>166.13</v>
      </c>
      <c r="S92" s="11">
        <f>IFERROR(__xludf.DUMMYFUNCTION("""COMPUTED_VALUE"""),43181.66666666667)</f>
        <v>43181.66667</v>
      </c>
      <c r="T92" s="9">
        <f>IFERROR(__xludf.DUMMYFUNCTION("""COMPUTED_VALUE"""),164.89)</f>
        <v>164.89</v>
      </c>
      <c r="V92" s="11">
        <f>IFERROR(__xludf.DUMMYFUNCTION("""COMPUTED_VALUE"""),43181.66666666667)</f>
        <v>43181.66667</v>
      </c>
      <c r="W92" s="9">
        <f>IFERROR(__xludf.DUMMYFUNCTION("""COMPUTED_VALUE"""),313.07)</f>
        <v>313.07</v>
      </c>
      <c r="X92" s="11">
        <f>IFERROR(__xludf.DUMMYFUNCTION("""COMPUTED_VALUE"""),43181.66666666667)</f>
        <v>43181.66667</v>
      </c>
      <c r="Y92" s="9">
        <f>IFERROR(__xludf.DUMMYFUNCTION("""COMPUTED_VALUE"""),306.7)</f>
        <v>306.7</v>
      </c>
      <c r="AA92" s="11">
        <f>IFERROR(__xludf.DUMMYFUNCTION("""COMPUTED_VALUE"""),43181.66666666667)</f>
        <v>43181.66667</v>
      </c>
      <c r="AB92" s="9">
        <f>IFERROR(__xludf.DUMMYFUNCTION("""COMPUTED_VALUE"""),1565.47)</f>
        <v>1565.47</v>
      </c>
      <c r="AC92" s="11">
        <f>IFERROR(__xludf.DUMMYFUNCTION("""COMPUTED_VALUE"""),43181.66666666667)</f>
        <v>43181.66667</v>
      </c>
      <c r="AD92" s="9">
        <f>IFERROR(__xludf.DUMMYFUNCTION("""COMPUTED_VALUE"""),1544.92)</f>
        <v>1544.92</v>
      </c>
    </row>
    <row r="93">
      <c r="B93" s="11">
        <f>IFERROR(__xludf.DUMMYFUNCTION("""COMPUTED_VALUE"""),43182.66666666667)</f>
        <v>43182.66667</v>
      </c>
      <c r="C93" s="9">
        <f>IFERROR(__xludf.DUMMYFUNCTION("""COMPUTED_VALUE"""),62.25)</f>
        <v>62.25</v>
      </c>
      <c r="D93" s="11">
        <f>IFERROR(__xludf.DUMMYFUNCTION("""COMPUTED_VALUE"""),43182.66666666667)</f>
        <v>43182.66667</v>
      </c>
      <c r="E93" s="9">
        <f>IFERROR(__xludf.DUMMYFUNCTION("""COMPUTED_VALUE"""),60.31)</f>
        <v>60.31</v>
      </c>
      <c r="G93" s="11">
        <f>IFERROR(__xludf.DUMMYFUNCTION("""COMPUTED_VALUE"""),43182.66666666667)</f>
        <v>43182.66667</v>
      </c>
      <c r="H93" s="9">
        <f>IFERROR(__xludf.DUMMYFUNCTION("""COMPUTED_VALUE"""),1047.03)</f>
        <v>1047.03</v>
      </c>
      <c r="I93" s="11">
        <f>IFERROR(__xludf.DUMMYFUNCTION("""COMPUTED_VALUE"""),43182.66666666667)</f>
        <v>43182.66667</v>
      </c>
      <c r="J93" s="9">
        <f>IFERROR(__xludf.DUMMYFUNCTION("""COMPUTED_VALUE"""),1021.57)</f>
        <v>1021.57</v>
      </c>
      <c r="L93" s="11">
        <f>IFERROR(__xludf.DUMMYFUNCTION("""COMPUTED_VALUE"""),43182.66666666667)</f>
        <v>43182.66667</v>
      </c>
      <c r="M93" s="9">
        <f>IFERROR(__xludf.DUMMYFUNCTION("""COMPUTED_VALUE"""),42.1)</f>
        <v>42.1</v>
      </c>
      <c r="N93" s="11">
        <f>IFERROR(__xludf.DUMMYFUNCTION("""COMPUTED_VALUE"""),43182.66666666667)</f>
        <v>43182.66667</v>
      </c>
      <c r="O93" s="9">
        <f>IFERROR(__xludf.DUMMYFUNCTION("""COMPUTED_VALUE"""),41.24)</f>
        <v>41.24</v>
      </c>
      <c r="Q93" s="11">
        <f>IFERROR(__xludf.DUMMYFUNCTION("""COMPUTED_VALUE"""),43182.66666666667)</f>
        <v>43182.66667</v>
      </c>
      <c r="R93" s="9">
        <f>IFERROR(__xludf.DUMMYFUNCTION("""COMPUTED_VALUE"""),165.44)</f>
        <v>165.44</v>
      </c>
      <c r="S93" s="11">
        <f>IFERROR(__xludf.DUMMYFUNCTION("""COMPUTED_VALUE"""),43182.66666666667)</f>
        <v>43182.66667</v>
      </c>
      <c r="T93" s="9">
        <f>IFERROR(__xludf.DUMMYFUNCTION("""COMPUTED_VALUE"""),159.39)</f>
        <v>159.39</v>
      </c>
      <c r="V93" s="11">
        <f>IFERROR(__xludf.DUMMYFUNCTION("""COMPUTED_VALUE"""),43182.66666666667)</f>
        <v>43182.66667</v>
      </c>
      <c r="W93" s="9">
        <f>IFERROR(__xludf.DUMMYFUNCTION("""COMPUTED_VALUE"""),307.41)</f>
        <v>307.41</v>
      </c>
      <c r="X93" s="11">
        <f>IFERROR(__xludf.DUMMYFUNCTION("""COMPUTED_VALUE"""),43182.66666666667)</f>
        <v>43182.66667</v>
      </c>
      <c r="Y93" s="9">
        <f>IFERROR(__xludf.DUMMYFUNCTION("""COMPUTED_VALUE"""),300.94)</f>
        <v>300.94</v>
      </c>
      <c r="AA93" s="11">
        <f>IFERROR(__xludf.DUMMYFUNCTION("""COMPUTED_VALUE"""),43182.66666666667)</f>
        <v>43182.66667</v>
      </c>
      <c r="AB93" s="9">
        <f>IFERROR(__xludf.DUMMYFUNCTION("""COMPUTED_VALUE"""),1539.01)</f>
        <v>1539.01</v>
      </c>
      <c r="AC93" s="11">
        <f>IFERROR(__xludf.DUMMYFUNCTION("""COMPUTED_VALUE"""),43182.66666666667)</f>
        <v>43182.66667</v>
      </c>
      <c r="AD93" s="9">
        <f>IFERROR(__xludf.DUMMYFUNCTION("""COMPUTED_VALUE"""),1495.56)</f>
        <v>1495.56</v>
      </c>
    </row>
    <row r="94">
      <c r="B94" s="11">
        <f>IFERROR(__xludf.DUMMYFUNCTION("""COMPUTED_VALUE"""),43185.66666666667)</f>
        <v>43185.66667</v>
      </c>
      <c r="C94" s="9">
        <f>IFERROR(__xludf.DUMMYFUNCTION("""COMPUTED_VALUE"""),61.47)</f>
        <v>61.47</v>
      </c>
      <c r="D94" s="11">
        <f>IFERROR(__xludf.DUMMYFUNCTION("""COMPUTED_VALUE"""),43185.66666666667)</f>
        <v>43185.66667</v>
      </c>
      <c r="E94" s="9">
        <f>IFERROR(__xludf.DUMMYFUNCTION("""COMPUTED_VALUE"""),60.84)</f>
        <v>60.84</v>
      </c>
      <c r="G94" s="11">
        <f>IFERROR(__xludf.DUMMYFUNCTION("""COMPUTED_VALUE"""),43185.66666666667)</f>
        <v>43185.66667</v>
      </c>
      <c r="H94" s="9">
        <f>IFERROR(__xludf.DUMMYFUNCTION("""COMPUTED_VALUE"""),1046.0)</f>
        <v>1046</v>
      </c>
      <c r="I94" s="11">
        <f>IFERROR(__xludf.DUMMYFUNCTION("""COMPUTED_VALUE"""),43185.66666666667)</f>
        <v>43185.66667</v>
      </c>
      <c r="J94" s="9">
        <f>IFERROR(__xludf.DUMMYFUNCTION("""COMPUTED_VALUE"""),1053.21)</f>
        <v>1053.21</v>
      </c>
      <c r="L94" s="11">
        <f>IFERROR(__xludf.DUMMYFUNCTION("""COMPUTED_VALUE"""),43185.66666666667)</f>
        <v>43185.66667</v>
      </c>
      <c r="M94" s="9">
        <f>IFERROR(__xludf.DUMMYFUNCTION("""COMPUTED_VALUE"""),42.02)</f>
        <v>42.02</v>
      </c>
      <c r="N94" s="11">
        <f>IFERROR(__xludf.DUMMYFUNCTION("""COMPUTED_VALUE"""),43185.66666666667)</f>
        <v>43185.66667</v>
      </c>
      <c r="O94" s="9">
        <f>IFERROR(__xludf.DUMMYFUNCTION("""COMPUTED_VALUE"""),43.19)</f>
        <v>43.19</v>
      </c>
      <c r="Q94" s="11">
        <f>IFERROR(__xludf.DUMMYFUNCTION("""COMPUTED_VALUE"""),43185.66666666667)</f>
        <v>43185.66667</v>
      </c>
      <c r="R94" s="9">
        <f>IFERROR(__xludf.DUMMYFUNCTION("""COMPUTED_VALUE"""),160.82)</f>
        <v>160.82</v>
      </c>
      <c r="S94" s="11">
        <f>IFERROR(__xludf.DUMMYFUNCTION("""COMPUTED_VALUE"""),43185.66666666667)</f>
        <v>43185.66667</v>
      </c>
      <c r="T94" s="9">
        <f>IFERROR(__xludf.DUMMYFUNCTION("""COMPUTED_VALUE"""),160.06)</f>
        <v>160.06</v>
      </c>
      <c r="V94" s="11">
        <f>IFERROR(__xludf.DUMMYFUNCTION("""COMPUTED_VALUE"""),43185.66666666667)</f>
        <v>43185.66667</v>
      </c>
      <c r="W94" s="9">
        <f>IFERROR(__xludf.DUMMYFUNCTION("""COMPUTED_VALUE"""),309.36)</f>
        <v>309.36</v>
      </c>
      <c r="X94" s="11">
        <f>IFERROR(__xludf.DUMMYFUNCTION("""COMPUTED_VALUE"""),43185.66666666667)</f>
        <v>43185.66667</v>
      </c>
      <c r="Y94" s="9">
        <f>IFERROR(__xludf.DUMMYFUNCTION("""COMPUTED_VALUE"""),320.35)</f>
        <v>320.35</v>
      </c>
      <c r="AA94" s="11">
        <f>IFERROR(__xludf.DUMMYFUNCTION("""COMPUTED_VALUE"""),43185.66666666667)</f>
        <v>43185.66667</v>
      </c>
      <c r="AB94" s="9">
        <f>IFERROR(__xludf.DUMMYFUNCTION("""COMPUTED_VALUE"""),1530.0)</f>
        <v>1530</v>
      </c>
      <c r="AC94" s="11">
        <f>IFERROR(__xludf.DUMMYFUNCTION("""COMPUTED_VALUE"""),43185.66666666667)</f>
        <v>43185.66667</v>
      </c>
      <c r="AD94" s="9">
        <f>IFERROR(__xludf.DUMMYFUNCTION("""COMPUTED_VALUE"""),1555.86)</f>
        <v>1555.86</v>
      </c>
    </row>
    <row r="95">
      <c r="B95" s="11">
        <f>IFERROR(__xludf.DUMMYFUNCTION("""COMPUTED_VALUE"""),43186.66666666667)</f>
        <v>43186.66667</v>
      </c>
      <c r="C95" s="9">
        <f>IFERROR(__xludf.DUMMYFUNCTION("""COMPUTED_VALUE"""),60.8)</f>
        <v>60.8</v>
      </c>
      <c r="D95" s="11">
        <f>IFERROR(__xludf.DUMMYFUNCTION("""COMPUTED_VALUE"""),43186.66666666667)</f>
        <v>43186.66667</v>
      </c>
      <c r="E95" s="9">
        <f>IFERROR(__xludf.DUMMYFUNCTION("""COMPUTED_VALUE"""),55.84)</f>
        <v>55.84</v>
      </c>
      <c r="G95" s="11">
        <f>IFERROR(__xludf.DUMMYFUNCTION("""COMPUTED_VALUE"""),43186.66666666667)</f>
        <v>43186.66667</v>
      </c>
      <c r="H95" s="9">
        <f>IFERROR(__xludf.DUMMYFUNCTION("""COMPUTED_VALUE"""),1063.0)</f>
        <v>1063</v>
      </c>
      <c r="I95" s="11">
        <f>IFERROR(__xludf.DUMMYFUNCTION("""COMPUTED_VALUE"""),43186.66666666667)</f>
        <v>43186.66667</v>
      </c>
      <c r="J95" s="9">
        <f>IFERROR(__xludf.DUMMYFUNCTION("""COMPUTED_VALUE"""),1005.1)</f>
        <v>1005.1</v>
      </c>
      <c r="L95" s="11">
        <f>IFERROR(__xludf.DUMMYFUNCTION("""COMPUTED_VALUE"""),43186.66666666667)</f>
        <v>43186.66667</v>
      </c>
      <c r="M95" s="9">
        <f>IFERROR(__xludf.DUMMYFUNCTION("""COMPUTED_VALUE"""),43.42)</f>
        <v>43.42</v>
      </c>
      <c r="N95" s="11">
        <f>IFERROR(__xludf.DUMMYFUNCTION("""COMPUTED_VALUE"""),43186.66666666667)</f>
        <v>43186.66667</v>
      </c>
      <c r="O95" s="9">
        <f>IFERROR(__xludf.DUMMYFUNCTION("""COMPUTED_VALUE"""),42.09)</f>
        <v>42.09</v>
      </c>
      <c r="Q95" s="11">
        <f>IFERROR(__xludf.DUMMYFUNCTION("""COMPUTED_VALUE"""),43186.66666666667)</f>
        <v>43186.66667</v>
      </c>
      <c r="R95" s="9">
        <f>IFERROR(__xludf.DUMMYFUNCTION("""COMPUTED_VALUE"""),156.31)</f>
        <v>156.31</v>
      </c>
      <c r="S95" s="11">
        <f>IFERROR(__xludf.DUMMYFUNCTION("""COMPUTED_VALUE"""),43186.66666666667)</f>
        <v>43186.66667</v>
      </c>
      <c r="T95" s="9">
        <f>IFERROR(__xludf.DUMMYFUNCTION("""COMPUTED_VALUE"""),152.22)</f>
        <v>152.22</v>
      </c>
      <c r="V95" s="11">
        <f>IFERROR(__xludf.DUMMYFUNCTION("""COMPUTED_VALUE"""),43186.66666666667)</f>
        <v>43186.66667</v>
      </c>
      <c r="W95" s="9">
        <f>IFERROR(__xludf.DUMMYFUNCTION("""COMPUTED_VALUE"""),322.49)</f>
        <v>322.49</v>
      </c>
      <c r="X95" s="11">
        <f>IFERROR(__xludf.DUMMYFUNCTION("""COMPUTED_VALUE"""),43186.66666666667)</f>
        <v>43186.66667</v>
      </c>
      <c r="Y95" s="9">
        <f>IFERROR(__xludf.DUMMYFUNCTION("""COMPUTED_VALUE"""),300.69)</f>
        <v>300.69</v>
      </c>
      <c r="AA95" s="11">
        <f>IFERROR(__xludf.DUMMYFUNCTION("""COMPUTED_VALUE"""),43186.66666666667)</f>
        <v>43186.66667</v>
      </c>
      <c r="AB95" s="9">
        <f>IFERROR(__xludf.DUMMYFUNCTION("""COMPUTED_VALUE"""),1572.4)</f>
        <v>1572.4</v>
      </c>
      <c r="AC95" s="11">
        <f>IFERROR(__xludf.DUMMYFUNCTION("""COMPUTED_VALUE"""),43186.66666666667)</f>
        <v>43186.66667</v>
      </c>
      <c r="AD95" s="9">
        <f>IFERROR(__xludf.DUMMYFUNCTION("""COMPUTED_VALUE"""),1497.05)</f>
        <v>1497.05</v>
      </c>
    </row>
    <row r="96">
      <c r="B96" s="11">
        <f>IFERROR(__xludf.DUMMYFUNCTION("""COMPUTED_VALUE"""),43187.66666666667)</f>
        <v>43187.66667</v>
      </c>
      <c r="C96" s="9">
        <f>IFERROR(__xludf.DUMMYFUNCTION("""COMPUTED_VALUE"""),52.92)</f>
        <v>52.92</v>
      </c>
      <c r="D96" s="11">
        <f>IFERROR(__xludf.DUMMYFUNCTION("""COMPUTED_VALUE"""),43187.66666666667)</f>
        <v>43187.66667</v>
      </c>
      <c r="E96" s="9">
        <f>IFERROR(__xludf.DUMMYFUNCTION("""COMPUTED_VALUE"""),51.56)</f>
        <v>51.56</v>
      </c>
      <c r="G96" s="11">
        <f>IFERROR(__xludf.DUMMYFUNCTION("""COMPUTED_VALUE"""),43187.66666666667)</f>
        <v>43187.66667</v>
      </c>
      <c r="H96" s="9">
        <f>IFERROR(__xludf.DUMMYFUNCTION("""COMPUTED_VALUE"""),998.0)</f>
        <v>998</v>
      </c>
      <c r="I96" s="11">
        <f>IFERROR(__xludf.DUMMYFUNCTION("""COMPUTED_VALUE"""),43187.66666666667)</f>
        <v>43187.66667</v>
      </c>
      <c r="J96" s="9">
        <f>IFERROR(__xludf.DUMMYFUNCTION("""COMPUTED_VALUE"""),1004.56)</f>
        <v>1004.56</v>
      </c>
      <c r="L96" s="11">
        <f>IFERROR(__xludf.DUMMYFUNCTION("""COMPUTED_VALUE"""),43187.66666666667)</f>
        <v>43187.66667</v>
      </c>
      <c r="M96" s="9">
        <f>IFERROR(__xludf.DUMMYFUNCTION("""COMPUTED_VALUE"""),41.81)</f>
        <v>41.81</v>
      </c>
      <c r="N96" s="11">
        <f>IFERROR(__xludf.DUMMYFUNCTION("""COMPUTED_VALUE"""),43187.66666666667)</f>
        <v>43187.66667</v>
      </c>
      <c r="O96" s="9">
        <f>IFERROR(__xludf.DUMMYFUNCTION("""COMPUTED_VALUE"""),41.62)</f>
        <v>41.62</v>
      </c>
      <c r="Q96" s="11">
        <f>IFERROR(__xludf.DUMMYFUNCTION("""COMPUTED_VALUE"""),43187.66666666667)</f>
        <v>43187.66667</v>
      </c>
      <c r="R96" s="9">
        <f>IFERROR(__xludf.DUMMYFUNCTION("""COMPUTED_VALUE"""),151.65)</f>
        <v>151.65</v>
      </c>
      <c r="S96" s="11">
        <f>IFERROR(__xludf.DUMMYFUNCTION("""COMPUTED_VALUE"""),43187.66666666667)</f>
        <v>43187.66667</v>
      </c>
      <c r="T96" s="9">
        <f>IFERROR(__xludf.DUMMYFUNCTION("""COMPUTED_VALUE"""),153.03)</f>
        <v>153.03</v>
      </c>
      <c r="V96" s="11">
        <f>IFERROR(__xludf.DUMMYFUNCTION("""COMPUTED_VALUE"""),43187.66666666667)</f>
        <v>43187.66667</v>
      </c>
      <c r="W96" s="9">
        <f>IFERROR(__xludf.DUMMYFUNCTION("""COMPUTED_VALUE"""),298.39)</f>
        <v>298.39</v>
      </c>
      <c r="X96" s="11">
        <f>IFERROR(__xludf.DUMMYFUNCTION("""COMPUTED_VALUE"""),43187.66666666667)</f>
        <v>43187.66667</v>
      </c>
      <c r="Y96" s="9">
        <f>IFERROR(__xludf.DUMMYFUNCTION("""COMPUTED_VALUE"""),285.77)</f>
        <v>285.77</v>
      </c>
      <c r="AA96" s="11">
        <f>IFERROR(__xludf.DUMMYFUNCTION("""COMPUTED_VALUE"""),43187.66666666667)</f>
        <v>43187.66667</v>
      </c>
      <c r="AB96" s="9">
        <f>IFERROR(__xludf.DUMMYFUNCTION("""COMPUTED_VALUE"""),1447.0)</f>
        <v>1447</v>
      </c>
      <c r="AC96" s="11">
        <f>IFERROR(__xludf.DUMMYFUNCTION("""COMPUTED_VALUE"""),43187.66666666667)</f>
        <v>43187.66667</v>
      </c>
      <c r="AD96" s="9">
        <f>IFERROR(__xludf.DUMMYFUNCTION("""COMPUTED_VALUE"""),1431.42)</f>
        <v>1431.42</v>
      </c>
    </row>
    <row r="97">
      <c r="B97" s="11">
        <f>IFERROR(__xludf.DUMMYFUNCTION("""COMPUTED_VALUE"""),43188.66666666667)</f>
        <v>43188.66667</v>
      </c>
      <c r="C97" s="9">
        <f>IFERROR(__xludf.DUMMYFUNCTION("""COMPUTED_VALUE"""),51.3)</f>
        <v>51.3</v>
      </c>
      <c r="D97" s="11">
        <f>IFERROR(__xludf.DUMMYFUNCTION("""COMPUTED_VALUE"""),43188.66666666667)</f>
        <v>43188.66667</v>
      </c>
      <c r="E97" s="9">
        <f>IFERROR(__xludf.DUMMYFUNCTION("""COMPUTED_VALUE"""),53.23)</f>
        <v>53.23</v>
      </c>
      <c r="G97" s="11">
        <f>IFERROR(__xludf.DUMMYFUNCTION("""COMPUTED_VALUE"""),43188.66666666667)</f>
        <v>43188.66667</v>
      </c>
      <c r="H97" s="9">
        <f>IFERROR(__xludf.DUMMYFUNCTION("""COMPUTED_VALUE"""),1011.63)</f>
        <v>1011.63</v>
      </c>
      <c r="I97" s="11">
        <f>IFERROR(__xludf.DUMMYFUNCTION("""COMPUTED_VALUE"""),43188.66666666667)</f>
        <v>43188.66667</v>
      </c>
      <c r="J97" s="9">
        <f>IFERROR(__xludf.DUMMYFUNCTION("""COMPUTED_VALUE"""),1031.79)</f>
        <v>1031.79</v>
      </c>
      <c r="L97" s="11">
        <f>IFERROR(__xludf.DUMMYFUNCTION("""COMPUTED_VALUE"""),43188.66666666667)</f>
        <v>43188.66667</v>
      </c>
      <c r="M97" s="9">
        <f>IFERROR(__xludf.DUMMYFUNCTION("""COMPUTED_VALUE"""),41.95)</f>
        <v>41.95</v>
      </c>
      <c r="N97" s="11">
        <f>IFERROR(__xludf.DUMMYFUNCTION("""COMPUTED_VALUE"""),43188.66666666667)</f>
        <v>43188.66667</v>
      </c>
      <c r="O97" s="9">
        <f>IFERROR(__xludf.DUMMYFUNCTION("""COMPUTED_VALUE"""),41.95)</f>
        <v>41.95</v>
      </c>
      <c r="Q97" s="11">
        <f>IFERROR(__xludf.DUMMYFUNCTION("""COMPUTED_VALUE"""),43188.66666666667)</f>
        <v>43188.66667</v>
      </c>
      <c r="R97" s="9">
        <f>IFERROR(__xludf.DUMMYFUNCTION("""COMPUTED_VALUE"""),155.15)</f>
        <v>155.15</v>
      </c>
      <c r="S97" s="11">
        <f>IFERROR(__xludf.DUMMYFUNCTION("""COMPUTED_VALUE"""),43188.66666666667)</f>
        <v>43188.66667</v>
      </c>
      <c r="T97" s="9">
        <f>IFERROR(__xludf.DUMMYFUNCTION("""COMPUTED_VALUE"""),159.79)</f>
        <v>159.79</v>
      </c>
      <c r="V97" s="11">
        <f>IFERROR(__xludf.DUMMYFUNCTION("""COMPUTED_VALUE"""),43188.66666666667)</f>
        <v>43188.66667</v>
      </c>
      <c r="W97" s="9">
        <f>IFERROR(__xludf.DUMMYFUNCTION("""COMPUTED_VALUE"""),287.0)</f>
        <v>287</v>
      </c>
      <c r="X97" s="11">
        <f>IFERROR(__xludf.DUMMYFUNCTION("""COMPUTED_VALUE"""),43188.66666666667)</f>
        <v>43188.66667</v>
      </c>
      <c r="Y97" s="9">
        <f>IFERROR(__xludf.DUMMYFUNCTION("""COMPUTED_VALUE"""),295.35)</f>
        <v>295.35</v>
      </c>
      <c r="AA97" s="11">
        <f>IFERROR(__xludf.DUMMYFUNCTION("""COMPUTED_VALUE"""),43188.66666666667)</f>
        <v>43188.66667</v>
      </c>
      <c r="AB97" s="9">
        <f>IFERROR(__xludf.DUMMYFUNCTION("""COMPUTED_VALUE"""),1406.0)</f>
        <v>1406</v>
      </c>
      <c r="AC97" s="11">
        <f>IFERROR(__xludf.DUMMYFUNCTION("""COMPUTED_VALUE"""),43188.66666666667)</f>
        <v>43188.66667</v>
      </c>
      <c r="AD97" s="9">
        <f>IFERROR(__xludf.DUMMYFUNCTION("""COMPUTED_VALUE"""),1447.34)</f>
        <v>1447.34</v>
      </c>
    </row>
    <row r="98">
      <c r="B98" s="11">
        <f>IFERROR(__xludf.DUMMYFUNCTION("""COMPUTED_VALUE"""),43192.66666666667)</f>
        <v>43192.66667</v>
      </c>
      <c r="C98" s="9">
        <f>IFERROR(__xludf.DUMMYFUNCTION("""COMPUTED_VALUE"""),51.25)</f>
        <v>51.25</v>
      </c>
      <c r="D98" s="11">
        <f>IFERROR(__xludf.DUMMYFUNCTION("""COMPUTED_VALUE"""),43192.66666666667)</f>
        <v>43192.66667</v>
      </c>
      <c r="E98" s="9">
        <f>IFERROR(__xludf.DUMMYFUNCTION("""COMPUTED_VALUE"""),50.5)</f>
        <v>50.5</v>
      </c>
      <c r="G98" s="11">
        <f>IFERROR(__xludf.DUMMYFUNCTION("""COMPUTED_VALUE"""),43192.66666666667)</f>
        <v>43192.66667</v>
      </c>
      <c r="H98" s="9">
        <f>IFERROR(__xludf.DUMMYFUNCTION("""COMPUTED_VALUE"""),1022.82)</f>
        <v>1022.82</v>
      </c>
      <c r="I98" s="11">
        <f>IFERROR(__xludf.DUMMYFUNCTION("""COMPUTED_VALUE"""),43192.66666666667)</f>
        <v>43192.66667</v>
      </c>
      <c r="J98" s="9">
        <f>IFERROR(__xludf.DUMMYFUNCTION("""COMPUTED_VALUE"""),1006.47)</f>
        <v>1006.47</v>
      </c>
      <c r="L98" s="11">
        <f>IFERROR(__xludf.DUMMYFUNCTION("""COMPUTED_VALUE"""),43192.66666666667)</f>
        <v>43192.66667</v>
      </c>
      <c r="M98" s="9">
        <f>IFERROR(__xludf.DUMMYFUNCTION("""COMPUTED_VALUE"""),41.97)</f>
        <v>41.97</v>
      </c>
      <c r="N98" s="11">
        <f>IFERROR(__xludf.DUMMYFUNCTION("""COMPUTED_VALUE"""),43192.66666666667)</f>
        <v>43192.66667</v>
      </c>
      <c r="O98" s="9">
        <f>IFERROR(__xludf.DUMMYFUNCTION("""COMPUTED_VALUE"""),41.67)</f>
        <v>41.67</v>
      </c>
      <c r="Q98" s="11">
        <f>IFERROR(__xludf.DUMMYFUNCTION("""COMPUTED_VALUE"""),43192.66666666667)</f>
        <v>43192.66667</v>
      </c>
      <c r="R98" s="9">
        <f>IFERROR(__xludf.DUMMYFUNCTION("""COMPUTED_VALUE"""),157.81)</f>
        <v>157.81</v>
      </c>
      <c r="S98" s="11">
        <f>IFERROR(__xludf.DUMMYFUNCTION("""COMPUTED_VALUE"""),43192.66666666667)</f>
        <v>43192.66667</v>
      </c>
      <c r="T98" s="9">
        <f>IFERROR(__xludf.DUMMYFUNCTION("""COMPUTED_VALUE"""),155.39)</f>
        <v>155.39</v>
      </c>
      <c r="V98" s="11">
        <f>IFERROR(__xludf.DUMMYFUNCTION("""COMPUTED_VALUE"""),43192.66666666667)</f>
        <v>43192.66667</v>
      </c>
      <c r="W98" s="9">
        <f>IFERROR(__xludf.DUMMYFUNCTION("""COMPUTED_VALUE"""),291.94)</f>
        <v>291.94</v>
      </c>
      <c r="X98" s="11">
        <f>IFERROR(__xludf.DUMMYFUNCTION("""COMPUTED_VALUE"""),43192.66666666667)</f>
        <v>43192.66667</v>
      </c>
      <c r="Y98" s="9">
        <f>IFERROR(__xludf.DUMMYFUNCTION("""COMPUTED_VALUE"""),280.29)</f>
        <v>280.29</v>
      </c>
      <c r="AA98" s="11">
        <f>IFERROR(__xludf.DUMMYFUNCTION("""COMPUTED_VALUE"""),43192.66666666667)</f>
        <v>43192.66667</v>
      </c>
      <c r="AB98" s="9">
        <f>IFERROR(__xludf.DUMMYFUNCTION("""COMPUTED_VALUE"""),1417.62)</f>
        <v>1417.62</v>
      </c>
      <c r="AC98" s="11">
        <f>IFERROR(__xludf.DUMMYFUNCTION("""COMPUTED_VALUE"""),43192.66666666667)</f>
        <v>43192.66667</v>
      </c>
      <c r="AD98" s="9">
        <f>IFERROR(__xludf.DUMMYFUNCTION("""COMPUTED_VALUE"""),1371.99)</f>
        <v>1371.99</v>
      </c>
    </row>
    <row r="99">
      <c r="B99" s="11">
        <f>IFERROR(__xludf.DUMMYFUNCTION("""COMPUTED_VALUE"""),43193.66666666667)</f>
        <v>43193.66667</v>
      </c>
      <c r="C99" s="9">
        <f>IFERROR(__xludf.DUMMYFUNCTION("""COMPUTED_VALUE"""),53.96)</f>
        <v>53.96</v>
      </c>
      <c r="D99" s="11">
        <f>IFERROR(__xludf.DUMMYFUNCTION("""COMPUTED_VALUE"""),43193.66666666667)</f>
        <v>43193.66667</v>
      </c>
      <c r="E99" s="9">
        <f>IFERROR(__xludf.DUMMYFUNCTION("""COMPUTED_VALUE"""),53.51)</f>
        <v>53.51</v>
      </c>
      <c r="G99" s="11">
        <f>IFERROR(__xludf.DUMMYFUNCTION("""COMPUTED_VALUE"""),43193.66666666667)</f>
        <v>43193.66667</v>
      </c>
      <c r="H99" s="9">
        <f>IFERROR(__xludf.DUMMYFUNCTION("""COMPUTED_VALUE"""),1013.91)</f>
        <v>1013.91</v>
      </c>
      <c r="I99" s="11">
        <f>IFERROR(__xludf.DUMMYFUNCTION("""COMPUTED_VALUE"""),43193.66666666667)</f>
        <v>43193.66667</v>
      </c>
      <c r="J99" s="9">
        <f>IFERROR(__xludf.DUMMYFUNCTION("""COMPUTED_VALUE"""),1013.41)</f>
        <v>1013.41</v>
      </c>
      <c r="L99" s="11">
        <f>IFERROR(__xludf.DUMMYFUNCTION("""COMPUTED_VALUE"""),43193.66666666667)</f>
        <v>43193.66667</v>
      </c>
      <c r="M99" s="9">
        <f>IFERROR(__xludf.DUMMYFUNCTION("""COMPUTED_VALUE"""),41.91)</f>
        <v>41.91</v>
      </c>
      <c r="N99" s="11">
        <f>IFERROR(__xludf.DUMMYFUNCTION("""COMPUTED_VALUE"""),43193.66666666667)</f>
        <v>43193.66667</v>
      </c>
      <c r="O99" s="9">
        <f>IFERROR(__xludf.DUMMYFUNCTION("""COMPUTED_VALUE"""),42.1)</f>
        <v>42.1</v>
      </c>
      <c r="Q99" s="11">
        <f>IFERROR(__xludf.DUMMYFUNCTION("""COMPUTED_VALUE"""),43193.66666666667)</f>
        <v>43193.66667</v>
      </c>
      <c r="R99" s="9">
        <f>IFERROR(__xludf.DUMMYFUNCTION("""COMPUTED_VALUE"""),156.55)</f>
        <v>156.55</v>
      </c>
      <c r="S99" s="11">
        <f>IFERROR(__xludf.DUMMYFUNCTION("""COMPUTED_VALUE"""),43193.66666666667)</f>
        <v>43193.66667</v>
      </c>
      <c r="T99" s="9">
        <f>IFERROR(__xludf.DUMMYFUNCTION("""COMPUTED_VALUE"""),156.11)</f>
        <v>156.11</v>
      </c>
      <c r="V99" s="11">
        <f>IFERROR(__xludf.DUMMYFUNCTION("""COMPUTED_VALUE"""),43193.66666666667)</f>
        <v>43193.66667</v>
      </c>
      <c r="W99" s="9">
        <f>IFERROR(__xludf.DUMMYFUNCTION("""COMPUTED_VALUE"""),285.45)</f>
        <v>285.45</v>
      </c>
      <c r="X99" s="11">
        <f>IFERROR(__xludf.DUMMYFUNCTION("""COMPUTED_VALUE"""),43193.66666666667)</f>
        <v>43193.66667</v>
      </c>
      <c r="Y99" s="9">
        <f>IFERROR(__xludf.DUMMYFUNCTION("""COMPUTED_VALUE"""),283.67)</f>
        <v>283.67</v>
      </c>
      <c r="AA99" s="11">
        <f>IFERROR(__xludf.DUMMYFUNCTION("""COMPUTED_VALUE"""),43193.66666666667)</f>
        <v>43193.66667</v>
      </c>
      <c r="AB99" s="9">
        <f>IFERROR(__xludf.DUMMYFUNCTION("""COMPUTED_VALUE"""),1391.38)</f>
        <v>1391.38</v>
      </c>
      <c r="AC99" s="11">
        <f>IFERROR(__xludf.DUMMYFUNCTION("""COMPUTED_VALUE"""),43193.66666666667)</f>
        <v>43193.66667</v>
      </c>
      <c r="AD99" s="9">
        <f>IFERROR(__xludf.DUMMYFUNCTION("""COMPUTED_VALUE"""),1392.05)</f>
        <v>1392.05</v>
      </c>
    </row>
    <row r="100">
      <c r="B100" s="11">
        <f>IFERROR(__xludf.DUMMYFUNCTION("""COMPUTED_VALUE"""),43194.66666666667)</f>
        <v>43194.66667</v>
      </c>
      <c r="C100" s="9">
        <f>IFERROR(__xludf.DUMMYFUNCTION("""COMPUTED_VALUE"""),50.56)</f>
        <v>50.56</v>
      </c>
      <c r="D100" s="11">
        <f>IFERROR(__xludf.DUMMYFUNCTION("""COMPUTED_VALUE"""),43194.66666666667)</f>
        <v>43194.66667</v>
      </c>
      <c r="E100" s="9">
        <f>IFERROR(__xludf.DUMMYFUNCTION("""COMPUTED_VALUE"""),57.39)</f>
        <v>57.39</v>
      </c>
      <c r="G100" s="11">
        <f>IFERROR(__xludf.DUMMYFUNCTION("""COMPUTED_VALUE"""),43194.66666666667)</f>
        <v>43194.66667</v>
      </c>
      <c r="H100" s="9">
        <f>IFERROR(__xludf.DUMMYFUNCTION("""COMPUTED_VALUE"""),993.41)</f>
        <v>993.41</v>
      </c>
      <c r="I100" s="11">
        <f>IFERROR(__xludf.DUMMYFUNCTION("""COMPUTED_VALUE"""),43194.66666666667)</f>
        <v>43194.66667</v>
      </c>
      <c r="J100" s="9">
        <f>IFERROR(__xludf.DUMMYFUNCTION("""COMPUTED_VALUE"""),1025.14)</f>
        <v>1025.14</v>
      </c>
      <c r="L100" s="11">
        <f>IFERROR(__xludf.DUMMYFUNCTION("""COMPUTED_VALUE"""),43194.66666666667)</f>
        <v>43194.66667</v>
      </c>
      <c r="M100" s="9">
        <f>IFERROR(__xludf.DUMMYFUNCTION("""COMPUTED_VALUE"""),41.22)</f>
        <v>41.22</v>
      </c>
      <c r="N100" s="11">
        <f>IFERROR(__xludf.DUMMYFUNCTION("""COMPUTED_VALUE"""),43194.66666666667)</f>
        <v>43194.66667</v>
      </c>
      <c r="O100" s="9">
        <f>IFERROR(__xludf.DUMMYFUNCTION("""COMPUTED_VALUE"""),42.9)</f>
        <v>42.9</v>
      </c>
      <c r="Q100" s="11">
        <f>IFERROR(__xludf.DUMMYFUNCTION("""COMPUTED_VALUE"""),43194.66666666667)</f>
        <v>43194.66667</v>
      </c>
      <c r="R100" s="9">
        <f>IFERROR(__xludf.DUMMYFUNCTION("""COMPUTED_VALUE"""),152.03)</f>
        <v>152.03</v>
      </c>
      <c r="S100" s="11">
        <f>IFERROR(__xludf.DUMMYFUNCTION("""COMPUTED_VALUE"""),43194.66666666667)</f>
        <v>43194.66667</v>
      </c>
      <c r="T100" s="9">
        <f>IFERROR(__xludf.DUMMYFUNCTION("""COMPUTED_VALUE"""),155.1)</f>
        <v>155.1</v>
      </c>
      <c r="V100" s="11">
        <f>IFERROR(__xludf.DUMMYFUNCTION("""COMPUTED_VALUE"""),43194.66666666667)</f>
        <v>43194.66667</v>
      </c>
      <c r="W100" s="9">
        <f>IFERROR(__xludf.DUMMYFUNCTION("""COMPUTED_VALUE"""),273.63)</f>
        <v>273.63</v>
      </c>
      <c r="X100" s="11">
        <f>IFERROR(__xludf.DUMMYFUNCTION("""COMPUTED_VALUE"""),43194.66666666667)</f>
        <v>43194.66667</v>
      </c>
      <c r="Y100" s="9">
        <f>IFERROR(__xludf.DUMMYFUNCTION("""COMPUTED_VALUE"""),288.94)</f>
        <v>288.94</v>
      </c>
      <c r="AA100" s="11">
        <f>IFERROR(__xludf.DUMMYFUNCTION("""COMPUTED_VALUE"""),43194.66666666667)</f>
        <v>43194.66667</v>
      </c>
      <c r="AB100" s="9">
        <f>IFERROR(__xludf.DUMMYFUNCTION("""COMPUTED_VALUE"""),1358.24)</f>
        <v>1358.24</v>
      </c>
      <c r="AC100" s="11">
        <f>IFERROR(__xludf.DUMMYFUNCTION("""COMPUTED_VALUE"""),43194.66666666667)</f>
        <v>43194.66667</v>
      </c>
      <c r="AD100" s="9">
        <f>IFERROR(__xludf.DUMMYFUNCTION("""COMPUTED_VALUE"""),1410.57)</f>
        <v>1410.57</v>
      </c>
    </row>
    <row r="101">
      <c r="B101" s="11">
        <f>IFERROR(__xludf.DUMMYFUNCTION("""COMPUTED_VALUE"""),43195.66666666667)</f>
        <v>43195.66667</v>
      </c>
      <c r="C101" s="9">
        <f>IFERROR(__xludf.DUMMYFUNCTION("""COMPUTED_VALUE"""),57.87)</f>
        <v>57.87</v>
      </c>
      <c r="D101" s="11">
        <f>IFERROR(__xludf.DUMMYFUNCTION("""COMPUTED_VALUE"""),43195.66666666667)</f>
        <v>43195.66667</v>
      </c>
      <c r="E101" s="9">
        <f>IFERROR(__xludf.DUMMYFUNCTION("""COMPUTED_VALUE"""),61.14)</f>
        <v>61.14</v>
      </c>
      <c r="G101" s="11">
        <f>IFERROR(__xludf.DUMMYFUNCTION("""COMPUTED_VALUE"""),43195.66666666667)</f>
        <v>43195.66667</v>
      </c>
      <c r="H101" s="9">
        <f>IFERROR(__xludf.DUMMYFUNCTION("""COMPUTED_VALUE"""),1041.33)</f>
        <v>1041.33</v>
      </c>
      <c r="I101" s="11">
        <f>IFERROR(__xludf.DUMMYFUNCTION("""COMPUTED_VALUE"""),43195.66666666667)</f>
        <v>43195.66667</v>
      </c>
      <c r="J101" s="9">
        <f>IFERROR(__xludf.DUMMYFUNCTION("""COMPUTED_VALUE"""),1027.81)</f>
        <v>1027.81</v>
      </c>
      <c r="L101" s="11">
        <f>IFERROR(__xludf.DUMMYFUNCTION("""COMPUTED_VALUE"""),43195.66666666667)</f>
        <v>43195.66667</v>
      </c>
      <c r="M101" s="9">
        <f>IFERROR(__xludf.DUMMYFUNCTION("""COMPUTED_VALUE"""),43.15)</f>
        <v>43.15</v>
      </c>
      <c r="N101" s="11">
        <f>IFERROR(__xludf.DUMMYFUNCTION("""COMPUTED_VALUE"""),43195.66666666667)</f>
        <v>43195.66667</v>
      </c>
      <c r="O101" s="9">
        <f>IFERROR(__xludf.DUMMYFUNCTION("""COMPUTED_VALUE"""),43.2)</f>
        <v>43.2</v>
      </c>
      <c r="Q101" s="11">
        <f>IFERROR(__xludf.DUMMYFUNCTION("""COMPUTED_VALUE"""),43195.66666666667)</f>
        <v>43195.66667</v>
      </c>
      <c r="R101" s="9">
        <f>IFERROR(__xludf.DUMMYFUNCTION("""COMPUTED_VALUE"""),161.56)</f>
        <v>161.56</v>
      </c>
      <c r="S101" s="11">
        <f>IFERROR(__xludf.DUMMYFUNCTION("""COMPUTED_VALUE"""),43195.66666666667)</f>
        <v>43195.66667</v>
      </c>
      <c r="T101" s="9">
        <f>IFERROR(__xludf.DUMMYFUNCTION("""COMPUTED_VALUE"""),159.34)</f>
        <v>159.34</v>
      </c>
      <c r="V101" s="11">
        <f>IFERROR(__xludf.DUMMYFUNCTION("""COMPUTED_VALUE"""),43195.66666666667)</f>
        <v>43195.66667</v>
      </c>
      <c r="W101" s="9">
        <f>IFERROR(__xludf.DUMMYFUNCTION("""COMPUTED_VALUE"""),293.15)</f>
        <v>293.15</v>
      </c>
      <c r="X101" s="11">
        <f>IFERROR(__xludf.DUMMYFUNCTION("""COMPUTED_VALUE"""),43195.66666666667)</f>
        <v>43195.66667</v>
      </c>
      <c r="Y101" s="9">
        <f>IFERROR(__xludf.DUMMYFUNCTION("""COMPUTED_VALUE"""),293.97)</f>
        <v>293.97</v>
      </c>
      <c r="AA101" s="11">
        <f>IFERROR(__xludf.DUMMYFUNCTION("""COMPUTED_VALUE"""),43195.66666666667)</f>
        <v>43195.66667</v>
      </c>
      <c r="AB101" s="9">
        <f>IFERROR(__xludf.DUMMYFUNCTION("""COMPUTED_VALUE"""),1441.99)</f>
        <v>1441.99</v>
      </c>
      <c r="AC101" s="11">
        <f>IFERROR(__xludf.DUMMYFUNCTION("""COMPUTED_VALUE"""),43195.66666666667)</f>
        <v>43195.66667</v>
      </c>
      <c r="AD101" s="9">
        <f>IFERROR(__xludf.DUMMYFUNCTION("""COMPUTED_VALUE"""),1451.75)</f>
        <v>1451.75</v>
      </c>
    </row>
    <row r="102">
      <c r="B102" s="11">
        <f>IFERROR(__xludf.DUMMYFUNCTION("""COMPUTED_VALUE"""),43196.66666666667)</f>
        <v>43196.66667</v>
      </c>
      <c r="C102" s="9">
        <f>IFERROR(__xludf.DUMMYFUNCTION("""COMPUTED_VALUE"""),60.2)</f>
        <v>60.2</v>
      </c>
      <c r="D102" s="11">
        <f>IFERROR(__xludf.DUMMYFUNCTION("""COMPUTED_VALUE"""),43196.66666666667)</f>
        <v>43196.66667</v>
      </c>
      <c r="E102" s="9">
        <f>IFERROR(__xludf.DUMMYFUNCTION("""COMPUTED_VALUE"""),59.86)</f>
        <v>59.86</v>
      </c>
      <c r="G102" s="11">
        <f>IFERROR(__xludf.DUMMYFUNCTION("""COMPUTED_VALUE"""),43196.66666666667)</f>
        <v>43196.66667</v>
      </c>
      <c r="H102" s="9">
        <f>IFERROR(__xludf.DUMMYFUNCTION("""COMPUTED_VALUE"""),1020.0)</f>
        <v>1020</v>
      </c>
      <c r="I102" s="11">
        <f>IFERROR(__xludf.DUMMYFUNCTION("""COMPUTED_VALUE"""),43196.66666666667)</f>
        <v>43196.66667</v>
      </c>
      <c r="J102" s="9">
        <f>IFERROR(__xludf.DUMMYFUNCTION("""COMPUTED_VALUE"""),1007.04)</f>
        <v>1007.04</v>
      </c>
      <c r="L102" s="11">
        <f>IFERROR(__xludf.DUMMYFUNCTION("""COMPUTED_VALUE"""),43196.66666666667)</f>
        <v>43196.66667</v>
      </c>
      <c r="M102" s="9">
        <f>IFERROR(__xludf.DUMMYFUNCTION("""COMPUTED_VALUE"""),42.74)</f>
        <v>42.74</v>
      </c>
      <c r="N102" s="11">
        <f>IFERROR(__xludf.DUMMYFUNCTION("""COMPUTED_VALUE"""),43196.66666666667)</f>
        <v>43196.66667</v>
      </c>
      <c r="O102" s="9">
        <f>IFERROR(__xludf.DUMMYFUNCTION("""COMPUTED_VALUE"""),42.1)</f>
        <v>42.1</v>
      </c>
      <c r="Q102" s="11">
        <f>IFERROR(__xludf.DUMMYFUNCTION("""COMPUTED_VALUE"""),43196.66666666667)</f>
        <v>43196.66667</v>
      </c>
      <c r="R102" s="9">
        <f>IFERROR(__xludf.DUMMYFUNCTION("""COMPUTED_VALUE"""),157.73)</f>
        <v>157.73</v>
      </c>
      <c r="S102" s="11">
        <f>IFERROR(__xludf.DUMMYFUNCTION("""COMPUTED_VALUE"""),43196.66666666667)</f>
        <v>43196.66667</v>
      </c>
      <c r="T102" s="9">
        <f>IFERROR(__xludf.DUMMYFUNCTION("""COMPUTED_VALUE"""),157.2)</f>
        <v>157.2</v>
      </c>
      <c r="V102" s="11">
        <f>IFERROR(__xludf.DUMMYFUNCTION("""COMPUTED_VALUE"""),43196.66666666667)</f>
        <v>43196.66667</v>
      </c>
      <c r="W102" s="9">
        <f>IFERROR(__xludf.DUMMYFUNCTION("""COMPUTED_VALUE"""),289.1)</f>
        <v>289.1</v>
      </c>
      <c r="X102" s="11">
        <f>IFERROR(__xludf.DUMMYFUNCTION("""COMPUTED_VALUE"""),43196.66666666667)</f>
        <v>43196.66667</v>
      </c>
      <c r="Y102" s="9">
        <f>IFERROR(__xludf.DUMMYFUNCTION("""COMPUTED_VALUE"""),288.85)</f>
        <v>288.85</v>
      </c>
      <c r="AA102" s="11">
        <f>IFERROR(__xludf.DUMMYFUNCTION("""COMPUTED_VALUE"""),43196.66666666667)</f>
        <v>43196.66667</v>
      </c>
      <c r="AB102" s="9">
        <f>IFERROR(__xludf.DUMMYFUNCTION("""COMPUTED_VALUE"""),1429.97)</f>
        <v>1429.97</v>
      </c>
      <c r="AC102" s="11">
        <f>IFERROR(__xludf.DUMMYFUNCTION("""COMPUTED_VALUE"""),43196.66666666667)</f>
        <v>43196.66667</v>
      </c>
      <c r="AD102" s="9">
        <f>IFERROR(__xludf.DUMMYFUNCTION("""COMPUTED_VALUE"""),1405.23)</f>
        <v>1405.23</v>
      </c>
    </row>
    <row r="103">
      <c r="B103" s="11">
        <f>IFERROR(__xludf.DUMMYFUNCTION("""COMPUTED_VALUE"""),43199.66666666667)</f>
        <v>43199.66667</v>
      </c>
      <c r="C103" s="9">
        <f>IFERROR(__xludf.DUMMYFUNCTION("""COMPUTED_VALUE"""),60.07)</f>
        <v>60.07</v>
      </c>
      <c r="D103" s="11">
        <f>IFERROR(__xludf.DUMMYFUNCTION("""COMPUTED_VALUE"""),43199.66666666667)</f>
        <v>43199.66667</v>
      </c>
      <c r="E103" s="9">
        <f>IFERROR(__xludf.DUMMYFUNCTION("""COMPUTED_VALUE"""),57.93)</f>
        <v>57.93</v>
      </c>
      <c r="G103" s="11">
        <f>IFERROR(__xludf.DUMMYFUNCTION("""COMPUTED_VALUE"""),43199.66666666667)</f>
        <v>43199.66667</v>
      </c>
      <c r="H103" s="9">
        <f>IFERROR(__xludf.DUMMYFUNCTION("""COMPUTED_VALUE"""),1016.8)</f>
        <v>1016.8</v>
      </c>
      <c r="I103" s="11">
        <f>IFERROR(__xludf.DUMMYFUNCTION("""COMPUTED_VALUE"""),43199.66666666667)</f>
        <v>43199.66667</v>
      </c>
      <c r="J103" s="9">
        <f>IFERROR(__xludf.DUMMYFUNCTION("""COMPUTED_VALUE"""),1015.45)</f>
        <v>1015.45</v>
      </c>
      <c r="L103" s="11">
        <f>IFERROR(__xludf.DUMMYFUNCTION("""COMPUTED_VALUE"""),43199.66666666667)</f>
        <v>43199.66667</v>
      </c>
      <c r="M103" s="9">
        <f>IFERROR(__xludf.DUMMYFUNCTION("""COMPUTED_VALUE"""),42.47)</f>
        <v>42.47</v>
      </c>
      <c r="N103" s="11">
        <f>IFERROR(__xludf.DUMMYFUNCTION("""COMPUTED_VALUE"""),43199.66666666667)</f>
        <v>43199.66667</v>
      </c>
      <c r="O103" s="9">
        <f>IFERROR(__xludf.DUMMYFUNCTION("""COMPUTED_VALUE"""),42.51)</f>
        <v>42.51</v>
      </c>
      <c r="Q103" s="11">
        <f>IFERROR(__xludf.DUMMYFUNCTION("""COMPUTED_VALUE"""),43199.66666666667)</f>
        <v>43199.66667</v>
      </c>
      <c r="R103" s="9">
        <f>IFERROR(__xludf.DUMMYFUNCTION("""COMPUTED_VALUE"""),157.82)</f>
        <v>157.82</v>
      </c>
      <c r="S103" s="11">
        <f>IFERROR(__xludf.DUMMYFUNCTION("""COMPUTED_VALUE"""),43199.66666666667)</f>
        <v>43199.66667</v>
      </c>
      <c r="T103" s="9">
        <f>IFERROR(__xludf.DUMMYFUNCTION("""COMPUTED_VALUE"""),157.93)</f>
        <v>157.93</v>
      </c>
      <c r="V103" s="11">
        <f>IFERROR(__xludf.DUMMYFUNCTION("""COMPUTED_VALUE"""),43199.66666666667)</f>
        <v>43199.66667</v>
      </c>
      <c r="W103" s="9">
        <f>IFERROR(__xludf.DUMMYFUNCTION("""COMPUTED_VALUE"""),291.77)</f>
        <v>291.77</v>
      </c>
      <c r="X103" s="11">
        <f>IFERROR(__xludf.DUMMYFUNCTION("""COMPUTED_VALUE"""),43199.66666666667)</f>
        <v>43199.66667</v>
      </c>
      <c r="Y103" s="9">
        <f>IFERROR(__xludf.DUMMYFUNCTION("""COMPUTED_VALUE"""),289.93)</f>
        <v>289.93</v>
      </c>
      <c r="AA103" s="11">
        <f>IFERROR(__xludf.DUMMYFUNCTION("""COMPUTED_VALUE"""),43199.66666666667)</f>
        <v>43199.66667</v>
      </c>
      <c r="AB103" s="9">
        <f>IFERROR(__xludf.DUMMYFUNCTION("""COMPUTED_VALUE"""),1425.03)</f>
        <v>1425.03</v>
      </c>
      <c r="AC103" s="11">
        <f>IFERROR(__xludf.DUMMYFUNCTION("""COMPUTED_VALUE"""),43199.66666666667)</f>
        <v>43199.66667</v>
      </c>
      <c r="AD103" s="9">
        <f>IFERROR(__xludf.DUMMYFUNCTION("""COMPUTED_VALUE"""),1406.08)</f>
        <v>1406.08</v>
      </c>
    </row>
    <row r="104">
      <c r="B104" s="11">
        <f>IFERROR(__xludf.DUMMYFUNCTION("""COMPUTED_VALUE"""),43200.66666666667)</f>
        <v>43200.66667</v>
      </c>
      <c r="C104" s="9">
        <f>IFERROR(__xludf.DUMMYFUNCTION("""COMPUTED_VALUE"""),59.79)</f>
        <v>59.79</v>
      </c>
      <c r="D104" s="11">
        <f>IFERROR(__xludf.DUMMYFUNCTION("""COMPUTED_VALUE"""),43200.66666666667)</f>
        <v>43200.66667</v>
      </c>
      <c r="E104" s="9">
        <f>IFERROR(__xludf.DUMMYFUNCTION("""COMPUTED_VALUE"""),60.94)</f>
        <v>60.94</v>
      </c>
      <c r="G104" s="11">
        <f>IFERROR(__xludf.DUMMYFUNCTION("""COMPUTED_VALUE"""),43200.66666666667)</f>
        <v>43200.66667</v>
      </c>
      <c r="H104" s="9">
        <f>IFERROR(__xludf.DUMMYFUNCTION("""COMPUTED_VALUE"""),1026.44)</f>
        <v>1026.44</v>
      </c>
      <c r="I104" s="11">
        <f>IFERROR(__xludf.DUMMYFUNCTION("""COMPUTED_VALUE"""),43200.66666666667)</f>
        <v>43200.66667</v>
      </c>
      <c r="J104" s="9">
        <f>IFERROR(__xludf.DUMMYFUNCTION("""COMPUTED_VALUE"""),1031.64)</f>
        <v>1031.64</v>
      </c>
      <c r="L104" s="11">
        <f>IFERROR(__xludf.DUMMYFUNCTION("""COMPUTED_VALUE"""),43200.66666666667)</f>
        <v>43200.66667</v>
      </c>
      <c r="M104" s="9">
        <f>IFERROR(__xludf.DUMMYFUNCTION("""COMPUTED_VALUE"""),43.25)</f>
        <v>43.25</v>
      </c>
      <c r="N104" s="11">
        <f>IFERROR(__xludf.DUMMYFUNCTION("""COMPUTED_VALUE"""),43200.66666666667)</f>
        <v>43200.66667</v>
      </c>
      <c r="O104" s="9">
        <f>IFERROR(__xludf.DUMMYFUNCTION("""COMPUTED_VALUE"""),43.31)</f>
        <v>43.31</v>
      </c>
      <c r="Q104" s="11">
        <f>IFERROR(__xludf.DUMMYFUNCTION("""COMPUTED_VALUE"""),43200.66666666667)</f>
        <v>43200.66667</v>
      </c>
      <c r="R104" s="9">
        <f>IFERROR(__xludf.DUMMYFUNCTION("""COMPUTED_VALUE"""),157.93)</f>
        <v>157.93</v>
      </c>
      <c r="S104" s="11">
        <f>IFERROR(__xludf.DUMMYFUNCTION("""COMPUTED_VALUE"""),43200.66666666667)</f>
        <v>43200.66667</v>
      </c>
      <c r="T104" s="9">
        <f>IFERROR(__xludf.DUMMYFUNCTION("""COMPUTED_VALUE"""),165.04)</f>
        <v>165.04</v>
      </c>
      <c r="V104" s="11">
        <f>IFERROR(__xludf.DUMMYFUNCTION("""COMPUTED_VALUE"""),43200.66666666667)</f>
        <v>43200.66667</v>
      </c>
      <c r="W104" s="9">
        <f>IFERROR(__xludf.DUMMYFUNCTION("""COMPUTED_VALUE"""),297.68)</f>
        <v>297.68</v>
      </c>
      <c r="X104" s="11">
        <f>IFERROR(__xludf.DUMMYFUNCTION("""COMPUTED_VALUE"""),43200.66666666667)</f>
        <v>43200.66667</v>
      </c>
      <c r="Y104" s="9">
        <f>IFERROR(__xludf.DUMMYFUNCTION("""COMPUTED_VALUE"""),298.07)</f>
        <v>298.07</v>
      </c>
      <c r="AA104" s="11">
        <f>IFERROR(__xludf.DUMMYFUNCTION("""COMPUTED_VALUE"""),43200.66666666667)</f>
        <v>43200.66667</v>
      </c>
      <c r="AB104" s="9">
        <f>IFERROR(__xludf.DUMMYFUNCTION("""COMPUTED_VALUE"""),1431.99)</f>
        <v>1431.99</v>
      </c>
      <c r="AC104" s="11">
        <f>IFERROR(__xludf.DUMMYFUNCTION("""COMPUTED_VALUE"""),43200.66666666667)</f>
        <v>43200.66667</v>
      </c>
      <c r="AD104" s="9">
        <f>IFERROR(__xludf.DUMMYFUNCTION("""COMPUTED_VALUE"""),1436.22)</f>
        <v>1436.22</v>
      </c>
    </row>
    <row r="105">
      <c r="B105" s="11">
        <f>IFERROR(__xludf.DUMMYFUNCTION("""COMPUTED_VALUE"""),43201.66666666667)</f>
        <v>43201.66667</v>
      </c>
      <c r="C105" s="9">
        <f>IFERROR(__xludf.DUMMYFUNCTION("""COMPUTED_VALUE"""),60.15)</f>
        <v>60.15</v>
      </c>
      <c r="D105" s="11">
        <f>IFERROR(__xludf.DUMMYFUNCTION("""COMPUTED_VALUE"""),43201.66666666667)</f>
        <v>43201.66667</v>
      </c>
      <c r="E105" s="9">
        <f>IFERROR(__xludf.DUMMYFUNCTION("""COMPUTED_VALUE"""),60.19)</f>
        <v>60.19</v>
      </c>
      <c r="G105" s="11">
        <f>IFERROR(__xludf.DUMMYFUNCTION("""COMPUTED_VALUE"""),43201.66666666667)</f>
        <v>43201.66667</v>
      </c>
      <c r="H105" s="9">
        <f>IFERROR(__xludf.DUMMYFUNCTION("""COMPUTED_VALUE"""),1027.99)</f>
        <v>1027.99</v>
      </c>
      <c r="I105" s="11">
        <f>IFERROR(__xludf.DUMMYFUNCTION("""COMPUTED_VALUE"""),43201.66666666667)</f>
        <v>43201.66667</v>
      </c>
      <c r="J105" s="9">
        <f>IFERROR(__xludf.DUMMYFUNCTION("""COMPUTED_VALUE"""),1019.97)</f>
        <v>1019.97</v>
      </c>
      <c r="L105" s="11">
        <f>IFERROR(__xludf.DUMMYFUNCTION("""COMPUTED_VALUE"""),43201.66666666667)</f>
        <v>43201.66667</v>
      </c>
      <c r="M105" s="9">
        <f>IFERROR(__xludf.DUMMYFUNCTION("""COMPUTED_VALUE"""),43.06)</f>
        <v>43.06</v>
      </c>
      <c r="N105" s="11">
        <f>IFERROR(__xludf.DUMMYFUNCTION("""COMPUTED_VALUE"""),43201.66666666667)</f>
        <v>43201.66667</v>
      </c>
      <c r="O105" s="9">
        <f>IFERROR(__xludf.DUMMYFUNCTION("""COMPUTED_VALUE"""),43.11)</f>
        <v>43.11</v>
      </c>
      <c r="Q105" s="11">
        <f>IFERROR(__xludf.DUMMYFUNCTION("""COMPUTED_VALUE"""),43201.66666666667)</f>
        <v>43201.66667</v>
      </c>
      <c r="R105" s="9">
        <f>IFERROR(__xludf.DUMMYFUNCTION("""COMPUTED_VALUE"""),165.36)</f>
        <v>165.36</v>
      </c>
      <c r="S105" s="11">
        <f>IFERROR(__xludf.DUMMYFUNCTION("""COMPUTED_VALUE"""),43201.66666666667)</f>
        <v>43201.66667</v>
      </c>
      <c r="T105" s="9">
        <f>IFERROR(__xludf.DUMMYFUNCTION("""COMPUTED_VALUE"""),166.32)</f>
        <v>166.32</v>
      </c>
      <c r="V105" s="11">
        <f>IFERROR(__xludf.DUMMYFUNCTION("""COMPUTED_VALUE"""),43201.66666666667)</f>
        <v>43201.66667</v>
      </c>
      <c r="W105" s="9">
        <f>IFERROR(__xludf.DUMMYFUNCTION("""COMPUTED_VALUE"""),302.88)</f>
        <v>302.88</v>
      </c>
      <c r="X105" s="11">
        <f>IFERROR(__xludf.DUMMYFUNCTION("""COMPUTED_VALUE"""),43201.66666666667)</f>
        <v>43201.66667</v>
      </c>
      <c r="Y105" s="9">
        <f>IFERROR(__xludf.DUMMYFUNCTION("""COMPUTED_VALUE"""),303.67)</f>
        <v>303.67</v>
      </c>
      <c r="AA105" s="11">
        <f>IFERROR(__xludf.DUMMYFUNCTION("""COMPUTED_VALUE"""),43201.66666666667)</f>
        <v>43201.66667</v>
      </c>
      <c r="AB105" s="9">
        <f>IFERROR(__xludf.DUMMYFUNCTION("""COMPUTED_VALUE"""),1439.44)</f>
        <v>1439.44</v>
      </c>
      <c r="AC105" s="11">
        <f>IFERROR(__xludf.DUMMYFUNCTION("""COMPUTED_VALUE"""),43201.66666666667)</f>
        <v>43201.66667</v>
      </c>
      <c r="AD105" s="9">
        <f>IFERROR(__xludf.DUMMYFUNCTION("""COMPUTED_VALUE"""),1427.05)</f>
        <v>1427.05</v>
      </c>
    </row>
    <row r="106">
      <c r="B106" s="11">
        <f>IFERROR(__xludf.DUMMYFUNCTION("""COMPUTED_VALUE"""),43202.66666666667)</f>
        <v>43202.66667</v>
      </c>
      <c r="C106" s="9">
        <f>IFERROR(__xludf.DUMMYFUNCTION("""COMPUTED_VALUE"""),60.46)</f>
        <v>60.46</v>
      </c>
      <c r="D106" s="11">
        <f>IFERROR(__xludf.DUMMYFUNCTION("""COMPUTED_VALUE"""),43202.66666666667)</f>
        <v>43202.66667</v>
      </c>
      <c r="E106" s="9">
        <f>IFERROR(__xludf.DUMMYFUNCTION("""COMPUTED_VALUE"""),58.82)</f>
        <v>58.82</v>
      </c>
      <c r="G106" s="11">
        <f>IFERROR(__xludf.DUMMYFUNCTION("""COMPUTED_VALUE"""),43202.66666666667)</f>
        <v>43202.66667</v>
      </c>
      <c r="H106" s="9">
        <f>IFERROR(__xludf.DUMMYFUNCTION("""COMPUTED_VALUE"""),1025.04)</f>
        <v>1025.04</v>
      </c>
      <c r="I106" s="11">
        <f>IFERROR(__xludf.DUMMYFUNCTION("""COMPUTED_VALUE"""),43202.66666666667)</f>
        <v>43202.66667</v>
      </c>
      <c r="J106" s="9">
        <f>IFERROR(__xludf.DUMMYFUNCTION("""COMPUTED_VALUE"""),1032.51)</f>
        <v>1032.51</v>
      </c>
      <c r="L106" s="11">
        <f>IFERROR(__xludf.DUMMYFUNCTION("""COMPUTED_VALUE"""),43202.66666666667)</f>
        <v>43202.66667</v>
      </c>
      <c r="M106" s="9">
        <f>IFERROR(__xludf.DUMMYFUNCTION("""COMPUTED_VALUE"""),43.35)</f>
        <v>43.35</v>
      </c>
      <c r="N106" s="11">
        <f>IFERROR(__xludf.DUMMYFUNCTION("""COMPUTED_VALUE"""),43202.66666666667)</f>
        <v>43202.66667</v>
      </c>
      <c r="O106" s="9">
        <f>IFERROR(__xludf.DUMMYFUNCTION("""COMPUTED_VALUE"""),43.54)</f>
        <v>43.54</v>
      </c>
      <c r="Q106" s="11">
        <f>IFERROR(__xludf.DUMMYFUNCTION("""COMPUTED_VALUE"""),43202.66666666667)</f>
        <v>43202.66667</v>
      </c>
      <c r="R106" s="9">
        <f>IFERROR(__xludf.DUMMYFUNCTION("""COMPUTED_VALUE"""),166.98)</f>
        <v>166.98</v>
      </c>
      <c r="S106" s="11">
        <f>IFERROR(__xludf.DUMMYFUNCTION("""COMPUTED_VALUE"""),43202.66666666667)</f>
        <v>43202.66667</v>
      </c>
      <c r="T106" s="9">
        <f>IFERROR(__xludf.DUMMYFUNCTION("""COMPUTED_VALUE"""),163.87)</f>
        <v>163.87</v>
      </c>
      <c r="V106" s="11">
        <f>IFERROR(__xludf.DUMMYFUNCTION("""COMPUTED_VALUE"""),43202.66666666667)</f>
        <v>43202.66667</v>
      </c>
      <c r="W106" s="9">
        <f>IFERROR(__xludf.DUMMYFUNCTION("""COMPUTED_VALUE"""),309.72)</f>
        <v>309.72</v>
      </c>
      <c r="X106" s="11">
        <f>IFERROR(__xludf.DUMMYFUNCTION("""COMPUTED_VALUE"""),43202.66666666667)</f>
        <v>43202.66667</v>
      </c>
      <c r="Y106" s="9">
        <f>IFERROR(__xludf.DUMMYFUNCTION("""COMPUTED_VALUE"""),309.25)</f>
        <v>309.25</v>
      </c>
      <c r="AA106" s="11">
        <f>IFERROR(__xludf.DUMMYFUNCTION("""COMPUTED_VALUE"""),43202.66666666667)</f>
        <v>43202.66667</v>
      </c>
      <c r="AB106" s="9">
        <f>IFERROR(__xludf.DUMMYFUNCTION("""COMPUTED_VALUE"""),1439.5)</f>
        <v>1439.5</v>
      </c>
      <c r="AC106" s="11">
        <f>IFERROR(__xludf.DUMMYFUNCTION("""COMPUTED_VALUE"""),43202.66666666667)</f>
        <v>43202.66667</v>
      </c>
      <c r="AD106" s="9">
        <f>IFERROR(__xludf.DUMMYFUNCTION("""COMPUTED_VALUE"""),1448.5)</f>
        <v>1448.5</v>
      </c>
    </row>
    <row r="107">
      <c r="B107" s="11">
        <f>IFERROR(__xludf.DUMMYFUNCTION("""COMPUTED_VALUE"""),43203.66666666667)</f>
        <v>43203.66667</v>
      </c>
      <c r="C107" s="9">
        <f>IFERROR(__xludf.DUMMYFUNCTION("""COMPUTED_VALUE"""),60.72)</f>
        <v>60.72</v>
      </c>
      <c r="D107" s="11">
        <f>IFERROR(__xludf.DUMMYFUNCTION("""COMPUTED_VALUE"""),43203.66666666667)</f>
        <v>43203.66667</v>
      </c>
      <c r="E107" s="9">
        <f>IFERROR(__xludf.DUMMYFUNCTION("""COMPUTED_VALUE"""),60.07)</f>
        <v>60.07</v>
      </c>
      <c r="G107" s="11">
        <f>IFERROR(__xludf.DUMMYFUNCTION("""COMPUTED_VALUE"""),43203.66666666667)</f>
        <v>43203.66667</v>
      </c>
      <c r="H107" s="9">
        <f>IFERROR(__xludf.DUMMYFUNCTION("""COMPUTED_VALUE"""),1040.88)</f>
        <v>1040.88</v>
      </c>
      <c r="I107" s="11">
        <f>IFERROR(__xludf.DUMMYFUNCTION("""COMPUTED_VALUE"""),43203.66666666667)</f>
        <v>43203.66667</v>
      </c>
      <c r="J107" s="9">
        <f>IFERROR(__xludf.DUMMYFUNCTION("""COMPUTED_VALUE"""),1029.27)</f>
        <v>1029.27</v>
      </c>
      <c r="L107" s="11">
        <f>IFERROR(__xludf.DUMMYFUNCTION("""COMPUTED_VALUE"""),43203.66666666667)</f>
        <v>43203.66667</v>
      </c>
      <c r="M107" s="9">
        <f>IFERROR(__xludf.DUMMYFUNCTION("""COMPUTED_VALUE"""),43.7)</f>
        <v>43.7</v>
      </c>
      <c r="N107" s="11">
        <f>IFERROR(__xludf.DUMMYFUNCTION("""COMPUTED_VALUE"""),43203.66666666667)</f>
        <v>43203.66667</v>
      </c>
      <c r="O107" s="9">
        <f>IFERROR(__xludf.DUMMYFUNCTION("""COMPUTED_VALUE"""),43.68)</f>
        <v>43.68</v>
      </c>
      <c r="Q107" s="11">
        <f>IFERROR(__xludf.DUMMYFUNCTION("""COMPUTED_VALUE"""),43203.66666666667)</f>
        <v>43203.66667</v>
      </c>
      <c r="R107" s="9">
        <f>IFERROR(__xludf.DUMMYFUNCTION("""COMPUTED_VALUE"""),164.58)</f>
        <v>164.58</v>
      </c>
      <c r="S107" s="11">
        <f>IFERROR(__xludf.DUMMYFUNCTION("""COMPUTED_VALUE"""),43203.66666666667)</f>
        <v>43203.66667</v>
      </c>
      <c r="T107" s="9">
        <f>IFERROR(__xludf.DUMMYFUNCTION("""COMPUTED_VALUE"""),164.52)</f>
        <v>164.52</v>
      </c>
      <c r="V107" s="11">
        <f>IFERROR(__xludf.DUMMYFUNCTION("""COMPUTED_VALUE"""),43203.66666666667)</f>
        <v>43203.66667</v>
      </c>
      <c r="W107" s="9">
        <f>IFERROR(__xludf.DUMMYFUNCTION("""COMPUTED_VALUE"""),317.29)</f>
        <v>317.29</v>
      </c>
      <c r="X107" s="11">
        <f>IFERROR(__xludf.DUMMYFUNCTION("""COMPUTED_VALUE"""),43203.66666666667)</f>
        <v>43203.66667</v>
      </c>
      <c r="Y107" s="9">
        <f>IFERROR(__xludf.DUMMYFUNCTION("""COMPUTED_VALUE"""),311.65)</f>
        <v>311.65</v>
      </c>
      <c r="AA107" s="11">
        <f>IFERROR(__xludf.DUMMYFUNCTION("""COMPUTED_VALUE"""),43203.66666666667)</f>
        <v>43203.66667</v>
      </c>
      <c r="AB107" s="9">
        <f>IFERROR(__xludf.DUMMYFUNCTION("""COMPUTED_VALUE"""),1449.14)</f>
        <v>1449.14</v>
      </c>
      <c r="AC107" s="11">
        <f>IFERROR(__xludf.DUMMYFUNCTION("""COMPUTED_VALUE"""),43203.66666666667)</f>
        <v>43203.66667</v>
      </c>
      <c r="AD107" s="9">
        <f>IFERROR(__xludf.DUMMYFUNCTION("""COMPUTED_VALUE"""),1430.79)</f>
        <v>1430.79</v>
      </c>
    </row>
    <row r="108">
      <c r="B108" s="11">
        <f>IFERROR(__xludf.DUMMYFUNCTION("""COMPUTED_VALUE"""),43206.66666666667)</f>
        <v>43206.66667</v>
      </c>
      <c r="C108" s="9">
        <f>IFERROR(__xludf.DUMMYFUNCTION("""COMPUTED_VALUE"""),59.8)</f>
        <v>59.8</v>
      </c>
      <c r="D108" s="11">
        <f>IFERROR(__xludf.DUMMYFUNCTION("""COMPUTED_VALUE"""),43206.66666666667)</f>
        <v>43206.66667</v>
      </c>
      <c r="E108" s="9">
        <f>IFERROR(__xludf.DUMMYFUNCTION("""COMPUTED_VALUE"""),58.24)</f>
        <v>58.24</v>
      </c>
      <c r="G108" s="11">
        <f>IFERROR(__xludf.DUMMYFUNCTION("""COMPUTED_VALUE"""),43206.66666666667)</f>
        <v>43206.66667</v>
      </c>
      <c r="H108" s="9">
        <f>IFERROR(__xludf.DUMMYFUNCTION("""COMPUTED_VALUE"""),1037.0)</f>
        <v>1037</v>
      </c>
      <c r="I108" s="11">
        <f>IFERROR(__xludf.DUMMYFUNCTION("""COMPUTED_VALUE"""),43206.66666666667)</f>
        <v>43206.66667</v>
      </c>
      <c r="J108" s="9">
        <f>IFERROR(__xludf.DUMMYFUNCTION("""COMPUTED_VALUE"""),1037.98)</f>
        <v>1037.98</v>
      </c>
      <c r="L108" s="11">
        <f>IFERROR(__xludf.DUMMYFUNCTION("""COMPUTED_VALUE"""),43206.66666666667)</f>
        <v>43206.66667</v>
      </c>
      <c r="M108" s="9">
        <f>IFERROR(__xludf.DUMMYFUNCTION("""COMPUTED_VALUE"""),43.76)</f>
        <v>43.76</v>
      </c>
      <c r="N108" s="11">
        <f>IFERROR(__xludf.DUMMYFUNCTION("""COMPUTED_VALUE"""),43206.66666666667)</f>
        <v>43206.66667</v>
      </c>
      <c r="O108" s="9">
        <f>IFERROR(__xludf.DUMMYFUNCTION("""COMPUTED_VALUE"""),43.96)</f>
        <v>43.96</v>
      </c>
      <c r="Q108" s="11">
        <f>IFERROR(__xludf.DUMMYFUNCTION("""COMPUTED_VALUE"""),43206.66666666667)</f>
        <v>43206.66667</v>
      </c>
      <c r="R108" s="9">
        <f>IFERROR(__xludf.DUMMYFUNCTION("""COMPUTED_VALUE"""),165.72)</f>
        <v>165.72</v>
      </c>
      <c r="S108" s="11">
        <f>IFERROR(__xludf.DUMMYFUNCTION("""COMPUTED_VALUE"""),43206.66666666667)</f>
        <v>43206.66667</v>
      </c>
      <c r="T108" s="9">
        <f>IFERROR(__xludf.DUMMYFUNCTION("""COMPUTED_VALUE"""),164.83)</f>
        <v>164.83</v>
      </c>
      <c r="V108" s="11">
        <f>IFERROR(__xludf.DUMMYFUNCTION("""COMPUTED_VALUE"""),43206.66666666667)</f>
        <v>43206.66667</v>
      </c>
      <c r="W108" s="9">
        <f>IFERROR(__xludf.DUMMYFUNCTION("""COMPUTED_VALUE"""),315.99)</f>
        <v>315.99</v>
      </c>
      <c r="X108" s="11">
        <f>IFERROR(__xludf.DUMMYFUNCTION("""COMPUTED_VALUE"""),43206.66666666667)</f>
        <v>43206.66667</v>
      </c>
      <c r="Y108" s="9">
        <f>IFERROR(__xludf.DUMMYFUNCTION("""COMPUTED_VALUE"""),307.78)</f>
        <v>307.78</v>
      </c>
      <c r="AA108" s="11">
        <f>IFERROR(__xludf.DUMMYFUNCTION("""COMPUTED_VALUE"""),43206.66666666667)</f>
        <v>43206.66667</v>
      </c>
      <c r="AB108" s="9">
        <f>IFERROR(__xludf.DUMMYFUNCTION("""COMPUTED_VALUE"""),1445.0)</f>
        <v>1445</v>
      </c>
      <c r="AC108" s="11">
        <f>IFERROR(__xludf.DUMMYFUNCTION("""COMPUTED_VALUE"""),43206.66666666667)</f>
        <v>43206.66667</v>
      </c>
      <c r="AD108" s="9">
        <f>IFERROR(__xludf.DUMMYFUNCTION("""COMPUTED_VALUE"""),1441.5)</f>
        <v>1441.5</v>
      </c>
    </row>
    <row r="109">
      <c r="B109" s="11">
        <f>IFERROR(__xludf.DUMMYFUNCTION("""COMPUTED_VALUE"""),43207.66666666667)</f>
        <v>43207.66667</v>
      </c>
      <c r="C109" s="9">
        <f>IFERROR(__xludf.DUMMYFUNCTION("""COMPUTED_VALUE"""),57.77)</f>
        <v>57.77</v>
      </c>
      <c r="D109" s="11">
        <f>IFERROR(__xludf.DUMMYFUNCTION("""COMPUTED_VALUE"""),43207.66666666667)</f>
        <v>43207.66667</v>
      </c>
      <c r="E109" s="9">
        <f>IFERROR(__xludf.DUMMYFUNCTION("""COMPUTED_VALUE"""),57.54)</f>
        <v>57.54</v>
      </c>
      <c r="G109" s="11">
        <f>IFERROR(__xludf.DUMMYFUNCTION("""COMPUTED_VALUE"""),43207.66666666667)</f>
        <v>43207.66667</v>
      </c>
      <c r="H109" s="9">
        <f>IFERROR(__xludf.DUMMYFUNCTION("""COMPUTED_VALUE"""),1051.37)</f>
        <v>1051.37</v>
      </c>
      <c r="I109" s="11">
        <f>IFERROR(__xludf.DUMMYFUNCTION("""COMPUTED_VALUE"""),43207.66666666667)</f>
        <v>43207.66667</v>
      </c>
      <c r="J109" s="9">
        <f>IFERROR(__xludf.DUMMYFUNCTION("""COMPUTED_VALUE"""),1074.16)</f>
        <v>1074.16</v>
      </c>
      <c r="L109" s="11">
        <f>IFERROR(__xludf.DUMMYFUNCTION("""COMPUTED_VALUE"""),43207.66666666667)</f>
        <v>43207.66667</v>
      </c>
      <c r="M109" s="9">
        <f>IFERROR(__xludf.DUMMYFUNCTION("""COMPUTED_VALUE"""),44.12)</f>
        <v>44.12</v>
      </c>
      <c r="N109" s="11">
        <f>IFERROR(__xludf.DUMMYFUNCTION("""COMPUTED_VALUE"""),43207.66666666667)</f>
        <v>43207.66667</v>
      </c>
      <c r="O109" s="9">
        <f>IFERROR(__xludf.DUMMYFUNCTION("""COMPUTED_VALUE"""),44.56)</f>
        <v>44.56</v>
      </c>
      <c r="Q109" s="11">
        <f>IFERROR(__xludf.DUMMYFUNCTION("""COMPUTED_VALUE"""),43207.66666666667)</f>
        <v>43207.66667</v>
      </c>
      <c r="R109" s="9">
        <f>IFERROR(__xludf.DUMMYFUNCTION("""COMPUTED_VALUE"""),165.83)</f>
        <v>165.83</v>
      </c>
      <c r="S109" s="11">
        <f>IFERROR(__xludf.DUMMYFUNCTION("""COMPUTED_VALUE"""),43207.66666666667)</f>
        <v>43207.66667</v>
      </c>
      <c r="T109" s="9">
        <f>IFERROR(__xludf.DUMMYFUNCTION("""COMPUTED_VALUE"""),168.66)</f>
        <v>168.66</v>
      </c>
      <c r="V109" s="11">
        <f>IFERROR(__xludf.DUMMYFUNCTION("""COMPUTED_VALUE"""),43207.66666666667)</f>
        <v>43207.66667</v>
      </c>
      <c r="W109" s="9">
        <f>IFERROR(__xludf.DUMMYFUNCTION("""COMPUTED_VALUE"""),329.66)</f>
        <v>329.66</v>
      </c>
      <c r="X109" s="11">
        <f>IFERROR(__xludf.DUMMYFUNCTION("""COMPUTED_VALUE"""),43207.66666666667)</f>
        <v>43207.66667</v>
      </c>
      <c r="Y109" s="9">
        <f>IFERROR(__xludf.DUMMYFUNCTION("""COMPUTED_VALUE"""),336.06)</f>
        <v>336.06</v>
      </c>
      <c r="AA109" s="11">
        <f>IFERROR(__xludf.DUMMYFUNCTION("""COMPUTED_VALUE"""),43207.66666666667)</f>
        <v>43207.66667</v>
      </c>
      <c r="AB109" s="9">
        <f>IFERROR(__xludf.DUMMYFUNCTION("""COMPUTED_VALUE"""),1462.3)</f>
        <v>1462.3</v>
      </c>
      <c r="AC109" s="11">
        <f>IFERROR(__xludf.DUMMYFUNCTION("""COMPUTED_VALUE"""),43207.66666666667)</f>
        <v>43207.66667</v>
      </c>
      <c r="AD109" s="9">
        <f>IFERROR(__xludf.DUMMYFUNCTION("""COMPUTED_VALUE"""),1503.83)</f>
        <v>1503.83</v>
      </c>
    </row>
    <row r="110">
      <c r="B110" s="11">
        <f>IFERROR(__xludf.DUMMYFUNCTION("""COMPUTED_VALUE"""),43208.66666666667)</f>
        <v>43208.66667</v>
      </c>
      <c r="C110" s="9">
        <f>IFERROR(__xludf.DUMMYFUNCTION("""COMPUTED_VALUE"""),58.22)</f>
        <v>58.22</v>
      </c>
      <c r="D110" s="11">
        <f>IFERROR(__xludf.DUMMYFUNCTION("""COMPUTED_VALUE"""),43208.66666666667)</f>
        <v>43208.66667</v>
      </c>
      <c r="E110" s="9">
        <f>IFERROR(__xludf.DUMMYFUNCTION("""COMPUTED_VALUE"""),58.67)</f>
        <v>58.67</v>
      </c>
      <c r="G110" s="11">
        <f>IFERROR(__xludf.DUMMYFUNCTION("""COMPUTED_VALUE"""),43208.66666666667)</f>
        <v>43208.66667</v>
      </c>
      <c r="H110" s="9">
        <f>IFERROR(__xludf.DUMMYFUNCTION("""COMPUTED_VALUE"""),1077.43)</f>
        <v>1077.43</v>
      </c>
      <c r="I110" s="11">
        <f>IFERROR(__xludf.DUMMYFUNCTION("""COMPUTED_VALUE"""),43208.66666666667)</f>
        <v>43208.66667</v>
      </c>
      <c r="J110" s="9">
        <f>IFERROR(__xludf.DUMMYFUNCTION("""COMPUTED_VALUE"""),1072.08)</f>
        <v>1072.08</v>
      </c>
      <c r="L110" s="11">
        <f>IFERROR(__xludf.DUMMYFUNCTION("""COMPUTED_VALUE"""),43208.66666666667)</f>
        <v>43208.66667</v>
      </c>
      <c r="M110" s="9">
        <f>IFERROR(__xludf.DUMMYFUNCTION("""COMPUTED_VALUE"""),44.45)</f>
        <v>44.45</v>
      </c>
      <c r="N110" s="11">
        <f>IFERROR(__xludf.DUMMYFUNCTION("""COMPUTED_VALUE"""),43208.66666666667)</f>
        <v>43208.66667</v>
      </c>
      <c r="O110" s="9">
        <f>IFERROR(__xludf.DUMMYFUNCTION("""COMPUTED_VALUE"""),44.46)</f>
        <v>44.46</v>
      </c>
      <c r="Q110" s="11">
        <f>IFERROR(__xludf.DUMMYFUNCTION("""COMPUTED_VALUE"""),43208.66666666667)</f>
        <v>43208.66667</v>
      </c>
      <c r="R110" s="9">
        <f>IFERROR(__xludf.DUMMYFUNCTION("""COMPUTED_VALUE"""),166.88)</f>
        <v>166.88</v>
      </c>
      <c r="S110" s="11">
        <f>IFERROR(__xludf.DUMMYFUNCTION("""COMPUTED_VALUE"""),43208.66666666667)</f>
        <v>43208.66667</v>
      </c>
      <c r="T110" s="9">
        <f>IFERROR(__xludf.DUMMYFUNCTION("""COMPUTED_VALUE"""),166.36)</f>
        <v>166.36</v>
      </c>
      <c r="V110" s="11">
        <f>IFERROR(__xludf.DUMMYFUNCTION("""COMPUTED_VALUE"""),43208.66666666667)</f>
        <v>43208.66667</v>
      </c>
      <c r="W110" s="9">
        <f>IFERROR(__xludf.DUMMYFUNCTION("""COMPUTED_VALUE"""),336.3)</f>
        <v>336.3</v>
      </c>
      <c r="X110" s="11">
        <f>IFERROR(__xludf.DUMMYFUNCTION("""COMPUTED_VALUE"""),43208.66666666667)</f>
        <v>43208.66667</v>
      </c>
      <c r="Y110" s="9">
        <f>IFERROR(__xludf.DUMMYFUNCTION("""COMPUTED_VALUE"""),334.52)</f>
        <v>334.52</v>
      </c>
      <c r="AA110" s="11">
        <f>IFERROR(__xludf.DUMMYFUNCTION("""COMPUTED_VALUE"""),43208.66666666667)</f>
        <v>43208.66667</v>
      </c>
      <c r="AB110" s="9">
        <f>IFERROR(__xludf.DUMMYFUNCTION("""COMPUTED_VALUE"""),1514.65)</f>
        <v>1514.65</v>
      </c>
      <c r="AC110" s="11">
        <f>IFERROR(__xludf.DUMMYFUNCTION("""COMPUTED_VALUE"""),43208.66666666667)</f>
        <v>43208.66667</v>
      </c>
      <c r="AD110" s="9">
        <f>IFERROR(__xludf.DUMMYFUNCTION("""COMPUTED_VALUE"""),1527.84)</f>
        <v>1527.84</v>
      </c>
    </row>
    <row r="111">
      <c r="B111" s="11">
        <f>IFERROR(__xludf.DUMMYFUNCTION("""COMPUTED_VALUE"""),43209.66666666667)</f>
        <v>43209.66667</v>
      </c>
      <c r="C111" s="9">
        <f>IFERROR(__xludf.DUMMYFUNCTION("""COMPUTED_VALUE"""),58.22)</f>
        <v>58.22</v>
      </c>
      <c r="D111" s="11">
        <f>IFERROR(__xludf.DUMMYFUNCTION("""COMPUTED_VALUE"""),43209.66666666667)</f>
        <v>43209.66667</v>
      </c>
      <c r="E111" s="9">
        <f>IFERROR(__xludf.DUMMYFUNCTION("""COMPUTED_VALUE"""),60.02)</f>
        <v>60.02</v>
      </c>
      <c r="G111" s="11">
        <f>IFERROR(__xludf.DUMMYFUNCTION("""COMPUTED_VALUE"""),43209.66666666667)</f>
        <v>43209.66667</v>
      </c>
      <c r="H111" s="9">
        <f>IFERROR(__xludf.DUMMYFUNCTION("""COMPUTED_VALUE"""),1069.4)</f>
        <v>1069.4</v>
      </c>
      <c r="I111" s="11">
        <f>IFERROR(__xludf.DUMMYFUNCTION("""COMPUTED_VALUE"""),43209.66666666667)</f>
        <v>43209.66667</v>
      </c>
      <c r="J111" s="9">
        <f>IFERROR(__xludf.DUMMYFUNCTION("""COMPUTED_VALUE"""),1087.7)</f>
        <v>1087.7</v>
      </c>
      <c r="L111" s="11">
        <f>IFERROR(__xludf.DUMMYFUNCTION("""COMPUTED_VALUE"""),43209.66666666667)</f>
        <v>43209.66667</v>
      </c>
      <c r="M111" s="9">
        <f>IFERROR(__xludf.DUMMYFUNCTION("""COMPUTED_VALUE"""),43.74)</f>
        <v>43.74</v>
      </c>
      <c r="N111" s="11">
        <f>IFERROR(__xludf.DUMMYFUNCTION("""COMPUTED_VALUE"""),43209.66666666667)</f>
        <v>43209.66667</v>
      </c>
      <c r="O111" s="9">
        <f>IFERROR(__xludf.DUMMYFUNCTION("""COMPUTED_VALUE"""),43.2)</f>
        <v>43.2</v>
      </c>
      <c r="Q111" s="11">
        <f>IFERROR(__xludf.DUMMYFUNCTION("""COMPUTED_VALUE"""),43209.66666666667)</f>
        <v>43209.66667</v>
      </c>
      <c r="R111" s="9">
        <f>IFERROR(__xludf.DUMMYFUNCTION("""COMPUTED_VALUE"""),166.2)</f>
        <v>166.2</v>
      </c>
      <c r="S111" s="11">
        <f>IFERROR(__xludf.DUMMYFUNCTION("""COMPUTED_VALUE"""),43209.66666666667)</f>
        <v>43209.66667</v>
      </c>
      <c r="T111" s="9">
        <f>IFERROR(__xludf.DUMMYFUNCTION("""COMPUTED_VALUE"""),168.1)</f>
        <v>168.1</v>
      </c>
      <c r="V111" s="11">
        <f>IFERROR(__xludf.DUMMYFUNCTION("""COMPUTED_VALUE"""),43209.66666666667)</f>
        <v>43209.66667</v>
      </c>
      <c r="W111" s="9">
        <f>IFERROR(__xludf.DUMMYFUNCTION("""COMPUTED_VALUE"""),332.88)</f>
        <v>332.88</v>
      </c>
      <c r="X111" s="11">
        <f>IFERROR(__xludf.DUMMYFUNCTION("""COMPUTED_VALUE"""),43209.66666666667)</f>
        <v>43209.66667</v>
      </c>
      <c r="Y111" s="9">
        <f>IFERROR(__xludf.DUMMYFUNCTION("""COMPUTED_VALUE"""),332.7)</f>
        <v>332.7</v>
      </c>
      <c r="AA111" s="11">
        <f>IFERROR(__xludf.DUMMYFUNCTION("""COMPUTED_VALUE"""),43209.66666666667)</f>
        <v>43209.66667</v>
      </c>
      <c r="AB111" s="9">
        <f>IFERROR(__xludf.DUMMYFUNCTION("""COMPUTED_VALUE"""),1543.22)</f>
        <v>1543.22</v>
      </c>
      <c r="AC111" s="11">
        <f>IFERROR(__xludf.DUMMYFUNCTION("""COMPUTED_VALUE"""),43209.66666666667)</f>
        <v>43209.66667</v>
      </c>
      <c r="AD111" s="9">
        <f>IFERROR(__xludf.DUMMYFUNCTION("""COMPUTED_VALUE"""),1556.91)</f>
        <v>1556.91</v>
      </c>
    </row>
    <row r="112">
      <c r="B112" s="11">
        <f>IFERROR(__xludf.DUMMYFUNCTION("""COMPUTED_VALUE"""),43210.66666666667)</f>
        <v>43210.66667</v>
      </c>
      <c r="C112" s="9">
        <f>IFERROR(__xludf.DUMMYFUNCTION("""COMPUTED_VALUE"""),59.03)</f>
        <v>59.03</v>
      </c>
      <c r="D112" s="11">
        <f>IFERROR(__xludf.DUMMYFUNCTION("""COMPUTED_VALUE"""),43210.66666666667)</f>
        <v>43210.66667</v>
      </c>
      <c r="E112" s="9">
        <f>IFERROR(__xludf.DUMMYFUNCTION("""COMPUTED_VALUE"""),58.05)</f>
        <v>58.05</v>
      </c>
      <c r="G112" s="11">
        <f>IFERROR(__xludf.DUMMYFUNCTION("""COMPUTED_VALUE"""),43210.66666666667)</f>
        <v>43210.66667</v>
      </c>
      <c r="H112" s="9">
        <f>IFERROR(__xludf.DUMMYFUNCTION("""COMPUTED_VALUE"""),1082.0)</f>
        <v>1082</v>
      </c>
      <c r="I112" s="11">
        <f>IFERROR(__xludf.DUMMYFUNCTION("""COMPUTED_VALUE"""),43210.66666666667)</f>
        <v>43210.66667</v>
      </c>
      <c r="J112" s="9">
        <f>IFERROR(__xludf.DUMMYFUNCTION("""COMPUTED_VALUE"""),1072.96)</f>
        <v>1072.96</v>
      </c>
      <c r="L112" s="11">
        <f>IFERROR(__xludf.DUMMYFUNCTION("""COMPUTED_VALUE"""),43210.66666666667)</f>
        <v>43210.66667</v>
      </c>
      <c r="M112" s="9">
        <f>IFERROR(__xludf.DUMMYFUNCTION("""COMPUTED_VALUE"""),42.65)</f>
        <v>42.65</v>
      </c>
      <c r="N112" s="11">
        <f>IFERROR(__xludf.DUMMYFUNCTION("""COMPUTED_VALUE"""),43210.66666666667)</f>
        <v>43210.66667</v>
      </c>
      <c r="O112" s="9">
        <f>IFERROR(__xludf.DUMMYFUNCTION("""COMPUTED_VALUE"""),41.43)</f>
        <v>41.43</v>
      </c>
      <c r="Q112" s="11">
        <f>IFERROR(__xludf.DUMMYFUNCTION("""COMPUTED_VALUE"""),43210.66666666667)</f>
        <v>43210.66667</v>
      </c>
      <c r="R112" s="9">
        <f>IFERROR(__xludf.DUMMYFUNCTION("""COMPUTED_VALUE"""),167.79)</f>
        <v>167.79</v>
      </c>
      <c r="S112" s="11">
        <f>IFERROR(__xludf.DUMMYFUNCTION("""COMPUTED_VALUE"""),43210.66666666667)</f>
        <v>43210.66667</v>
      </c>
      <c r="T112" s="9">
        <f>IFERROR(__xludf.DUMMYFUNCTION("""COMPUTED_VALUE"""),166.28)</f>
        <v>166.28</v>
      </c>
      <c r="V112" s="11">
        <f>IFERROR(__xludf.DUMMYFUNCTION("""COMPUTED_VALUE"""),43210.66666666667)</f>
        <v>43210.66667</v>
      </c>
      <c r="W112" s="9">
        <f>IFERROR(__xludf.DUMMYFUNCTION("""COMPUTED_VALUE"""),332.22)</f>
        <v>332.22</v>
      </c>
      <c r="X112" s="11">
        <f>IFERROR(__xludf.DUMMYFUNCTION("""COMPUTED_VALUE"""),43210.66666666667)</f>
        <v>43210.66667</v>
      </c>
      <c r="Y112" s="9">
        <f>IFERROR(__xludf.DUMMYFUNCTION("""COMPUTED_VALUE"""),327.77)</f>
        <v>327.77</v>
      </c>
      <c r="AA112" s="11">
        <f>IFERROR(__xludf.DUMMYFUNCTION("""COMPUTED_VALUE"""),43210.66666666667)</f>
        <v>43210.66667</v>
      </c>
      <c r="AB112" s="9">
        <f>IFERROR(__xludf.DUMMYFUNCTION("""COMPUTED_VALUE"""),1561.2)</f>
        <v>1561.2</v>
      </c>
      <c r="AC112" s="11">
        <f>IFERROR(__xludf.DUMMYFUNCTION("""COMPUTED_VALUE"""),43210.66666666667)</f>
        <v>43210.66667</v>
      </c>
      <c r="AD112" s="9">
        <f>IFERROR(__xludf.DUMMYFUNCTION("""COMPUTED_VALUE"""),1527.49)</f>
        <v>1527.49</v>
      </c>
    </row>
    <row r="113">
      <c r="B113" s="11">
        <f>IFERROR(__xludf.DUMMYFUNCTION("""COMPUTED_VALUE"""),43213.66666666667)</f>
        <v>43213.66667</v>
      </c>
      <c r="C113" s="9">
        <f>IFERROR(__xludf.DUMMYFUNCTION("""COMPUTED_VALUE"""),58.26)</f>
        <v>58.26</v>
      </c>
      <c r="D113" s="11">
        <f>IFERROR(__xludf.DUMMYFUNCTION("""COMPUTED_VALUE"""),43213.66666666667)</f>
        <v>43213.66667</v>
      </c>
      <c r="E113" s="9">
        <f>IFERROR(__xludf.DUMMYFUNCTION("""COMPUTED_VALUE"""),56.67)</f>
        <v>56.67</v>
      </c>
      <c r="G113" s="11">
        <f>IFERROR(__xludf.DUMMYFUNCTION("""COMPUTED_VALUE"""),43213.66666666667)</f>
        <v>43213.66667</v>
      </c>
      <c r="H113" s="9">
        <f>IFERROR(__xludf.DUMMYFUNCTION("""COMPUTED_VALUE"""),1077.86)</f>
        <v>1077.86</v>
      </c>
      <c r="I113" s="11">
        <f>IFERROR(__xludf.DUMMYFUNCTION("""COMPUTED_VALUE"""),43213.66666666667)</f>
        <v>43213.66667</v>
      </c>
      <c r="J113" s="9">
        <f>IFERROR(__xludf.DUMMYFUNCTION("""COMPUTED_VALUE"""),1067.45)</f>
        <v>1067.45</v>
      </c>
      <c r="L113" s="11">
        <f>IFERROR(__xludf.DUMMYFUNCTION("""COMPUTED_VALUE"""),43213.66666666667)</f>
        <v>43213.66667</v>
      </c>
      <c r="M113" s="9">
        <f>IFERROR(__xludf.DUMMYFUNCTION("""COMPUTED_VALUE"""),41.71)</f>
        <v>41.71</v>
      </c>
      <c r="N113" s="11">
        <f>IFERROR(__xludf.DUMMYFUNCTION("""COMPUTED_VALUE"""),43213.66666666667)</f>
        <v>43213.66667</v>
      </c>
      <c r="O113" s="9">
        <f>IFERROR(__xludf.DUMMYFUNCTION("""COMPUTED_VALUE"""),41.31)</f>
        <v>41.31</v>
      </c>
      <c r="Q113" s="11">
        <f>IFERROR(__xludf.DUMMYFUNCTION("""COMPUTED_VALUE"""),43213.66666666667)</f>
        <v>43213.66667</v>
      </c>
      <c r="R113" s="9">
        <f>IFERROR(__xludf.DUMMYFUNCTION("""COMPUTED_VALUE"""),167.27)</f>
        <v>167.27</v>
      </c>
      <c r="S113" s="11">
        <f>IFERROR(__xludf.DUMMYFUNCTION("""COMPUTED_VALUE"""),43213.66666666667)</f>
        <v>43213.66667</v>
      </c>
      <c r="T113" s="9">
        <f>IFERROR(__xludf.DUMMYFUNCTION("""COMPUTED_VALUE"""),165.84)</f>
        <v>165.84</v>
      </c>
      <c r="V113" s="11">
        <f>IFERROR(__xludf.DUMMYFUNCTION("""COMPUTED_VALUE"""),43213.66666666667)</f>
        <v>43213.66667</v>
      </c>
      <c r="W113" s="9">
        <f>IFERROR(__xludf.DUMMYFUNCTION("""COMPUTED_VALUE"""),329.15)</f>
        <v>329.15</v>
      </c>
      <c r="X113" s="11">
        <f>IFERROR(__xludf.DUMMYFUNCTION("""COMPUTED_VALUE"""),43213.66666666667)</f>
        <v>43213.66667</v>
      </c>
      <c r="Y113" s="9">
        <f>IFERROR(__xludf.DUMMYFUNCTION("""COMPUTED_VALUE"""),318.69)</f>
        <v>318.69</v>
      </c>
      <c r="AA113" s="11">
        <f>IFERROR(__xludf.DUMMYFUNCTION("""COMPUTED_VALUE"""),43213.66666666667)</f>
        <v>43213.66667</v>
      </c>
      <c r="AB113" s="9">
        <f>IFERROR(__xludf.DUMMYFUNCTION("""COMPUTED_VALUE"""),1546.69)</f>
        <v>1546.69</v>
      </c>
      <c r="AC113" s="11">
        <f>IFERROR(__xludf.DUMMYFUNCTION("""COMPUTED_VALUE"""),43213.66666666667)</f>
        <v>43213.66667</v>
      </c>
      <c r="AD113" s="9">
        <f>IFERROR(__xludf.DUMMYFUNCTION("""COMPUTED_VALUE"""),1517.86)</f>
        <v>1517.86</v>
      </c>
    </row>
    <row r="114">
      <c r="B114" s="11">
        <f>IFERROR(__xludf.DUMMYFUNCTION("""COMPUTED_VALUE"""),43214.66666666667)</f>
        <v>43214.66667</v>
      </c>
      <c r="C114" s="9">
        <f>IFERROR(__xludf.DUMMYFUNCTION("""COMPUTED_VALUE"""),57.0)</f>
        <v>57</v>
      </c>
      <c r="D114" s="11">
        <f>IFERROR(__xludf.DUMMYFUNCTION("""COMPUTED_VALUE"""),43214.66666666667)</f>
        <v>43214.66667</v>
      </c>
      <c r="E114" s="9">
        <f>IFERROR(__xludf.DUMMYFUNCTION("""COMPUTED_VALUE"""),56.69)</f>
        <v>56.69</v>
      </c>
      <c r="G114" s="11">
        <f>IFERROR(__xludf.DUMMYFUNCTION("""COMPUTED_VALUE"""),43214.66666666667)</f>
        <v>43214.66667</v>
      </c>
      <c r="H114" s="9">
        <f>IFERROR(__xludf.DUMMYFUNCTION("""COMPUTED_VALUE"""),1052.0)</f>
        <v>1052</v>
      </c>
      <c r="I114" s="11">
        <f>IFERROR(__xludf.DUMMYFUNCTION("""COMPUTED_VALUE"""),43214.66666666667)</f>
        <v>43214.66667</v>
      </c>
      <c r="J114" s="9">
        <f>IFERROR(__xludf.DUMMYFUNCTION("""COMPUTED_VALUE"""),1019.98)</f>
        <v>1019.98</v>
      </c>
      <c r="L114" s="11">
        <f>IFERROR(__xludf.DUMMYFUNCTION("""COMPUTED_VALUE"""),43214.66666666667)</f>
        <v>43214.66667</v>
      </c>
      <c r="M114" s="9">
        <f>IFERROR(__xludf.DUMMYFUNCTION("""COMPUTED_VALUE"""),41.42)</f>
        <v>41.42</v>
      </c>
      <c r="N114" s="11">
        <f>IFERROR(__xludf.DUMMYFUNCTION("""COMPUTED_VALUE"""),43214.66666666667)</f>
        <v>43214.66667</v>
      </c>
      <c r="O114" s="9">
        <f>IFERROR(__xludf.DUMMYFUNCTION("""COMPUTED_VALUE"""),40.74)</f>
        <v>40.74</v>
      </c>
      <c r="Q114" s="11">
        <f>IFERROR(__xludf.DUMMYFUNCTION("""COMPUTED_VALUE"""),43214.66666666667)</f>
        <v>43214.66667</v>
      </c>
      <c r="R114" s="9">
        <f>IFERROR(__xludf.DUMMYFUNCTION("""COMPUTED_VALUE"""),165.43)</f>
        <v>165.43</v>
      </c>
      <c r="S114" s="11">
        <f>IFERROR(__xludf.DUMMYFUNCTION("""COMPUTED_VALUE"""),43214.66666666667)</f>
        <v>43214.66667</v>
      </c>
      <c r="T114" s="9">
        <f>IFERROR(__xludf.DUMMYFUNCTION("""COMPUTED_VALUE"""),159.69)</f>
        <v>159.69</v>
      </c>
      <c r="V114" s="11">
        <f>IFERROR(__xludf.DUMMYFUNCTION("""COMPUTED_VALUE"""),43214.66666666667)</f>
        <v>43214.66667</v>
      </c>
      <c r="W114" s="9">
        <f>IFERROR(__xludf.DUMMYFUNCTION("""COMPUTED_VALUE"""),319.22)</f>
        <v>319.22</v>
      </c>
      <c r="X114" s="11">
        <f>IFERROR(__xludf.DUMMYFUNCTION("""COMPUTED_VALUE"""),43214.66666666667)</f>
        <v>43214.66667</v>
      </c>
      <c r="Y114" s="9">
        <f>IFERROR(__xludf.DUMMYFUNCTION("""COMPUTED_VALUE"""),307.02)</f>
        <v>307.02</v>
      </c>
      <c r="AA114" s="11">
        <f>IFERROR(__xludf.DUMMYFUNCTION("""COMPUTED_VALUE"""),43214.66666666667)</f>
        <v>43214.66667</v>
      </c>
      <c r="AB114" s="9">
        <f>IFERROR(__xludf.DUMMYFUNCTION("""COMPUTED_VALUE"""),1535.8)</f>
        <v>1535.8</v>
      </c>
      <c r="AC114" s="11">
        <f>IFERROR(__xludf.DUMMYFUNCTION("""COMPUTED_VALUE"""),43214.66666666667)</f>
        <v>43214.66667</v>
      </c>
      <c r="AD114" s="9">
        <f>IFERROR(__xludf.DUMMYFUNCTION("""COMPUTED_VALUE"""),1460.09)</f>
        <v>1460.09</v>
      </c>
    </row>
    <row r="115">
      <c r="B115" s="11">
        <f>IFERROR(__xludf.DUMMYFUNCTION("""COMPUTED_VALUE"""),43215.66666666667)</f>
        <v>43215.66667</v>
      </c>
      <c r="C115" s="9">
        <f>IFERROR(__xludf.DUMMYFUNCTION("""COMPUTED_VALUE"""),56.7)</f>
        <v>56.7</v>
      </c>
      <c r="D115" s="11">
        <f>IFERROR(__xludf.DUMMYFUNCTION("""COMPUTED_VALUE"""),43215.66666666667)</f>
        <v>43215.66667</v>
      </c>
      <c r="E115" s="9">
        <f>IFERROR(__xludf.DUMMYFUNCTION("""COMPUTED_VALUE"""),56.14)</f>
        <v>56.14</v>
      </c>
      <c r="G115" s="11">
        <f>IFERROR(__xludf.DUMMYFUNCTION("""COMPUTED_VALUE"""),43215.66666666667)</f>
        <v>43215.66667</v>
      </c>
      <c r="H115" s="9">
        <f>IFERROR(__xludf.DUMMYFUNCTION("""COMPUTED_VALUE"""),1025.52)</f>
        <v>1025.52</v>
      </c>
      <c r="I115" s="11">
        <f>IFERROR(__xludf.DUMMYFUNCTION("""COMPUTED_VALUE"""),43215.66666666667)</f>
        <v>43215.66667</v>
      </c>
      <c r="J115" s="9">
        <f>IFERROR(__xludf.DUMMYFUNCTION("""COMPUTED_VALUE"""),1021.18)</f>
        <v>1021.18</v>
      </c>
      <c r="L115" s="11">
        <f>IFERROR(__xludf.DUMMYFUNCTION("""COMPUTED_VALUE"""),43215.66666666667)</f>
        <v>43215.66667</v>
      </c>
      <c r="M115" s="9">
        <f>IFERROR(__xludf.DUMMYFUNCTION("""COMPUTED_VALUE"""),40.66)</f>
        <v>40.66</v>
      </c>
      <c r="N115" s="11">
        <f>IFERROR(__xludf.DUMMYFUNCTION("""COMPUTED_VALUE"""),43215.66666666667)</f>
        <v>43215.66667</v>
      </c>
      <c r="O115" s="9">
        <f>IFERROR(__xludf.DUMMYFUNCTION("""COMPUTED_VALUE"""),40.91)</f>
        <v>40.91</v>
      </c>
      <c r="Q115" s="11">
        <f>IFERROR(__xludf.DUMMYFUNCTION("""COMPUTED_VALUE"""),43215.66666666667)</f>
        <v>43215.66667</v>
      </c>
      <c r="R115" s="9">
        <f>IFERROR(__xludf.DUMMYFUNCTION("""COMPUTED_VALUE"""),160.14)</f>
        <v>160.14</v>
      </c>
      <c r="S115" s="11">
        <f>IFERROR(__xludf.DUMMYFUNCTION("""COMPUTED_VALUE"""),43215.66666666667)</f>
        <v>43215.66667</v>
      </c>
      <c r="T115" s="9">
        <f>IFERROR(__xludf.DUMMYFUNCTION("""COMPUTED_VALUE"""),159.69)</f>
        <v>159.69</v>
      </c>
      <c r="V115" s="11">
        <f>IFERROR(__xludf.DUMMYFUNCTION("""COMPUTED_VALUE"""),43215.66666666667)</f>
        <v>43215.66667</v>
      </c>
      <c r="W115" s="9">
        <f>IFERROR(__xludf.DUMMYFUNCTION("""COMPUTED_VALUE"""),306.37)</f>
        <v>306.37</v>
      </c>
      <c r="X115" s="11">
        <f>IFERROR(__xludf.DUMMYFUNCTION("""COMPUTED_VALUE"""),43215.66666666667)</f>
        <v>43215.66667</v>
      </c>
      <c r="Y115" s="9">
        <f>IFERROR(__xludf.DUMMYFUNCTION("""COMPUTED_VALUE"""),305.76)</f>
        <v>305.76</v>
      </c>
      <c r="AA115" s="11">
        <f>IFERROR(__xludf.DUMMYFUNCTION("""COMPUTED_VALUE"""),43215.66666666667)</f>
        <v>43215.66667</v>
      </c>
      <c r="AB115" s="9">
        <f>IFERROR(__xludf.DUMMYFUNCTION("""COMPUTED_VALUE"""),1458.0)</f>
        <v>1458</v>
      </c>
      <c r="AC115" s="11">
        <f>IFERROR(__xludf.DUMMYFUNCTION("""COMPUTED_VALUE"""),43215.66666666667)</f>
        <v>43215.66667</v>
      </c>
      <c r="AD115" s="9">
        <f>IFERROR(__xludf.DUMMYFUNCTION("""COMPUTED_VALUE"""),1460.17)</f>
        <v>1460.17</v>
      </c>
    </row>
    <row r="116">
      <c r="B116" s="11">
        <f>IFERROR(__xludf.DUMMYFUNCTION("""COMPUTED_VALUE"""),43216.66666666667)</f>
        <v>43216.66667</v>
      </c>
      <c r="C116" s="9">
        <f>IFERROR(__xludf.DUMMYFUNCTION("""COMPUTED_VALUE"""),55.75)</f>
        <v>55.75</v>
      </c>
      <c r="D116" s="11">
        <f>IFERROR(__xludf.DUMMYFUNCTION("""COMPUTED_VALUE"""),43216.66666666667)</f>
        <v>43216.66667</v>
      </c>
      <c r="E116" s="9">
        <f>IFERROR(__xludf.DUMMYFUNCTION("""COMPUTED_VALUE"""),57.1)</f>
        <v>57.1</v>
      </c>
      <c r="G116" s="11">
        <f>IFERROR(__xludf.DUMMYFUNCTION("""COMPUTED_VALUE"""),43216.66666666667)</f>
        <v>43216.66667</v>
      </c>
      <c r="H116" s="9">
        <f>IFERROR(__xludf.DUMMYFUNCTION("""COMPUTED_VALUE"""),1029.51)</f>
        <v>1029.51</v>
      </c>
      <c r="I116" s="11">
        <f>IFERROR(__xludf.DUMMYFUNCTION("""COMPUTED_VALUE"""),43216.66666666667)</f>
        <v>43216.66667</v>
      </c>
      <c r="J116" s="9">
        <f>IFERROR(__xludf.DUMMYFUNCTION("""COMPUTED_VALUE"""),1040.04)</f>
        <v>1040.04</v>
      </c>
      <c r="L116" s="11">
        <f>IFERROR(__xludf.DUMMYFUNCTION("""COMPUTED_VALUE"""),43216.66666666667)</f>
        <v>43216.66667</v>
      </c>
      <c r="M116" s="9">
        <f>IFERROR(__xludf.DUMMYFUNCTION("""COMPUTED_VALUE"""),41.03)</f>
        <v>41.03</v>
      </c>
      <c r="N116" s="11">
        <f>IFERROR(__xludf.DUMMYFUNCTION("""COMPUTED_VALUE"""),43216.66666666667)</f>
        <v>43216.66667</v>
      </c>
      <c r="O116" s="9">
        <f>IFERROR(__xludf.DUMMYFUNCTION("""COMPUTED_VALUE"""),41.06)</f>
        <v>41.06</v>
      </c>
      <c r="Q116" s="11">
        <f>IFERROR(__xludf.DUMMYFUNCTION("""COMPUTED_VALUE"""),43216.66666666667)</f>
        <v>43216.66667</v>
      </c>
      <c r="R116" s="9">
        <f>IFERROR(__xludf.DUMMYFUNCTION("""COMPUTED_VALUE"""),173.22)</f>
        <v>173.22</v>
      </c>
      <c r="S116" s="11">
        <f>IFERROR(__xludf.DUMMYFUNCTION("""COMPUTED_VALUE"""),43216.66666666667)</f>
        <v>43216.66667</v>
      </c>
      <c r="T116" s="9">
        <f>IFERROR(__xludf.DUMMYFUNCTION("""COMPUTED_VALUE"""),174.16)</f>
        <v>174.16</v>
      </c>
      <c r="V116" s="11">
        <f>IFERROR(__xludf.DUMMYFUNCTION("""COMPUTED_VALUE"""),43216.66666666667)</f>
        <v>43216.66667</v>
      </c>
      <c r="W116" s="9">
        <f>IFERROR(__xludf.DUMMYFUNCTION("""COMPUTED_VALUE"""),310.0)</f>
        <v>310</v>
      </c>
      <c r="X116" s="11">
        <f>IFERROR(__xludf.DUMMYFUNCTION("""COMPUTED_VALUE"""),43216.66666666667)</f>
        <v>43216.66667</v>
      </c>
      <c r="Y116" s="9">
        <f>IFERROR(__xludf.DUMMYFUNCTION("""COMPUTED_VALUE"""),313.98)</f>
        <v>313.98</v>
      </c>
      <c r="AA116" s="11">
        <f>IFERROR(__xludf.DUMMYFUNCTION("""COMPUTED_VALUE"""),43216.66666666667)</f>
        <v>43216.66667</v>
      </c>
      <c r="AB116" s="9">
        <f>IFERROR(__xludf.DUMMYFUNCTION("""COMPUTED_VALUE"""),1485.01)</f>
        <v>1485.01</v>
      </c>
      <c r="AC116" s="11">
        <f>IFERROR(__xludf.DUMMYFUNCTION("""COMPUTED_VALUE"""),43216.66666666667)</f>
        <v>43216.66667</v>
      </c>
      <c r="AD116" s="9">
        <f>IFERROR(__xludf.DUMMYFUNCTION("""COMPUTED_VALUE"""),1517.96)</f>
        <v>1517.96</v>
      </c>
    </row>
    <row r="117">
      <c r="B117" s="11">
        <f>IFERROR(__xludf.DUMMYFUNCTION("""COMPUTED_VALUE"""),43217.66666666667)</f>
        <v>43217.66667</v>
      </c>
      <c r="C117" s="9">
        <f>IFERROR(__xludf.DUMMYFUNCTION("""COMPUTED_VALUE"""),57.07)</f>
        <v>57.07</v>
      </c>
      <c r="D117" s="11">
        <f>IFERROR(__xludf.DUMMYFUNCTION("""COMPUTED_VALUE"""),43217.66666666667)</f>
        <v>43217.66667</v>
      </c>
      <c r="E117" s="9">
        <f>IFERROR(__xludf.DUMMYFUNCTION("""COMPUTED_VALUE"""),58.82)</f>
        <v>58.82</v>
      </c>
      <c r="G117" s="11">
        <f>IFERROR(__xludf.DUMMYFUNCTION("""COMPUTED_VALUE"""),43217.66666666667)</f>
        <v>43217.66667</v>
      </c>
      <c r="H117" s="9">
        <f>IFERROR(__xludf.DUMMYFUNCTION("""COMPUTED_VALUE"""),1046.0)</f>
        <v>1046</v>
      </c>
      <c r="I117" s="11">
        <f>IFERROR(__xludf.DUMMYFUNCTION("""COMPUTED_VALUE"""),43217.66666666667)</f>
        <v>43217.66667</v>
      </c>
      <c r="J117" s="9">
        <f>IFERROR(__xludf.DUMMYFUNCTION("""COMPUTED_VALUE"""),1030.05)</f>
        <v>1030.05</v>
      </c>
      <c r="L117" s="11">
        <f>IFERROR(__xludf.DUMMYFUNCTION("""COMPUTED_VALUE"""),43217.66666666667)</f>
        <v>43217.66667</v>
      </c>
      <c r="M117" s="9">
        <f>IFERROR(__xludf.DUMMYFUNCTION("""COMPUTED_VALUE"""),41.0)</f>
        <v>41</v>
      </c>
      <c r="N117" s="11">
        <f>IFERROR(__xludf.DUMMYFUNCTION("""COMPUTED_VALUE"""),43217.66666666667)</f>
        <v>43217.66667</v>
      </c>
      <c r="O117" s="9">
        <f>IFERROR(__xludf.DUMMYFUNCTION("""COMPUTED_VALUE"""),40.58)</f>
        <v>40.58</v>
      </c>
      <c r="Q117" s="11">
        <f>IFERROR(__xludf.DUMMYFUNCTION("""COMPUTED_VALUE"""),43217.66666666667)</f>
        <v>43217.66667</v>
      </c>
      <c r="R117" s="9">
        <f>IFERROR(__xludf.DUMMYFUNCTION("""COMPUTED_VALUE"""),176.81)</f>
        <v>176.81</v>
      </c>
      <c r="S117" s="11">
        <f>IFERROR(__xludf.DUMMYFUNCTION("""COMPUTED_VALUE"""),43217.66666666667)</f>
        <v>43217.66667</v>
      </c>
      <c r="T117" s="9">
        <f>IFERROR(__xludf.DUMMYFUNCTION("""COMPUTED_VALUE"""),173.59)</f>
        <v>173.59</v>
      </c>
      <c r="V117" s="11">
        <f>IFERROR(__xludf.DUMMYFUNCTION("""COMPUTED_VALUE"""),43217.66666666667)</f>
        <v>43217.66667</v>
      </c>
      <c r="W117" s="9">
        <f>IFERROR(__xludf.DUMMYFUNCTION("""COMPUTED_VALUE"""),316.25)</f>
        <v>316.25</v>
      </c>
      <c r="X117" s="11">
        <f>IFERROR(__xludf.DUMMYFUNCTION("""COMPUTED_VALUE"""),43217.66666666667)</f>
        <v>43217.66667</v>
      </c>
      <c r="Y117" s="9">
        <f>IFERROR(__xludf.DUMMYFUNCTION("""COMPUTED_VALUE"""),311.76)</f>
        <v>311.76</v>
      </c>
      <c r="AA117" s="11">
        <f>IFERROR(__xludf.DUMMYFUNCTION("""COMPUTED_VALUE"""),43217.66666666667)</f>
        <v>43217.66667</v>
      </c>
      <c r="AB117" s="9">
        <f>IFERROR(__xludf.DUMMYFUNCTION("""COMPUTED_VALUE"""),1634.01)</f>
        <v>1634.01</v>
      </c>
      <c r="AC117" s="11">
        <f>IFERROR(__xludf.DUMMYFUNCTION("""COMPUTED_VALUE"""),43217.66666666667)</f>
        <v>43217.66667</v>
      </c>
      <c r="AD117" s="9">
        <f>IFERROR(__xludf.DUMMYFUNCTION("""COMPUTED_VALUE"""),1572.62)</f>
        <v>1572.62</v>
      </c>
    </row>
    <row r="118">
      <c r="B118" s="11">
        <f>IFERROR(__xludf.DUMMYFUNCTION("""COMPUTED_VALUE"""),43220.66666666667)</f>
        <v>43220.66667</v>
      </c>
      <c r="C118" s="9">
        <f>IFERROR(__xludf.DUMMYFUNCTION("""COMPUTED_VALUE"""),58.72)</f>
        <v>58.72</v>
      </c>
      <c r="D118" s="11">
        <f>IFERROR(__xludf.DUMMYFUNCTION("""COMPUTED_VALUE"""),43220.66666666667)</f>
        <v>43220.66667</v>
      </c>
      <c r="E118" s="9">
        <f>IFERROR(__xludf.DUMMYFUNCTION("""COMPUTED_VALUE"""),58.78)</f>
        <v>58.78</v>
      </c>
      <c r="G118" s="11">
        <f>IFERROR(__xludf.DUMMYFUNCTION("""COMPUTED_VALUE"""),43220.66666666667)</f>
        <v>43220.66667</v>
      </c>
      <c r="H118" s="9">
        <f>IFERROR(__xludf.DUMMYFUNCTION("""COMPUTED_VALUE"""),1030.01)</f>
        <v>1030.01</v>
      </c>
      <c r="I118" s="11">
        <f>IFERROR(__xludf.DUMMYFUNCTION("""COMPUTED_VALUE"""),43220.66666666667)</f>
        <v>43220.66667</v>
      </c>
      <c r="J118" s="9">
        <f>IFERROR(__xludf.DUMMYFUNCTION("""COMPUTED_VALUE"""),1017.33)</f>
        <v>1017.33</v>
      </c>
      <c r="L118" s="11">
        <f>IFERROR(__xludf.DUMMYFUNCTION("""COMPUTED_VALUE"""),43220.66666666667)</f>
        <v>43220.66667</v>
      </c>
      <c r="M118" s="9">
        <f>IFERROR(__xludf.DUMMYFUNCTION("""COMPUTED_VALUE"""),40.53)</f>
        <v>40.53</v>
      </c>
      <c r="N118" s="11">
        <f>IFERROR(__xludf.DUMMYFUNCTION("""COMPUTED_VALUE"""),43220.66666666667)</f>
        <v>43220.66667</v>
      </c>
      <c r="O118" s="9">
        <f>IFERROR(__xludf.DUMMYFUNCTION("""COMPUTED_VALUE"""),41.32)</f>
        <v>41.32</v>
      </c>
      <c r="Q118" s="11">
        <f>IFERROR(__xludf.DUMMYFUNCTION("""COMPUTED_VALUE"""),43220.66666666667)</f>
        <v>43220.66667</v>
      </c>
      <c r="R118" s="9">
        <f>IFERROR(__xludf.DUMMYFUNCTION("""COMPUTED_VALUE"""),173.79)</f>
        <v>173.79</v>
      </c>
      <c r="S118" s="11">
        <f>IFERROR(__xludf.DUMMYFUNCTION("""COMPUTED_VALUE"""),43220.66666666667)</f>
        <v>43220.66667</v>
      </c>
      <c r="T118" s="9">
        <f>IFERROR(__xludf.DUMMYFUNCTION("""COMPUTED_VALUE"""),172.0)</f>
        <v>172</v>
      </c>
      <c r="V118" s="11">
        <f>IFERROR(__xludf.DUMMYFUNCTION("""COMPUTED_VALUE"""),43220.66666666667)</f>
        <v>43220.66667</v>
      </c>
      <c r="W118" s="9">
        <f>IFERROR(__xludf.DUMMYFUNCTION("""COMPUTED_VALUE"""),311.07)</f>
        <v>311.07</v>
      </c>
      <c r="X118" s="11">
        <f>IFERROR(__xludf.DUMMYFUNCTION("""COMPUTED_VALUE"""),43220.66666666667)</f>
        <v>43220.66667</v>
      </c>
      <c r="Y118" s="9">
        <f>IFERROR(__xludf.DUMMYFUNCTION("""COMPUTED_VALUE"""),312.46)</f>
        <v>312.46</v>
      </c>
      <c r="AA118" s="11">
        <f>IFERROR(__xludf.DUMMYFUNCTION("""COMPUTED_VALUE"""),43220.66666666667)</f>
        <v>43220.66667</v>
      </c>
      <c r="AB118" s="9">
        <f>IFERROR(__xludf.DUMMYFUNCTION("""COMPUTED_VALUE"""),1582.5)</f>
        <v>1582.5</v>
      </c>
      <c r="AC118" s="11">
        <f>IFERROR(__xludf.DUMMYFUNCTION("""COMPUTED_VALUE"""),43220.66666666667)</f>
        <v>43220.66667</v>
      </c>
      <c r="AD118" s="9">
        <f>IFERROR(__xludf.DUMMYFUNCTION("""COMPUTED_VALUE"""),1566.13)</f>
        <v>1566.13</v>
      </c>
    </row>
    <row r="119">
      <c r="B119" s="11">
        <f>IFERROR(__xludf.DUMMYFUNCTION("""COMPUTED_VALUE"""),43221.66666666667)</f>
        <v>43221.66667</v>
      </c>
      <c r="C119" s="9">
        <f>IFERROR(__xludf.DUMMYFUNCTION("""COMPUTED_VALUE"""),58.7)</f>
        <v>58.7</v>
      </c>
      <c r="D119" s="11">
        <f>IFERROR(__xludf.DUMMYFUNCTION("""COMPUTED_VALUE"""),43221.66666666667)</f>
        <v>43221.66667</v>
      </c>
      <c r="E119" s="9">
        <f>IFERROR(__xludf.DUMMYFUNCTION("""COMPUTED_VALUE"""),59.98)</f>
        <v>59.98</v>
      </c>
      <c r="G119" s="11">
        <f>IFERROR(__xludf.DUMMYFUNCTION("""COMPUTED_VALUE"""),43221.66666666667)</f>
        <v>43221.66667</v>
      </c>
      <c r="H119" s="9">
        <f>IFERROR(__xludf.DUMMYFUNCTION("""COMPUTED_VALUE"""),1013.66)</f>
        <v>1013.66</v>
      </c>
      <c r="I119" s="11">
        <f>IFERROR(__xludf.DUMMYFUNCTION("""COMPUTED_VALUE"""),43221.66666666667)</f>
        <v>43221.66667</v>
      </c>
      <c r="J119" s="9">
        <f>IFERROR(__xludf.DUMMYFUNCTION("""COMPUTED_VALUE"""),1037.31)</f>
        <v>1037.31</v>
      </c>
      <c r="L119" s="11">
        <f>IFERROR(__xludf.DUMMYFUNCTION("""COMPUTED_VALUE"""),43221.66666666667)</f>
        <v>43221.66667</v>
      </c>
      <c r="M119" s="9">
        <f>IFERROR(__xludf.DUMMYFUNCTION("""COMPUTED_VALUE"""),41.6)</f>
        <v>41.6</v>
      </c>
      <c r="N119" s="11">
        <f>IFERROR(__xludf.DUMMYFUNCTION("""COMPUTED_VALUE"""),43221.66666666667)</f>
        <v>43221.66667</v>
      </c>
      <c r="O119" s="9">
        <f>IFERROR(__xludf.DUMMYFUNCTION("""COMPUTED_VALUE"""),42.28)</f>
        <v>42.28</v>
      </c>
      <c r="Q119" s="11">
        <f>IFERROR(__xludf.DUMMYFUNCTION("""COMPUTED_VALUE"""),43221.66666666667)</f>
        <v>43221.66667</v>
      </c>
      <c r="R119" s="9">
        <f>IFERROR(__xludf.DUMMYFUNCTION("""COMPUTED_VALUE"""),172.0)</f>
        <v>172</v>
      </c>
      <c r="S119" s="11">
        <f>IFERROR(__xludf.DUMMYFUNCTION("""COMPUTED_VALUE"""),43221.66666666667)</f>
        <v>43221.66667</v>
      </c>
      <c r="T119" s="9">
        <f>IFERROR(__xludf.DUMMYFUNCTION("""COMPUTED_VALUE"""),173.86)</f>
        <v>173.86</v>
      </c>
      <c r="V119" s="11">
        <f>IFERROR(__xludf.DUMMYFUNCTION("""COMPUTED_VALUE"""),43221.66666666667)</f>
        <v>43221.66667</v>
      </c>
      <c r="W119" s="9">
        <f>IFERROR(__xludf.DUMMYFUNCTION("""COMPUTED_VALUE"""),310.36)</f>
        <v>310.36</v>
      </c>
      <c r="X119" s="11">
        <f>IFERROR(__xludf.DUMMYFUNCTION("""COMPUTED_VALUE"""),43221.66666666667)</f>
        <v>43221.66667</v>
      </c>
      <c r="Y119" s="9">
        <f>IFERROR(__xludf.DUMMYFUNCTION("""COMPUTED_VALUE"""),313.3)</f>
        <v>313.3</v>
      </c>
      <c r="AA119" s="11">
        <f>IFERROR(__xludf.DUMMYFUNCTION("""COMPUTED_VALUE"""),43221.66666666667)</f>
        <v>43221.66667</v>
      </c>
      <c r="AB119" s="9">
        <f>IFERROR(__xludf.DUMMYFUNCTION("""COMPUTED_VALUE"""),1563.22)</f>
        <v>1563.22</v>
      </c>
      <c r="AC119" s="11">
        <f>IFERROR(__xludf.DUMMYFUNCTION("""COMPUTED_VALUE"""),43221.66666666667)</f>
        <v>43221.66667</v>
      </c>
      <c r="AD119" s="9">
        <f>IFERROR(__xludf.DUMMYFUNCTION("""COMPUTED_VALUE"""),1582.26)</f>
        <v>1582.26</v>
      </c>
    </row>
    <row r="120">
      <c r="B120" s="11">
        <f>IFERROR(__xludf.DUMMYFUNCTION("""COMPUTED_VALUE"""),43222.66666666667)</f>
        <v>43222.66667</v>
      </c>
      <c r="C120" s="9">
        <f>IFERROR(__xludf.DUMMYFUNCTION("""COMPUTED_VALUE"""),59.71)</f>
        <v>59.71</v>
      </c>
      <c r="D120" s="11">
        <f>IFERROR(__xludf.DUMMYFUNCTION("""COMPUTED_VALUE"""),43222.66666666667)</f>
        <v>43222.66667</v>
      </c>
      <c r="E120" s="9">
        <f>IFERROR(__xludf.DUMMYFUNCTION("""COMPUTED_VALUE"""),60.23)</f>
        <v>60.23</v>
      </c>
      <c r="G120" s="11">
        <f>IFERROR(__xludf.DUMMYFUNCTION("""COMPUTED_VALUE"""),43222.66666666667)</f>
        <v>43222.66667</v>
      </c>
      <c r="H120" s="9">
        <f>IFERROR(__xludf.DUMMYFUNCTION("""COMPUTED_VALUE"""),1028.1)</f>
        <v>1028.1</v>
      </c>
      <c r="I120" s="11">
        <f>IFERROR(__xludf.DUMMYFUNCTION("""COMPUTED_VALUE"""),43222.66666666667)</f>
        <v>43222.66667</v>
      </c>
      <c r="J120" s="9">
        <f>IFERROR(__xludf.DUMMYFUNCTION("""COMPUTED_VALUE"""),1024.38)</f>
        <v>1024.38</v>
      </c>
      <c r="L120" s="11">
        <f>IFERROR(__xludf.DUMMYFUNCTION("""COMPUTED_VALUE"""),43222.66666666667)</f>
        <v>43222.66667</v>
      </c>
      <c r="M120" s="9">
        <f>IFERROR(__xludf.DUMMYFUNCTION("""COMPUTED_VALUE"""),43.81)</f>
        <v>43.81</v>
      </c>
      <c r="N120" s="11">
        <f>IFERROR(__xludf.DUMMYFUNCTION("""COMPUTED_VALUE"""),43222.66666666667)</f>
        <v>43222.66667</v>
      </c>
      <c r="O120" s="9">
        <f>IFERROR(__xludf.DUMMYFUNCTION("""COMPUTED_VALUE"""),44.14)</f>
        <v>44.14</v>
      </c>
      <c r="Q120" s="11">
        <f>IFERROR(__xludf.DUMMYFUNCTION("""COMPUTED_VALUE"""),43222.66666666667)</f>
        <v>43222.66667</v>
      </c>
      <c r="R120" s="9">
        <f>IFERROR(__xludf.DUMMYFUNCTION("""COMPUTED_VALUE"""),174.25)</f>
        <v>174.25</v>
      </c>
      <c r="S120" s="11">
        <f>IFERROR(__xludf.DUMMYFUNCTION("""COMPUTED_VALUE"""),43222.66666666667)</f>
        <v>43222.66667</v>
      </c>
      <c r="T120" s="9">
        <f>IFERROR(__xludf.DUMMYFUNCTION("""COMPUTED_VALUE"""),176.07)</f>
        <v>176.07</v>
      </c>
      <c r="V120" s="11">
        <f>IFERROR(__xludf.DUMMYFUNCTION("""COMPUTED_VALUE"""),43222.66666666667)</f>
        <v>43222.66667</v>
      </c>
      <c r="W120" s="9">
        <f>IFERROR(__xludf.DUMMYFUNCTION("""COMPUTED_VALUE"""),311.65)</f>
        <v>311.65</v>
      </c>
      <c r="X120" s="11">
        <f>IFERROR(__xludf.DUMMYFUNCTION("""COMPUTED_VALUE"""),43222.66666666667)</f>
        <v>43222.66667</v>
      </c>
      <c r="Y120" s="9">
        <f>IFERROR(__xludf.DUMMYFUNCTION("""COMPUTED_VALUE"""),313.36)</f>
        <v>313.36</v>
      </c>
      <c r="AA120" s="11">
        <f>IFERROR(__xludf.DUMMYFUNCTION("""COMPUTED_VALUE"""),43222.66666666667)</f>
        <v>43222.66667</v>
      </c>
      <c r="AB120" s="9">
        <f>IFERROR(__xludf.DUMMYFUNCTION("""COMPUTED_VALUE"""),1580.98)</f>
        <v>1580.98</v>
      </c>
      <c r="AC120" s="11">
        <f>IFERROR(__xludf.DUMMYFUNCTION("""COMPUTED_VALUE"""),43222.66666666667)</f>
        <v>43222.66667</v>
      </c>
      <c r="AD120" s="9">
        <f>IFERROR(__xludf.DUMMYFUNCTION("""COMPUTED_VALUE"""),1569.68)</f>
        <v>1569.68</v>
      </c>
    </row>
    <row r="121">
      <c r="B121" s="11">
        <f>IFERROR(__xludf.DUMMYFUNCTION("""COMPUTED_VALUE"""),43223.66666666667)</f>
        <v>43223.66667</v>
      </c>
      <c r="C121" s="9">
        <f>IFERROR(__xludf.DUMMYFUNCTION("""COMPUTED_VALUE"""),55.76)</f>
        <v>55.76</v>
      </c>
      <c r="D121" s="11">
        <f>IFERROR(__xludf.DUMMYFUNCTION("""COMPUTED_VALUE"""),43223.66666666667)</f>
        <v>43223.66667</v>
      </c>
      <c r="E121" s="9">
        <f>IFERROR(__xludf.DUMMYFUNCTION("""COMPUTED_VALUE"""),56.89)</f>
        <v>56.89</v>
      </c>
      <c r="G121" s="11">
        <f>IFERROR(__xludf.DUMMYFUNCTION("""COMPUTED_VALUE"""),43223.66666666667)</f>
        <v>43223.66667</v>
      </c>
      <c r="H121" s="9">
        <f>IFERROR(__xludf.DUMMYFUNCTION("""COMPUTED_VALUE"""),1019.0)</f>
        <v>1019</v>
      </c>
      <c r="I121" s="11">
        <f>IFERROR(__xludf.DUMMYFUNCTION("""COMPUTED_VALUE"""),43223.66666666667)</f>
        <v>43223.66667</v>
      </c>
      <c r="J121" s="9">
        <f>IFERROR(__xludf.DUMMYFUNCTION("""COMPUTED_VALUE"""),1023.72)</f>
        <v>1023.72</v>
      </c>
      <c r="L121" s="11">
        <f>IFERROR(__xludf.DUMMYFUNCTION("""COMPUTED_VALUE"""),43223.66666666667)</f>
        <v>43223.66667</v>
      </c>
      <c r="M121" s="9">
        <f>IFERROR(__xludf.DUMMYFUNCTION("""COMPUTED_VALUE"""),43.97)</f>
        <v>43.97</v>
      </c>
      <c r="N121" s="11">
        <f>IFERROR(__xludf.DUMMYFUNCTION("""COMPUTED_VALUE"""),43223.66666666667)</f>
        <v>43223.66667</v>
      </c>
      <c r="O121" s="9">
        <f>IFERROR(__xludf.DUMMYFUNCTION("""COMPUTED_VALUE"""),44.22)</f>
        <v>44.22</v>
      </c>
      <c r="Q121" s="11">
        <f>IFERROR(__xludf.DUMMYFUNCTION("""COMPUTED_VALUE"""),43223.66666666667)</f>
        <v>43223.66667</v>
      </c>
      <c r="R121" s="9">
        <f>IFERROR(__xludf.DUMMYFUNCTION("""COMPUTED_VALUE"""),175.13)</f>
        <v>175.13</v>
      </c>
      <c r="S121" s="11">
        <f>IFERROR(__xludf.DUMMYFUNCTION("""COMPUTED_VALUE"""),43223.66666666667)</f>
        <v>43223.66667</v>
      </c>
      <c r="T121" s="9">
        <f>IFERROR(__xludf.DUMMYFUNCTION("""COMPUTED_VALUE"""),174.02)</f>
        <v>174.02</v>
      </c>
      <c r="V121" s="11">
        <f>IFERROR(__xludf.DUMMYFUNCTION("""COMPUTED_VALUE"""),43223.66666666667)</f>
        <v>43223.66667</v>
      </c>
      <c r="W121" s="9">
        <f>IFERROR(__xludf.DUMMYFUNCTION("""COMPUTED_VALUE"""),312.59)</f>
        <v>312.59</v>
      </c>
      <c r="X121" s="11">
        <f>IFERROR(__xludf.DUMMYFUNCTION("""COMPUTED_VALUE"""),43223.66666666667)</f>
        <v>43223.66667</v>
      </c>
      <c r="Y121" s="9">
        <f>IFERROR(__xludf.DUMMYFUNCTION("""COMPUTED_VALUE"""),311.69)</f>
        <v>311.69</v>
      </c>
      <c r="AA121" s="11">
        <f>IFERROR(__xludf.DUMMYFUNCTION("""COMPUTED_VALUE"""),43223.66666666667)</f>
        <v>43223.66667</v>
      </c>
      <c r="AB121" s="9">
        <f>IFERROR(__xludf.DUMMYFUNCTION("""COMPUTED_VALUE"""),1560.01)</f>
        <v>1560.01</v>
      </c>
      <c r="AC121" s="11">
        <f>IFERROR(__xludf.DUMMYFUNCTION("""COMPUTED_VALUE"""),43223.66666666667)</f>
        <v>43223.66667</v>
      </c>
      <c r="AD121" s="9">
        <f>IFERROR(__xludf.DUMMYFUNCTION("""COMPUTED_VALUE"""),1572.08)</f>
        <v>1572.08</v>
      </c>
    </row>
    <row r="122">
      <c r="B122" s="11">
        <f>IFERROR(__xludf.DUMMYFUNCTION("""COMPUTED_VALUE"""),43224.66666666667)</f>
        <v>43224.66667</v>
      </c>
      <c r="C122" s="9">
        <f>IFERROR(__xludf.DUMMYFUNCTION("""COMPUTED_VALUE"""),56.6)</f>
        <v>56.6</v>
      </c>
      <c r="D122" s="11">
        <f>IFERROR(__xludf.DUMMYFUNCTION("""COMPUTED_VALUE"""),43224.66666666667)</f>
        <v>43224.66667</v>
      </c>
      <c r="E122" s="9">
        <f>IFERROR(__xludf.DUMMYFUNCTION("""COMPUTED_VALUE"""),58.82)</f>
        <v>58.82</v>
      </c>
      <c r="G122" s="11">
        <f>IFERROR(__xludf.DUMMYFUNCTION("""COMPUTED_VALUE"""),43224.66666666667)</f>
        <v>43224.66667</v>
      </c>
      <c r="H122" s="9">
        <f>IFERROR(__xludf.DUMMYFUNCTION("""COMPUTED_VALUE"""),1016.9)</f>
        <v>1016.9</v>
      </c>
      <c r="I122" s="11">
        <f>IFERROR(__xludf.DUMMYFUNCTION("""COMPUTED_VALUE"""),43224.66666666667)</f>
        <v>43224.66667</v>
      </c>
      <c r="J122" s="9">
        <f>IFERROR(__xludf.DUMMYFUNCTION("""COMPUTED_VALUE"""),1048.21)</f>
        <v>1048.21</v>
      </c>
      <c r="L122" s="11">
        <f>IFERROR(__xludf.DUMMYFUNCTION("""COMPUTED_VALUE"""),43224.66666666667)</f>
        <v>43224.66667</v>
      </c>
      <c r="M122" s="9">
        <f>IFERROR(__xludf.DUMMYFUNCTION("""COMPUTED_VALUE"""),44.56)</f>
        <v>44.56</v>
      </c>
      <c r="N122" s="11">
        <f>IFERROR(__xludf.DUMMYFUNCTION("""COMPUTED_VALUE"""),43224.66666666667)</f>
        <v>43224.66667</v>
      </c>
      <c r="O122" s="9">
        <f>IFERROR(__xludf.DUMMYFUNCTION("""COMPUTED_VALUE"""),45.96)</f>
        <v>45.96</v>
      </c>
      <c r="Q122" s="11">
        <f>IFERROR(__xludf.DUMMYFUNCTION("""COMPUTED_VALUE"""),43224.66666666667)</f>
        <v>43224.66667</v>
      </c>
      <c r="R122" s="9">
        <f>IFERROR(__xludf.DUMMYFUNCTION("""COMPUTED_VALUE"""),173.08)</f>
        <v>173.08</v>
      </c>
      <c r="S122" s="11">
        <f>IFERROR(__xludf.DUMMYFUNCTION("""COMPUTED_VALUE"""),43224.66666666667)</f>
        <v>43224.66667</v>
      </c>
      <c r="T122" s="9">
        <f>IFERROR(__xludf.DUMMYFUNCTION("""COMPUTED_VALUE"""),176.61)</f>
        <v>176.61</v>
      </c>
      <c r="V122" s="11">
        <f>IFERROR(__xludf.DUMMYFUNCTION("""COMPUTED_VALUE"""),43224.66666666667)</f>
        <v>43224.66667</v>
      </c>
      <c r="W122" s="9">
        <f>IFERROR(__xludf.DUMMYFUNCTION("""COMPUTED_VALUE"""),308.71)</f>
        <v>308.71</v>
      </c>
      <c r="X122" s="11">
        <f>IFERROR(__xludf.DUMMYFUNCTION("""COMPUTED_VALUE"""),43224.66666666667)</f>
        <v>43224.66667</v>
      </c>
      <c r="Y122" s="9">
        <f>IFERROR(__xludf.DUMMYFUNCTION("""COMPUTED_VALUE"""),320.09)</f>
        <v>320.09</v>
      </c>
      <c r="AA122" s="11">
        <f>IFERROR(__xludf.DUMMYFUNCTION("""COMPUTED_VALUE"""),43224.66666666667)</f>
        <v>43224.66667</v>
      </c>
      <c r="AB122" s="9">
        <f>IFERROR(__xludf.DUMMYFUNCTION("""COMPUTED_VALUE"""),1562.45)</f>
        <v>1562.45</v>
      </c>
      <c r="AC122" s="11">
        <f>IFERROR(__xludf.DUMMYFUNCTION("""COMPUTED_VALUE"""),43224.66666666667)</f>
        <v>43224.66667</v>
      </c>
      <c r="AD122" s="9">
        <f>IFERROR(__xludf.DUMMYFUNCTION("""COMPUTED_VALUE"""),1580.95)</f>
        <v>1580.95</v>
      </c>
    </row>
    <row r="123">
      <c r="B123" s="11">
        <f>IFERROR(__xludf.DUMMYFUNCTION("""COMPUTED_VALUE"""),43227.66666666667)</f>
        <v>43227.66667</v>
      </c>
      <c r="C123" s="9">
        <f>IFERROR(__xludf.DUMMYFUNCTION("""COMPUTED_VALUE"""),59.5)</f>
        <v>59.5</v>
      </c>
      <c r="D123" s="11">
        <f>IFERROR(__xludf.DUMMYFUNCTION("""COMPUTED_VALUE"""),43227.66666666667)</f>
        <v>43227.66667</v>
      </c>
      <c r="E123" s="9">
        <f>IFERROR(__xludf.DUMMYFUNCTION("""COMPUTED_VALUE"""),60.55)</f>
        <v>60.55</v>
      </c>
      <c r="G123" s="11">
        <f>IFERROR(__xludf.DUMMYFUNCTION("""COMPUTED_VALUE"""),43227.66666666667)</f>
        <v>43227.66667</v>
      </c>
      <c r="H123" s="9">
        <f>IFERROR(__xludf.DUMMYFUNCTION("""COMPUTED_VALUE"""),1049.23)</f>
        <v>1049.23</v>
      </c>
      <c r="I123" s="11">
        <f>IFERROR(__xludf.DUMMYFUNCTION("""COMPUTED_VALUE"""),43227.66666666667)</f>
        <v>43227.66667</v>
      </c>
      <c r="J123" s="9">
        <f>IFERROR(__xludf.DUMMYFUNCTION("""COMPUTED_VALUE"""),1054.79)</f>
        <v>1054.79</v>
      </c>
      <c r="L123" s="11">
        <f>IFERROR(__xludf.DUMMYFUNCTION("""COMPUTED_VALUE"""),43227.66666666667)</f>
        <v>43227.66667</v>
      </c>
      <c r="M123" s="9">
        <f>IFERROR(__xludf.DUMMYFUNCTION("""COMPUTED_VALUE"""),46.3)</f>
        <v>46.3</v>
      </c>
      <c r="N123" s="11">
        <f>IFERROR(__xludf.DUMMYFUNCTION("""COMPUTED_VALUE"""),43227.66666666667)</f>
        <v>43227.66667</v>
      </c>
      <c r="O123" s="9">
        <f>IFERROR(__xludf.DUMMYFUNCTION("""COMPUTED_VALUE"""),46.29)</f>
        <v>46.29</v>
      </c>
      <c r="Q123" s="11">
        <f>IFERROR(__xludf.DUMMYFUNCTION("""COMPUTED_VALUE"""),43227.66666666667)</f>
        <v>43227.66667</v>
      </c>
      <c r="R123" s="9">
        <f>IFERROR(__xludf.DUMMYFUNCTION("""COMPUTED_VALUE"""),177.35)</f>
        <v>177.35</v>
      </c>
      <c r="S123" s="11">
        <f>IFERROR(__xludf.DUMMYFUNCTION("""COMPUTED_VALUE"""),43227.66666666667)</f>
        <v>43227.66667</v>
      </c>
      <c r="T123" s="9">
        <f>IFERROR(__xludf.DUMMYFUNCTION("""COMPUTED_VALUE"""),177.97)</f>
        <v>177.97</v>
      </c>
      <c r="V123" s="11">
        <f>IFERROR(__xludf.DUMMYFUNCTION("""COMPUTED_VALUE"""),43227.66666666667)</f>
        <v>43227.66667</v>
      </c>
      <c r="W123" s="9">
        <f>IFERROR(__xludf.DUMMYFUNCTION("""COMPUTED_VALUE"""),321.99)</f>
        <v>321.99</v>
      </c>
      <c r="X123" s="11">
        <f>IFERROR(__xludf.DUMMYFUNCTION("""COMPUTED_VALUE"""),43227.66666666667)</f>
        <v>43227.66667</v>
      </c>
      <c r="Y123" s="9">
        <f>IFERROR(__xludf.DUMMYFUNCTION("""COMPUTED_VALUE"""),326.26)</f>
        <v>326.26</v>
      </c>
      <c r="AA123" s="11">
        <f>IFERROR(__xludf.DUMMYFUNCTION("""COMPUTED_VALUE"""),43227.66666666667)</f>
        <v>43227.66667</v>
      </c>
      <c r="AB123" s="9">
        <f>IFERROR(__xludf.DUMMYFUNCTION("""COMPUTED_VALUE"""),1589.34)</f>
        <v>1589.34</v>
      </c>
      <c r="AC123" s="11">
        <f>IFERROR(__xludf.DUMMYFUNCTION("""COMPUTED_VALUE"""),43227.66666666667)</f>
        <v>43227.66667</v>
      </c>
      <c r="AD123" s="9">
        <f>IFERROR(__xludf.DUMMYFUNCTION("""COMPUTED_VALUE"""),1600.14)</f>
        <v>1600.14</v>
      </c>
    </row>
    <row r="124">
      <c r="B124" s="11">
        <f>IFERROR(__xludf.DUMMYFUNCTION("""COMPUTED_VALUE"""),43228.66666666667)</f>
        <v>43228.66667</v>
      </c>
      <c r="C124" s="9">
        <f>IFERROR(__xludf.DUMMYFUNCTION("""COMPUTED_VALUE"""),60.16)</f>
        <v>60.16</v>
      </c>
      <c r="D124" s="11">
        <f>IFERROR(__xludf.DUMMYFUNCTION("""COMPUTED_VALUE"""),43228.66666666667)</f>
        <v>43228.66667</v>
      </c>
      <c r="E124" s="9">
        <f>IFERROR(__xludf.DUMMYFUNCTION("""COMPUTED_VALUE"""),60.39)</f>
        <v>60.39</v>
      </c>
      <c r="G124" s="11">
        <f>IFERROR(__xludf.DUMMYFUNCTION("""COMPUTED_VALUE"""),43228.66666666667)</f>
        <v>43228.66667</v>
      </c>
      <c r="H124" s="9">
        <f>IFERROR(__xludf.DUMMYFUNCTION("""COMPUTED_VALUE"""),1058.54)</f>
        <v>1058.54</v>
      </c>
      <c r="I124" s="11">
        <f>IFERROR(__xludf.DUMMYFUNCTION("""COMPUTED_VALUE"""),43228.66666666667)</f>
        <v>43228.66667</v>
      </c>
      <c r="J124" s="9">
        <f>IFERROR(__xludf.DUMMYFUNCTION("""COMPUTED_VALUE"""),1053.91)</f>
        <v>1053.91</v>
      </c>
      <c r="L124" s="11">
        <f>IFERROR(__xludf.DUMMYFUNCTION("""COMPUTED_VALUE"""),43228.66666666667)</f>
        <v>43228.66667</v>
      </c>
      <c r="M124" s="9">
        <f>IFERROR(__xludf.DUMMYFUNCTION("""COMPUTED_VALUE"""),46.25)</f>
        <v>46.25</v>
      </c>
      <c r="N124" s="11">
        <f>IFERROR(__xludf.DUMMYFUNCTION("""COMPUTED_VALUE"""),43228.66666666667)</f>
        <v>43228.66667</v>
      </c>
      <c r="O124" s="9">
        <f>IFERROR(__xludf.DUMMYFUNCTION("""COMPUTED_VALUE"""),46.51)</f>
        <v>46.51</v>
      </c>
      <c r="Q124" s="11">
        <f>IFERROR(__xludf.DUMMYFUNCTION("""COMPUTED_VALUE"""),43228.66666666667)</f>
        <v>43228.66667</v>
      </c>
      <c r="R124" s="9">
        <f>IFERROR(__xludf.DUMMYFUNCTION("""COMPUTED_VALUE"""),178.25)</f>
        <v>178.25</v>
      </c>
      <c r="S124" s="11">
        <f>IFERROR(__xludf.DUMMYFUNCTION("""COMPUTED_VALUE"""),43228.66666666667)</f>
        <v>43228.66667</v>
      </c>
      <c r="T124" s="9">
        <f>IFERROR(__xludf.DUMMYFUNCTION("""COMPUTED_VALUE"""),178.92)</f>
        <v>178.92</v>
      </c>
      <c r="V124" s="11">
        <f>IFERROR(__xludf.DUMMYFUNCTION("""COMPUTED_VALUE"""),43228.66666666667)</f>
        <v>43228.66667</v>
      </c>
      <c r="W124" s="9">
        <f>IFERROR(__xludf.DUMMYFUNCTION("""COMPUTED_VALUE"""),325.9)</f>
        <v>325.9</v>
      </c>
      <c r="X124" s="11">
        <f>IFERROR(__xludf.DUMMYFUNCTION("""COMPUTED_VALUE"""),43228.66666666667)</f>
        <v>43228.66667</v>
      </c>
      <c r="Y124" s="9">
        <f>IFERROR(__xludf.DUMMYFUNCTION("""COMPUTED_VALUE"""),326.89)</f>
        <v>326.89</v>
      </c>
      <c r="AA124" s="11">
        <f>IFERROR(__xludf.DUMMYFUNCTION("""COMPUTED_VALUE"""),43228.66666666667)</f>
        <v>43228.66667</v>
      </c>
      <c r="AB124" s="9">
        <f>IFERROR(__xludf.DUMMYFUNCTION("""COMPUTED_VALUE"""),1595.0)</f>
        <v>1595</v>
      </c>
      <c r="AC124" s="11">
        <f>IFERROR(__xludf.DUMMYFUNCTION("""COMPUTED_VALUE"""),43228.66666666667)</f>
        <v>43228.66667</v>
      </c>
      <c r="AD124" s="9">
        <f>IFERROR(__xludf.DUMMYFUNCTION("""COMPUTED_VALUE"""),1592.39)</f>
        <v>1592.39</v>
      </c>
    </row>
    <row r="125">
      <c r="B125" s="11">
        <f>IFERROR(__xludf.DUMMYFUNCTION("""COMPUTED_VALUE"""),43229.66666666667)</f>
        <v>43229.66667</v>
      </c>
      <c r="C125" s="9">
        <f>IFERROR(__xludf.DUMMYFUNCTION("""COMPUTED_VALUE"""),60.08)</f>
        <v>60.08</v>
      </c>
      <c r="D125" s="11">
        <f>IFERROR(__xludf.DUMMYFUNCTION("""COMPUTED_VALUE"""),43229.66666666667)</f>
        <v>43229.66667</v>
      </c>
      <c r="E125" s="9">
        <f>IFERROR(__xludf.DUMMYFUNCTION("""COMPUTED_VALUE"""),61.37)</f>
        <v>61.37</v>
      </c>
      <c r="G125" s="11">
        <f>IFERROR(__xludf.DUMMYFUNCTION("""COMPUTED_VALUE"""),43229.66666666667)</f>
        <v>43229.66667</v>
      </c>
      <c r="H125" s="9">
        <f>IFERROR(__xludf.DUMMYFUNCTION("""COMPUTED_VALUE"""),1058.1)</f>
        <v>1058.1</v>
      </c>
      <c r="I125" s="11">
        <f>IFERROR(__xludf.DUMMYFUNCTION("""COMPUTED_VALUE"""),43229.66666666667)</f>
        <v>43229.66667</v>
      </c>
      <c r="J125" s="9">
        <f>IFERROR(__xludf.DUMMYFUNCTION("""COMPUTED_VALUE"""),1082.76)</f>
        <v>1082.76</v>
      </c>
      <c r="L125" s="11">
        <f>IFERROR(__xludf.DUMMYFUNCTION("""COMPUTED_VALUE"""),43229.66666666667)</f>
        <v>43229.66667</v>
      </c>
      <c r="M125" s="9">
        <f>IFERROR(__xludf.DUMMYFUNCTION("""COMPUTED_VALUE"""),46.64)</f>
        <v>46.64</v>
      </c>
      <c r="N125" s="11">
        <f>IFERROR(__xludf.DUMMYFUNCTION("""COMPUTED_VALUE"""),43229.66666666667)</f>
        <v>43229.66667</v>
      </c>
      <c r="O125" s="9">
        <f>IFERROR(__xludf.DUMMYFUNCTION("""COMPUTED_VALUE"""),46.84)</f>
        <v>46.84</v>
      </c>
      <c r="Q125" s="11">
        <f>IFERROR(__xludf.DUMMYFUNCTION("""COMPUTED_VALUE"""),43229.66666666667)</f>
        <v>43229.66667</v>
      </c>
      <c r="R125" s="9">
        <f>IFERROR(__xludf.DUMMYFUNCTION("""COMPUTED_VALUE"""),179.67)</f>
        <v>179.67</v>
      </c>
      <c r="S125" s="11">
        <f>IFERROR(__xludf.DUMMYFUNCTION("""COMPUTED_VALUE"""),43229.66666666667)</f>
        <v>43229.66667</v>
      </c>
      <c r="T125" s="9">
        <f>IFERROR(__xludf.DUMMYFUNCTION("""COMPUTED_VALUE"""),182.66)</f>
        <v>182.66</v>
      </c>
      <c r="V125" s="11">
        <f>IFERROR(__xludf.DUMMYFUNCTION("""COMPUTED_VALUE"""),43229.66666666667)</f>
        <v>43229.66667</v>
      </c>
      <c r="W125" s="9">
        <f>IFERROR(__xludf.DUMMYFUNCTION("""COMPUTED_VALUE"""),328.79)</f>
        <v>328.79</v>
      </c>
      <c r="X125" s="11">
        <f>IFERROR(__xludf.DUMMYFUNCTION("""COMPUTED_VALUE"""),43229.66666666667)</f>
        <v>43229.66667</v>
      </c>
      <c r="Y125" s="9">
        <f>IFERROR(__xludf.DUMMYFUNCTION("""COMPUTED_VALUE"""),330.3)</f>
        <v>330.3</v>
      </c>
      <c r="AA125" s="11">
        <f>IFERROR(__xludf.DUMMYFUNCTION("""COMPUTED_VALUE"""),43229.66666666667)</f>
        <v>43229.66667</v>
      </c>
      <c r="AB125" s="9">
        <f>IFERROR(__xludf.DUMMYFUNCTION("""COMPUTED_VALUE"""),1600.0)</f>
        <v>1600</v>
      </c>
      <c r="AC125" s="11">
        <f>IFERROR(__xludf.DUMMYFUNCTION("""COMPUTED_VALUE"""),43229.66666666667)</f>
        <v>43229.66667</v>
      </c>
      <c r="AD125" s="9">
        <f>IFERROR(__xludf.DUMMYFUNCTION("""COMPUTED_VALUE"""),1608.0)</f>
        <v>1608</v>
      </c>
    </row>
    <row r="126">
      <c r="B126" s="11">
        <f>IFERROR(__xludf.DUMMYFUNCTION("""COMPUTED_VALUE"""),43230.66666666667)</f>
        <v>43230.66667</v>
      </c>
      <c r="C126" s="9">
        <f>IFERROR(__xludf.DUMMYFUNCTION("""COMPUTED_VALUE"""),61.5)</f>
        <v>61.5</v>
      </c>
      <c r="D126" s="11">
        <f>IFERROR(__xludf.DUMMYFUNCTION("""COMPUTED_VALUE"""),43230.66666666667)</f>
        <v>43230.66667</v>
      </c>
      <c r="E126" s="9">
        <f>IFERROR(__xludf.DUMMYFUNCTION("""COMPUTED_VALUE"""),61.0)</f>
        <v>61</v>
      </c>
      <c r="G126" s="11">
        <f>IFERROR(__xludf.DUMMYFUNCTION("""COMPUTED_VALUE"""),43230.66666666667)</f>
        <v>43230.66667</v>
      </c>
      <c r="H126" s="9">
        <f>IFERROR(__xludf.DUMMYFUNCTION("""COMPUTED_VALUE"""),1086.03)</f>
        <v>1086.03</v>
      </c>
      <c r="I126" s="11">
        <f>IFERROR(__xludf.DUMMYFUNCTION("""COMPUTED_VALUE"""),43230.66666666667)</f>
        <v>43230.66667</v>
      </c>
      <c r="J126" s="9">
        <f>IFERROR(__xludf.DUMMYFUNCTION("""COMPUTED_VALUE"""),1097.57)</f>
        <v>1097.57</v>
      </c>
      <c r="L126" s="11">
        <f>IFERROR(__xludf.DUMMYFUNCTION("""COMPUTED_VALUE"""),43230.66666666667)</f>
        <v>43230.66667</v>
      </c>
      <c r="M126" s="9">
        <f>IFERROR(__xludf.DUMMYFUNCTION("""COMPUTED_VALUE"""),46.94)</f>
        <v>46.94</v>
      </c>
      <c r="N126" s="11">
        <f>IFERROR(__xludf.DUMMYFUNCTION("""COMPUTED_VALUE"""),43230.66666666667)</f>
        <v>43230.66667</v>
      </c>
      <c r="O126" s="9">
        <f>IFERROR(__xludf.DUMMYFUNCTION("""COMPUTED_VALUE"""),47.51)</f>
        <v>47.51</v>
      </c>
      <c r="Q126" s="11">
        <f>IFERROR(__xludf.DUMMYFUNCTION("""COMPUTED_VALUE"""),43230.66666666667)</f>
        <v>43230.66667</v>
      </c>
      <c r="R126" s="9">
        <f>IFERROR(__xludf.DUMMYFUNCTION("""COMPUTED_VALUE"""),183.15)</f>
        <v>183.15</v>
      </c>
      <c r="S126" s="11">
        <f>IFERROR(__xludf.DUMMYFUNCTION("""COMPUTED_VALUE"""),43230.66666666667)</f>
        <v>43230.66667</v>
      </c>
      <c r="T126" s="9">
        <f>IFERROR(__xludf.DUMMYFUNCTION("""COMPUTED_VALUE"""),185.53)</f>
        <v>185.53</v>
      </c>
      <c r="V126" s="11">
        <f>IFERROR(__xludf.DUMMYFUNCTION("""COMPUTED_VALUE"""),43230.66666666667)</f>
        <v>43230.66667</v>
      </c>
      <c r="W126" s="9">
        <f>IFERROR(__xludf.DUMMYFUNCTION("""COMPUTED_VALUE"""),331.5)</f>
        <v>331.5</v>
      </c>
      <c r="X126" s="11">
        <f>IFERROR(__xludf.DUMMYFUNCTION("""COMPUTED_VALUE"""),43230.66666666667)</f>
        <v>43230.66667</v>
      </c>
      <c r="Y126" s="9">
        <f>IFERROR(__xludf.DUMMYFUNCTION("""COMPUTED_VALUE"""),329.6)</f>
        <v>329.6</v>
      </c>
      <c r="AA126" s="11">
        <f>IFERROR(__xludf.DUMMYFUNCTION("""COMPUTED_VALUE"""),43230.66666666667)</f>
        <v>43230.66667</v>
      </c>
      <c r="AB126" s="9">
        <f>IFERROR(__xludf.DUMMYFUNCTION("""COMPUTED_VALUE"""),1608.48)</f>
        <v>1608.48</v>
      </c>
      <c r="AC126" s="11">
        <f>IFERROR(__xludf.DUMMYFUNCTION("""COMPUTED_VALUE"""),43230.66666666667)</f>
        <v>43230.66667</v>
      </c>
      <c r="AD126" s="9">
        <f>IFERROR(__xludf.DUMMYFUNCTION("""COMPUTED_VALUE"""),1609.08)</f>
        <v>1609.08</v>
      </c>
    </row>
    <row r="127">
      <c r="B127" s="11">
        <f>IFERROR(__xludf.DUMMYFUNCTION("""COMPUTED_VALUE"""),43231.66666666667)</f>
        <v>43231.66667</v>
      </c>
      <c r="C127" s="9">
        <f>IFERROR(__xludf.DUMMYFUNCTION("""COMPUTED_VALUE"""),61.54)</f>
        <v>61.54</v>
      </c>
      <c r="D127" s="11">
        <f>IFERROR(__xludf.DUMMYFUNCTION("""COMPUTED_VALUE"""),43231.66666666667)</f>
        <v>43231.66667</v>
      </c>
      <c r="E127" s="9">
        <f>IFERROR(__xludf.DUMMYFUNCTION("""COMPUTED_VALUE"""),60.21)</f>
        <v>60.21</v>
      </c>
      <c r="G127" s="11">
        <f>IFERROR(__xludf.DUMMYFUNCTION("""COMPUTED_VALUE"""),43231.66666666667)</f>
        <v>43231.66667</v>
      </c>
      <c r="H127" s="9">
        <f>IFERROR(__xludf.DUMMYFUNCTION("""COMPUTED_VALUE"""),1093.6)</f>
        <v>1093.6</v>
      </c>
      <c r="I127" s="11">
        <f>IFERROR(__xludf.DUMMYFUNCTION("""COMPUTED_VALUE"""),43231.66666666667)</f>
        <v>43231.66667</v>
      </c>
      <c r="J127" s="9">
        <f>IFERROR(__xludf.DUMMYFUNCTION("""COMPUTED_VALUE"""),1098.26)</f>
        <v>1098.26</v>
      </c>
      <c r="L127" s="11">
        <f>IFERROR(__xludf.DUMMYFUNCTION("""COMPUTED_VALUE"""),43231.66666666667)</f>
        <v>43231.66667</v>
      </c>
      <c r="M127" s="9">
        <f>IFERROR(__xludf.DUMMYFUNCTION("""COMPUTED_VALUE"""),47.37)</f>
        <v>47.37</v>
      </c>
      <c r="N127" s="11">
        <f>IFERROR(__xludf.DUMMYFUNCTION("""COMPUTED_VALUE"""),43231.66666666667)</f>
        <v>43231.66667</v>
      </c>
      <c r="O127" s="9">
        <f>IFERROR(__xludf.DUMMYFUNCTION("""COMPUTED_VALUE"""),47.15)</f>
        <v>47.15</v>
      </c>
      <c r="Q127" s="11">
        <f>IFERROR(__xludf.DUMMYFUNCTION("""COMPUTED_VALUE"""),43231.66666666667)</f>
        <v>43231.66667</v>
      </c>
      <c r="R127" s="9">
        <f>IFERROR(__xludf.DUMMYFUNCTION("""COMPUTED_VALUE"""),184.85)</f>
        <v>184.85</v>
      </c>
      <c r="S127" s="11">
        <f>IFERROR(__xludf.DUMMYFUNCTION("""COMPUTED_VALUE"""),43231.66666666667)</f>
        <v>43231.66667</v>
      </c>
      <c r="T127" s="9">
        <f>IFERROR(__xludf.DUMMYFUNCTION("""COMPUTED_VALUE"""),186.99)</f>
        <v>186.99</v>
      </c>
      <c r="V127" s="11">
        <f>IFERROR(__xludf.DUMMYFUNCTION("""COMPUTED_VALUE"""),43231.66666666667)</f>
        <v>43231.66667</v>
      </c>
      <c r="W127" s="9">
        <f>IFERROR(__xludf.DUMMYFUNCTION("""COMPUTED_VALUE"""),329.65)</f>
        <v>329.65</v>
      </c>
      <c r="X127" s="11">
        <f>IFERROR(__xludf.DUMMYFUNCTION("""COMPUTED_VALUE"""),43231.66666666667)</f>
        <v>43231.66667</v>
      </c>
      <c r="Y127" s="9">
        <f>IFERROR(__xludf.DUMMYFUNCTION("""COMPUTED_VALUE"""),326.46)</f>
        <v>326.46</v>
      </c>
      <c r="AA127" s="11">
        <f>IFERROR(__xludf.DUMMYFUNCTION("""COMPUTED_VALUE"""),43231.66666666667)</f>
        <v>43231.66667</v>
      </c>
      <c r="AB127" s="9">
        <f>IFERROR(__xludf.DUMMYFUNCTION("""COMPUTED_VALUE"""),1610.99)</f>
        <v>1610.99</v>
      </c>
      <c r="AC127" s="11">
        <f>IFERROR(__xludf.DUMMYFUNCTION("""COMPUTED_VALUE"""),43231.66666666667)</f>
        <v>43231.66667</v>
      </c>
      <c r="AD127" s="9">
        <f>IFERROR(__xludf.DUMMYFUNCTION("""COMPUTED_VALUE"""),1602.91)</f>
        <v>1602.91</v>
      </c>
    </row>
    <row r="128">
      <c r="B128" s="11">
        <f>IFERROR(__xludf.DUMMYFUNCTION("""COMPUTED_VALUE"""),43234.66666666667)</f>
        <v>43234.66667</v>
      </c>
      <c r="C128" s="9">
        <f>IFERROR(__xludf.DUMMYFUNCTION("""COMPUTED_VALUE"""),60.66)</f>
        <v>60.66</v>
      </c>
      <c r="D128" s="11">
        <f>IFERROR(__xludf.DUMMYFUNCTION("""COMPUTED_VALUE"""),43234.66666666667)</f>
        <v>43234.66667</v>
      </c>
      <c r="E128" s="9">
        <f>IFERROR(__xludf.DUMMYFUNCTION("""COMPUTED_VALUE"""),58.39)</f>
        <v>58.39</v>
      </c>
      <c r="G128" s="11">
        <f>IFERROR(__xludf.DUMMYFUNCTION("""COMPUTED_VALUE"""),43234.66666666667)</f>
        <v>43234.66667</v>
      </c>
      <c r="H128" s="9">
        <f>IFERROR(__xludf.DUMMYFUNCTION("""COMPUTED_VALUE"""),1100.0)</f>
        <v>1100</v>
      </c>
      <c r="I128" s="11">
        <f>IFERROR(__xludf.DUMMYFUNCTION("""COMPUTED_VALUE"""),43234.66666666667)</f>
        <v>43234.66667</v>
      </c>
      <c r="J128" s="9">
        <f>IFERROR(__xludf.DUMMYFUNCTION("""COMPUTED_VALUE"""),1100.2)</f>
        <v>1100.2</v>
      </c>
      <c r="L128" s="11">
        <f>IFERROR(__xludf.DUMMYFUNCTION("""COMPUTED_VALUE"""),43234.66666666667)</f>
        <v>43234.66667</v>
      </c>
      <c r="M128" s="9">
        <f>IFERROR(__xludf.DUMMYFUNCTION("""COMPUTED_VALUE"""),47.25)</f>
        <v>47.25</v>
      </c>
      <c r="N128" s="11">
        <f>IFERROR(__xludf.DUMMYFUNCTION("""COMPUTED_VALUE"""),43234.66666666667)</f>
        <v>43234.66667</v>
      </c>
      <c r="O128" s="9">
        <f>IFERROR(__xludf.DUMMYFUNCTION("""COMPUTED_VALUE"""),47.04)</f>
        <v>47.04</v>
      </c>
      <c r="Q128" s="11">
        <f>IFERROR(__xludf.DUMMYFUNCTION("""COMPUTED_VALUE"""),43234.66666666667)</f>
        <v>43234.66667</v>
      </c>
      <c r="R128" s="9">
        <f>IFERROR(__xludf.DUMMYFUNCTION("""COMPUTED_VALUE"""),187.71)</f>
        <v>187.71</v>
      </c>
      <c r="S128" s="11">
        <f>IFERROR(__xludf.DUMMYFUNCTION("""COMPUTED_VALUE"""),43234.66666666667)</f>
        <v>43234.66667</v>
      </c>
      <c r="T128" s="9">
        <f>IFERROR(__xludf.DUMMYFUNCTION("""COMPUTED_VALUE"""),186.64)</f>
        <v>186.64</v>
      </c>
      <c r="V128" s="11">
        <f>IFERROR(__xludf.DUMMYFUNCTION("""COMPUTED_VALUE"""),43234.66666666667)</f>
        <v>43234.66667</v>
      </c>
      <c r="W128" s="9">
        <f>IFERROR(__xludf.DUMMYFUNCTION("""COMPUTED_VALUE"""),327.25)</f>
        <v>327.25</v>
      </c>
      <c r="X128" s="11">
        <f>IFERROR(__xludf.DUMMYFUNCTION("""COMPUTED_VALUE"""),43234.66666666667)</f>
        <v>43234.66667</v>
      </c>
      <c r="Y128" s="9">
        <f>IFERROR(__xludf.DUMMYFUNCTION("""COMPUTED_VALUE"""),328.53)</f>
        <v>328.53</v>
      </c>
      <c r="AA128" s="11">
        <f>IFERROR(__xludf.DUMMYFUNCTION("""COMPUTED_VALUE"""),43234.66666666667)</f>
        <v>43234.66667</v>
      </c>
      <c r="AB128" s="9">
        <f>IFERROR(__xludf.DUMMYFUNCTION("""COMPUTED_VALUE"""),1604.0)</f>
        <v>1604</v>
      </c>
      <c r="AC128" s="11">
        <f>IFERROR(__xludf.DUMMYFUNCTION("""COMPUTED_VALUE"""),43234.66666666667)</f>
        <v>43234.66667</v>
      </c>
      <c r="AD128" s="9">
        <f>IFERROR(__xludf.DUMMYFUNCTION("""COMPUTED_VALUE"""),1601.54)</f>
        <v>1601.54</v>
      </c>
    </row>
    <row r="129">
      <c r="B129" s="11">
        <f>IFERROR(__xludf.DUMMYFUNCTION("""COMPUTED_VALUE"""),43235.66666666667)</f>
        <v>43235.66667</v>
      </c>
      <c r="C129" s="9">
        <f>IFERROR(__xludf.DUMMYFUNCTION("""COMPUTED_VALUE"""),57.0)</f>
        <v>57</v>
      </c>
      <c r="D129" s="11">
        <f>IFERROR(__xludf.DUMMYFUNCTION("""COMPUTED_VALUE"""),43235.66666666667)</f>
        <v>43235.66667</v>
      </c>
      <c r="E129" s="9">
        <f>IFERROR(__xludf.DUMMYFUNCTION("""COMPUTED_VALUE"""),56.84)</f>
        <v>56.84</v>
      </c>
      <c r="G129" s="11">
        <f>IFERROR(__xludf.DUMMYFUNCTION("""COMPUTED_VALUE"""),43235.66666666667)</f>
        <v>43235.66667</v>
      </c>
      <c r="H129" s="9">
        <f>IFERROR(__xludf.DUMMYFUNCTION("""COMPUTED_VALUE"""),1090.0)</f>
        <v>1090</v>
      </c>
      <c r="I129" s="11">
        <f>IFERROR(__xludf.DUMMYFUNCTION("""COMPUTED_VALUE"""),43235.66666666667)</f>
        <v>43235.66667</v>
      </c>
      <c r="J129" s="9">
        <f>IFERROR(__xludf.DUMMYFUNCTION("""COMPUTED_VALUE"""),1079.23)</f>
        <v>1079.23</v>
      </c>
      <c r="L129" s="11">
        <f>IFERROR(__xludf.DUMMYFUNCTION("""COMPUTED_VALUE"""),43235.66666666667)</f>
        <v>43235.66667</v>
      </c>
      <c r="M129" s="9">
        <f>IFERROR(__xludf.DUMMYFUNCTION("""COMPUTED_VALUE"""),46.7)</f>
        <v>46.7</v>
      </c>
      <c r="N129" s="11">
        <f>IFERROR(__xludf.DUMMYFUNCTION("""COMPUTED_VALUE"""),43235.66666666667)</f>
        <v>43235.66667</v>
      </c>
      <c r="O129" s="9">
        <f>IFERROR(__xludf.DUMMYFUNCTION("""COMPUTED_VALUE"""),46.61)</f>
        <v>46.61</v>
      </c>
      <c r="Q129" s="11">
        <f>IFERROR(__xludf.DUMMYFUNCTION("""COMPUTED_VALUE"""),43235.66666666667)</f>
        <v>43235.66667</v>
      </c>
      <c r="R129" s="9">
        <f>IFERROR(__xludf.DUMMYFUNCTION("""COMPUTED_VALUE"""),184.88)</f>
        <v>184.88</v>
      </c>
      <c r="S129" s="11">
        <f>IFERROR(__xludf.DUMMYFUNCTION("""COMPUTED_VALUE"""),43235.66666666667)</f>
        <v>43235.66667</v>
      </c>
      <c r="T129" s="9">
        <f>IFERROR(__xludf.DUMMYFUNCTION("""COMPUTED_VALUE"""),184.32)</f>
        <v>184.32</v>
      </c>
      <c r="V129" s="11">
        <f>IFERROR(__xludf.DUMMYFUNCTION("""COMPUTED_VALUE"""),43235.66666666667)</f>
        <v>43235.66667</v>
      </c>
      <c r="W129" s="9">
        <f>IFERROR(__xludf.DUMMYFUNCTION("""COMPUTED_VALUE"""),325.94)</f>
        <v>325.94</v>
      </c>
      <c r="X129" s="11">
        <f>IFERROR(__xludf.DUMMYFUNCTION("""COMPUTED_VALUE"""),43235.66666666667)</f>
        <v>43235.66667</v>
      </c>
      <c r="Y129" s="9">
        <f>IFERROR(__xludf.DUMMYFUNCTION("""COMPUTED_VALUE"""),326.13)</f>
        <v>326.13</v>
      </c>
      <c r="AA129" s="11">
        <f>IFERROR(__xludf.DUMMYFUNCTION("""COMPUTED_VALUE"""),43235.66666666667)</f>
        <v>43235.66667</v>
      </c>
      <c r="AB129" s="9">
        <f>IFERROR(__xludf.DUMMYFUNCTION("""COMPUTED_VALUE"""),1587.8)</f>
        <v>1587.8</v>
      </c>
      <c r="AC129" s="11">
        <f>IFERROR(__xludf.DUMMYFUNCTION("""COMPUTED_VALUE"""),43235.66666666667)</f>
        <v>43235.66667</v>
      </c>
      <c r="AD129" s="9">
        <f>IFERROR(__xludf.DUMMYFUNCTION("""COMPUTED_VALUE"""),1576.12)</f>
        <v>1576.12</v>
      </c>
    </row>
    <row r="130">
      <c r="B130" s="11">
        <f>IFERROR(__xludf.DUMMYFUNCTION("""COMPUTED_VALUE"""),43236.66666666667)</f>
        <v>43236.66667</v>
      </c>
      <c r="C130" s="9">
        <f>IFERROR(__xludf.DUMMYFUNCTION("""COMPUTED_VALUE"""),56.77)</f>
        <v>56.77</v>
      </c>
      <c r="D130" s="11">
        <f>IFERROR(__xludf.DUMMYFUNCTION("""COMPUTED_VALUE"""),43236.66666666667)</f>
        <v>43236.66667</v>
      </c>
      <c r="E130" s="9">
        <f>IFERROR(__xludf.DUMMYFUNCTION("""COMPUTED_VALUE"""),57.3)</f>
        <v>57.3</v>
      </c>
      <c r="G130" s="11">
        <f>IFERROR(__xludf.DUMMYFUNCTION("""COMPUTED_VALUE"""),43236.66666666667)</f>
        <v>43236.66667</v>
      </c>
      <c r="H130" s="9">
        <f>IFERROR(__xludf.DUMMYFUNCTION("""COMPUTED_VALUE"""),1077.31)</f>
        <v>1077.31</v>
      </c>
      <c r="I130" s="11">
        <f>IFERROR(__xludf.DUMMYFUNCTION("""COMPUTED_VALUE"""),43236.66666666667)</f>
        <v>43236.66667</v>
      </c>
      <c r="J130" s="9">
        <f>IFERROR(__xludf.DUMMYFUNCTION("""COMPUTED_VALUE"""),1081.77)</f>
        <v>1081.77</v>
      </c>
      <c r="L130" s="11">
        <f>IFERROR(__xludf.DUMMYFUNCTION("""COMPUTED_VALUE"""),43236.66666666667)</f>
        <v>43236.66667</v>
      </c>
      <c r="M130" s="9">
        <f>IFERROR(__xludf.DUMMYFUNCTION("""COMPUTED_VALUE"""),46.52)</f>
        <v>46.52</v>
      </c>
      <c r="N130" s="11">
        <f>IFERROR(__xludf.DUMMYFUNCTION("""COMPUTED_VALUE"""),43236.66666666667)</f>
        <v>43236.66667</v>
      </c>
      <c r="O130" s="9">
        <f>IFERROR(__xludf.DUMMYFUNCTION("""COMPUTED_VALUE"""),47.05)</f>
        <v>47.05</v>
      </c>
      <c r="Q130" s="11">
        <f>IFERROR(__xludf.DUMMYFUNCTION("""COMPUTED_VALUE"""),43236.66666666667)</f>
        <v>43236.66667</v>
      </c>
      <c r="R130" s="9">
        <f>IFERROR(__xludf.DUMMYFUNCTION("""COMPUTED_VALUE"""),183.7)</f>
        <v>183.7</v>
      </c>
      <c r="S130" s="11">
        <f>IFERROR(__xludf.DUMMYFUNCTION("""COMPUTED_VALUE"""),43236.66666666667)</f>
        <v>43236.66667</v>
      </c>
      <c r="T130" s="9">
        <f>IFERROR(__xludf.DUMMYFUNCTION("""COMPUTED_VALUE"""),183.2)</f>
        <v>183.2</v>
      </c>
      <c r="V130" s="11">
        <f>IFERROR(__xludf.DUMMYFUNCTION("""COMPUTED_VALUE"""),43236.66666666667)</f>
        <v>43236.66667</v>
      </c>
      <c r="W130" s="9">
        <f>IFERROR(__xludf.DUMMYFUNCTION("""COMPUTED_VALUE"""),326.28)</f>
        <v>326.28</v>
      </c>
      <c r="X130" s="11">
        <f>IFERROR(__xludf.DUMMYFUNCTION("""COMPUTED_VALUE"""),43236.66666666667)</f>
        <v>43236.66667</v>
      </c>
      <c r="Y130" s="9">
        <f>IFERROR(__xludf.DUMMYFUNCTION("""COMPUTED_VALUE"""),328.19)</f>
        <v>328.19</v>
      </c>
      <c r="AA130" s="11">
        <f>IFERROR(__xludf.DUMMYFUNCTION("""COMPUTED_VALUE"""),43236.66666666667)</f>
        <v>43236.66667</v>
      </c>
      <c r="AB130" s="9">
        <f>IFERROR(__xludf.DUMMYFUNCTION("""COMPUTED_VALUE"""),1577.5)</f>
        <v>1577.5</v>
      </c>
      <c r="AC130" s="11">
        <f>IFERROR(__xludf.DUMMYFUNCTION("""COMPUTED_VALUE"""),43236.66666666667)</f>
        <v>43236.66667</v>
      </c>
      <c r="AD130" s="9">
        <f>IFERROR(__xludf.DUMMYFUNCTION("""COMPUTED_VALUE"""),1587.28)</f>
        <v>1587.28</v>
      </c>
    </row>
    <row r="131">
      <c r="B131" s="11">
        <f>IFERROR(__xludf.DUMMYFUNCTION("""COMPUTED_VALUE"""),43237.66666666667)</f>
        <v>43237.66667</v>
      </c>
      <c r="C131" s="9">
        <f>IFERROR(__xludf.DUMMYFUNCTION("""COMPUTED_VALUE"""),57.18)</f>
        <v>57.18</v>
      </c>
      <c r="D131" s="11">
        <f>IFERROR(__xludf.DUMMYFUNCTION("""COMPUTED_VALUE"""),43237.66666666667)</f>
        <v>43237.66667</v>
      </c>
      <c r="E131" s="9">
        <f>IFERROR(__xludf.DUMMYFUNCTION("""COMPUTED_VALUE"""),56.91)</f>
        <v>56.91</v>
      </c>
      <c r="G131" s="11">
        <f>IFERROR(__xludf.DUMMYFUNCTION("""COMPUTED_VALUE"""),43237.66666666667)</f>
        <v>43237.66667</v>
      </c>
      <c r="H131" s="9">
        <f>IFERROR(__xludf.DUMMYFUNCTION("""COMPUTED_VALUE"""),1079.89)</f>
        <v>1079.89</v>
      </c>
      <c r="I131" s="11">
        <f>IFERROR(__xludf.DUMMYFUNCTION("""COMPUTED_VALUE"""),43237.66666666667)</f>
        <v>43237.66667</v>
      </c>
      <c r="J131" s="9">
        <f>IFERROR(__xludf.DUMMYFUNCTION("""COMPUTED_VALUE"""),1078.59)</f>
        <v>1078.59</v>
      </c>
      <c r="L131" s="11">
        <f>IFERROR(__xludf.DUMMYFUNCTION("""COMPUTED_VALUE"""),43237.66666666667)</f>
        <v>43237.66667</v>
      </c>
      <c r="M131" s="9">
        <f>IFERROR(__xludf.DUMMYFUNCTION("""COMPUTED_VALUE"""),47.0)</f>
        <v>47</v>
      </c>
      <c r="N131" s="11">
        <f>IFERROR(__xludf.DUMMYFUNCTION("""COMPUTED_VALUE"""),43237.66666666667)</f>
        <v>43237.66667</v>
      </c>
      <c r="O131" s="9">
        <f>IFERROR(__xludf.DUMMYFUNCTION("""COMPUTED_VALUE"""),46.75)</f>
        <v>46.75</v>
      </c>
      <c r="Q131" s="11">
        <f>IFERROR(__xludf.DUMMYFUNCTION("""COMPUTED_VALUE"""),43237.66666666667)</f>
        <v>43237.66667</v>
      </c>
      <c r="R131" s="9">
        <f>IFERROR(__xludf.DUMMYFUNCTION("""COMPUTED_VALUE"""),182.68)</f>
        <v>182.68</v>
      </c>
      <c r="S131" s="11">
        <f>IFERROR(__xludf.DUMMYFUNCTION("""COMPUTED_VALUE"""),43237.66666666667)</f>
        <v>43237.66667</v>
      </c>
      <c r="T131" s="9">
        <f>IFERROR(__xludf.DUMMYFUNCTION("""COMPUTED_VALUE"""),183.76)</f>
        <v>183.76</v>
      </c>
      <c r="V131" s="11">
        <f>IFERROR(__xludf.DUMMYFUNCTION("""COMPUTED_VALUE"""),43237.66666666667)</f>
        <v>43237.66667</v>
      </c>
      <c r="W131" s="9">
        <f>IFERROR(__xludf.DUMMYFUNCTION("""COMPUTED_VALUE"""),327.53)</f>
        <v>327.53</v>
      </c>
      <c r="X131" s="11">
        <f>IFERROR(__xludf.DUMMYFUNCTION("""COMPUTED_VALUE"""),43237.66666666667)</f>
        <v>43237.66667</v>
      </c>
      <c r="Y131" s="9">
        <f>IFERROR(__xludf.DUMMYFUNCTION("""COMPUTED_VALUE"""),325.22)</f>
        <v>325.22</v>
      </c>
      <c r="AA131" s="11">
        <f>IFERROR(__xludf.DUMMYFUNCTION("""COMPUTED_VALUE"""),43237.66666666667)</f>
        <v>43237.66667</v>
      </c>
      <c r="AB131" s="9">
        <f>IFERROR(__xludf.DUMMYFUNCTION("""COMPUTED_VALUE"""),1580.56)</f>
        <v>1580.56</v>
      </c>
      <c r="AC131" s="11">
        <f>IFERROR(__xludf.DUMMYFUNCTION("""COMPUTED_VALUE"""),43237.66666666667)</f>
        <v>43237.66667</v>
      </c>
      <c r="AD131" s="9">
        <f>IFERROR(__xludf.DUMMYFUNCTION("""COMPUTED_VALUE"""),1581.76)</f>
        <v>1581.76</v>
      </c>
    </row>
    <row r="132">
      <c r="B132" s="11">
        <f>IFERROR(__xludf.DUMMYFUNCTION("""COMPUTED_VALUE"""),43238.66666666667)</f>
        <v>43238.66667</v>
      </c>
      <c r="C132" s="9">
        <f>IFERROR(__xludf.DUMMYFUNCTION("""COMPUTED_VALUE"""),57.18)</f>
        <v>57.18</v>
      </c>
      <c r="D132" s="11">
        <f>IFERROR(__xludf.DUMMYFUNCTION("""COMPUTED_VALUE"""),43238.66666666667)</f>
        <v>43238.66667</v>
      </c>
      <c r="E132" s="9">
        <f>IFERROR(__xludf.DUMMYFUNCTION("""COMPUTED_VALUE"""),56.91)</f>
        <v>56.91</v>
      </c>
      <c r="G132" s="11">
        <f>IFERROR(__xludf.DUMMYFUNCTION("""COMPUTED_VALUE"""),43238.66666666667)</f>
        <v>43238.66667</v>
      </c>
      <c r="H132" s="9">
        <f>IFERROR(__xludf.DUMMYFUNCTION("""COMPUTED_VALUE"""),1061.86)</f>
        <v>1061.86</v>
      </c>
      <c r="I132" s="11">
        <f>IFERROR(__xludf.DUMMYFUNCTION("""COMPUTED_VALUE"""),43238.66666666667)</f>
        <v>43238.66667</v>
      </c>
      <c r="J132" s="9">
        <f>IFERROR(__xludf.DUMMYFUNCTION("""COMPUTED_VALUE"""),1066.36)</f>
        <v>1066.36</v>
      </c>
      <c r="L132" s="11">
        <f>IFERROR(__xludf.DUMMYFUNCTION("""COMPUTED_VALUE"""),43238.66666666667)</f>
        <v>43238.66667</v>
      </c>
      <c r="M132" s="9">
        <f>IFERROR(__xludf.DUMMYFUNCTION("""COMPUTED_VALUE"""),46.8)</f>
        <v>46.8</v>
      </c>
      <c r="N132" s="11">
        <f>IFERROR(__xludf.DUMMYFUNCTION("""COMPUTED_VALUE"""),43238.66666666667)</f>
        <v>43238.66667</v>
      </c>
      <c r="O132" s="9">
        <f>IFERROR(__xludf.DUMMYFUNCTION("""COMPUTED_VALUE"""),46.58)</f>
        <v>46.58</v>
      </c>
      <c r="Q132" s="11">
        <f>IFERROR(__xludf.DUMMYFUNCTION("""COMPUTED_VALUE"""),43238.66666666667)</f>
        <v>43238.66667</v>
      </c>
      <c r="R132" s="9">
        <f>IFERROR(__xludf.DUMMYFUNCTION("""COMPUTED_VALUE"""),183.49)</f>
        <v>183.49</v>
      </c>
      <c r="S132" s="11">
        <f>IFERROR(__xludf.DUMMYFUNCTION("""COMPUTED_VALUE"""),43238.66666666667)</f>
        <v>43238.66667</v>
      </c>
      <c r="T132" s="9">
        <f>IFERROR(__xludf.DUMMYFUNCTION("""COMPUTED_VALUE"""),182.68)</f>
        <v>182.68</v>
      </c>
      <c r="V132" s="11">
        <f>IFERROR(__xludf.DUMMYFUNCTION("""COMPUTED_VALUE"""),43238.66666666667)</f>
        <v>43238.66667</v>
      </c>
      <c r="W132" s="9">
        <f>IFERROR(__xludf.DUMMYFUNCTION("""COMPUTED_VALUE"""),324.9)</f>
        <v>324.9</v>
      </c>
      <c r="X132" s="11">
        <f>IFERROR(__xludf.DUMMYFUNCTION("""COMPUTED_VALUE"""),43238.66666666667)</f>
        <v>43238.66667</v>
      </c>
      <c r="Y132" s="9">
        <f>IFERROR(__xludf.DUMMYFUNCTION("""COMPUTED_VALUE"""),324.18)</f>
        <v>324.18</v>
      </c>
      <c r="AA132" s="11">
        <f>IFERROR(__xludf.DUMMYFUNCTION("""COMPUTED_VALUE"""),43238.66666666667)</f>
        <v>43238.66667</v>
      </c>
      <c r="AB132" s="9">
        <f>IFERROR(__xludf.DUMMYFUNCTION("""COMPUTED_VALUE"""),1581.33)</f>
        <v>1581.33</v>
      </c>
      <c r="AC132" s="11">
        <f>IFERROR(__xludf.DUMMYFUNCTION("""COMPUTED_VALUE"""),43238.66666666667)</f>
        <v>43238.66667</v>
      </c>
      <c r="AD132" s="9">
        <f>IFERROR(__xludf.DUMMYFUNCTION("""COMPUTED_VALUE"""),1574.37)</f>
        <v>1574.37</v>
      </c>
    </row>
    <row r="133">
      <c r="B133" s="11">
        <f>IFERROR(__xludf.DUMMYFUNCTION("""COMPUTED_VALUE"""),43241.66666666667)</f>
        <v>43241.66667</v>
      </c>
      <c r="C133" s="9">
        <f>IFERROR(__xludf.DUMMYFUNCTION("""COMPUTED_VALUE"""),56.27)</f>
        <v>56.27</v>
      </c>
      <c r="D133" s="11">
        <f>IFERROR(__xludf.DUMMYFUNCTION("""COMPUTED_VALUE"""),43241.66666666667)</f>
        <v>43241.66667</v>
      </c>
      <c r="E133" s="9">
        <f>IFERROR(__xludf.DUMMYFUNCTION("""COMPUTED_VALUE"""),56.9)</f>
        <v>56.9</v>
      </c>
      <c r="G133" s="11">
        <f>IFERROR(__xludf.DUMMYFUNCTION("""COMPUTED_VALUE"""),43241.66666666667)</f>
        <v>43241.66667</v>
      </c>
      <c r="H133" s="9">
        <f>IFERROR(__xludf.DUMMYFUNCTION("""COMPUTED_VALUE"""),1074.06)</f>
        <v>1074.06</v>
      </c>
      <c r="I133" s="11">
        <f>IFERROR(__xludf.DUMMYFUNCTION("""COMPUTED_VALUE"""),43241.66666666667)</f>
        <v>43241.66667</v>
      </c>
      <c r="J133" s="9">
        <f>IFERROR(__xludf.DUMMYFUNCTION("""COMPUTED_VALUE"""),1079.58)</f>
        <v>1079.58</v>
      </c>
      <c r="L133" s="11">
        <f>IFERROR(__xludf.DUMMYFUNCTION("""COMPUTED_VALUE"""),43241.66666666667)</f>
        <v>43241.66667</v>
      </c>
      <c r="M133" s="9">
        <f>IFERROR(__xludf.DUMMYFUNCTION("""COMPUTED_VALUE"""),47.0)</f>
        <v>47</v>
      </c>
      <c r="N133" s="11">
        <f>IFERROR(__xludf.DUMMYFUNCTION("""COMPUTED_VALUE"""),43241.66666666667)</f>
        <v>43241.66667</v>
      </c>
      <c r="O133" s="9">
        <f>IFERROR(__xludf.DUMMYFUNCTION("""COMPUTED_VALUE"""),46.91)</f>
        <v>46.91</v>
      </c>
      <c r="Q133" s="11">
        <f>IFERROR(__xludf.DUMMYFUNCTION("""COMPUTED_VALUE"""),43241.66666666667)</f>
        <v>43241.66667</v>
      </c>
      <c r="R133" s="9">
        <f>IFERROR(__xludf.DUMMYFUNCTION("""COMPUTED_VALUE"""),183.77)</f>
        <v>183.77</v>
      </c>
      <c r="S133" s="11">
        <f>IFERROR(__xludf.DUMMYFUNCTION("""COMPUTED_VALUE"""),43241.66666666667)</f>
        <v>43241.66667</v>
      </c>
      <c r="T133" s="9">
        <f>IFERROR(__xludf.DUMMYFUNCTION("""COMPUTED_VALUE"""),184.49)</f>
        <v>184.49</v>
      </c>
      <c r="V133" s="11">
        <f>IFERROR(__xludf.DUMMYFUNCTION("""COMPUTED_VALUE"""),43241.66666666667)</f>
        <v>43241.66667</v>
      </c>
      <c r="W133" s="9">
        <f>IFERROR(__xludf.DUMMYFUNCTION("""COMPUTED_VALUE"""),327.11)</f>
        <v>327.11</v>
      </c>
      <c r="X133" s="11">
        <f>IFERROR(__xludf.DUMMYFUNCTION("""COMPUTED_VALUE"""),43241.66666666667)</f>
        <v>43241.66667</v>
      </c>
      <c r="Y133" s="9">
        <f>IFERROR(__xludf.DUMMYFUNCTION("""COMPUTED_VALUE"""),331.82)</f>
        <v>331.82</v>
      </c>
      <c r="AA133" s="11">
        <f>IFERROR(__xludf.DUMMYFUNCTION("""COMPUTED_VALUE"""),43241.66666666667)</f>
        <v>43241.66667</v>
      </c>
      <c r="AB133" s="9">
        <f>IFERROR(__xludf.DUMMYFUNCTION("""COMPUTED_VALUE"""),1585.0)</f>
        <v>1585</v>
      </c>
      <c r="AC133" s="11">
        <f>IFERROR(__xludf.DUMMYFUNCTION("""COMPUTED_VALUE"""),43241.66666666667)</f>
        <v>43241.66667</v>
      </c>
      <c r="AD133" s="9">
        <f>IFERROR(__xludf.DUMMYFUNCTION("""COMPUTED_VALUE"""),1585.46)</f>
        <v>1585.46</v>
      </c>
    </row>
    <row r="134">
      <c r="B134" s="11">
        <f>IFERROR(__xludf.DUMMYFUNCTION("""COMPUTED_VALUE"""),43242.66666666667)</f>
        <v>43242.66667</v>
      </c>
      <c r="C134" s="9">
        <f>IFERROR(__xludf.DUMMYFUNCTION("""COMPUTED_VALUE"""),57.55)</f>
        <v>57.55</v>
      </c>
      <c r="D134" s="11">
        <f>IFERROR(__xludf.DUMMYFUNCTION("""COMPUTED_VALUE"""),43242.66666666667)</f>
        <v>43242.66667</v>
      </c>
      <c r="E134" s="9">
        <f>IFERROR(__xludf.DUMMYFUNCTION("""COMPUTED_VALUE"""),55.0)</f>
        <v>55</v>
      </c>
      <c r="G134" s="11">
        <f>IFERROR(__xludf.DUMMYFUNCTION("""COMPUTED_VALUE"""),43242.66666666667)</f>
        <v>43242.66667</v>
      </c>
      <c r="H134" s="9">
        <f>IFERROR(__xludf.DUMMYFUNCTION("""COMPUTED_VALUE"""),1083.56)</f>
        <v>1083.56</v>
      </c>
      <c r="I134" s="11">
        <f>IFERROR(__xludf.DUMMYFUNCTION("""COMPUTED_VALUE"""),43242.66666666667)</f>
        <v>43242.66667</v>
      </c>
      <c r="J134" s="9">
        <f>IFERROR(__xludf.DUMMYFUNCTION("""COMPUTED_VALUE"""),1069.73)</f>
        <v>1069.73</v>
      </c>
      <c r="L134" s="11">
        <f>IFERROR(__xludf.DUMMYFUNCTION("""COMPUTED_VALUE"""),43242.66666666667)</f>
        <v>43242.66667</v>
      </c>
      <c r="M134" s="9">
        <f>IFERROR(__xludf.DUMMYFUNCTION("""COMPUTED_VALUE"""),47.09)</f>
        <v>47.09</v>
      </c>
      <c r="N134" s="11">
        <f>IFERROR(__xludf.DUMMYFUNCTION("""COMPUTED_VALUE"""),43242.66666666667)</f>
        <v>43242.66667</v>
      </c>
      <c r="O134" s="9">
        <f>IFERROR(__xludf.DUMMYFUNCTION("""COMPUTED_VALUE"""),46.79)</f>
        <v>46.79</v>
      </c>
      <c r="Q134" s="11">
        <f>IFERROR(__xludf.DUMMYFUNCTION("""COMPUTED_VALUE"""),43242.66666666667)</f>
        <v>43242.66667</v>
      </c>
      <c r="R134" s="9">
        <f>IFERROR(__xludf.DUMMYFUNCTION("""COMPUTED_VALUE"""),184.93)</f>
        <v>184.93</v>
      </c>
      <c r="S134" s="11">
        <f>IFERROR(__xludf.DUMMYFUNCTION("""COMPUTED_VALUE"""),43242.66666666667)</f>
        <v>43242.66667</v>
      </c>
      <c r="T134" s="9">
        <f>IFERROR(__xludf.DUMMYFUNCTION("""COMPUTED_VALUE"""),183.8)</f>
        <v>183.8</v>
      </c>
      <c r="V134" s="11">
        <f>IFERROR(__xludf.DUMMYFUNCTION("""COMPUTED_VALUE"""),43242.66666666667)</f>
        <v>43242.66667</v>
      </c>
      <c r="W134" s="9">
        <f>IFERROR(__xludf.DUMMYFUNCTION("""COMPUTED_VALUE"""),334.05)</f>
        <v>334.05</v>
      </c>
      <c r="X134" s="11">
        <f>IFERROR(__xludf.DUMMYFUNCTION("""COMPUTED_VALUE"""),43242.66666666667)</f>
        <v>43242.66667</v>
      </c>
      <c r="Y134" s="9">
        <f>IFERROR(__xludf.DUMMYFUNCTION("""COMPUTED_VALUE"""),331.62)</f>
        <v>331.62</v>
      </c>
      <c r="AA134" s="11">
        <f>IFERROR(__xludf.DUMMYFUNCTION("""COMPUTED_VALUE"""),43242.66666666667)</f>
        <v>43242.66667</v>
      </c>
      <c r="AB134" s="9">
        <f>IFERROR(__xludf.DUMMYFUNCTION("""COMPUTED_VALUE"""),1589.89)</f>
        <v>1589.89</v>
      </c>
      <c r="AC134" s="11">
        <f>IFERROR(__xludf.DUMMYFUNCTION("""COMPUTED_VALUE"""),43242.66666666667)</f>
        <v>43242.66667</v>
      </c>
      <c r="AD134" s="9">
        <f>IFERROR(__xludf.DUMMYFUNCTION("""COMPUTED_VALUE"""),1581.4)</f>
        <v>1581.4</v>
      </c>
    </row>
    <row r="135">
      <c r="B135" s="11">
        <f>IFERROR(__xludf.DUMMYFUNCTION("""COMPUTED_VALUE"""),43243.66666666667)</f>
        <v>43243.66667</v>
      </c>
      <c r="C135" s="9">
        <f>IFERROR(__xludf.DUMMYFUNCTION("""COMPUTED_VALUE"""),55.55)</f>
        <v>55.55</v>
      </c>
      <c r="D135" s="11">
        <f>IFERROR(__xludf.DUMMYFUNCTION("""COMPUTED_VALUE"""),43243.66666666667)</f>
        <v>43243.66667</v>
      </c>
      <c r="E135" s="9">
        <f>IFERROR(__xludf.DUMMYFUNCTION("""COMPUTED_VALUE"""),55.81)</f>
        <v>55.81</v>
      </c>
      <c r="G135" s="11">
        <f>IFERROR(__xludf.DUMMYFUNCTION("""COMPUTED_VALUE"""),43243.66666666667)</f>
        <v>43243.66667</v>
      </c>
      <c r="H135" s="9">
        <f>IFERROR(__xludf.DUMMYFUNCTION("""COMPUTED_VALUE"""),1065.13)</f>
        <v>1065.13</v>
      </c>
      <c r="I135" s="11">
        <f>IFERROR(__xludf.DUMMYFUNCTION("""COMPUTED_VALUE"""),43243.66666666667)</f>
        <v>43243.66667</v>
      </c>
      <c r="J135" s="9">
        <f>IFERROR(__xludf.DUMMYFUNCTION("""COMPUTED_VALUE"""),1079.69)</f>
        <v>1079.69</v>
      </c>
      <c r="L135" s="11">
        <f>IFERROR(__xludf.DUMMYFUNCTION("""COMPUTED_VALUE"""),43243.66666666667)</f>
        <v>43243.66667</v>
      </c>
      <c r="M135" s="9">
        <f>IFERROR(__xludf.DUMMYFUNCTION("""COMPUTED_VALUE"""),46.59)</f>
        <v>46.59</v>
      </c>
      <c r="N135" s="11">
        <f>IFERROR(__xludf.DUMMYFUNCTION("""COMPUTED_VALUE"""),43243.66666666667)</f>
        <v>43243.66667</v>
      </c>
      <c r="O135" s="9">
        <f>IFERROR(__xludf.DUMMYFUNCTION("""COMPUTED_VALUE"""),47.09)</f>
        <v>47.09</v>
      </c>
      <c r="Q135" s="11">
        <f>IFERROR(__xludf.DUMMYFUNCTION("""COMPUTED_VALUE"""),43243.66666666667)</f>
        <v>43243.66667</v>
      </c>
      <c r="R135" s="9">
        <f>IFERROR(__xludf.DUMMYFUNCTION("""COMPUTED_VALUE"""),182.5)</f>
        <v>182.5</v>
      </c>
      <c r="S135" s="11">
        <f>IFERROR(__xludf.DUMMYFUNCTION("""COMPUTED_VALUE"""),43243.66666666667)</f>
        <v>43243.66667</v>
      </c>
      <c r="T135" s="9">
        <f>IFERROR(__xludf.DUMMYFUNCTION("""COMPUTED_VALUE"""),186.9)</f>
        <v>186.9</v>
      </c>
      <c r="V135" s="11">
        <f>IFERROR(__xludf.DUMMYFUNCTION("""COMPUTED_VALUE"""),43243.66666666667)</f>
        <v>43243.66667</v>
      </c>
      <c r="W135" s="9">
        <f>IFERROR(__xludf.DUMMYFUNCTION("""COMPUTED_VALUE"""),329.04)</f>
        <v>329.04</v>
      </c>
      <c r="X135" s="11">
        <f>IFERROR(__xludf.DUMMYFUNCTION("""COMPUTED_VALUE"""),43243.66666666667)</f>
        <v>43243.66667</v>
      </c>
      <c r="Y135" s="9">
        <f>IFERROR(__xludf.DUMMYFUNCTION("""COMPUTED_VALUE"""),344.72)</f>
        <v>344.72</v>
      </c>
      <c r="AA135" s="11">
        <f>IFERROR(__xludf.DUMMYFUNCTION("""COMPUTED_VALUE"""),43243.66666666667)</f>
        <v>43243.66667</v>
      </c>
      <c r="AB135" s="9">
        <f>IFERROR(__xludf.DUMMYFUNCTION("""COMPUTED_VALUE"""),1571.05)</f>
        <v>1571.05</v>
      </c>
      <c r="AC135" s="11">
        <f>IFERROR(__xludf.DUMMYFUNCTION("""COMPUTED_VALUE"""),43243.66666666667)</f>
        <v>43243.66667</v>
      </c>
      <c r="AD135" s="9">
        <f>IFERROR(__xludf.DUMMYFUNCTION("""COMPUTED_VALUE"""),1601.86)</f>
        <v>1601.86</v>
      </c>
    </row>
    <row r="136">
      <c r="B136" s="11">
        <f>IFERROR(__xludf.DUMMYFUNCTION("""COMPUTED_VALUE"""),43244.66666666667)</f>
        <v>43244.66667</v>
      </c>
      <c r="C136" s="9">
        <f>IFERROR(__xludf.DUMMYFUNCTION("""COMPUTED_VALUE"""),55.68)</f>
        <v>55.68</v>
      </c>
      <c r="D136" s="11">
        <f>IFERROR(__xludf.DUMMYFUNCTION("""COMPUTED_VALUE"""),43244.66666666667)</f>
        <v>43244.66667</v>
      </c>
      <c r="E136" s="9">
        <f>IFERROR(__xludf.DUMMYFUNCTION("""COMPUTED_VALUE"""),55.57)</f>
        <v>55.57</v>
      </c>
      <c r="G136" s="11">
        <f>IFERROR(__xludf.DUMMYFUNCTION("""COMPUTED_VALUE"""),43244.66666666667)</f>
        <v>43244.66667</v>
      </c>
      <c r="H136" s="9">
        <f>IFERROR(__xludf.DUMMYFUNCTION("""COMPUTED_VALUE"""),1079.0)</f>
        <v>1079</v>
      </c>
      <c r="I136" s="11">
        <f>IFERROR(__xludf.DUMMYFUNCTION("""COMPUTED_VALUE"""),43244.66666666667)</f>
        <v>43244.66667</v>
      </c>
      <c r="J136" s="9">
        <f>IFERROR(__xludf.DUMMYFUNCTION("""COMPUTED_VALUE"""),1079.24)</f>
        <v>1079.24</v>
      </c>
      <c r="L136" s="11">
        <f>IFERROR(__xludf.DUMMYFUNCTION("""COMPUTED_VALUE"""),43244.66666666667)</f>
        <v>43244.66667</v>
      </c>
      <c r="M136" s="9">
        <f>IFERROR(__xludf.DUMMYFUNCTION("""COMPUTED_VALUE"""),47.19)</f>
        <v>47.19</v>
      </c>
      <c r="N136" s="11">
        <f>IFERROR(__xludf.DUMMYFUNCTION("""COMPUTED_VALUE"""),43244.66666666667)</f>
        <v>43244.66667</v>
      </c>
      <c r="O136" s="9">
        <f>IFERROR(__xludf.DUMMYFUNCTION("""COMPUTED_VALUE"""),47.04)</f>
        <v>47.04</v>
      </c>
      <c r="Q136" s="11">
        <f>IFERROR(__xludf.DUMMYFUNCTION("""COMPUTED_VALUE"""),43244.66666666667)</f>
        <v>43244.66667</v>
      </c>
      <c r="R136" s="9">
        <f>IFERROR(__xludf.DUMMYFUNCTION("""COMPUTED_VALUE"""),185.88)</f>
        <v>185.88</v>
      </c>
      <c r="S136" s="11">
        <f>IFERROR(__xludf.DUMMYFUNCTION("""COMPUTED_VALUE"""),43244.66666666667)</f>
        <v>43244.66667</v>
      </c>
      <c r="T136" s="9">
        <f>IFERROR(__xludf.DUMMYFUNCTION("""COMPUTED_VALUE"""),185.93)</f>
        <v>185.93</v>
      </c>
      <c r="V136" s="11">
        <f>IFERROR(__xludf.DUMMYFUNCTION("""COMPUTED_VALUE"""),43244.66666666667)</f>
        <v>43244.66667</v>
      </c>
      <c r="W136" s="9">
        <f>IFERROR(__xludf.DUMMYFUNCTION("""COMPUTED_VALUE"""),344.34)</f>
        <v>344.34</v>
      </c>
      <c r="X136" s="11">
        <f>IFERROR(__xludf.DUMMYFUNCTION("""COMPUTED_VALUE"""),43244.66666666667)</f>
        <v>43244.66667</v>
      </c>
      <c r="Y136" s="9">
        <f>IFERROR(__xludf.DUMMYFUNCTION("""COMPUTED_VALUE"""),349.29)</f>
        <v>349.29</v>
      </c>
      <c r="AA136" s="11">
        <f>IFERROR(__xludf.DUMMYFUNCTION("""COMPUTED_VALUE"""),43244.66666666667)</f>
        <v>43244.66667</v>
      </c>
      <c r="AB136" s="9">
        <f>IFERROR(__xludf.DUMMYFUNCTION("""COMPUTED_VALUE"""),1598.03)</f>
        <v>1598.03</v>
      </c>
      <c r="AC136" s="11">
        <f>IFERROR(__xludf.DUMMYFUNCTION("""COMPUTED_VALUE"""),43244.66666666667)</f>
        <v>43244.66667</v>
      </c>
      <c r="AD136" s="9">
        <f>IFERROR(__xludf.DUMMYFUNCTION("""COMPUTED_VALUE"""),1603.07)</f>
        <v>1603.07</v>
      </c>
    </row>
    <row r="137">
      <c r="B137" s="11">
        <f>IFERROR(__xludf.DUMMYFUNCTION("""COMPUTED_VALUE"""),43245.66666666667)</f>
        <v>43245.66667</v>
      </c>
      <c r="C137" s="9">
        <f>IFERROR(__xludf.DUMMYFUNCTION("""COMPUTED_VALUE"""),55.53)</f>
        <v>55.53</v>
      </c>
      <c r="D137" s="11">
        <f>IFERROR(__xludf.DUMMYFUNCTION("""COMPUTED_VALUE"""),43245.66666666667)</f>
        <v>43245.66667</v>
      </c>
      <c r="E137" s="9">
        <f>IFERROR(__xludf.DUMMYFUNCTION("""COMPUTED_VALUE"""),55.77)</f>
        <v>55.77</v>
      </c>
      <c r="G137" s="11">
        <f>IFERROR(__xludf.DUMMYFUNCTION("""COMPUTED_VALUE"""),43245.66666666667)</f>
        <v>43245.66667</v>
      </c>
      <c r="H137" s="9">
        <f>IFERROR(__xludf.DUMMYFUNCTION("""COMPUTED_VALUE"""),1079.02)</f>
        <v>1079.02</v>
      </c>
      <c r="I137" s="11">
        <f>IFERROR(__xludf.DUMMYFUNCTION("""COMPUTED_VALUE"""),43245.66666666667)</f>
        <v>43245.66667</v>
      </c>
      <c r="J137" s="9">
        <f>IFERROR(__xludf.DUMMYFUNCTION("""COMPUTED_VALUE"""),1075.66)</f>
        <v>1075.66</v>
      </c>
      <c r="L137" s="11">
        <f>IFERROR(__xludf.DUMMYFUNCTION("""COMPUTED_VALUE"""),43245.66666666667)</f>
        <v>43245.66667</v>
      </c>
      <c r="M137" s="9">
        <f>IFERROR(__xludf.DUMMYFUNCTION("""COMPUTED_VALUE"""),47.06)</f>
        <v>47.06</v>
      </c>
      <c r="N137" s="11">
        <f>IFERROR(__xludf.DUMMYFUNCTION("""COMPUTED_VALUE"""),43245.66666666667)</f>
        <v>43245.66667</v>
      </c>
      <c r="O137" s="9">
        <f>IFERROR(__xludf.DUMMYFUNCTION("""COMPUTED_VALUE"""),47.15)</f>
        <v>47.15</v>
      </c>
      <c r="Q137" s="11">
        <f>IFERROR(__xludf.DUMMYFUNCTION("""COMPUTED_VALUE"""),43245.66666666667)</f>
        <v>43245.66667</v>
      </c>
      <c r="R137" s="9">
        <f>IFERROR(__xludf.DUMMYFUNCTION("""COMPUTED_VALUE"""),186.02)</f>
        <v>186.02</v>
      </c>
      <c r="S137" s="11">
        <f>IFERROR(__xludf.DUMMYFUNCTION("""COMPUTED_VALUE"""),43245.66666666667)</f>
        <v>43245.66667</v>
      </c>
      <c r="T137" s="9">
        <f>IFERROR(__xludf.DUMMYFUNCTION("""COMPUTED_VALUE"""),184.92)</f>
        <v>184.92</v>
      </c>
      <c r="V137" s="11">
        <f>IFERROR(__xludf.DUMMYFUNCTION("""COMPUTED_VALUE"""),43245.66666666667)</f>
        <v>43245.66667</v>
      </c>
      <c r="W137" s="9">
        <f>IFERROR(__xludf.DUMMYFUNCTION("""COMPUTED_VALUE"""),349.9)</f>
        <v>349.9</v>
      </c>
      <c r="X137" s="11">
        <f>IFERROR(__xludf.DUMMYFUNCTION("""COMPUTED_VALUE"""),43245.66666666667)</f>
        <v>43245.66667</v>
      </c>
      <c r="Y137" s="9">
        <f>IFERROR(__xludf.DUMMYFUNCTION("""COMPUTED_VALUE"""),351.29)</f>
        <v>351.29</v>
      </c>
      <c r="AA137" s="11">
        <f>IFERROR(__xludf.DUMMYFUNCTION("""COMPUTED_VALUE"""),43245.66666666667)</f>
        <v>43245.66667</v>
      </c>
      <c r="AB137" s="9">
        <f>IFERROR(__xludf.DUMMYFUNCTION("""COMPUTED_VALUE"""),1603.0)</f>
        <v>1603</v>
      </c>
      <c r="AC137" s="11">
        <f>IFERROR(__xludf.DUMMYFUNCTION("""COMPUTED_VALUE"""),43245.66666666667)</f>
        <v>43245.66667</v>
      </c>
      <c r="AD137" s="9">
        <f>IFERROR(__xludf.DUMMYFUNCTION("""COMPUTED_VALUE"""),1610.15)</f>
        <v>1610.15</v>
      </c>
    </row>
    <row r="138">
      <c r="B138" s="11">
        <f>IFERROR(__xludf.DUMMYFUNCTION("""COMPUTED_VALUE"""),43249.66666666667)</f>
        <v>43249.66667</v>
      </c>
      <c r="C138" s="9">
        <f>IFERROR(__xludf.DUMMYFUNCTION("""COMPUTED_VALUE"""),55.7)</f>
        <v>55.7</v>
      </c>
      <c r="D138" s="11">
        <f>IFERROR(__xludf.DUMMYFUNCTION("""COMPUTED_VALUE"""),43249.66666666667)</f>
        <v>43249.66667</v>
      </c>
      <c r="E138" s="9">
        <f>IFERROR(__xludf.DUMMYFUNCTION("""COMPUTED_VALUE"""),56.75)</f>
        <v>56.75</v>
      </c>
      <c r="G138" s="11">
        <f>IFERROR(__xludf.DUMMYFUNCTION("""COMPUTED_VALUE"""),43249.66666666667)</f>
        <v>43249.66667</v>
      </c>
      <c r="H138" s="9">
        <f>IFERROR(__xludf.DUMMYFUNCTION("""COMPUTED_VALUE"""),1064.89)</f>
        <v>1064.89</v>
      </c>
      <c r="I138" s="11">
        <f>IFERROR(__xludf.DUMMYFUNCTION("""COMPUTED_VALUE"""),43249.66666666667)</f>
        <v>43249.66667</v>
      </c>
      <c r="J138" s="9">
        <f>IFERROR(__xludf.DUMMYFUNCTION("""COMPUTED_VALUE"""),1060.32)</f>
        <v>1060.32</v>
      </c>
      <c r="L138" s="11">
        <f>IFERROR(__xludf.DUMMYFUNCTION("""COMPUTED_VALUE"""),43249.66666666667)</f>
        <v>43249.66667</v>
      </c>
      <c r="M138" s="9">
        <f>IFERROR(__xludf.DUMMYFUNCTION("""COMPUTED_VALUE"""),46.9)</f>
        <v>46.9</v>
      </c>
      <c r="N138" s="11">
        <f>IFERROR(__xludf.DUMMYFUNCTION("""COMPUTED_VALUE"""),43249.66666666667)</f>
        <v>43249.66667</v>
      </c>
      <c r="O138" s="9">
        <f>IFERROR(__xludf.DUMMYFUNCTION("""COMPUTED_VALUE"""),46.98)</f>
        <v>46.98</v>
      </c>
      <c r="Q138" s="11">
        <f>IFERROR(__xludf.DUMMYFUNCTION("""COMPUTED_VALUE"""),43249.66666666667)</f>
        <v>43249.66667</v>
      </c>
      <c r="R138" s="9">
        <f>IFERROR(__xludf.DUMMYFUNCTION("""COMPUTED_VALUE"""),184.34)</f>
        <v>184.34</v>
      </c>
      <c r="S138" s="11">
        <f>IFERROR(__xludf.DUMMYFUNCTION("""COMPUTED_VALUE"""),43249.66666666667)</f>
        <v>43249.66667</v>
      </c>
      <c r="T138" s="9">
        <f>IFERROR(__xludf.DUMMYFUNCTION("""COMPUTED_VALUE"""),185.74)</f>
        <v>185.74</v>
      </c>
      <c r="V138" s="11">
        <f>IFERROR(__xludf.DUMMYFUNCTION("""COMPUTED_VALUE"""),43249.66666666667)</f>
        <v>43249.66667</v>
      </c>
      <c r="W138" s="9">
        <f>IFERROR(__xludf.DUMMYFUNCTION("""COMPUTED_VALUE"""),351.5)</f>
        <v>351.5</v>
      </c>
      <c r="X138" s="11">
        <f>IFERROR(__xludf.DUMMYFUNCTION("""COMPUTED_VALUE"""),43249.66666666667)</f>
        <v>43249.66667</v>
      </c>
      <c r="Y138" s="9">
        <f>IFERROR(__xludf.DUMMYFUNCTION("""COMPUTED_VALUE"""),349.73)</f>
        <v>349.73</v>
      </c>
      <c r="AA138" s="11">
        <f>IFERROR(__xludf.DUMMYFUNCTION("""COMPUTED_VALUE"""),43249.66666666667)</f>
        <v>43249.66667</v>
      </c>
      <c r="AB138" s="9">
        <f>IFERROR(__xludf.DUMMYFUNCTION("""COMPUTED_VALUE"""),1600.71)</f>
        <v>1600.71</v>
      </c>
      <c r="AC138" s="11">
        <f>IFERROR(__xludf.DUMMYFUNCTION("""COMPUTED_VALUE"""),43249.66666666667)</f>
        <v>43249.66667</v>
      </c>
      <c r="AD138" s="9">
        <f>IFERROR(__xludf.DUMMYFUNCTION("""COMPUTED_VALUE"""),1612.87)</f>
        <v>1612.87</v>
      </c>
    </row>
    <row r="139">
      <c r="B139" s="11">
        <f>IFERROR(__xludf.DUMMYFUNCTION("""COMPUTED_VALUE"""),43250.66666666667)</f>
        <v>43250.66667</v>
      </c>
      <c r="C139" s="9">
        <f>IFERROR(__xludf.DUMMYFUNCTION("""COMPUTED_VALUE"""),56.66)</f>
        <v>56.66</v>
      </c>
      <c r="D139" s="11">
        <f>IFERROR(__xludf.DUMMYFUNCTION("""COMPUTED_VALUE"""),43250.66666666667)</f>
        <v>43250.66667</v>
      </c>
      <c r="E139" s="9">
        <f>IFERROR(__xludf.DUMMYFUNCTION("""COMPUTED_VALUE"""),58.34)</f>
        <v>58.34</v>
      </c>
      <c r="G139" s="11">
        <f>IFERROR(__xludf.DUMMYFUNCTION("""COMPUTED_VALUE"""),43250.66666666667)</f>
        <v>43250.66667</v>
      </c>
      <c r="H139" s="9">
        <f>IFERROR(__xludf.DUMMYFUNCTION("""COMPUTED_VALUE"""),1063.03)</f>
        <v>1063.03</v>
      </c>
      <c r="I139" s="11">
        <f>IFERROR(__xludf.DUMMYFUNCTION("""COMPUTED_VALUE"""),43250.66666666667)</f>
        <v>43250.66667</v>
      </c>
      <c r="J139" s="9">
        <f>IFERROR(__xludf.DUMMYFUNCTION("""COMPUTED_VALUE"""),1067.8)</f>
        <v>1067.8</v>
      </c>
      <c r="L139" s="11">
        <f>IFERROR(__xludf.DUMMYFUNCTION("""COMPUTED_VALUE"""),43250.66666666667)</f>
        <v>43250.66667</v>
      </c>
      <c r="M139" s="9">
        <f>IFERROR(__xludf.DUMMYFUNCTION("""COMPUTED_VALUE"""),46.93)</f>
        <v>46.93</v>
      </c>
      <c r="N139" s="11">
        <f>IFERROR(__xludf.DUMMYFUNCTION("""COMPUTED_VALUE"""),43250.66666666667)</f>
        <v>43250.66667</v>
      </c>
      <c r="O139" s="9">
        <f>IFERROR(__xludf.DUMMYFUNCTION("""COMPUTED_VALUE"""),46.88)</f>
        <v>46.88</v>
      </c>
      <c r="Q139" s="11">
        <f>IFERROR(__xludf.DUMMYFUNCTION("""COMPUTED_VALUE"""),43250.66666666667)</f>
        <v>43250.66667</v>
      </c>
      <c r="R139" s="9">
        <f>IFERROR(__xludf.DUMMYFUNCTION("""COMPUTED_VALUE"""),186.54)</f>
        <v>186.54</v>
      </c>
      <c r="S139" s="11">
        <f>IFERROR(__xludf.DUMMYFUNCTION("""COMPUTED_VALUE"""),43250.66666666667)</f>
        <v>43250.66667</v>
      </c>
      <c r="T139" s="9">
        <f>IFERROR(__xludf.DUMMYFUNCTION("""COMPUTED_VALUE"""),187.67)</f>
        <v>187.67</v>
      </c>
      <c r="V139" s="11">
        <f>IFERROR(__xludf.DUMMYFUNCTION("""COMPUTED_VALUE"""),43250.66666666667)</f>
        <v>43250.66667</v>
      </c>
      <c r="W139" s="9">
        <f>IFERROR(__xludf.DUMMYFUNCTION("""COMPUTED_VALUE"""),352.37)</f>
        <v>352.37</v>
      </c>
      <c r="X139" s="11">
        <f>IFERROR(__xludf.DUMMYFUNCTION("""COMPUTED_VALUE"""),43250.66666666667)</f>
        <v>43250.66667</v>
      </c>
      <c r="Y139" s="9">
        <f>IFERROR(__xludf.DUMMYFUNCTION("""COMPUTED_VALUE"""),353.54)</f>
        <v>353.54</v>
      </c>
      <c r="AA139" s="11">
        <f>IFERROR(__xludf.DUMMYFUNCTION("""COMPUTED_VALUE"""),43250.66666666667)</f>
        <v>43250.66667</v>
      </c>
      <c r="AB139" s="9">
        <f>IFERROR(__xludf.DUMMYFUNCTION("""COMPUTED_VALUE"""),1618.1)</f>
        <v>1618.1</v>
      </c>
      <c r="AC139" s="11">
        <f>IFERROR(__xludf.DUMMYFUNCTION("""COMPUTED_VALUE"""),43250.66666666667)</f>
        <v>43250.66667</v>
      </c>
      <c r="AD139" s="9">
        <f>IFERROR(__xludf.DUMMYFUNCTION("""COMPUTED_VALUE"""),1624.89)</f>
        <v>1624.89</v>
      </c>
    </row>
    <row r="140">
      <c r="B140" s="11">
        <f>IFERROR(__xludf.DUMMYFUNCTION("""COMPUTED_VALUE"""),43251.66666666667)</f>
        <v>43251.66667</v>
      </c>
      <c r="C140" s="9">
        <f>IFERROR(__xludf.DUMMYFUNCTION("""COMPUTED_VALUE"""),57.44)</f>
        <v>57.44</v>
      </c>
      <c r="D140" s="11">
        <f>IFERROR(__xludf.DUMMYFUNCTION("""COMPUTED_VALUE"""),43251.66666666667)</f>
        <v>43251.66667</v>
      </c>
      <c r="E140" s="9">
        <f>IFERROR(__xludf.DUMMYFUNCTION("""COMPUTED_VALUE"""),56.95)</f>
        <v>56.95</v>
      </c>
      <c r="G140" s="11">
        <f>IFERROR(__xludf.DUMMYFUNCTION("""COMPUTED_VALUE"""),43251.66666666667)</f>
        <v>43251.66667</v>
      </c>
      <c r="H140" s="9">
        <f>IFERROR(__xludf.DUMMYFUNCTION("""COMPUTED_VALUE"""),1063.03)</f>
        <v>1063.03</v>
      </c>
      <c r="I140" s="11">
        <f>IFERROR(__xludf.DUMMYFUNCTION("""COMPUTED_VALUE"""),43251.66666666667)</f>
        <v>43251.66667</v>
      </c>
      <c r="J140" s="9">
        <f>IFERROR(__xludf.DUMMYFUNCTION("""COMPUTED_VALUE"""),1067.8)</f>
        <v>1067.8</v>
      </c>
      <c r="L140" s="11">
        <f>IFERROR(__xludf.DUMMYFUNCTION("""COMPUTED_VALUE"""),43251.66666666667)</f>
        <v>43251.66667</v>
      </c>
      <c r="M140" s="9">
        <f>IFERROR(__xludf.DUMMYFUNCTION("""COMPUTED_VALUE"""),46.93)</f>
        <v>46.93</v>
      </c>
      <c r="N140" s="11">
        <f>IFERROR(__xludf.DUMMYFUNCTION("""COMPUTED_VALUE"""),43251.66666666667)</f>
        <v>43251.66667</v>
      </c>
      <c r="O140" s="9">
        <f>IFERROR(__xludf.DUMMYFUNCTION("""COMPUTED_VALUE"""),46.88)</f>
        <v>46.88</v>
      </c>
      <c r="Q140" s="11">
        <f>IFERROR(__xludf.DUMMYFUNCTION("""COMPUTED_VALUE"""),43251.66666666667)</f>
        <v>43251.66667</v>
      </c>
      <c r="R140" s="9">
        <f>IFERROR(__xludf.DUMMYFUNCTION("""COMPUTED_VALUE"""),187.87)</f>
        <v>187.87</v>
      </c>
      <c r="S140" s="11">
        <f>IFERROR(__xludf.DUMMYFUNCTION("""COMPUTED_VALUE"""),43251.66666666667)</f>
        <v>43251.66667</v>
      </c>
      <c r="T140" s="9">
        <f>IFERROR(__xludf.DUMMYFUNCTION("""COMPUTED_VALUE"""),191.78)</f>
        <v>191.78</v>
      </c>
      <c r="V140" s="11">
        <f>IFERROR(__xludf.DUMMYFUNCTION("""COMPUTED_VALUE"""),43251.66666666667)</f>
        <v>43251.66667</v>
      </c>
      <c r="W140" s="9">
        <f>IFERROR(__xludf.DUMMYFUNCTION("""COMPUTED_VALUE"""),352.37)</f>
        <v>352.37</v>
      </c>
      <c r="X140" s="11">
        <f>IFERROR(__xludf.DUMMYFUNCTION("""COMPUTED_VALUE"""),43251.66666666667)</f>
        <v>43251.66667</v>
      </c>
      <c r="Y140" s="9">
        <f>IFERROR(__xludf.DUMMYFUNCTION("""COMPUTED_VALUE"""),353.54)</f>
        <v>353.54</v>
      </c>
      <c r="AA140" s="11">
        <f>IFERROR(__xludf.DUMMYFUNCTION("""COMPUTED_VALUE"""),43251.66666666667)</f>
        <v>43251.66667</v>
      </c>
      <c r="AB140" s="9">
        <f>IFERROR(__xludf.DUMMYFUNCTION("""COMPUTED_VALUE"""),1618.1)</f>
        <v>1618.1</v>
      </c>
      <c r="AC140" s="11">
        <f>IFERROR(__xludf.DUMMYFUNCTION("""COMPUTED_VALUE"""),43251.66666666667)</f>
        <v>43251.66667</v>
      </c>
      <c r="AD140" s="9">
        <f>IFERROR(__xludf.DUMMYFUNCTION("""COMPUTED_VALUE"""),1624.89)</f>
        <v>1624.89</v>
      </c>
    </row>
    <row r="141">
      <c r="B141" s="11">
        <f>IFERROR(__xludf.DUMMYFUNCTION("""COMPUTED_VALUE"""),43252.66666666667)</f>
        <v>43252.66667</v>
      </c>
      <c r="C141" s="9">
        <f>IFERROR(__xludf.DUMMYFUNCTION("""COMPUTED_VALUE"""),57.17)</f>
        <v>57.17</v>
      </c>
      <c r="D141" s="11">
        <f>IFERROR(__xludf.DUMMYFUNCTION("""COMPUTED_VALUE"""),43252.66666666667)</f>
        <v>43252.66667</v>
      </c>
      <c r="E141" s="9">
        <f>IFERROR(__xludf.DUMMYFUNCTION("""COMPUTED_VALUE"""),58.36)</f>
        <v>58.36</v>
      </c>
      <c r="G141" s="11">
        <f>IFERROR(__xludf.DUMMYFUNCTION("""COMPUTED_VALUE"""),43252.66666666667)</f>
        <v>43252.66667</v>
      </c>
      <c r="H141" s="9">
        <f>IFERROR(__xludf.DUMMYFUNCTION("""COMPUTED_VALUE"""),1099.35)</f>
        <v>1099.35</v>
      </c>
      <c r="I141" s="11">
        <f>IFERROR(__xludf.DUMMYFUNCTION("""COMPUTED_VALUE"""),43252.66666666667)</f>
        <v>43252.66667</v>
      </c>
      <c r="J141" s="9">
        <f>IFERROR(__xludf.DUMMYFUNCTION("""COMPUTED_VALUE"""),1119.5)</f>
        <v>1119.5</v>
      </c>
      <c r="L141" s="11">
        <f>IFERROR(__xludf.DUMMYFUNCTION("""COMPUTED_VALUE"""),43252.66666666667)</f>
        <v>43252.66667</v>
      </c>
      <c r="M141" s="9">
        <f>IFERROR(__xludf.DUMMYFUNCTION("""COMPUTED_VALUE"""),47.0)</f>
        <v>47</v>
      </c>
      <c r="N141" s="11">
        <f>IFERROR(__xludf.DUMMYFUNCTION("""COMPUTED_VALUE"""),43252.66666666667)</f>
        <v>43252.66667</v>
      </c>
      <c r="O141" s="9">
        <f>IFERROR(__xludf.DUMMYFUNCTION("""COMPUTED_VALUE"""),47.56)</f>
        <v>47.56</v>
      </c>
      <c r="Q141" s="11">
        <f>IFERROR(__xludf.DUMMYFUNCTION("""COMPUTED_VALUE"""),43252.66666666667)</f>
        <v>43252.66667</v>
      </c>
      <c r="R141" s="9">
        <f>IFERROR(__xludf.DUMMYFUNCTION("""COMPUTED_VALUE"""),193.07)</f>
        <v>193.07</v>
      </c>
      <c r="S141" s="11">
        <f>IFERROR(__xludf.DUMMYFUNCTION("""COMPUTED_VALUE"""),43252.66666666667)</f>
        <v>43252.66667</v>
      </c>
      <c r="T141" s="9">
        <f>IFERROR(__xludf.DUMMYFUNCTION("""COMPUTED_VALUE"""),193.99)</f>
        <v>193.99</v>
      </c>
      <c r="V141" s="11">
        <f>IFERROR(__xludf.DUMMYFUNCTION("""COMPUTED_VALUE"""),43252.66666666667)</f>
        <v>43252.66667</v>
      </c>
      <c r="W141" s="9">
        <f>IFERROR(__xludf.DUMMYFUNCTION("""COMPUTED_VALUE"""),353.88)</f>
        <v>353.88</v>
      </c>
      <c r="X141" s="11">
        <f>IFERROR(__xludf.DUMMYFUNCTION("""COMPUTED_VALUE"""),43252.66666666667)</f>
        <v>43252.66667</v>
      </c>
      <c r="Y141" s="9">
        <f>IFERROR(__xludf.DUMMYFUNCTION("""COMPUTED_VALUE"""),359.93)</f>
        <v>359.93</v>
      </c>
      <c r="AA141" s="11">
        <f>IFERROR(__xludf.DUMMYFUNCTION("""COMPUTED_VALUE"""),43252.66666666667)</f>
        <v>43252.66667</v>
      </c>
      <c r="AB141" s="9">
        <f>IFERROR(__xludf.DUMMYFUNCTION("""COMPUTED_VALUE"""),1637.03)</f>
        <v>1637.03</v>
      </c>
      <c r="AC141" s="11">
        <f>IFERROR(__xludf.DUMMYFUNCTION("""COMPUTED_VALUE"""),43252.66666666667)</f>
        <v>43252.66667</v>
      </c>
      <c r="AD141" s="9">
        <f>IFERROR(__xludf.DUMMYFUNCTION("""COMPUTED_VALUE"""),1641.54)</f>
        <v>1641.54</v>
      </c>
    </row>
    <row r="142">
      <c r="B142" s="11">
        <f>IFERROR(__xludf.DUMMYFUNCTION("""COMPUTED_VALUE"""),43255.66666666667)</f>
        <v>43255.66667</v>
      </c>
      <c r="C142" s="9">
        <f>IFERROR(__xludf.DUMMYFUNCTION("""COMPUTED_VALUE"""),58.87)</f>
        <v>58.87</v>
      </c>
      <c r="D142" s="11">
        <f>IFERROR(__xludf.DUMMYFUNCTION("""COMPUTED_VALUE"""),43255.66666666667)</f>
        <v>43255.66667</v>
      </c>
      <c r="E142" s="9">
        <f>IFERROR(__xludf.DUMMYFUNCTION("""COMPUTED_VALUE"""),59.35)</f>
        <v>59.35</v>
      </c>
      <c r="G142" s="11">
        <f>IFERROR(__xludf.DUMMYFUNCTION("""COMPUTED_VALUE"""),43255.66666666667)</f>
        <v>43255.66667</v>
      </c>
      <c r="H142" s="9">
        <f>IFERROR(__xludf.DUMMYFUNCTION("""COMPUTED_VALUE"""),1122.33)</f>
        <v>1122.33</v>
      </c>
      <c r="I142" s="11">
        <f>IFERROR(__xludf.DUMMYFUNCTION("""COMPUTED_VALUE"""),43255.66666666667)</f>
        <v>43255.66667</v>
      </c>
      <c r="J142" s="9">
        <f>IFERROR(__xludf.DUMMYFUNCTION("""COMPUTED_VALUE"""),1139.29)</f>
        <v>1139.29</v>
      </c>
      <c r="L142" s="11">
        <f>IFERROR(__xludf.DUMMYFUNCTION("""COMPUTED_VALUE"""),43255.66666666667)</f>
        <v>43255.66667</v>
      </c>
      <c r="M142" s="9">
        <f>IFERROR(__xludf.DUMMYFUNCTION("""COMPUTED_VALUE"""),47.91)</f>
        <v>47.91</v>
      </c>
      <c r="N142" s="11">
        <f>IFERROR(__xludf.DUMMYFUNCTION("""COMPUTED_VALUE"""),43255.66666666667)</f>
        <v>43255.66667</v>
      </c>
      <c r="O142" s="9">
        <f>IFERROR(__xludf.DUMMYFUNCTION("""COMPUTED_VALUE"""),47.96)</f>
        <v>47.96</v>
      </c>
      <c r="Q142" s="11">
        <f>IFERROR(__xludf.DUMMYFUNCTION("""COMPUTED_VALUE"""),43255.66666666667)</f>
        <v>43255.66667</v>
      </c>
      <c r="R142" s="9">
        <f>IFERROR(__xludf.DUMMYFUNCTION("""COMPUTED_VALUE"""),191.84)</f>
        <v>191.84</v>
      </c>
      <c r="S142" s="11">
        <f>IFERROR(__xludf.DUMMYFUNCTION("""COMPUTED_VALUE"""),43255.66666666667)</f>
        <v>43255.66667</v>
      </c>
      <c r="T142" s="9">
        <f>IFERROR(__xludf.DUMMYFUNCTION("""COMPUTED_VALUE"""),193.28)</f>
        <v>193.28</v>
      </c>
      <c r="V142" s="11">
        <f>IFERROR(__xludf.DUMMYFUNCTION("""COMPUTED_VALUE"""),43255.66666666667)</f>
        <v>43255.66667</v>
      </c>
      <c r="W142" s="9">
        <f>IFERROR(__xludf.DUMMYFUNCTION("""COMPUTED_VALUE"""),362.68)</f>
        <v>362.68</v>
      </c>
      <c r="X142" s="11">
        <f>IFERROR(__xludf.DUMMYFUNCTION("""COMPUTED_VALUE"""),43255.66666666667)</f>
        <v>43255.66667</v>
      </c>
      <c r="Y142" s="9">
        <f>IFERROR(__xludf.DUMMYFUNCTION("""COMPUTED_VALUE"""),361.81)</f>
        <v>361.81</v>
      </c>
      <c r="AA142" s="11">
        <f>IFERROR(__xludf.DUMMYFUNCTION("""COMPUTED_VALUE"""),43255.66666666667)</f>
        <v>43255.66667</v>
      </c>
      <c r="AB142" s="9">
        <f>IFERROR(__xludf.DUMMYFUNCTION("""COMPUTED_VALUE"""),1648.9)</f>
        <v>1648.9</v>
      </c>
      <c r="AC142" s="11">
        <f>IFERROR(__xludf.DUMMYFUNCTION("""COMPUTED_VALUE"""),43255.66666666667)</f>
        <v>43255.66667</v>
      </c>
      <c r="AD142" s="9">
        <f>IFERROR(__xludf.DUMMYFUNCTION("""COMPUTED_VALUE"""),1665.27)</f>
        <v>1665.27</v>
      </c>
    </row>
    <row r="143">
      <c r="B143" s="11">
        <f>IFERROR(__xludf.DUMMYFUNCTION("""COMPUTED_VALUE"""),43256.66666666667)</f>
        <v>43256.66667</v>
      </c>
      <c r="C143" s="9">
        <f>IFERROR(__xludf.DUMMYFUNCTION("""COMPUTED_VALUE"""),59.54)</f>
        <v>59.54</v>
      </c>
      <c r="D143" s="11">
        <f>IFERROR(__xludf.DUMMYFUNCTION("""COMPUTED_VALUE"""),43256.66666666667)</f>
        <v>43256.66667</v>
      </c>
      <c r="E143" s="9">
        <f>IFERROR(__xludf.DUMMYFUNCTION("""COMPUTED_VALUE"""),58.23)</f>
        <v>58.23</v>
      </c>
      <c r="G143" s="11">
        <f>IFERROR(__xludf.DUMMYFUNCTION("""COMPUTED_VALUE"""),43256.66666666667)</f>
        <v>43256.66667</v>
      </c>
      <c r="H143" s="9">
        <f>IFERROR(__xludf.DUMMYFUNCTION("""COMPUTED_VALUE"""),1140.99)</f>
        <v>1140.99</v>
      </c>
      <c r="I143" s="11">
        <f>IFERROR(__xludf.DUMMYFUNCTION("""COMPUTED_VALUE"""),43256.66666666667)</f>
        <v>43256.66667</v>
      </c>
      <c r="J143" s="9">
        <f>IFERROR(__xludf.DUMMYFUNCTION("""COMPUTED_VALUE"""),1139.66)</f>
        <v>1139.66</v>
      </c>
      <c r="L143" s="11">
        <f>IFERROR(__xludf.DUMMYFUNCTION("""COMPUTED_VALUE"""),43256.66666666667)</f>
        <v>43256.66667</v>
      </c>
      <c r="M143" s="9">
        <f>IFERROR(__xludf.DUMMYFUNCTION("""COMPUTED_VALUE"""),48.27)</f>
        <v>48.27</v>
      </c>
      <c r="N143" s="11">
        <f>IFERROR(__xludf.DUMMYFUNCTION("""COMPUTED_VALUE"""),43256.66666666667)</f>
        <v>43256.66667</v>
      </c>
      <c r="O143" s="9">
        <f>IFERROR(__xludf.DUMMYFUNCTION("""COMPUTED_VALUE"""),48.33)</f>
        <v>48.33</v>
      </c>
      <c r="Q143" s="11">
        <f>IFERROR(__xludf.DUMMYFUNCTION("""COMPUTED_VALUE"""),43256.66666666667)</f>
        <v>43256.66667</v>
      </c>
      <c r="R143" s="9">
        <f>IFERROR(__xludf.DUMMYFUNCTION("""COMPUTED_VALUE"""),194.3)</f>
        <v>194.3</v>
      </c>
      <c r="S143" s="11">
        <f>IFERROR(__xludf.DUMMYFUNCTION("""COMPUTED_VALUE"""),43256.66666666667)</f>
        <v>43256.66667</v>
      </c>
      <c r="T143" s="9">
        <f>IFERROR(__xludf.DUMMYFUNCTION("""COMPUTED_VALUE"""),192.94)</f>
        <v>192.94</v>
      </c>
      <c r="V143" s="11">
        <f>IFERROR(__xludf.DUMMYFUNCTION("""COMPUTED_VALUE"""),43256.66666666667)</f>
        <v>43256.66667</v>
      </c>
      <c r="W143" s="9">
        <f>IFERROR(__xludf.DUMMYFUNCTION("""COMPUTED_VALUE"""),363.32)</f>
        <v>363.32</v>
      </c>
      <c r="X143" s="11">
        <f>IFERROR(__xludf.DUMMYFUNCTION("""COMPUTED_VALUE"""),43256.66666666667)</f>
        <v>43256.66667</v>
      </c>
      <c r="Y143" s="9">
        <f>IFERROR(__xludf.DUMMYFUNCTION("""COMPUTED_VALUE"""),365.8)</f>
        <v>365.8</v>
      </c>
      <c r="AA143" s="11">
        <f>IFERROR(__xludf.DUMMYFUNCTION("""COMPUTED_VALUE"""),43256.66666666667)</f>
        <v>43256.66667</v>
      </c>
      <c r="AB143" s="9">
        <f>IFERROR(__xludf.DUMMYFUNCTION("""COMPUTED_VALUE"""),1672.99)</f>
        <v>1672.99</v>
      </c>
      <c r="AC143" s="11">
        <f>IFERROR(__xludf.DUMMYFUNCTION("""COMPUTED_VALUE"""),43256.66666666667)</f>
        <v>43256.66667</v>
      </c>
      <c r="AD143" s="9">
        <f>IFERROR(__xludf.DUMMYFUNCTION("""COMPUTED_VALUE"""),1696.35)</f>
        <v>1696.35</v>
      </c>
    </row>
    <row r="144">
      <c r="B144" s="11">
        <f>IFERROR(__xludf.DUMMYFUNCTION("""COMPUTED_VALUE"""),43257.66666666667)</f>
        <v>43257.66667</v>
      </c>
      <c r="C144" s="9">
        <f>IFERROR(__xludf.DUMMYFUNCTION("""COMPUTED_VALUE"""),60.1)</f>
        <v>60.1</v>
      </c>
      <c r="D144" s="11">
        <f>IFERROR(__xludf.DUMMYFUNCTION("""COMPUTED_VALUE"""),43257.66666666667)</f>
        <v>43257.66667</v>
      </c>
      <c r="E144" s="9">
        <f>IFERROR(__xludf.DUMMYFUNCTION("""COMPUTED_VALUE"""),63.9)</f>
        <v>63.9</v>
      </c>
      <c r="G144" s="11">
        <f>IFERROR(__xludf.DUMMYFUNCTION("""COMPUTED_VALUE"""),43257.66666666667)</f>
        <v>43257.66667</v>
      </c>
      <c r="H144" s="9">
        <f>IFERROR(__xludf.DUMMYFUNCTION("""COMPUTED_VALUE"""),1142.17)</f>
        <v>1142.17</v>
      </c>
      <c r="I144" s="11">
        <f>IFERROR(__xludf.DUMMYFUNCTION("""COMPUTED_VALUE"""),43257.66666666667)</f>
        <v>43257.66667</v>
      </c>
      <c r="J144" s="9">
        <f>IFERROR(__xludf.DUMMYFUNCTION("""COMPUTED_VALUE"""),1136.88)</f>
        <v>1136.88</v>
      </c>
      <c r="L144" s="11">
        <f>IFERROR(__xludf.DUMMYFUNCTION("""COMPUTED_VALUE"""),43257.66666666667)</f>
        <v>43257.66667</v>
      </c>
      <c r="M144" s="9">
        <f>IFERROR(__xludf.DUMMYFUNCTION("""COMPUTED_VALUE"""),48.41)</f>
        <v>48.41</v>
      </c>
      <c r="N144" s="11">
        <f>IFERROR(__xludf.DUMMYFUNCTION("""COMPUTED_VALUE"""),43257.66666666667)</f>
        <v>43257.66667</v>
      </c>
      <c r="O144" s="9">
        <f>IFERROR(__xludf.DUMMYFUNCTION("""COMPUTED_VALUE"""),48.5)</f>
        <v>48.5</v>
      </c>
      <c r="Q144" s="11">
        <f>IFERROR(__xludf.DUMMYFUNCTION("""COMPUTED_VALUE"""),43257.66666666667)</f>
        <v>43257.66667</v>
      </c>
      <c r="R144" s="9">
        <f>IFERROR(__xludf.DUMMYFUNCTION("""COMPUTED_VALUE"""),191.03)</f>
        <v>191.03</v>
      </c>
      <c r="S144" s="11">
        <f>IFERROR(__xludf.DUMMYFUNCTION("""COMPUTED_VALUE"""),43257.66666666667)</f>
        <v>43257.66667</v>
      </c>
      <c r="T144" s="9">
        <f>IFERROR(__xludf.DUMMYFUNCTION("""COMPUTED_VALUE"""),191.34)</f>
        <v>191.34</v>
      </c>
      <c r="V144" s="11">
        <f>IFERROR(__xludf.DUMMYFUNCTION("""COMPUTED_VALUE"""),43257.66666666667)</f>
        <v>43257.66667</v>
      </c>
      <c r="W144" s="9">
        <f>IFERROR(__xludf.DUMMYFUNCTION("""COMPUTED_VALUE"""),367.78)</f>
        <v>367.78</v>
      </c>
      <c r="X144" s="11">
        <f>IFERROR(__xludf.DUMMYFUNCTION("""COMPUTED_VALUE"""),43257.66666666667)</f>
        <v>43257.66667</v>
      </c>
      <c r="Y144" s="9">
        <f>IFERROR(__xludf.DUMMYFUNCTION("""COMPUTED_VALUE"""),367.45)</f>
        <v>367.45</v>
      </c>
      <c r="AA144" s="11">
        <f>IFERROR(__xludf.DUMMYFUNCTION("""COMPUTED_VALUE"""),43257.66666666667)</f>
        <v>43257.66667</v>
      </c>
      <c r="AB144" s="9">
        <f>IFERROR(__xludf.DUMMYFUNCTION("""COMPUTED_VALUE"""),1704.51)</f>
        <v>1704.51</v>
      </c>
      <c r="AC144" s="11">
        <f>IFERROR(__xludf.DUMMYFUNCTION("""COMPUTED_VALUE"""),43257.66666666667)</f>
        <v>43257.66667</v>
      </c>
      <c r="AD144" s="9">
        <f>IFERROR(__xludf.DUMMYFUNCTION("""COMPUTED_VALUE"""),1695.75)</f>
        <v>1695.75</v>
      </c>
    </row>
    <row r="145">
      <c r="B145" s="11">
        <f>IFERROR(__xludf.DUMMYFUNCTION("""COMPUTED_VALUE"""),43258.66666666667)</f>
        <v>43258.66667</v>
      </c>
      <c r="C145" s="9">
        <f>IFERROR(__xludf.DUMMYFUNCTION("""COMPUTED_VALUE"""),63.23)</f>
        <v>63.23</v>
      </c>
      <c r="D145" s="11">
        <f>IFERROR(__xludf.DUMMYFUNCTION("""COMPUTED_VALUE"""),43258.66666666667)</f>
        <v>43258.66667</v>
      </c>
      <c r="E145" s="9">
        <f>IFERROR(__xludf.DUMMYFUNCTION("""COMPUTED_VALUE"""),63.22)</f>
        <v>63.22</v>
      </c>
      <c r="G145" s="11">
        <f>IFERROR(__xludf.DUMMYFUNCTION("""COMPUTED_VALUE"""),43258.66666666667)</f>
        <v>43258.66667</v>
      </c>
      <c r="H145" s="9">
        <f>IFERROR(__xludf.DUMMYFUNCTION("""COMPUTED_VALUE"""),1131.32)</f>
        <v>1131.32</v>
      </c>
      <c r="I145" s="11">
        <f>IFERROR(__xludf.DUMMYFUNCTION("""COMPUTED_VALUE"""),43258.66666666667)</f>
        <v>43258.66667</v>
      </c>
      <c r="J145" s="9">
        <f>IFERROR(__xludf.DUMMYFUNCTION("""COMPUTED_VALUE"""),1123.86)</f>
        <v>1123.86</v>
      </c>
      <c r="L145" s="11">
        <f>IFERROR(__xludf.DUMMYFUNCTION("""COMPUTED_VALUE"""),43258.66666666667)</f>
        <v>43258.66667</v>
      </c>
      <c r="M145" s="9">
        <f>IFERROR(__xludf.DUMMYFUNCTION("""COMPUTED_VALUE"""),48.54)</f>
        <v>48.54</v>
      </c>
      <c r="N145" s="11">
        <f>IFERROR(__xludf.DUMMYFUNCTION("""COMPUTED_VALUE"""),43258.66666666667)</f>
        <v>43258.66667</v>
      </c>
      <c r="O145" s="9">
        <f>IFERROR(__xludf.DUMMYFUNCTION("""COMPUTED_VALUE"""),48.37)</f>
        <v>48.37</v>
      </c>
      <c r="Q145" s="11">
        <f>IFERROR(__xludf.DUMMYFUNCTION("""COMPUTED_VALUE"""),43258.66666666667)</f>
        <v>43258.66667</v>
      </c>
      <c r="R145" s="9">
        <f>IFERROR(__xludf.DUMMYFUNCTION("""COMPUTED_VALUE"""),190.75)</f>
        <v>190.75</v>
      </c>
      <c r="S145" s="11">
        <f>IFERROR(__xludf.DUMMYFUNCTION("""COMPUTED_VALUE"""),43258.66666666667)</f>
        <v>43258.66667</v>
      </c>
      <c r="T145" s="9">
        <f>IFERROR(__xludf.DUMMYFUNCTION("""COMPUTED_VALUE"""),188.18)</f>
        <v>188.18</v>
      </c>
      <c r="V145" s="11">
        <f>IFERROR(__xludf.DUMMYFUNCTION("""COMPUTED_VALUE"""),43258.66666666667)</f>
        <v>43258.66667</v>
      </c>
      <c r="W145" s="9">
        <f>IFERROR(__xludf.DUMMYFUNCTION("""COMPUTED_VALUE"""),368.54)</f>
        <v>368.54</v>
      </c>
      <c r="X145" s="11">
        <f>IFERROR(__xludf.DUMMYFUNCTION("""COMPUTED_VALUE"""),43258.66666666667)</f>
        <v>43258.66667</v>
      </c>
      <c r="Y145" s="9">
        <f>IFERROR(__xludf.DUMMYFUNCTION("""COMPUTED_VALUE"""),361.4)</f>
        <v>361.4</v>
      </c>
      <c r="AA145" s="11">
        <f>IFERROR(__xludf.DUMMYFUNCTION("""COMPUTED_VALUE"""),43258.66666666667)</f>
        <v>43258.66667</v>
      </c>
      <c r="AB145" s="9">
        <f>IFERROR(__xludf.DUMMYFUNCTION("""COMPUTED_VALUE"""),1698.56)</f>
        <v>1698.56</v>
      </c>
      <c r="AC145" s="11">
        <f>IFERROR(__xludf.DUMMYFUNCTION("""COMPUTED_VALUE"""),43258.66666666667)</f>
        <v>43258.66667</v>
      </c>
      <c r="AD145" s="9">
        <f>IFERROR(__xludf.DUMMYFUNCTION("""COMPUTED_VALUE"""),1689.3)</f>
        <v>1689.3</v>
      </c>
    </row>
    <row r="146">
      <c r="B146" s="11">
        <f>IFERROR(__xludf.DUMMYFUNCTION("""COMPUTED_VALUE"""),43259.66666666667)</f>
        <v>43259.66667</v>
      </c>
      <c r="C146" s="9">
        <f>IFERROR(__xludf.DUMMYFUNCTION("""COMPUTED_VALUE"""),63.8)</f>
        <v>63.8</v>
      </c>
      <c r="D146" s="11">
        <f>IFERROR(__xludf.DUMMYFUNCTION("""COMPUTED_VALUE"""),43259.66666666667)</f>
        <v>43259.66667</v>
      </c>
      <c r="E146" s="9">
        <f>IFERROR(__xludf.DUMMYFUNCTION("""COMPUTED_VALUE"""),63.53)</f>
        <v>63.53</v>
      </c>
      <c r="G146" s="11">
        <f>IFERROR(__xludf.DUMMYFUNCTION("""COMPUTED_VALUE"""),43259.66666666667)</f>
        <v>43259.66667</v>
      </c>
      <c r="H146" s="9">
        <f>IFERROR(__xludf.DUMMYFUNCTION("""COMPUTED_VALUE"""),1118.18)</f>
        <v>1118.18</v>
      </c>
      <c r="I146" s="11">
        <f>IFERROR(__xludf.DUMMYFUNCTION("""COMPUTED_VALUE"""),43259.66666666667)</f>
        <v>43259.66667</v>
      </c>
      <c r="J146" s="9">
        <f>IFERROR(__xludf.DUMMYFUNCTION("""COMPUTED_VALUE"""),1120.87)</f>
        <v>1120.87</v>
      </c>
      <c r="L146" s="11">
        <f>IFERROR(__xludf.DUMMYFUNCTION("""COMPUTED_VALUE"""),43259.66666666667)</f>
        <v>43259.66667</v>
      </c>
      <c r="M146" s="9">
        <f>IFERROR(__xludf.DUMMYFUNCTION("""COMPUTED_VALUE"""),47.79)</f>
        <v>47.79</v>
      </c>
      <c r="N146" s="11">
        <f>IFERROR(__xludf.DUMMYFUNCTION("""COMPUTED_VALUE"""),43259.66666666667)</f>
        <v>43259.66667</v>
      </c>
      <c r="O146" s="9">
        <f>IFERROR(__xludf.DUMMYFUNCTION("""COMPUTED_VALUE"""),47.93)</f>
        <v>47.93</v>
      </c>
      <c r="Q146" s="11">
        <f>IFERROR(__xludf.DUMMYFUNCTION("""COMPUTED_VALUE"""),43259.66666666667)</f>
        <v>43259.66667</v>
      </c>
      <c r="R146" s="9">
        <f>IFERROR(__xludf.DUMMYFUNCTION("""COMPUTED_VALUE"""),187.53)</f>
        <v>187.53</v>
      </c>
      <c r="S146" s="11">
        <f>IFERROR(__xludf.DUMMYFUNCTION("""COMPUTED_VALUE"""),43259.66666666667)</f>
        <v>43259.66667</v>
      </c>
      <c r="T146" s="9">
        <f>IFERROR(__xludf.DUMMYFUNCTION("""COMPUTED_VALUE"""),189.1)</f>
        <v>189.1</v>
      </c>
      <c r="V146" s="11">
        <f>IFERROR(__xludf.DUMMYFUNCTION("""COMPUTED_VALUE"""),43259.66666666667)</f>
        <v>43259.66667</v>
      </c>
      <c r="W146" s="9">
        <f>IFERROR(__xludf.DUMMYFUNCTION("""COMPUTED_VALUE"""),358.06)</f>
        <v>358.06</v>
      </c>
      <c r="X146" s="11">
        <f>IFERROR(__xludf.DUMMYFUNCTION("""COMPUTED_VALUE"""),43259.66666666667)</f>
        <v>43259.66667</v>
      </c>
      <c r="Y146" s="9">
        <f>IFERROR(__xludf.DUMMYFUNCTION("""COMPUTED_VALUE"""),360.57)</f>
        <v>360.57</v>
      </c>
      <c r="AA146" s="11">
        <f>IFERROR(__xludf.DUMMYFUNCTION("""COMPUTED_VALUE"""),43259.66666666667)</f>
        <v>43259.66667</v>
      </c>
      <c r="AB146" s="9">
        <f>IFERROR(__xludf.DUMMYFUNCTION("""COMPUTED_VALUE"""),1681.12)</f>
        <v>1681.12</v>
      </c>
      <c r="AC146" s="11">
        <f>IFERROR(__xludf.DUMMYFUNCTION("""COMPUTED_VALUE"""),43259.66666666667)</f>
        <v>43259.66667</v>
      </c>
      <c r="AD146" s="9">
        <f>IFERROR(__xludf.DUMMYFUNCTION("""COMPUTED_VALUE"""),1683.99)</f>
        <v>1683.99</v>
      </c>
    </row>
    <row r="147">
      <c r="B147" s="11">
        <f>IFERROR(__xludf.DUMMYFUNCTION("""COMPUTED_VALUE"""),43262.66666666667)</f>
        <v>43262.66667</v>
      </c>
      <c r="C147" s="9">
        <f>IFERROR(__xludf.DUMMYFUNCTION("""COMPUTED_VALUE"""),64.5)</f>
        <v>64.5</v>
      </c>
      <c r="D147" s="11">
        <f>IFERROR(__xludf.DUMMYFUNCTION("""COMPUTED_VALUE"""),43262.66666666667)</f>
        <v>43262.66667</v>
      </c>
      <c r="E147" s="9">
        <f>IFERROR(__xludf.DUMMYFUNCTION("""COMPUTED_VALUE"""),66.42)</f>
        <v>66.42</v>
      </c>
      <c r="G147" s="11">
        <f>IFERROR(__xludf.DUMMYFUNCTION("""COMPUTED_VALUE"""),43262.66666666667)</f>
        <v>43262.66667</v>
      </c>
      <c r="H147" s="9">
        <f>IFERROR(__xludf.DUMMYFUNCTION("""COMPUTED_VALUE"""),1118.6)</f>
        <v>1118.6</v>
      </c>
      <c r="I147" s="11">
        <f>IFERROR(__xludf.DUMMYFUNCTION("""COMPUTED_VALUE"""),43262.66666666667)</f>
        <v>43262.66667</v>
      </c>
      <c r="J147" s="9">
        <f>IFERROR(__xludf.DUMMYFUNCTION("""COMPUTED_VALUE"""),1129.99)</f>
        <v>1129.99</v>
      </c>
      <c r="L147" s="11">
        <f>IFERROR(__xludf.DUMMYFUNCTION("""COMPUTED_VALUE"""),43262.66666666667)</f>
        <v>43262.66667</v>
      </c>
      <c r="M147" s="9">
        <f>IFERROR(__xludf.DUMMYFUNCTION("""COMPUTED_VALUE"""),47.84)</f>
        <v>47.84</v>
      </c>
      <c r="N147" s="11">
        <f>IFERROR(__xludf.DUMMYFUNCTION("""COMPUTED_VALUE"""),43262.66666666667)</f>
        <v>43262.66667</v>
      </c>
      <c r="O147" s="9">
        <f>IFERROR(__xludf.DUMMYFUNCTION("""COMPUTED_VALUE"""),47.81)</f>
        <v>47.81</v>
      </c>
      <c r="Q147" s="11">
        <f>IFERROR(__xludf.DUMMYFUNCTION("""COMPUTED_VALUE"""),43262.66666666667)</f>
        <v>43262.66667</v>
      </c>
      <c r="R147" s="9">
        <f>IFERROR(__xludf.DUMMYFUNCTION("""COMPUTED_VALUE"""),188.81)</f>
        <v>188.81</v>
      </c>
      <c r="S147" s="11">
        <f>IFERROR(__xludf.DUMMYFUNCTION("""COMPUTED_VALUE"""),43262.66666666667)</f>
        <v>43262.66667</v>
      </c>
      <c r="T147" s="9">
        <f>IFERROR(__xludf.DUMMYFUNCTION("""COMPUTED_VALUE"""),191.54)</f>
        <v>191.54</v>
      </c>
      <c r="V147" s="11">
        <f>IFERROR(__xludf.DUMMYFUNCTION("""COMPUTED_VALUE"""),43262.66666666667)</f>
        <v>43262.66667</v>
      </c>
      <c r="W147" s="9">
        <f>IFERROR(__xludf.DUMMYFUNCTION("""COMPUTED_VALUE"""),361.88)</f>
        <v>361.88</v>
      </c>
      <c r="X147" s="11">
        <f>IFERROR(__xludf.DUMMYFUNCTION("""COMPUTED_VALUE"""),43262.66666666667)</f>
        <v>43262.66667</v>
      </c>
      <c r="Y147" s="9">
        <f>IFERROR(__xludf.DUMMYFUNCTION("""COMPUTED_VALUE"""),361.45)</f>
        <v>361.45</v>
      </c>
      <c r="AA147" s="11">
        <f>IFERROR(__xludf.DUMMYFUNCTION("""COMPUTED_VALUE"""),43262.66666666667)</f>
        <v>43262.66667</v>
      </c>
      <c r="AB147" s="9">
        <f>IFERROR(__xludf.DUMMYFUNCTION("""COMPUTED_VALUE"""),1681.51)</f>
        <v>1681.51</v>
      </c>
      <c r="AC147" s="11">
        <f>IFERROR(__xludf.DUMMYFUNCTION("""COMPUTED_VALUE"""),43262.66666666667)</f>
        <v>43262.66667</v>
      </c>
      <c r="AD147" s="9">
        <f>IFERROR(__xludf.DUMMYFUNCTION("""COMPUTED_VALUE"""),1689.12)</f>
        <v>1689.12</v>
      </c>
    </row>
    <row r="148">
      <c r="B148" s="11">
        <f>IFERROR(__xludf.DUMMYFUNCTION("""COMPUTED_VALUE"""),43263.66666666667)</f>
        <v>43263.66667</v>
      </c>
      <c r="C148" s="9">
        <f>IFERROR(__xludf.DUMMYFUNCTION("""COMPUTED_VALUE"""),68.94)</f>
        <v>68.94</v>
      </c>
      <c r="D148" s="11">
        <f>IFERROR(__xludf.DUMMYFUNCTION("""COMPUTED_VALUE"""),43263.66666666667)</f>
        <v>43263.66667</v>
      </c>
      <c r="E148" s="9">
        <f>IFERROR(__xludf.DUMMYFUNCTION("""COMPUTED_VALUE"""),68.55)</f>
        <v>68.55</v>
      </c>
      <c r="G148" s="11">
        <f>IFERROR(__xludf.DUMMYFUNCTION("""COMPUTED_VALUE"""),43263.66666666667)</f>
        <v>43263.66667</v>
      </c>
      <c r="H148" s="9">
        <f>IFERROR(__xludf.DUMMYFUNCTION("""COMPUTED_VALUE"""),1131.07)</f>
        <v>1131.07</v>
      </c>
      <c r="I148" s="11">
        <f>IFERROR(__xludf.DUMMYFUNCTION("""COMPUTED_VALUE"""),43263.66666666667)</f>
        <v>43263.66667</v>
      </c>
      <c r="J148" s="9">
        <f>IFERROR(__xludf.DUMMYFUNCTION("""COMPUTED_VALUE"""),1139.32)</f>
        <v>1139.32</v>
      </c>
      <c r="L148" s="11">
        <f>IFERROR(__xludf.DUMMYFUNCTION("""COMPUTED_VALUE"""),43263.66666666667)</f>
        <v>43263.66667</v>
      </c>
      <c r="M148" s="9">
        <f>IFERROR(__xludf.DUMMYFUNCTION("""COMPUTED_VALUE"""),47.85)</f>
        <v>47.85</v>
      </c>
      <c r="N148" s="11">
        <f>IFERROR(__xludf.DUMMYFUNCTION("""COMPUTED_VALUE"""),43263.66666666667)</f>
        <v>43263.66667</v>
      </c>
      <c r="O148" s="9">
        <f>IFERROR(__xludf.DUMMYFUNCTION("""COMPUTED_VALUE"""),48.07)</f>
        <v>48.07</v>
      </c>
      <c r="Q148" s="11">
        <f>IFERROR(__xludf.DUMMYFUNCTION("""COMPUTED_VALUE"""),43263.66666666667)</f>
        <v>43263.66667</v>
      </c>
      <c r="R148" s="9">
        <f>IFERROR(__xludf.DUMMYFUNCTION("""COMPUTED_VALUE"""),192.17)</f>
        <v>192.17</v>
      </c>
      <c r="S148" s="11">
        <f>IFERROR(__xludf.DUMMYFUNCTION("""COMPUTED_VALUE"""),43263.66666666667)</f>
        <v>43263.66667</v>
      </c>
      <c r="T148" s="9">
        <f>IFERROR(__xludf.DUMMYFUNCTION("""COMPUTED_VALUE"""),192.4)</f>
        <v>192.4</v>
      </c>
      <c r="V148" s="11">
        <f>IFERROR(__xludf.DUMMYFUNCTION("""COMPUTED_VALUE"""),43263.66666666667)</f>
        <v>43263.66667</v>
      </c>
      <c r="W148" s="9">
        <f>IFERROR(__xludf.DUMMYFUNCTION("""COMPUTED_VALUE"""),363.6)</f>
        <v>363.6</v>
      </c>
      <c r="X148" s="11">
        <f>IFERROR(__xludf.DUMMYFUNCTION("""COMPUTED_VALUE"""),43263.66666666667)</f>
        <v>43263.66667</v>
      </c>
      <c r="Y148" s="9">
        <f>IFERROR(__xludf.DUMMYFUNCTION("""COMPUTED_VALUE"""),363.83)</f>
        <v>363.83</v>
      </c>
      <c r="AA148" s="11">
        <f>IFERROR(__xludf.DUMMYFUNCTION("""COMPUTED_VALUE"""),43263.66666666667)</f>
        <v>43263.66667</v>
      </c>
      <c r="AB148" s="9">
        <f>IFERROR(__xludf.DUMMYFUNCTION("""COMPUTED_VALUE"""),1693.0)</f>
        <v>1693</v>
      </c>
      <c r="AC148" s="11">
        <f>IFERROR(__xludf.DUMMYFUNCTION("""COMPUTED_VALUE"""),43263.66666666667)</f>
        <v>43263.66667</v>
      </c>
      <c r="AD148" s="9">
        <f>IFERROR(__xludf.DUMMYFUNCTION("""COMPUTED_VALUE"""),1698.75)</f>
        <v>1698.75</v>
      </c>
    </row>
    <row r="149">
      <c r="B149" s="11">
        <f>IFERROR(__xludf.DUMMYFUNCTION("""COMPUTED_VALUE"""),43264.66666666667)</f>
        <v>43264.66667</v>
      </c>
      <c r="C149" s="9">
        <f>IFERROR(__xludf.DUMMYFUNCTION("""COMPUTED_VALUE"""),69.34)</f>
        <v>69.34</v>
      </c>
      <c r="D149" s="11">
        <f>IFERROR(__xludf.DUMMYFUNCTION("""COMPUTED_VALUE"""),43264.66666666667)</f>
        <v>43264.66667</v>
      </c>
      <c r="E149" s="9">
        <f>IFERROR(__xludf.DUMMYFUNCTION("""COMPUTED_VALUE"""),68.96)</f>
        <v>68.96</v>
      </c>
      <c r="G149" s="11">
        <f>IFERROR(__xludf.DUMMYFUNCTION("""COMPUTED_VALUE"""),43264.66666666667)</f>
        <v>43264.66667</v>
      </c>
      <c r="H149" s="9">
        <f>IFERROR(__xludf.DUMMYFUNCTION("""COMPUTED_VALUE"""),1141.12)</f>
        <v>1141.12</v>
      </c>
      <c r="I149" s="11">
        <f>IFERROR(__xludf.DUMMYFUNCTION("""COMPUTED_VALUE"""),43264.66666666667)</f>
        <v>43264.66667</v>
      </c>
      <c r="J149" s="9">
        <f>IFERROR(__xludf.DUMMYFUNCTION("""COMPUTED_VALUE"""),1134.79)</f>
        <v>1134.79</v>
      </c>
      <c r="L149" s="11">
        <f>IFERROR(__xludf.DUMMYFUNCTION("""COMPUTED_VALUE"""),43264.66666666667)</f>
        <v>43264.66667</v>
      </c>
      <c r="M149" s="9">
        <f>IFERROR(__xludf.DUMMYFUNCTION("""COMPUTED_VALUE"""),48.11)</f>
        <v>48.11</v>
      </c>
      <c r="N149" s="11">
        <f>IFERROR(__xludf.DUMMYFUNCTION("""COMPUTED_VALUE"""),43264.66666666667)</f>
        <v>43264.66667</v>
      </c>
      <c r="O149" s="9">
        <f>IFERROR(__xludf.DUMMYFUNCTION("""COMPUTED_VALUE"""),47.68)</f>
        <v>47.68</v>
      </c>
      <c r="Q149" s="11">
        <f>IFERROR(__xludf.DUMMYFUNCTION("""COMPUTED_VALUE"""),43264.66666666667)</f>
        <v>43264.66667</v>
      </c>
      <c r="R149" s="9">
        <f>IFERROR(__xludf.DUMMYFUNCTION("""COMPUTED_VALUE"""),192.74)</f>
        <v>192.74</v>
      </c>
      <c r="S149" s="11">
        <f>IFERROR(__xludf.DUMMYFUNCTION("""COMPUTED_VALUE"""),43264.66666666667)</f>
        <v>43264.66667</v>
      </c>
      <c r="T149" s="9">
        <f>IFERROR(__xludf.DUMMYFUNCTION("""COMPUTED_VALUE"""),192.41)</f>
        <v>192.41</v>
      </c>
      <c r="V149" s="11">
        <f>IFERROR(__xludf.DUMMYFUNCTION("""COMPUTED_VALUE"""),43264.66666666667)</f>
        <v>43264.66667</v>
      </c>
      <c r="W149" s="9">
        <f>IFERROR(__xludf.DUMMYFUNCTION("""COMPUTED_VALUE"""),367.53)</f>
        <v>367.53</v>
      </c>
      <c r="X149" s="11">
        <f>IFERROR(__xludf.DUMMYFUNCTION("""COMPUTED_VALUE"""),43264.66666666667)</f>
        <v>43264.66667</v>
      </c>
      <c r="Y149" s="9">
        <f>IFERROR(__xludf.DUMMYFUNCTION("""COMPUTED_VALUE"""),379.93)</f>
        <v>379.93</v>
      </c>
      <c r="AA149" s="11">
        <f>IFERROR(__xludf.DUMMYFUNCTION("""COMPUTED_VALUE"""),43264.66666666667)</f>
        <v>43264.66667</v>
      </c>
      <c r="AB149" s="9">
        <f>IFERROR(__xludf.DUMMYFUNCTION("""COMPUTED_VALUE"""),1702.81)</f>
        <v>1702.81</v>
      </c>
      <c r="AC149" s="11">
        <f>IFERROR(__xludf.DUMMYFUNCTION("""COMPUTED_VALUE"""),43264.66666666667)</f>
        <v>43264.66667</v>
      </c>
      <c r="AD149" s="9">
        <f>IFERROR(__xludf.DUMMYFUNCTION("""COMPUTED_VALUE"""),1704.86)</f>
        <v>1704.86</v>
      </c>
    </row>
    <row r="150">
      <c r="B150" s="11">
        <f>IFERROR(__xludf.DUMMYFUNCTION("""COMPUTED_VALUE"""),43265.66666666667)</f>
        <v>43265.66667</v>
      </c>
      <c r="C150" s="9">
        <f>IFERROR(__xludf.DUMMYFUNCTION("""COMPUTED_VALUE"""),69.53)</f>
        <v>69.53</v>
      </c>
      <c r="D150" s="11">
        <f>IFERROR(__xludf.DUMMYFUNCTION("""COMPUTED_VALUE"""),43265.66666666667)</f>
        <v>43265.66667</v>
      </c>
      <c r="E150" s="9">
        <f>IFERROR(__xludf.DUMMYFUNCTION("""COMPUTED_VALUE"""),71.54)</f>
        <v>71.54</v>
      </c>
      <c r="G150" s="11">
        <f>IFERROR(__xludf.DUMMYFUNCTION("""COMPUTED_VALUE"""),43265.66666666667)</f>
        <v>43265.66667</v>
      </c>
      <c r="H150" s="9">
        <f>IFERROR(__xludf.DUMMYFUNCTION("""COMPUTED_VALUE"""),1143.85)</f>
        <v>1143.85</v>
      </c>
      <c r="I150" s="11">
        <f>IFERROR(__xludf.DUMMYFUNCTION("""COMPUTED_VALUE"""),43265.66666666667)</f>
        <v>43265.66667</v>
      </c>
      <c r="J150" s="9">
        <f>IFERROR(__xludf.DUMMYFUNCTION("""COMPUTED_VALUE"""),1152.12)</f>
        <v>1152.12</v>
      </c>
      <c r="L150" s="11">
        <f>IFERROR(__xludf.DUMMYFUNCTION("""COMPUTED_VALUE"""),43265.66666666667)</f>
        <v>43265.66667</v>
      </c>
      <c r="M150" s="9">
        <f>IFERROR(__xludf.DUMMYFUNCTION("""COMPUTED_VALUE"""),47.89)</f>
        <v>47.89</v>
      </c>
      <c r="N150" s="11">
        <f>IFERROR(__xludf.DUMMYFUNCTION("""COMPUTED_VALUE"""),43265.66666666667)</f>
        <v>43265.66667</v>
      </c>
      <c r="O150" s="9">
        <f>IFERROR(__xludf.DUMMYFUNCTION("""COMPUTED_VALUE"""),47.7)</f>
        <v>47.7</v>
      </c>
      <c r="Q150" s="11">
        <f>IFERROR(__xludf.DUMMYFUNCTION("""COMPUTED_VALUE"""),43265.66666666667)</f>
        <v>43265.66667</v>
      </c>
      <c r="R150" s="9">
        <f>IFERROR(__xludf.DUMMYFUNCTION("""COMPUTED_VALUE"""),193.1)</f>
        <v>193.1</v>
      </c>
      <c r="S150" s="11">
        <f>IFERROR(__xludf.DUMMYFUNCTION("""COMPUTED_VALUE"""),43265.66666666667)</f>
        <v>43265.66667</v>
      </c>
      <c r="T150" s="9">
        <f>IFERROR(__xludf.DUMMYFUNCTION("""COMPUTED_VALUE"""),196.81)</f>
        <v>196.81</v>
      </c>
      <c r="V150" s="11">
        <f>IFERROR(__xludf.DUMMYFUNCTION("""COMPUTED_VALUE"""),43265.66666666667)</f>
        <v>43265.66667</v>
      </c>
      <c r="W150" s="9">
        <f>IFERROR(__xludf.DUMMYFUNCTION("""COMPUTED_VALUE"""),384.27)</f>
        <v>384.27</v>
      </c>
      <c r="X150" s="11">
        <f>IFERROR(__xludf.DUMMYFUNCTION("""COMPUTED_VALUE"""),43265.66666666667)</f>
        <v>43265.66667</v>
      </c>
      <c r="Y150" s="9">
        <f>IFERROR(__xludf.DUMMYFUNCTION("""COMPUTED_VALUE"""),392.87)</f>
        <v>392.87</v>
      </c>
      <c r="AA150" s="11">
        <f>IFERROR(__xludf.DUMMYFUNCTION("""COMPUTED_VALUE"""),43265.66666666667)</f>
        <v>43265.66667</v>
      </c>
      <c r="AB150" s="9">
        <f>IFERROR(__xludf.DUMMYFUNCTION("""COMPUTED_VALUE"""),1713.48)</f>
        <v>1713.48</v>
      </c>
      <c r="AC150" s="11">
        <f>IFERROR(__xludf.DUMMYFUNCTION("""COMPUTED_VALUE"""),43265.66666666667)</f>
        <v>43265.66667</v>
      </c>
      <c r="AD150" s="9">
        <f>IFERROR(__xludf.DUMMYFUNCTION("""COMPUTED_VALUE"""),1723.86)</f>
        <v>1723.86</v>
      </c>
    </row>
    <row r="151">
      <c r="B151" s="11">
        <f>IFERROR(__xludf.DUMMYFUNCTION("""COMPUTED_VALUE"""),43266.66666666667)</f>
        <v>43266.66667</v>
      </c>
      <c r="C151" s="9">
        <f>IFERROR(__xludf.DUMMYFUNCTION("""COMPUTED_VALUE"""),70.77)</f>
        <v>70.77</v>
      </c>
      <c r="D151" s="11">
        <f>IFERROR(__xludf.DUMMYFUNCTION("""COMPUTED_VALUE"""),43266.66666666667)</f>
        <v>43266.66667</v>
      </c>
      <c r="E151" s="9">
        <f>IFERROR(__xludf.DUMMYFUNCTION("""COMPUTED_VALUE"""),71.63)</f>
        <v>71.63</v>
      </c>
      <c r="G151" s="11">
        <f>IFERROR(__xludf.DUMMYFUNCTION("""COMPUTED_VALUE"""),43266.66666666667)</f>
        <v>43266.66667</v>
      </c>
      <c r="H151" s="9">
        <f>IFERROR(__xludf.DUMMYFUNCTION("""COMPUTED_VALUE"""),1148.86)</f>
        <v>1148.86</v>
      </c>
      <c r="I151" s="11">
        <f>IFERROR(__xludf.DUMMYFUNCTION("""COMPUTED_VALUE"""),43266.66666666667)</f>
        <v>43266.66667</v>
      </c>
      <c r="J151" s="9">
        <f>IFERROR(__xludf.DUMMYFUNCTION("""COMPUTED_VALUE"""),1152.26)</f>
        <v>1152.26</v>
      </c>
      <c r="L151" s="11">
        <f>IFERROR(__xludf.DUMMYFUNCTION("""COMPUTED_VALUE"""),43266.66666666667)</f>
        <v>43266.66667</v>
      </c>
      <c r="M151" s="9">
        <f>IFERROR(__xludf.DUMMYFUNCTION("""COMPUTED_VALUE"""),47.51)</f>
        <v>47.51</v>
      </c>
      <c r="N151" s="11">
        <f>IFERROR(__xludf.DUMMYFUNCTION("""COMPUTED_VALUE"""),43266.66666666667)</f>
        <v>43266.66667</v>
      </c>
      <c r="O151" s="9">
        <f>IFERROR(__xludf.DUMMYFUNCTION("""COMPUTED_VALUE"""),47.21)</f>
        <v>47.21</v>
      </c>
      <c r="Q151" s="11">
        <f>IFERROR(__xludf.DUMMYFUNCTION("""COMPUTED_VALUE"""),43266.66666666667)</f>
        <v>43266.66667</v>
      </c>
      <c r="R151" s="9">
        <f>IFERROR(__xludf.DUMMYFUNCTION("""COMPUTED_VALUE"""),195.79)</f>
        <v>195.79</v>
      </c>
      <c r="S151" s="11">
        <f>IFERROR(__xludf.DUMMYFUNCTION("""COMPUTED_VALUE"""),43266.66666666667)</f>
        <v>43266.66667</v>
      </c>
      <c r="T151" s="9">
        <f>IFERROR(__xludf.DUMMYFUNCTION("""COMPUTED_VALUE"""),195.85)</f>
        <v>195.85</v>
      </c>
      <c r="V151" s="11">
        <f>IFERROR(__xludf.DUMMYFUNCTION("""COMPUTED_VALUE"""),43266.66666666667)</f>
        <v>43266.66667</v>
      </c>
      <c r="W151" s="9">
        <f>IFERROR(__xludf.DUMMYFUNCTION("""COMPUTED_VALUE"""),390.71)</f>
        <v>390.71</v>
      </c>
      <c r="X151" s="11">
        <f>IFERROR(__xludf.DUMMYFUNCTION("""COMPUTED_VALUE"""),43266.66666666667)</f>
        <v>43266.66667</v>
      </c>
      <c r="Y151" s="9">
        <f>IFERROR(__xludf.DUMMYFUNCTION("""COMPUTED_VALUE"""),391.98)</f>
        <v>391.98</v>
      </c>
      <c r="AA151" s="11">
        <f>IFERROR(__xludf.DUMMYFUNCTION("""COMPUTED_VALUE"""),43266.66666666667)</f>
        <v>43266.66667</v>
      </c>
      <c r="AB151" s="9">
        <f>IFERROR(__xludf.DUMMYFUNCTION("""COMPUTED_VALUE"""),1714.0)</f>
        <v>1714</v>
      </c>
      <c r="AC151" s="11">
        <f>IFERROR(__xludf.DUMMYFUNCTION("""COMPUTED_VALUE"""),43266.66666666667)</f>
        <v>43266.66667</v>
      </c>
      <c r="AD151" s="9">
        <f>IFERROR(__xludf.DUMMYFUNCTION("""COMPUTED_VALUE"""),1715.97)</f>
        <v>1715.97</v>
      </c>
    </row>
    <row r="152">
      <c r="B152" s="11">
        <f>IFERROR(__xludf.DUMMYFUNCTION("""COMPUTED_VALUE"""),43269.66666666667)</f>
        <v>43269.66667</v>
      </c>
      <c r="C152" s="9">
        <f>IFERROR(__xludf.DUMMYFUNCTION("""COMPUTED_VALUE"""),71.08)</f>
        <v>71.08</v>
      </c>
      <c r="D152" s="11">
        <f>IFERROR(__xludf.DUMMYFUNCTION("""COMPUTED_VALUE"""),43269.66666666667)</f>
        <v>43269.66667</v>
      </c>
      <c r="E152" s="9">
        <f>IFERROR(__xludf.DUMMYFUNCTION("""COMPUTED_VALUE"""),74.17)</f>
        <v>74.17</v>
      </c>
      <c r="G152" s="11">
        <f>IFERROR(__xludf.DUMMYFUNCTION("""COMPUTED_VALUE"""),43269.66666666667)</f>
        <v>43269.66667</v>
      </c>
      <c r="H152" s="9">
        <f>IFERROR(__xludf.DUMMYFUNCTION("""COMPUTED_VALUE"""),1143.65)</f>
        <v>1143.65</v>
      </c>
      <c r="I152" s="11">
        <f>IFERROR(__xludf.DUMMYFUNCTION("""COMPUTED_VALUE"""),43269.66666666667)</f>
        <v>43269.66667</v>
      </c>
      <c r="J152" s="9">
        <f>IFERROR(__xludf.DUMMYFUNCTION("""COMPUTED_VALUE"""),1173.46)</f>
        <v>1173.46</v>
      </c>
      <c r="L152" s="11">
        <f>IFERROR(__xludf.DUMMYFUNCTION("""COMPUTED_VALUE"""),43269.66666666667)</f>
        <v>43269.66667</v>
      </c>
      <c r="M152" s="9">
        <f>IFERROR(__xludf.DUMMYFUNCTION("""COMPUTED_VALUE"""),46.97)</f>
        <v>46.97</v>
      </c>
      <c r="N152" s="11">
        <f>IFERROR(__xludf.DUMMYFUNCTION("""COMPUTED_VALUE"""),43269.66666666667)</f>
        <v>43269.66667</v>
      </c>
      <c r="O152" s="9">
        <f>IFERROR(__xludf.DUMMYFUNCTION("""COMPUTED_VALUE"""),47.19)</f>
        <v>47.19</v>
      </c>
      <c r="Q152" s="11">
        <f>IFERROR(__xludf.DUMMYFUNCTION("""COMPUTED_VALUE"""),43269.66666666667)</f>
        <v>43269.66667</v>
      </c>
      <c r="R152" s="9">
        <f>IFERROR(__xludf.DUMMYFUNCTION("""COMPUTED_VALUE"""),194.8)</f>
        <v>194.8</v>
      </c>
      <c r="S152" s="11">
        <f>IFERROR(__xludf.DUMMYFUNCTION("""COMPUTED_VALUE"""),43269.66666666667)</f>
        <v>43269.66667</v>
      </c>
      <c r="T152" s="9">
        <f>IFERROR(__xludf.DUMMYFUNCTION("""COMPUTED_VALUE"""),198.31)</f>
        <v>198.31</v>
      </c>
      <c r="V152" s="11">
        <f>IFERROR(__xludf.DUMMYFUNCTION("""COMPUTED_VALUE"""),43269.66666666667)</f>
        <v>43269.66667</v>
      </c>
      <c r="W152" s="9">
        <f>IFERROR(__xludf.DUMMYFUNCTION("""COMPUTED_VALUE"""),387.72)</f>
        <v>387.72</v>
      </c>
      <c r="X152" s="11">
        <f>IFERROR(__xludf.DUMMYFUNCTION("""COMPUTED_VALUE"""),43269.66666666667)</f>
        <v>43269.66667</v>
      </c>
      <c r="Y152" s="9">
        <f>IFERROR(__xludf.DUMMYFUNCTION("""COMPUTED_VALUE"""),390.4)</f>
        <v>390.4</v>
      </c>
      <c r="AA152" s="11">
        <f>IFERROR(__xludf.DUMMYFUNCTION("""COMPUTED_VALUE"""),43269.66666666667)</f>
        <v>43269.66667</v>
      </c>
      <c r="AB152" s="9">
        <f>IFERROR(__xludf.DUMMYFUNCTION("""COMPUTED_VALUE"""),1706.26)</f>
        <v>1706.26</v>
      </c>
      <c r="AC152" s="11">
        <f>IFERROR(__xludf.DUMMYFUNCTION("""COMPUTED_VALUE"""),43269.66666666667)</f>
        <v>43269.66667</v>
      </c>
      <c r="AD152" s="9">
        <f>IFERROR(__xludf.DUMMYFUNCTION("""COMPUTED_VALUE"""),1723.79)</f>
        <v>1723.79</v>
      </c>
    </row>
    <row r="153">
      <c r="B153" s="11">
        <f>IFERROR(__xludf.DUMMYFUNCTION("""COMPUTED_VALUE"""),43270.66666666667)</f>
        <v>43270.66667</v>
      </c>
      <c r="C153" s="9">
        <f>IFERROR(__xludf.DUMMYFUNCTION("""COMPUTED_VALUE"""),73.03)</f>
        <v>73.03</v>
      </c>
      <c r="D153" s="11">
        <f>IFERROR(__xludf.DUMMYFUNCTION("""COMPUTED_VALUE"""),43270.66666666667)</f>
        <v>43270.66667</v>
      </c>
      <c r="E153" s="9">
        <f>IFERROR(__xludf.DUMMYFUNCTION("""COMPUTED_VALUE"""),70.51)</f>
        <v>70.51</v>
      </c>
      <c r="G153" s="11">
        <f>IFERROR(__xludf.DUMMYFUNCTION("""COMPUTED_VALUE"""),43270.66666666667)</f>
        <v>43270.66667</v>
      </c>
      <c r="H153" s="9">
        <f>IFERROR(__xludf.DUMMYFUNCTION("""COMPUTED_VALUE"""),1158.5)</f>
        <v>1158.5</v>
      </c>
      <c r="I153" s="11">
        <f>IFERROR(__xludf.DUMMYFUNCTION("""COMPUTED_VALUE"""),43270.66666666667)</f>
        <v>43270.66667</v>
      </c>
      <c r="J153" s="9">
        <f>IFERROR(__xludf.DUMMYFUNCTION("""COMPUTED_VALUE"""),1168.06)</f>
        <v>1168.06</v>
      </c>
      <c r="L153" s="11">
        <f>IFERROR(__xludf.DUMMYFUNCTION("""COMPUTED_VALUE"""),43270.66666666667)</f>
        <v>43270.66667</v>
      </c>
      <c r="M153" s="9">
        <f>IFERROR(__xludf.DUMMYFUNCTION("""COMPUTED_VALUE"""),46.29)</f>
        <v>46.29</v>
      </c>
      <c r="N153" s="11">
        <f>IFERROR(__xludf.DUMMYFUNCTION("""COMPUTED_VALUE"""),43270.66666666667)</f>
        <v>43270.66667</v>
      </c>
      <c r="O153" s="9">
        <f>IFERROR(__xludf.DUMMYFUNCTION("""COMPUTED_VALUE"""),46.42)</f>
        <v>46.42</v>
      </c>
      <c r="Q153" s="11">
        <f>IFERROR(__xludf.DUMMYFUNCTION("""COMPUTED_VALUE"""),43270.66666666667)</f>
        <v>43270.66667</v>
      </c>
      <c r="R153" s="9">
        <f>IFERROR(__xludf.DUMMYFUNCTION("""COMPUTED_VALUE"""),196.24)</f>
        <v>196.24</v>
      </c>
      <c r="S153" s="11">
        <f>IFERROR(__xludf.DUMMYFUNCTION("""COMPUTED_VALUE"""),43270.66666666667)</f>
        <v>43270.66667</v>
      </c>
      <c r="T153" s="9">
        <f>IFERROR(__xludf.DUMMYFUNCTION("""COMPUTED_VALUE"""),197.49)</f>
        <v>197.49</v>
      </c>
      <c r="V153" s="11">
        <f>IFERROR(__xludf.DUMMYFUNCTION("""COMPUTED_VALUE"""),43270.66666666667)</f>
        <v>43270.66667</v>
      </c>
      <c r="W153" s="9">
        <f>IFERROR(__xludf.DUMMYFUNCTION("""COMPUTED_VALUE"""),389.5)</f>
        <v>389.5</v>
      </c>
      <c r="X153" s="11">
        <f>IFERROR(__xludf.DUMMYFUNCTION("""COMPUTED_VALUE"""),43270.66666666667)</f>
        <v>43270.66667</v>
      </c>
      <c r="Y153" s="9">
        <f>IFERROR(__xludf.DUMMYFUNCTION("""COMPUTED_VALUE"""),404.98)</f>
        <v>404.98</v>
      </c>
      <c r="AA153" s="11">
        <f>IFERROR(__xludf.DUMMYFUNCTION("""COMPUTED_VALUE"""),43270.66666666667)</f>
        <v>43270.66667</v>
      </c>
      <c r="AB153" s="9">
        <f>IFERROR(__xludf.DUMMYFUNCTION("""COMPUTED_VALUE"""),1709.04)</f>
        <v>1709.04</v>
      </c>
      <c r="AC153" s="11">
        <f>IFERROR(__xludf.DUMMYFUNCTION("""COMPUTED_VALUE"""),43270.66666666667)</f>
        <v>43270.66667</v>
      </c>
      <c r="AD153" s="9">
        <f>IFERROR(__xludf.DUMMYFUNCTION("""COMPUTED_VALUE"""),1734.78)</f>
        <v>1734.78</v>
      </c>
    </row>
    <row r="154">
      <c r="B154" s="11">
        <f>IFERROR(__xludf.DUMMYFUNCTION("""COMPUTED_VALUE"""),43271.66666666667)</f>
        <v>43271.66667</v>
      </c>
      <c r="C154" s="9">
        <f>IFERROR(__xludf.DUMMYFUNCTION("""COMPUTED_VALUE"""),71.61)</f>
        <v>71.61</v>
      </c>
      <c r="D154" s="11">
        <f>IFERROR(__xludf.DUMMYFUNCTION("""COMPUTED_VALUE"""),43271.66666666667)</f>
        <v>43271.66667</v>
      </c>
      <c r="E154" s="9">
        <f>IFERROR(__xludf.DUMMYFUNCTION("""COMPUTED_VALUE"""),72.44)</f>
        <v>72.44</v>
      </c>
      <c r="G154" s="11">
        <f>IFERROR(__xludf.DUMMYFUNCTION("""COMPUTED_VALUE"""),43271.66666666667)</f>
        <v>43271.66667</v>
      </c>
      <c r="H154" s="9">
        <f>IFERROR(__xludf.DUMMYFUNCTION("""COMPUTED_VALUE"""),1175.31)</f>
        <v>1175.31</v>
      </c>
      <c r="I154" s="11">
        <f>IFERROR(__xludf.DUMMYFUNCTION("""COMPUTED_VALUE"""),43271.66666666667)</f>
        <v>43271.66667</v>
      </c>
      <c r="J154" s="9">
        <f>IFERROR(__xludf.DUMMYFUNCTION("""COMPUTED_VALUE"""),1169.84)</f>
        <v>1169.84</v>
      </c>
      <c r="L154" s="11">
        <f>IFERROR(__xludf.DUMMYFUNCTION("""COMPUTED_VALUE"""),43271.66666666667)</f>
        <v>43271.66667</v>
      </c>
      <c r="M154" s="9">
        <f>IFERROR(__xludf.DUMMYFUNCTION("""COMPUTED_VALUE"""),46.59)</f>
        <v>46.59</v>
      </c>
      <c r="N154" s="11">
        <f>IFERROR(__xludf.DUMMYFUNCTION("""COMPUTED_VALUE"""),43271.66666666667)</f>
        <v>43271.66667</v>
      </c>
      <c r="O154" s="9">
        <f>IFERROR(__xludf.DUMMYFUNCTION("""COMPUTED_VALUE"""),46.63)</f>
        <v>46.63</v>
      </c>
      <c r="Q154" s="11">
        <f>IFERROR(__xludf.DUMMYFUNCTION("""COMPUTED_VALUE"""),43271.66666666667)</f>
        <v>43271.66667</v>
      </c>
      <c r="R154" s="9">
        <f>IFERROR(__xludf.DUMMYFUNCTION("""COMPUTED_VALUE"""),199.1)</f>
        <v>199.1</v>
      </c>
      <c r="S154" s="11">
        <f>IFERROR(__xludf.DUMMYFUNCTION("""COMPUTED_VALUE"""),43271.66666666667)</f>
        <v>43271.66667</v>
      </c>
      <c r="T154" s="9">
        <f>IFERROR(__xludf.DUMMYFUNCTION("""COMPUTED_VALUE"""),202.0)</f>
        <v>202</v>
      </c>
      <c r="V154" s="11">
        <f>IFERROR(__xludf.DUMMYFUNCTION("""COMPUTED_VALUE"""),43271.66666666667)</f>
        <v>43271.66667</v>
      </c>
      <c r="W154" s="9">
        <f>IFERROR(__xludf.DUMMYFUNCTION("""COMPUTED_VALUE"""),415.15)</f>
        <v>415.15</v>
      </c>
      <c r="X154" s="11">
        <f>IFERROR(__xludf.DUMMYFUNCTION("""COMPUTED_VALUE"""),43271.66666666667)</f>
        <v>43271.66667</v>
      </c>
      <c r="Y154" s="9">
        <f>IFERROR(__xludf.DUMMYFUNCTION("""COMPUTED_VALUE"""),416.76)</f>
        <v>416.76</v>
      </c>
      <c r="AA154" s="11">
        <f>IFERROR(__xludf.DUMMYFUNCTION("""COMPUTED_VALUE"""),43271.66666666667)</f>
        <v>43271.66667</v>
      </c>
      <c r="AB154" s="9">
        <f>IFERROR(__xludf.DUMMYFUNCTION("""COMPUTED_VALUE"""),1742.5)</f>
        <v>1742.5</v>
      </c>
      <c r="AC154" s="11">
        <f>IFERROR(__xludf.DUMMYFUNCTION("""COMPUTED_VALUE"""),43271.66666666667)</f>
        <v>43271.66667</v>
      </c>
      <c r="AD154" s="9">
        <f>IFERROR(__xludf.DUMMYFUNCTION("""COMPUTED_VALUE"""),1750.08)</f>
        <v>1750.08</v>
      </c>
    </row>
    <row r="155">
      <c r="B155" s="11">
        <f>IFERROR(__xludf.DUMMYFUNCTION("""COMPUTED_VALUE"""),43272.66666666667)</f>
        <v>43272.66667</v>
      </c>
      <c r="C155" s="9">
        <f>IFERROR(__xludf.DUMMYFUNCTION("""COMPUTED_VALUE"""),72.4)</f>
        <v>72.4</v>
      </c>
      <c r="D155" s="11">
        <f>IFERROR(__xludf.DUMMYFUNCTION("""COMPUTED_VALUE"""),43272.66666666667)</f>
        <v>43272.66667</v>
      </c>
      <c r="E155" s="9">
        <f>IFERROR(__xludf.DUMMYFUNCTION("""COMPUTED_VALUE"""),69.5)</f>
        <v>69.5</v>
      </c>
      <c r="G155" s="11">
        <f>IFERROR(__xludf.DUMMYFUNCTION("""COMPUTED_VALUE"""),43272.66666666667)</f>
        <v>43272.66667</v>
      </c>
      <c r="H155" s="9">
        <f>IFERROR(__xludf.DUMMYFUNCTION("""COMPUTED_VALUE"""),1174.85)</f>
        <v>1174.85</v>
      </c>
      <c r="I155" s="11">
        <f>IFERROR(__xludf.DUMMYFUNCTION("""COMPUTED_VALUE"""),43272.66666666667)</f>
        <v>43272.66667</v>
      </c>
      <c r="J155" s="9">
        <f>IFERROR(__xludf.DUMMYFUNCTION("""COMPUTED_VALUE"""),1157.66)</f>
        <v>1157.66</v>
      </c>
      <c r="L155" s="11">
        <f>IFERROR(__xludf.DUMMYFUNCTION("""COMPUTED_VALUE"""),43272.66666666667)</f>
        <v>43272.66667</v>
      </c>
      <c r="M155" s="9">
        <f>IFERROR(__xludf.DUMMYFUNCTION("""COMPUTED_VALUE"""),46.81)</f>
        <v>46.81</v>
      </c>
      <c r="N155" s="11">
        <f>IFERROR(__xludf.DUMMYFUNCTION("""COMPUTED_VALUE"""),43272.66666666667)</f>
        <v>43272.66667</v>
      </c>
      <c r="O155" s="9">
        <f>IFERROR(__xludf.DUMMYFUNCTION("""COMPUTED_VALUE"""),46.37)</f>
        <v>46.37</v>
      </c>
      <c r="Q155" s="11">
        <f>IFERROR(__xludf.DUMMYFUNCTION("""COMPUTED_VALUE"""),43272.66666666667)</f>
        <v>43272.66667</v>
      </c>
      <c r="R155" s="9">
        <f>IFERROR(__xludf.DUMMYFUNCTION("""COMPUTED_VALUE"""),202.76)</f>
        <v>202.76</v>
      </c>
      <c r="S155" s="11">
        <f>IFERROR(__xludf.DUMMYFUNCTION("""COMPUTED_VALUE"""),43272.66666666667)</f>
        <v>43272.66667</v>
      </c>
      <c r="T155" s="9">
        <f>IFERROR(__xludf.DUMMYFUNCTION("""COMPUTED_VALUE"""),201.5)</f>
        <v>201.5</v>
      </c>
      <c r="V155" s="11">
        <f>IFERROR(__xludf.DUMMYFUNCTION("""COMPUTED_VALUE"""),43272.66666666667)</f>
        <v>43272.66667</v>
      </c>
      <c r="W155" s="9">
        <f>IFERROR(__xludf.DUMMYFUNCTION("""COMPUTED_VALUE"""),421.38)</f>
        <v>421.38</v>
      </c>
      <c r="X155" s="11">
        <f>IFERROR(__xludf.DUMMYFUNCTION("""COMPUTED_VALUE"""),43272.66666666667)</f>
        <v>43272.66667</v>
      </c>
      <c r="Y155" s="9">
        <f>IFERROR(__xludf.DUMMYFUNCTION("""COMPUTED_VALUE"""),415.44)</f>
        <v>415.44</v>
      </c>
      <c r="AA155" s="11">
        <f>IFERROR(__xludf.DUMMYFUNCTION("""COMPUTED_VALUE"""),43272.66666666667)</f>
        <v>43272.66667</v>
      </c>
      <c r="AB155" s="9">
        <f>IFERROR(__xludf.DUMMYFUNCTION("""COMPUTED_VALUE"""),1760.0)</f>
        <v>1760</v>
      </c>
      <c r="AC155" s="11">
        <f>IFERROR(__xludf.DUMMYFUNCTION("""COMPUTED_VALUE"""),43272.66666666667)</f>
        <v>43272.66667</v>
      </c>
      <c r="AD155" s="9">
        <f>IFERROR(__xludf.DUMMYFUNCTION("""COMPUTED_VALUE"""),1730.22)</f>
        <v>1730.22</v>
      </c>
    </row>
    <row r="156">
      <c r="B156" s="11">
        <f>IFERROR(__xludf.DUMMYFUNCTION("""COMPUTED_VALUE"""),43273.66666666667)</f>
        <v>43273.66667</v>
      </c>
      <c r="C156" s="9">
        <f>IFERROR(__xludf.DUMMYFUNCTION("""COMPUTED_VALUE"""),70.31)</f>
        <v>70.31</v>
      </c>
      <c r="D156" s="11">
        <f>IFERROR(__xludf.DUMMYFUNCTION("""COMPUTED_VALUE"""),43273.66666666667)</f>
        <v>43273.66667</v>
      </c>
      <c r="E156" s="9">
        <f>IFERROR(__xludf.DUMMYFUNCTION("""COMPUTED_VALUE"""),66.73)</f>
        <v>66.73</v>
      </c>
      <c r="G156" s="11">
        <f>IFERROR(__xludf.DUMMYFUNCTION("""COMPUTED_VALUE"""),43273.66666666667)</f>
        <v>43273.66667</v>
      </c>
      <c r="H156" s="9">
        <f>IFERROR(__xludf.DUMMYFUNCTION("""COMPUTED_VALUE"""),1159.14)</f>
        <v>1159.14</v>
      </c>
      <c r="I156" s="11">
        <f>IFERROR(__xludf.DUMMYFUNCTION("""COMPUTED_VALUE"""),43273.66666666667)</f>
        <v>43273.66667</v>
      </c>
      <c r="J156" s="9">
        <f>IFERROR(__xludf.DUMMYFUNCTION("""COMPUTED_VALUE"""),1155.48)</f>
        <v>1155.48</v>
      </c>
      <c r="L156" s="11">
        <f>IFERROR(__xludf.DUMMYFUNCTION("""COMPUTED_VALUE"""),43273.66666666667)</f>
        <v>43273.66667</v>
      </c>
      <c r="M156" s="9">
        <f>IFERROR(__xludf.DUMMYFUNCTION("""COMPUTED_VALUE"""),46.53)</f>
        <v>46.53</v>
      </c>
      <c r="N156" s="11">
        <f>IFERROR(__xludf.DUMMYFUNCTION("""COMPUTED_VALUE"""),43273.66666666667)</f>
        <v>43273.66667</v>
      </c>
      <c r="O156" s="9">
        <f>IFERROR(__xludf.DUMMYFUNCTION("""COMPUTED_VALUE"""),46.23)</f>
        <v>46.23</v>
      </c>
      <c r="Q156" s="11">
        <f>IFERROR(__xludf.DUMMYFUNCTION("""COMPUTED_VALUE"""),43273.66666666667)</f>
        <v>43273.66667</v>
      </c>
      <c r="R156" s="9">
        <f>IFERROR(__xludf.DUMMYFUNCTION("""COMPUTED_VALUE"""),201.16)</f>
        <v>201.16</v>
      </c>
      <c r="S156" s="11">
        <f>IFERROR(__xludf.DUMMYFUNCTION("""COMPUTED_VALUE"""),43273.66666666667)</f>
        <v>43273.66667</v>
      </c>
      <c r="T156" s="9">
        <f>IFERROR(__xludf.DUMMYFUNCTION("""COMPUTED_VALUE"""),201.74)</f>
        <v>201.74</v>
      </c>
      <c r="V156" s="11">
        <f>IFERROR(__xludf.DUMMYFUNCTION("""COMPUTED_VALUE"""),43273.66666666667)</f>
        <v>43273.66667</v>
      </c>
      <c r="W156" s="9">
        <f>IFERROR(__xludf.DUMMYFUNCTION("""COMPUTED_VALUE"""),419.98)</f>
        <v>419.98</v>
      </c>
      <c r="X156" s="11">
        <f>IFERROR(__xludf.DUMMYFUNCTION("""COMPUTED_VALUE"""),43273.66666666667)</f>
        <v>43273.66667</v>
      </c>
      <c r="Y156" s="9">
        <f>IFERROR(__xludf.DUMMYFUNCTION("""COMPUTED_VALUE"""),411.09)</f>
        <v>411.09</v>
      </c>
      <c r="AA156" s="11">
        <f>IFERROR(__xludf.DUMMYFUNCTION("""COMPUTED_VALUE"""),43273.66666666667)</f>
        <v>43273.66667</v>
      </c>
      <c r="AB156" s="9">
        <f>IFERROR(__xludf.DUMMYFUNCTION("""COMPUTED_VALUE"""),1742.62)</f>
        <v>1742.62</v>
      </c>
      <c r="AC156" s="11">
        <f>IFERROR(__xludf.DUMMYFUNCTION("""COMPUTED_VALUE"""),43273.66666666667)</f>
        <v>43273.66667</v>
      </c>
      <c r="AD156" s="9">
        <f>IFERROR(__xludf.DUMMYFUNCTION("""COMPUTED_VALUE"""),1715.67)</f>
        <v>1715.67</v>
      </c>
    </row>
    <row r="157">
      <c r="B157" s="11">
        <f>IFERROR(__xludf.DUMMYFUNCTION("""COMPUTED_VALUE"""),43276.66666666667)</f>
        <v>43276.66667</v>
      </c>
      <c r="C157" s="9">
        <f>IFERROR(__xludf.DUMMYFUNCTION("""COMPUTED_VALUE"""),66.02)</f>
        <v>66.02</v>
      </c>
      <c r="D157" s="11">
        <f>IFERROR(__xludf.DUMMYFUNCTION("""COMPUTED_VALUE"""),43276.66666666667)</f>
        <v>43276.66667</v>
      </c>
      <c r="E157" s="9">
        <f>IFERROR(__xludf.DUMMYFUNCTION("""COMPUTED_VALUE"""),66.6)</f>
        <v>66.6</v>
      </c>
      <c r="G157" s="11">
        <f>IFERROR(__xludf.DUMMYFUNCTION("""COMPUTED_VALUE"""),43276.66666666667)</f>
        <v>43276.66667</v>
      </c>
      <c r="H157" s="9">
        <f>IFERROR(__xludf.DUMMYFUNCTION("""COMPUTED_VALUE"""),1143.6)</f>
        <v>1143.6</v>
      </c>
      <c r="I157" s="11">
        <f>IFERROR(__xludf.DUMMYFUNCTION("""COMPUTED_VALUE"""),43276.66666666667)</f>
        <v>43276.66667</v>
      </c>
      <c r="J157" s="9">
        <f>IFERROR(__xludf.DUMMYFUNCTION("""COMPUTED_VALUE"""),1124.81)</f>
        <v>1124.81</v>
      </c>
      <c r="L157" s="11">
        <f>IFERROR(__xludf.DUMMYFUNCTION("""COMPUTED_VALUE"""),43276.66666666667)</f>
        <v>43276.66667</v>
      </c>
      <c r="M157" s="9">
        <f>IFERROR(__xludf.DUMMYFUNCTION("""COMPUTED_VALUE"""),45.85)</f>
        <v>45.85</v>
      </c>
      <c r="N157" s="11">
        <f>IFERROR(__xludf.DUMMYFUNCTION("""COMPUTED_VALUE"""),43276.66666666667)</f>
        <v>43276.66667</v>
      </c>
      <c r="O157" s="9">
        <f>IFERROR(__xludf.DUMMYFUNCTION("""COMPUTED_VALUE"""),45.54)</f>
        <v>45.54</v>
      </c>
      <c r="Q157" s="11">
        <f>IFERROR(__xludf.DUMMYFUNCTION("""COMPUTED_VALUE"""),43276.66666666667)</f>
        <v>43276.66667</v>
      </c>
      <c r="R157" s="9">
        <f>IFERROR(__xludf.DUMMYFUNCTION("""COMPUTED_VALUE"""),200.0)</f>
        <v>200</v>
      </c>
      <c r="S157" s="11">
        <f>IFERROR(__xludf.DUMMYFUNCTION("""COMPUTED_VALUE"""),43276.66666666667)</f>
        <v>43276.66667</v>
      </c>
      <c r="T157" s="9">
        <f>IFERROR(__xludf.DUMMYFUNCTION("""COMPUTED_VALUE"""),196.35)</f>
        <v>196.35</v>
      </c>
      <c r="V157" s="11">
        <f>IFERROR(__xludf.DUMMYFUNCTION("""COMPUTED_VALUE"""),43276.66666666667)</f>
        <v>43276.66667</v>
      </c>
      <c r="W157" s="9">
        <f>IFERROR(__xludf.DUMMYFUNCTION("""COMPUTED_VALUE"""),404.69)</f>
        <v>404.69</v>
      </c>
      <c r="X157" s="11">
        <f>IFERROR(__xludf.DUMMYFUNCTION("""COMPUTED_VALUE"""),43276.66666666667)</f>
        <v>43276.66667</v>
      </c>
      <c r="Y157" s="9">
        <f>IFERROR(__xludf.DUMMYFUNCTION("""COMPUTED_VALUE"""),384.48)</f>
        <v>384.48</v>
      </c>
      <c r="AA157" s="11">
        <f>IFERROR(__xludf.DUMMYFUNCTION("""COMPUTED_VALUE"""),43276.66666666667)</f>
        <v>43276.66667</v>
      </c>
      <c r="AB157" s="9">
        <f>IFERROR(__xludf.DUMMYFUNCTION("""COMPUTED_VALUE"""),1702.51)</f>
        <v>1702.51</v>
      </c>
      <c r="AC157" s="11">
        <f>IFERROR(__xludf.DUMMYFUNCTION("""COMPUTED_VALUE"""),43276.66666666667)</f>
        <v>43276.66667</v>
      </c>
      <c r="AD157" s="9">
        <f>IFERROR(__xludf.DUMMYFUNCTION("""COMPUTED_VALUE"""),1663.15)</f>
        <v>1663.15</v>
      </c>
    </row>
    <row r="158">
      <c r="B158" s="11">
        <f>IFERROR(__xludf.DUMMYFUNCTION("""COMPUTED_VALUE"""),43277.66666666667)</f>
        <v>43277.66667</v>
      </c>
      <c r="C158" s="9">
        <f>IFERROR(__xludf.DUMMYFUNCTION("""COMPUTED_VALUE"""),67.21)</f>
        <v>67.21</v>
      </c>
      <c r="D158" s="11">
        <f>IFERROR(__xludf.DUMMYFUNCTION("""COMPUTED_VALUE"""),43277.66666666667)</f>
        <v>43277.66667</v>
      </c>
      <c r="E158" s="9">
        <f>IFERROR(__xludf.DUMMYFUNCTION("""COMPUTED_VALUE"""),68.4)</f>
        <v>68.4</v>
      </c>
      <c r="G158" s="11">
        <f>IFERROR(__xludf.DUMMYFUNCTION("""COMPUTED_VALUE"""),43277.66666666667)</f>
        <v>43277.66667</v>
      </c>
      <c r="H158" s="9">
        <f>IFERROR(__xludf.DUMMYFUNCTION("""COMPUTED_VALUE"""),1128.0)</f>
        <v>1128</v>
      </c>
      <c r="I158" s="11">
        <f>IFERROR(__xludf.DUMMYFUNCTION("""COMPUTED_VALUE"""),43277.66666666667)</f>
        <v>43277.66667</v>
      </c>
      <c r="J158" s="9">
        <f>IFERROR(__xludf.DUMMYFUNCTION("""COMPUTED_VALUE"""),1118.46)</f>
        <v>1118.46</v>
      </c>
      <c r="L158" s="11">
        <f>IFERROR(__xludf.DUMMYFUNCTION("""COMPUTED_VALUE"""),43277.66666666667)</f>
        <v>43277.66667</v>
      </c>
      <c r="M158" s="9">
        <f>IFERROR(__xludf.DUMMYFUNCTION("""COMPUTED_VALUE"""),45.75)</f>
        <v>45.75</v>
      </c>
      <c r="N158" s="11">
        <f>IFERROR(__xludf.DUMMYFUNCTION("""COMPUTED_VALUE"""),43277.66666666667)</f>
        <v>43277.66667</v>
      </c>
      <c r="O158" s="9">
        <f>IFERROR(__xludf.DUMMYFUNCTION("""COMPUTED_VALUE"""),46.11)</f>
        <v>46.11</v>
      </c>
      <c r="Q158" s="11">
        <f>IFERROR(__xludf.DUMMYFUNCTION("""COMPUTED_VALUE"""),43277.66666666667)</f>
        <v>43277.66667</v>
      </c>
      <c r="R158" s="9">
        <f>IFERROR(__xludf.DUMMYFUNCTION("""COMPUTED_VALUE"""),197.6)</f>
        <v>197.6</v>
      </c>
      <c r="S158" s="11">
        <f>IFERROR(__xludf.DUMMYFUNCTION("""COMPUTED_VALUE"""),43277.66666666667)</f>
        <v>43277.66667</v>
      </c>
      <c r="T158" s="9">
        <f>IFERROR(__xludf.DUMMYFUNCTION("""COMPUTED_VALUE"""),199.0)</f>
        <v>199</v>
      </c>
      <c r="V158" s="11">
        <f>IFERROR(__xludf.DUMMYFUNCTION("""COMPUTED_VALUE"""),43277.66666666667)</f>
        <v>43277.66667</v>
      </c>
      <c r="W158" s="9">
        <f>IFERROR(__xludf.DUMMYFUNCTION("""COMPUTED_VALUE"""),393.28)</f>
        <v>393.28</v>
      </c>
      <c r="X158" s="11">
        <f>IFERROR(__xludf.DUMMYFUNCTION("""COMPUTED_VALUE"""),43277.66666666667)</f>
        <v>43277.66667</v>
      </c>
      <c r="Y158" s="9">
        <f>IFERROR(__xludf.DUMMYFUNCTION("""COMPUTED_VALUE"""),399.39)</f>
        <v>399.39</v>
      </c>
      <c r="AA158" s="11">
        <f>IFERROR(__xludf.DUMMYFUNCTION("""COMPUTED_VALUE"""),43277.66666666667)</f>
        <v>43277.66667</v>
      </c>
      <c r="AB158" s="9">
        <f>IFERROR(__xludf.DUMMYFUNCTION("""COMPUTED_VALUE"""),1672.37)</f>
        <v>1672.37</v>
      </c>
      <c r="AC158" s="11">
        <f>IFERROR(__xludf.DUMMYFUNCTION("""COMPUTED_VALUE"""),43277.66666666667)</f>
        <v>43277.66667</v>
      </c>
      <c r="AD158" s="9">
        <f>IFERROR(__xludf.DUMMYFUNCTION("""COMPUTED_VALUE"""),1691.09)</f>
        <v>1691.09</v>
      </c>
    </row>
    <row r="159">
      <c r="B159" s="11">
        <f>IFERROR(__xludf.DUMMYFUNCTION("""COMPUTED_VALUE"""),43278.66666666667)</f>
        <v>43278.66667</v>
      </c>
      <c r="C159" s="9">
        <f>IFERROR(__xludf.DUMMYFUNCTION("""COMPUTED_VALUE"""),69.0)</f>
        <v>69</v>
      </c>
      <c r="D159" s="11">
        <f>IFERROR(__xludf.DUMMYFUNCTION("""COMPUTED_VALUE"""),43278.66666666667)</f>
        <v>43278.66667</v>
      </c>
      <c r="E159" s="9">
        <f>IFERROR(__xludf.DUMMYFUNCTION("""COMPUTED_VALUE"""),68.9)</f>
        <v>68.9</v>
      </c>
      <c r="G159" s="11">
        <f>IFERROR(__xludf.DUMMYFUNCTION("""COMPUTED_VALUE"""),43278.66666666667)</f>
        <v>43278.66667</v>
      </c>
      <c r="H159" s="9">
        <f>IFERROR(__xludf.DUMMYFUNCTION("""COMPUTED_VALUE"""),1121.34)</f>
        <v>1121.34</v>
      </c>
      <c r="I159" s="11">
        <f>IFERROR(__xludf.DUMMYFUNCTION("""COMPUTED_VALUE"""),43278.66666666667)</f>
        <v>43278.66667</v>
      </c>
      <c r="J159" s="9">
        <f>IFERROR(__xludf.DUMMYFUNCTION("""COMPUTED_VALUE"""),1103.98)</f>
        <v>1103.98</v>
      </c>
      <c r="L159" s="11">
        <f>IFERROR(__xludf.DUMMYFUNCTION("""COMPUTED_VALUE"""),43278.66666666667)</f>
        <v>43278.66667</v>
      </c>
      <c r="M159" s="9">
        <f>IFERROR(__xludf.DUMMYFUNCTION("""COMPUTED_VALUE"""),46.31)</f>
        <v>46.31</v>
      </c>
      <c r="N159" s="11">
        <f>IFERROR(__xludf.DUMMYFUNCTION("""COMPUTED_VALUE"""),43278.66666666667)</f>
        <v>43278.66667</v>
      </c>
      <c r="O159" s="9">
        <f>IFERROR(__xludf.DUMMYFUNCTION("""COMPUTED_VALUE"""),46.04)</f>
        <v>46.04</v>
      </c>
      <c r="Q159" s="11">
        <f>IFERROR(__xludf.DUMMYFUNCTION("""COMPUTED_VALUE"""),43278.66666666667)</f>
        <v>43278.66667</v>
      </c>
      <c r="R159" s="9">
        <f>IFERROR(__xludf.DUMMYFUNCTION("""COMPUTED_VALUE"""),199.18)</f>
        <v>199.18</v>
      </c>
      <c r="S159" s="11">
        <f>IFERROR(__xludf.DUMMYFUNCTION("""COMPUTED_VALUE"""),43278.66666666667)</f>
        <v>43278.66667</v>
      </c>
      <c r="T159" s="9">
        <f>IFERROR(__xludf.DUMMYFUNCTION("""COMPUTED_VALUE"""),195.84)</f>
        <v>195.84</v>
      </c>
      <c r="V159" s="11">
        <f>IFERROR(__xludf.DUMMYFUNCTION("""COMPUTED_VALUE"""),43278.66666666667)</f>
        <v>43278.66667</v>
      </c>
      <c r="W159" s="9">
        <f>IFERROR(__xludf.DUMMYFUNCTION("""COMPUTED_VALUE"""),407.56)</f>
        <v>407.56</v>
      </c>
      <c r="X159" s="11">
        <f>IFERROR(__xludf.DUMMYFUNCTION("""COMPUTED_VALUE"""),43278.66666666667)</f>
        <v>43278.66667</v>
      </c>
      <c r="Y159" s="9">
        <f>IFERROR(__xludf.DUMMYFUNCTION("""COMPUTED_VALUE"""),390.39)</f>
        <v>390.39</v>
      </c>
      <c r="AA159" s="11">
        <f>IFERROR(__xludf.DUMMYFUNCTION("""COMPUTED_VALUE"""),43278.66666666667)</f>
        <v>43278.66667</v>
      </c>
      <c r="AB159" s="9">
        <f>IFERROR(__xludf.DUMMYFUNCTION("""COMPUTED_VALUE"""),1708.11)</f>
        <v>1708.11</v>
      </c>
      <c r="AC159" s="11">
        <f>IFERROR(__xludf.DUMMYFUNCTION("""COMPUTED_VALUE"""),43278.66666666667)</f>
        <v>43278.66667</v>
      </c>
      <c r="AD159" s="9">
        <f>IFERROR(__xludf.DUMMYFUNCTION("""COMPUTED_VALUE"""),1660.51)</f>
        <v>1660.51</v>
      </c>
    </row>
    <row r="160">
      <c r="B160" s="11">
        <f>IFERROR(__xludf.DUMMYFUNCTION("""COMPUTED_VALUE"""),43279.66666666667)</f>
        <v>43279.66667</v>
      </c>
      <c r="C160" s="9">
        <f>IFERROR(__xludf.DUMMYFUNCTION("""COMPUTED_VALUE"""),69.73)</f>
        <v>69.73</v>
      </c>
      <c r="D160" s="11">
        <f>IFERROR(__xludf.DUMMYFUNCTION("""COMPUTED_VALUE"""),43279.66666666667)</f>
        <v>43279.66667</v>
      </c>
      <c r="E160" s="9">
        <f>IFERROR(__xludf.DUMMYFUNCTION("""COMPUTED_VALUE"""),69.99)</f>
        <v>69.99</v>
      </c>
      <c r="G160" s="11">
        <f>IFERROR(__xludf.DUMMYFUNCTION("""COMPUTED_VALUE"""),43279.66666666667)</f>
        <v>43279.66667</v>
      </c>
      <c r="H160" s="9">
        <f>IFERROR(__xludf.DUMMYFUNCTION("""COMPUTED_VALUE"""),1102.09)</f>
        <v>1102.09</v>
      </c>
      <c r="I160" s="11">
        <f>IFERROR(__xludf.DUMMYFUNCTION("""COMPUTED_VALUE"""),43279.66666666667)</f>
        <v>43279.66667</v>
      </c>
      <c r="J160" s="9">
        <f>IFERROR(__xludf.DUMMYFUNCTION("""COMPUTED_VALUE"""),1114.22)</f>
        <v>1114.22</v>
      </c>
      <c r="L160" s="11">
        <f>IFERROR(__xludf.DUMMYFUNCTION("""COMPUTED_VALUE"""),43279.66666666667)</f>
        <v>43279.66667</v>
      </c>
      <c r="M160" s="9">
        <f>IFERROR(__xludf.DUMMYFUNCTION("""COMPUTED_VALUE"""),46.03)</f>
        <v>46.03</v>
      </c>
      <c r="N160" s="11">
        <f>IFERROR(__xludf.DUMMYFUNCTION("""COMPUTED_VALUE"""),43279.66666666667)</f>
        <v>43279.66667</v>
      </c>
      <c r="O160" s="9">
        <f>IFERROR(__xludf.DUMMYFUNCTION("""COMPUTED_VALUE"""),46.38)</f>
        <v>46.38</v>
      </c>
      <c r="Q160" s="11">
        <f>IFERROR(__xludf.DUMMYFUNCTION("""COMPUTED_VALUE"""),43279.66666666667)</f>
        <v>43279.66667</v>
      </c>
      <c r="R160" s="9">
        <f>IFERROR(__xludf.DUMMYFUNCTION("""COMPUTED_VALUE"""),195.18)</f>
        <v>195.18</v>
      </c>
      <c r="S160" s="11">
        <f>IFERROR(__xludf.DUMMYFUNCTION("""COMPUTED_VALUE"""),43279.66666666667)</f>
        <v>43279.66667</v>
      </c>
      <c r="T160" s="9">
        <f>IFERROR(__xludf.DUMMYFUNCTION("""COMPUTED_VALUE"""),196.23)</f>
        <v>196.23</v>
      </c>
      <c r="V160" s="11">
        <f>IFERROR(__xludf.DUMMYFUNCTION("""COMPUTED_VALUE"""),43279.66666666667)</f>
        <v>43279.66667</v>
      </c>
      <c r="W160" s="9">
        <f>IFERROR(__xludf.DUMMYFUNCTION("""COMPUTED_VALUE"""),395.0)</f>
        <v>395</v>
      </c>
      <c r="X160" s="11">
        <f>IFERROR(__xludf.DUMMYFUNCTION("""COMPUTED_VALUE"""),43279.66666666667)</f>
        <v>43279.66667</v>
      </c>
      <c r="Y160" s="9">
        <f>IFERROR(__xludf.DUMMYFUNCTION("""COMPUTED_VALUE"""),395.42)</f>
        <v>395.42</v>
      </c>
      <c r="AA160" s="11">
        <f>IFERROR(__xludf.DUMMYFUNCTION("""COMPUTED_VALUE"""),43279.66666666667)</f>
        <v>43279.66667</v>
      </c>
      <c r="AB160" s="9">
        <f>IFERROR(__xludf.DUMMYFUNCTION("""COMPUTED_VALUE"""),1672.54)</f>
        <v>1672.54</v>
      </c>
      <c r="AC160" s="11">
        <f>IFERROR(__xludf.DUMMYFUNCTION("""COMPUTED_VALUE"""),43279.66666666667)</f>
        <v>43279.66667</v>
      </c>
      <c r="AD160" s="9">
        <f>IFERROR(__xludf.DUMMYFUNCTION("""COMPUTED_VALUE"""),1701.45)</f>
        <v>1701.45</v>
      </c>
    </row>
    <row r="161">
      <c r="B161" s="11">
        <f>IFERROR(__xludf.DUMMYFUNCTION("""COMPUTED_VALUE"""),43280.66666666667)</f>
        <v>43280.66667</v>
      </c>
      <c r="C161" s="9">
        <f>IFERROR(__xludf.DUMMYFUNCTION("""COMPUTED_VALUE"""),70.67)</f>
        <v>70.67</v>
      </c>
      <c r="D161" s="11">
        <f>IFERROR(__xludf.DUMMYFUNCTION("""COMPUTED_VALUE"""),43280.66666666667)</f>
        <v>43280.66667</v>
      </c>
      <c r="E161" s="9">
        <f>IFERROR(__xludf.DUMMYFUNCTION("""COMPUTED_VALUE"""),68.59)</f>
        <v>68.59</v>
      </c>
      <c r="G161" s="11">
        <f>IFERROR(__xludf.DUMMYFUNCTION("""COMPUTED_VALUE"""),43280.66666666667)</f>
        <v>43280.66667</v>
      </c>
      <c r="H161" s="9">
        <f>IFERROR(__xludf.DUMMYFUNCTION("""COMPUTED_VALUE"""),1120.0)</f>
        <v>1120</v>
      </c>
      <c r="I161" s="11">
        <f>IFERROR(__xludf.DUMMYFUNCTION("""COMPUTED_VALUE"""),43280.66666666667)</f>
        <v>43280.66667</v>
      </c>
      <c r="J161" s="9">
        <f>IFERROR(__xludf.DUMMYFUNCTION("""COMPUTED_VALUE"""),1115.65)</f>
        <v>1115.65</v>
      </c>
      <c r="L161" s="11">
        <f>IFERROR(__xludf.DUMMYFUNCTION("""COMPUTED_VALUE"""),43280.66666666667)</f>
        <v>43280.66667</v>
      </c>
      <c r="M161" s="9">
        <f>IFERROR(__xludf.DUMMYFUNCTION("""COMPUTED_VALUE"""),46.57)</f>
        <v>46.57</v>
      </c>
      <c r="N161" s="11">
        <f>IFERROR(__xludf.DUMMYFUNCTION("""COMPUTED_VALUE"""),43280.66666666667)</f>
        <v>43280.66667</v>
      </c>
      <c r="O161" s="9">
        <f>IFERROR(__xludf.DUMMYFUNCTION("""COMPUTED_VALUE"""),46.28)</f>
        <v>46.28</v>
      </c>
      <c r="Q161" s="11">
        <f>IFERROR(__xludf.DUMMYFUNCTION("""COMPUTED_VALUE"""),43280.66666666667)</f>
        <v>43280.66667</v>
      </c>
      <c r="R161" s="9">
        <f>IFERROR(__xludf.DUMMYFUNCTION("""COMPUTED_VALUE"""),197.32)</f>
        <v>197.32</v>
      </c>
      <c r="S161" s="11">
        <f>IFERROR(__xludf.DUMMYFUNCTION("""COMPUTED_VALUE"""),43280.66666666667)</f>
        <v>43280.66667</v>
      </c>
      <c r="T161" s="9">
        <f>IFERROR(__xludf.DUMMYFUNCTION("""COMPUTED_VALUE"""),194.32)</f>
        <v>194.32</v>
      </c>
      <c r="V161" s="11">
        <f>IFERROR(__xludf.DUMMYFUNCTION("""COMPUTED_VALUE"""),43280.66666666667)</f>
        <v>43280.66667</v>
      </c>
      <c r="W161" s="9">
        <f>IFERROR(__xludf.DUMMYFUNCTION("""COMPUTED_VALUE"""),399.19)</f>
        <v>399.19</v>
      </c>
      <c r="X161" s="11">
        <f>IFERROR(__xludf.DUMMYFUNCTION("""COMPUTED_VALUE"""),43280.66666666667)</f>
        <v>43280.66667</v>
      </c>
      <c r="Y161" s="9">
        <f>IFERROR(__xludf.DUMMYFUNCTION("""COMPUTED_VALUE"""),391.43)</f>
        <v>391.43</v>
      </c>
      <c r="AA161" s="11">
        <f>IFERROR(__xludf.DUMMYFUNCTION("""COMPUTED_VALUE"""),43280.66666666667)</f>
        <v>43280.66667</v>
      </c>
      <c r="AB161" s="9">
        <f>IFERROR(__xludf.DUMMYFUNCTION("""COMPUTED_VALUE"""),1717.0)</f>
        <v>1717</v>
      </c>
      <c r="AC161" s="11">
        <f>IFERROR(__xludf.DUMMYFUNCTION("""COMPUTED_VALUE"""),43280.66666666667)</f>
        <v>43280.66667</v>
      </c>
      <c r="AD161" s="9">
        <f>IFERROR(__xludf.DUMMYFUNCTION("""COMPUTED_VALUE"""),1699.8)</f>
        <v>1699.8</v>
      </c>
    </row>
    <row r="162">
      <c r="B162" s="11">
        <f>IFERROR(__xludf.DUMMYFUNCTION("""COMPUTED_VALUE"""),43283.66666666667)</f>
        <v>43283.66667</v>
      </c>
      <c r="C162" s="9">
        <f>IFERROR(__xludf.DUMMYFUNCTION("""COMPUTED_VALUE"""),72.01)</f>
        <v>72.01</v>
      </c>
      <c r="D162" s="11">
        <f>IFERROR(__xludf.DUMMYFUNCTION("""COMPUTED_VALUE"""),43283.66666666667)</f>
        <v>43283.66667</v>
      </c>
      <c r="E162" s="9">
        <f>IFERROR(__xludf.DUMMYFUNCTION("""COMPUTED_VALUE"""),67.01)</f>
        <v>67.01</v>
      </c>
      <c r="G162" s="11">
        <f>IFERROR(__xludf.DUMMYFUNCTION("""COMPUTED_VALUE"""),43283.66666666667)</f>
        <v>43283.66667</v>
      </c>
      <c r="H162" s="9">
        <f>IFERROR(__xludf.DUMMYFUNCTION("""COMPUTED_VALUE"""),1099.0)</f>
        <v>1099</v>
      </c>
      <c r="I162" s="11">
        <f>IFERROR(__xludf.DUMMYFUNCTION("""COMPUTED_VALUE"""),43283.66666666667)</f>
        <v>43283.66667</v>
      </c>
      <c r="J162" s="9">
        <f>IFERROR(__xludf.DUMMYFUNCTION("""COMPUTED_VALUE"""),1127.46)</f>
        <v>1127.46</v>
      </c>
      <c r="L162" s="11">
        <f>IFERROR(__xludf.DUMMYFUNCTION("""COMPUTED_VALUE"""),43283.66666666667)</f>
        <v>43283.66667</v>
      </c>
      <c r="M162" s="9">
        <f>IFERROR(__xludf.DUMMYFUNCTION("""COMPUTED_VALUE"""),45.96)</f>
        <v>45.96</v>
      </c>
      <c r="N162" s="11">
        <f>IFERROR(__xludf.DUMMYFUNCTION("""COMPUTED_VALUE"""),43283.66666666667)</f>
        <v>43283.66667</v>
      </c>
      <c r="O162" s="9">
        <f>IFERROR(__xludf.DUMMYFUNCTION("""COMPUTED_VALUE"""),46.8)</f>
        <v>46.8</v>
      </c>
      <c r="Q162" s="11">
        <f>IFERROR(__xludf.DUMMYFUNCTION("""COMPUTED_VALUE"""),43283.66666666667)</f>
        <v>43283.66667</v>
      </c>
      <c r="R162" s="9">
        <f>IFERROR(__xludf.DUMMYFUNCTION("""COMPUTED_VALUE"""),193.37)</f>
        <v>193.37</v>
      </c>
      <c r="S162" s="11">
        <f>IFERROR(__xludf.DUMMYFUNCTION("""COMPUTED_VALUE"""),43283.66666666667)</f>
        <v>43283.66667</v>
      </c>
      <c r="T162" s="9">
        <f>IFERROR(__xludf.DUMMYFUNCTION("""COMPUTED_VALUE"""),197.36)</f>
        <v>197.36</v>
      </c>
      <c r="V162" s="11">
        <f>IFERROR(__xludf.DUMMYFUNCTION("""COMPUTED_VALUE"""),43283.66666666667)</f>
        <v>43283.66667</v>
      </c>
      <c r="W162" s="9">
        <f>IFERROR(__xludf.DUMMYFUNCTION("""COMPUTED_VALUE"""),385.45)</f>
        <v>385.45</v>
      </c>
      <c r="X162" s="11">
        <f>IFERROR(__xludf.DUMMYFUNCTION("""COMPUTED_VALUE"""),43283.66666666667)</f>
        <v>43283.66667</v>
      </c>
      <c r="Y162" s="9">
        <f>IFERROR(__xludf.DUMMYFUNCTION("""COMPUTED_VALUE"""),398.18)</f>
        <v>398.18</v>
      </c>
      <c r="AA162" s="11">
        <f>IFERROR(__xludf.DUMMYFUNCTION("""COMPUTED_VALUE"""),43283.66666666667)</f>
        <v>43283.66667</v>
      </c>
      <c r="AB162" s="9">
        <f>IFERROR(__xludf.DUMMYFUNCTION("""COMPUTED_VALUE"""),1682.7)</f>
        <v>1682.7</v>
      </c>
      <c r="AC162" s="11">
        <f>IFERROR(__xludf.DUMMYFUNCTION("""COMPUTED_VALUE"""),43283.66666666667)</f>
        <v>43283.66667</v>
      </c>
      <c r="AD162" s="9">
        <f>IFERROR(__xludf.DUMMYFUNCTION("""COMPUTED_VALUE"""),1713.78)</f>
        <v>1713.78</v>
      </c>
    </row>
    <row r="163">
      <c r="B163" s="11">
        <f>IFERROR(__xludf.DUMMYFUNCTION("""COMPUTED_VALUE"""),43284.54166666667)</f>
        <v>43284.54167</v>
      </c>
      <c r="C163" s="9">
        <f>IFERROR(__xludf.DUMMYFUNCTION("""COMPUTED_VALUE"""),66.35)</f>
        <v>66.35</v>
      </c>
      <c r="D163" s="11">
        <f>IFERROR(__xludf.DUMMYFUNCTION("""COMPUTED_VALUE"""),43284.54166666667)</f>
        <v>43284.54167</v>
      </c>
      <c r="E163" s="9">
        <f>IFERROR(__xludf.DUMMYFUNCTION("""COMPUTED_VALUE"""),62.17)</f>
        <v>62.17</v>
      </c>
      <c r="G163" s="11">
        <f>IFERROR(__xludf.DUMMYFUNCTION("""COMPUTED_VALUE"""),43284.54166666667)</f>
        <v>43284.54167</v>
      </c>
      <c r="H163" s="9">
        <f>IFERROR(__xludf.DUMMYFUNCTION("""COMPUTED_VALUE"""),1135.82)</f>
        <v>1135.82</v>
      </c>
      <c r="I163" s="11">
        <f>IFERROR(__xludf.DUMMYFUNCTION("""COMPUTED_VALUE"""),43284.54166666667)</f>
        <v>43284.54167</v>
      </c>
      <c r="J163" s="9">
        <f>IFERROR(__xludf.DUMMYFUNCTION("""COMPUTED_VALUE"""),1102.89)</f>
        <v>1102.89</v>
      </c>
      <c r="L163" s="11">
        <f>IFERROR(__xludf.DUMMYFUNCTION("""COMPUTED_VALUE"""),43284.54166666667)</f>
        <v>43284.54167</v>
      </c>
      <c r="M163" s="9">
        <f>IFERROR(__xludf.DUMMYFUNCTION("""COMPUTED_VALUE"""),46.95)</f>
        <v>46.95</v>
      </c>
      <c r="N163" s="11">
        <f>IFERROR(__xludf.DUMMYFUNCTION("""COMPUTED_VALUE"""),43284.54166666667)</f>
        <v>43284.54167</v>
      </c>
      <c r="O163" s="9">
        <f>IFERROR(__xludf.DUMMYFUNCTION("""COMPUTED_VALUE"""),45.98)</f>
        <v>45.98</v>
      </c>
      <c r="Q163" s="11">
        <f>IFERROR(__xludf.DUMMYFUNCTION("""COMPUTED_VALUE"""),43284.54166666667)</f>
        <v>43284.54167</v>
      </c>
      <c r="R163" s="9">
        <f>IFERROR(__xludf.DUMMYFUNCTION("""COMPUTED_VALUE"""),194.55)</f>
        <v>194.55</v>
      </c>
      <c r="S163" s="11">
        <f>IFERROR(__xludf.DUMMYFUNCTION("""COMPUTED_VALUE"""),43284.54166666667)</f>
        <v>43284.54167</v>
      </c>
      <c r="T163" s="9">
        <f>IFERROR(__xludf.DUMMYFUNCTION("""COMPUTED_VALUE"""),192.73)</f>
        <v>192.73</v>
      </c>
      <c r="V163" s="11">
        <f>IFERROR(__xludf.DUMMYFUNCTION("""COMPUTED_VALUE"""),43284.54166666667)</f>
        <v>43284.54167</v>
      </c>
      <c r="W163" s="9">
        <f>IFERROR(__xludf.DUMMYFUNCTION("""COMPUTED_VALUE"""),399.49)</f>
        <v>399.49</v>
      </c>
      <c r="X163" s="11">
        <f>IFERROR(__xludf.DUMMYFUNCTION("""COMPUTED_VALUE"""),43284.54166666667)</f>
        <v>43284.54167</v>
      </c>
      <c r="Y163" s="9">
        <f>IFERROR(__xludf.DUMMYFUNCTION("""COMPUTED_VALUE"""),390.52)</f>
        <v>390.52</v>
      </c>
      <c r="AA163" s="11">
        <f>IFERROR(__xludf.DUMMYFUNCTION("""COMPUTED_VALUE"""),43284.54166666667)</f>
        <v>43284.54167</v>
      </c>
      <c r="AB163" s="9">
        <f>IFERROR(__xludf.DUMMYFUNCTION("""COMPUTED_VALUE"""),1723.96)</f>
        <v>1723.96</v>
      </c>
      <c r="AC163" s="11">
        <f>IFERROR(__xludf.DUMMYFUNCTION("""COMPUTED_VALUE"""),43284.54166666667)</f>
        <v>43284.54167</v>
      </c>
      <c r="AD163" s="9">
        <f>IFERROR(__xludf.DUMMYFUNCTION("""COMPUTED_VALUE"""),1693.96)</f>
        <v>1693.96</v>
      </c>
    </row>
    <row r="164">
      <c r="B164" s="11">
        <f>IFERROR(__xludf.DUMMYFUNCTION("""COMPUTED_VALUE"""),43286.66666666667)</f>
        <v>43286.66667</v>
      </c>
      <c r="C164" s="9">
        <f>IFERROR(__xludf.DUMMYFUNCTION("""COMPUTED_VALUE"""),62.75)</f>
        <v>62.75</v>
      </c>
      <c r="D164" s="11">
        <f>IFERROR(__xludf.DUMMYFUNCTION("""COMPUTED_VALUE"""),43286.66666666667)</f>
        <v>43286.66667</v>
      </c>
      <c r="E164" s="9">
        <f>IFERROR(__xludf.DUMMYFUNCTION("""COMPUTED_VALUE"""),61.83)</f>
        <v>61.83</v>
      </c>
      <c r="G164" s="11">
        <f>IFERROR(__xludf.DUMMYFUNCTION("""COMPUTED_VALUE"""),43286.66666666667)</f>
        <v>43286.66667</v>
      </c>
      <c r="H164" s="9">
        <f>IFERROR(__xludf.DUMMYFUNCTION("""COMPUTED_VALUE"""),1110.53)</f>
        <v>1110.53</v>
      </c>
      <c r="I164" s="11">
        <f>IFERROR(__xludf.DUMMYFUNCTION("""COMPUTED_VALUE"""),43286.66666666667)</f>
        <v>43286.66667</v>
      </c>
      <c r="J164" s="9">
        <f>IFERROR(__xludf.DUMMYFUNCTION("""COMPUTED_VALUE"""),1124.27)</f>
        <v>1124.27</v>
      </c>
      <c r="L164" s="11">
        <f>IFERROR(__xludf.DUMMYFUNCTION("""COMPUTED_VALUE"""),43286.66666666667)</f>
        <v>43286.66667</v>
      </c>
      <c r="M164" s="9">
        <f>IFERROR(__xludf.DUMMYFUNCTION("""COMPUTED_VALUE"""),46.32)</f>
        <v>46.32</v>
      </c>
      <c r="N164" s="11">
        <f>IFERROR(__xludf.DUMMYFUNCTION("""COMPUTED_VALUE"""),43286.66666666667)</f>
        <v>43286.66667</v>
      </c>
      <c r="O164" s="9">
        <f>IFERROR(__xludf.DUMMYFUNCTION("""COMPUTED_VALUE"""),46.35)</f>
        <v>46.35</v>
      </c>
      <c r="Q164" s="11">
        <f>IFERROR(__xludf.DUMMYFUNCTION("""COMPUTED_VALUE"""),43286.66666666667)</f>
        <v>43286.66667</v>
      </c>
      <c r="R164" s="9">
        <f>IFERROR(__xludf.DUMMYFUNCTION("""COMPUTED_VALUE"""),194.74)</f>
        <v>194.74</v>
      </c>
      <c r="S164" s="11">
        <f>IFERROR(__xludf.DUMMYFUNCTION("""COMPUTED_VALUE"""),43286.66666666667)</f>
        <v>43286.66667</v>
      </c>
      <c r="T164" s="9">
        <f>IFERROR(__xludf.DUMMYFUNCTION("""COMPUTED_VALUE"""),198.45)</f>
        <v>198.45</v>
      </c>
      <c r="V164" s="11">
        <f>IFERROR(__xludf.DUMMYFUNCTION("""COMPUTED_VALUE"""),43286.66666666667)</f>
        <v>43286.66667</v>
      </c>
      <c r="W164" s="9">
        <f>IFERROR(__xludf.DUMMYFUNCTION("""COMPUTED_VALUE"""),393.8)</f>
        <v>393.8</v>
      </c>
      <c r="X164" s="11">
        <f>IFERROR(__xludf.DUMMYFUNCTION("""COMPUTED_VALUE"""),43286.66666666667)</f>
        <v>43286.66667</v>
      </c>
      <c r="Y164" s="9">
        <f>IFERROR(__xludf.DUMMYFUNCTION("""COMPUTED_VALUE"""),398.39)</f>
        <v>398.39</v>
      </c>
      <c r="AA164" s="11">
        <f>IFERROR(__xludf.DUMMYFUNCTION("""COMPUTED_VALUE"""),43286.66666666667)</f>
        <v>43286.66667</v>
      </c>
      <c r="AB164" s="9">
        <f>IFERROR(__xludf.DUMMYFUNCTION("""COMPUTED_VALUE"""),1705.38)</f>
        <v>1705.38</v>
      </c>
      <c r="AC164" s="11">
        <f>IFERROR(__xludf.DUMMYFUNCTION("""COMPUTED_VALUE"""),43286.66666666667)</f>
        <v>43286.66667</v>
      </c>
      <c r="AD164" s="9">
        <f>IFERROR(__xludf.DUMMYFUNCTION("""COMPUTED_VALUE"""),1699.73)</f>
        <v>1699.73</v>
      </c>
    </row>
    <row r="165">
      <c r="B165" s="11">
        <f>IFERROR(__xludf.DUMMYFUNCTION("""COMPUTED_VALUE"""),43287.66666666667)</f>
        <v>43287.66667</v>
      </c>
      <c r="C165" s="9">
        <f>IFERROR(__xludf.DUMMYFUNCTION("""COMPUTED_VALUE"""),60.99)</f>
        <v>60.99</v>
      </c>
      <c r="D165" s="11">
        <f>IFERROR(__xludf.DUMMYFUNCTION("""COMPUTED_VALUE"""),43287.66666666667)</f>
        <v>43287.66667</v>
      </c>
      <c r="E165" s="9">
        <f>IFERROR(__xludf.DUMMYFUNCTION("""COMPUTED_VALUE"""),61.78)</f>
        <v>61.78</v>
      </c>
      <c r="G165" s="11">
        <f>IFERROR(__xludf.DUMMYFUNCTION("""COMPUTED_VALUE"""),43287.66666666667)</f>
        <v>43287.66667</v>
      </c>
      <c r="H165" s="9">
        <f>IFERROR(__xludf.DUMMYFUNCTION("""COMPUTED_VALUE"""),1123.58)</f>
        <v>1123.58</v>
      </c>
      <c r="I165" s="11">
        <f>IFERROR(__xludf.DUMMYFUNCTION("""COMPUTED_VALUE"""),43287.66666666667)</f>
        <v>43287.66667</v>
      </c>
      <c r="J165" s="9">
        <f>IFERROR(__xludf.DUMMYFUNCTION("""COMPUTED_VALUE"""),1140.17)</f>
        <v>1140.17</v>
      </c>
      <c r="L165" s="11">
        <f>IFERROR(__xludf.DUMMYFUNCTION("""COMPUTED_VALUE"""),43287.66666666667)</f>
        <v>43287.66667</v>
      </c>
      <c r="M165" s="9">
        <f>IFERROR(__xludf.DUMMYFUNCTION("""COMPUTED_VALUE"""),46.36)</f>
        <v>46.36</v>
      </c>
      <c r="N165" s="11">
        <f>IFERROR(__xludf.DUMMYFUNCTION("""COMPUTED_VALUE"""),43287.66666666667)</f>
        <v>43287.66667</v>
      </c>
      <c r="O165" s="9">
        <f>IFERROR(__xludf.DUMMYFUNCTION("""COMPUTED_VALUE"""),46.99)</f>
        <v>46.99</v>
      </c>
      <c r="Q165" s="11">
        <f>IFERROR(__xludf.DUMMYFUNCTION("""COMPUTED_VALUE"""),43287.66666666667)</f>
        <v>43287.66667</v>
      </c>
      <c r="R165" s="9">
        <f>IFERROR(__xludf.DUMMYFUNCTION("""COMPUTED_VALUE"""),198.45)</f>
        <v>198.45</v>
      </c>
      <c r="S165" s="11">
        <f>IFERROR(__xludf.DUMMYFUNCTION("""COMPUTED_VALUE"""),43287.66666666667)</f>
        <v>43287.66667</v>
      </c>
      <c r="T165" s="9">
        <f>IFERROR(__xludf.DUMMYFUNCTION("""COMPUTED_VALUE"""),203.23)</f>
        <v>203.23</v>
      </c>
      <c r="V165" s="11">
        <f>IFERROR(__xludf.DUMMYFUNCTION("""COMPUTED_VALUE"""),43287.66666666667)</f>
        <v>43287.66667</v>
      </c>
      <c r="W165" s="9">
        <f>IFERROR(__xludf.DUMMYFUNCTION("""COMPUTED_VALUE"""),397.45)</f>
        <v>397.45</v>
      </c>
      <c r="X165" s="11">
        <f>IFERROR(__xludf.DUMMYFUNCTION("""COMPUTED_VALUE"""),43287.66666666667)</f>
        <v>43287.66667</v>
      </c>
      <c r="Y165" s="9">
        <f>IFERROR(__xludf.DUMMYFUNCTION("""COMPUTED_VALUE"""),408.25)</f>
        <v>408.25</v>
      </c>
      <c r="AA165" s="11">
        <f>IFERROR(__xludf.DUMMYFUNCTION("""COMPUTED_VALUE"""),43287.66666666667)</f>
        <v>43287.66667</v>
      </c>
      <c r="AB165" s="9">
        <f>IFERROR(__xludf.DUMMYFUNCTION("""COMPUTED_VALUE"""),1696.0)</f>
        <v>1696</v>
      </c>
      <c r="AC165" s="11">
        <f>IFERROR(__xludf.DUMMYFUNCTION("""COMPUTED_VALUE"""),43287.66666666667)</f>
        <v>43287.66667</v>
      </c>
      <c r="AD165" s="9">
        <f>IFERROR(__xludf.DUMMYFUNCTION("""COMPUTED_VALUE"""),1710.63)</f>
        <v>1710.63</v>
      </c>
    </row>
    <row r="166">
      <c r="B166" s="11">
        <f>IFERROR(__xludf.DUMMYFUNCTION("""COMPUTED_VALUE"""),43290.66666666667)</f>
        <v>43290.66667</v>
      </c>
      <c r="C166" s="9">
        <f>IFERROR(__xludf.DUMMYFUNCTION("""COMPUTED_VALUE"""),62.4)</f>
        <v>62.4</v>
      </c>
      <c r="D166" s="11">
        <f>IFERROR(__xludf.DUMMYFUNCTION("""COMPUTED_VALUE"""),43290.66666666667)</f>
        <v>43290.66667</v>
      </c>
      <c r="E166" s="9">
        <f>IFERROR(__xludf.DUMMYFUNCTION("""COMPUTED_VALUE"""),63.7)</f>
        <v>63.7</v>
      </c>
      <c r="G166" s="11">
        <f>IFERROR(__xludf.DUMMYFUNCTION("""COMPUTED_VALUE"""),43290.66666666667)</f>
        <v>43290.66667</v>
      </c>
      <c r="H166" s="9">
        <f>IFERROR(__xludf.DUMMYFUNCTION("""COMPUTED_VALUE"""),1148.48)</f>
        <v>1148.48</v>
      </c>
      <c r="I166" s="11">
        <f>IFERROR(__xludf.DUMMYFUNCTION("""COMPUTED_VALUE"""),43290.66666666667)</f>
        <v>43290.66667</v>
      </c>
      <c r="J166" s="9">
        <f>IFERROR(__xludf.DUMMYFUNCTION("""COMPUTED_VALUE"""),1154.05)</f>
        <v>1154.05</v>
      </c>
      <c r="L166" s="11">
        <f>IFERROR(__xludf.DUMMYFUNCTION("""COMPUTED_VALUE"""),43290.66666666667)</f>
        <v>43290.66667</v>
      </c>
      <c r="M166" s="9">
        <f>IFERROR(__xludf.DUMMYFUNCTION("""COMPUTED_VALUE"""),47.38)</f>
        <v>47.38</v>
      </c>
      <c r="N166" s="11">
        <f>IFERROR(__xludf.DUMMYFUNCTION("""COMPUTED_VALUE"""),43290.66666666667)</f>
        <v>43290.66667</v>
      </c>
      <c r="O166" s="9">
        <f>IFERROR(__xludf.DUMMYFUNCTION("""COMPUTED_VALUE"""),47.65)</f>
        <v>47.65</v>
      </c>
      <c r="Q166" s="11">
        <f>IFERROR(__xludf.DUMMYFUNCTION("""COMPUTED_VALUE"""),43290.66666666667)</f>
        <v>43290.66667</v>
      </c>
      <c r="R166" s="9">
        <f>IFERROR(__xludf.DUMMYFUNCTION("""COMPUTED_VALUE"""),204.93)</f>
        <v>204.93</v>
      </c>
      <c r="S166" s="11">
        <f>IFERROR(__xludf.DUMMYFUNCTION("""COMPUTED_VALUE"""),43290.66666666667)</f>
        <v>43290.66667</v>
      </c>
      <c r="T166" s="9">
        <f>IFERROR(__xludf.DUMMYFUNCTION("""COMPUTED_VALUE"""),204.74)</f>
        <v>204.74</v>
      </c>
      <c r="V166" s="11">
        <f>IFERROR(__xludf.DUMMYFUNCTION("""COMPUTED_VALUE"""),43290.66666666667)</f>
        <v>43290.66667</v>
      </c>
      <c r="W166" s="9">
        <f>IFERROR(__xludf.DUMMYFUNCTION("""COMPUTED_VALUE"""),415.95)</f>
        <v>415.95</v>
      </c>
      <c r="X166" s="11">
        <f>IFERROR(__xludf.DUMMYFUNCTION("""COMPUTED_VALUE"""),43290.66666666667)</f>
        <v>43290.66667</v>
      </c>
      <c r="Y166" s="9">
        <f>IFERROR(__xludf.DUMMYFUNCTION("""COMPUTED_VALUE"""),418.97)</f>
        <v>418.97</v>
      </c>
      <c r="AA166" s="11">
        <f>IFERROR(__xludf.DUMMYFUNCTION("""COMPUTED_VALUE"""),43290.66666666667)</f>
        <v>43290.66667</v>
      </c>
      <c r="AB166" s="9">
        <f>IFERROR(__xludf.DUMMYFUNCTION("""COMPUTED_VALUE"""),1724.05)</f>
        <v>1724.05</v>
      </c>
      <c r="AC166" s="11">
        <f>IFERROR(__xludf.DUMMYFUNCTION("""COMPUTED_VALUE"""),43290.66666666667)</f>
        <v>43290.66667</v>
      </c>
      <c r="AD166" s="9">
        <f>IFERROR(__xludf.DUMMYFUNCTION("""COMPUTED_VALUE"""),1739.02)</f>
        <v>1739.02</v>
      </c>
    </row>
    <row r="167">
      <c r="B167" s="11">
        <f>IFERROR(__xludf.DUMMYFUNCTION("""COMPUTED_VALUE"""),43291.66666666667)</f>
        <v>43291.66667</v>
      </c>
      <c r="C167" s="9">
        <f>IFERROR(__xludf.DUMMYFUNCTION("""COMPUTED_VALUE"""),64.91)</f>
        <v>64.91</v>
      </c>
      <c r="D167" s="11">
        <f>IFERROR(__xludf.DUMMYFUNCTION("""COMPUTED_VALUE"""),43291.66666666667)</f>
        <v>43291.66667</v>
      </c>
      <c r="E167" s="9">
        <f>IFERROR(__xludf.DUMMYFUNCTION("""COMPUTED_VALUE"""),64.49)</f>
        <v>64.49</v>
      </c>
      <c r="G167" s="11">
        <f>IFERROR(__xludf.DUMMYFUNCTION("""COMPUTED_VALUE"""),43291.66666666667)</f>
        <v>43291.66667</v>
      </c>
      <c r="H167" s="9">
        <f>IFERROR(__xludf.DUMMYFUNCTION("""COMPUTED_VALUE"""),1156.98)</f>
        <v>1156.98</v>
      </c>
      <c r="I167" s="11">
        <f>IFERROR(__xludf.DUMMYFUNCTION("""COMPUTED_VALUE"""),43291.66666666667)</f>
        <v>43291.66667</v>
      </c>
      <c r="J167" s="9">
        <f>IFERROR(__xludf.DUMMYFUNCTION("""COMPUTED_VALUE"""),1152.84)</f>
        <v>1152.84</v>
      </c>
      <c r="L167" s="11">
        <f>IFERROR(__xludf.DUMMYFUNCTION("""COMPUTED_VALUE"""),43291.66666666667)</f>
        <v>43291.66667</v>
      </c>
      <c r="M167" s="9">
        <f>IFERROR(__xludf.DUMMYFUNCTION("""COMPUTED_VALUE"""),47.68)</f>
        <v>47.68</v>
      </c>
      <c r="N167" s="11">
        <f>IFERROR(__xludf.DUMMYFUNCTION("""COMPUTED_VALUE"""),43291.66666666667)</f>
        <v>43291.66667</v>
      </c>
      <c r="O167" s="9">
        <f>IFERROR(__xludf.DUMMYFUNCTION("""COMPUTED_VALUE"""),47.59)</f>
        <v>47.59</v>
      </c>
      <c r="Q167" s="11">
        <f>IFERROR(__xludf.DUMMYFUNCTION("""COMPUTED_VALUE"""),43291.66666666667)</f>
        <v>43291.66667</v>
      </c>
      <c r="R167" s="9">
        <f>IFERROR(__xludf.DUMMYFUNCTION("""COMPUTED_VALUE"""),204.5)</f>
        <v>204.5</v>
      </c>
      <c r="S167" s="11">
        <f>IFERROR(__xludf.DUMMYFUNCTION("""COMPUTED_VALUE"""),43291.66666666667)</f>
        <v>43291.66667</v>
      </c>
      <c r="T167" s="9">
        <f>IFERROR(__xludf.DUMMYFUNCTION("""COMPUTED_VALUE"""),203.54)</f>
        <v>203.54</v>
      </c>
      <c r="V167" s="11">
        <f>IFERROR(__xludf.DUMMYFUNCTION("""COMPUTED_VALUE"""),43291.66666666667)</f>
        <v>43291.66667</v>
      </c>
      <c r="W167" s="9">
        <f>IFERROR(__xludf.DUMMYFUNCTION("""COMPUTED_VALUE"""),417.24)</f>
        <v>417.24</v>
      </c>
      <c r="X167" s="11">
        <f>IFERROR(__xludf.DUMMYFUNCTION("""COMPUTED_VALUE"""),43291.66666666667)</f>
        <v>43291.66667</v>
      </c>
      <c r="Y167" s="9">
        <f>IFERROR(__xludf.DUMMYFUNCTION("""COMPUTED_VALUE"""),415.63)</f>
        <v>415.63</v>
      </c>
      <c r="AA167" s="11">
        <f>IFERROR(__xludf.DUMMYFUNCTION("""COMPUTED_VALUE"""),43291.66666666667)</f>
        <v>43291.66667</v>
      </c>
      <c r="AB167" s="9">
        <f>IFERROR(__xludf.DUMMYFUNCTION("""COMPUTED_VALUE"""),1738.53)</f>
        <v>1738.53</v>
      </c>
      <c r="AC167" s="11">
        <f>IFERROR(__xludf.DUMMYFUNCTION("""COMPUTED_VALUE"""),43291.66666666667)</f>
        <v>43291.66667</v>
      </c>
      <c r="AD167" s="9">
        <f>IFERROR(__xludf.DUMMYFUNCTION("""COMPUTED_VALUE"""),1743.07)</f>
        <v>1743.07</v>
      </c>
    </row>
    <row r="168">
      <c r="B168" s="11">
        <f>IFERROR(__xludf.DUMMYFUNCTION("""COMPUTED_VALUE"""),43292.66666666667)</f>
        <v>43292.66667</v>
      </c>
      <c r="C168" s="9">
        <f>IFERROR(__xludf.DUMMYFUNCTION("""COMPUTED_VALUE"""),63.16)</f>
        <v>63.16</v>
      </c>
      <c r="D168" s="11">
        <f>IFERROR(__xludf.DUMMYFUNCTION("""COMPUTED_VALUE"""),43292.66666666667)</f>
        <v>43292.66667</v>
      </c>
      <c r="E168" s="9">
        <f>IFERROR(__xludf.DUMMYFUNCTION("""COMPUTED_VALUE"""),63.79)</f>
        <v>63.79</v>
      </c>
      <c r="G168" s="11">
        <f>IFERROR(__xludf.DUMMYFUNCTION("""COMPUTED_VALUE"""),43292.66666666667)</f>
        <v>43292.66667</v>
      </c>
      <c r="H168" s="9">
        <f>IFERROR(__xludf.DUMMYFUNCTION("""COMPUTED_VALUE"""),1144.59)</f>
        <v>1144.59</v>
      </c>
      <c r="I168" s="11">
        <f>IFERROR(__xludf.DUMMYFUNCTION("""COMPUTED_VALUE"""),43292.66666666667)</f>
        <v>43292.66667</v>
      </c>
      <c r="J168" s="9">
        <f>IFERROR(__xludf.DUMMYFUNCTION("""COMPUTED_VALUE"""),1153.9)</f>
        <v>1153.9</v>
      </c>
      <c r="L168" s="11">
        <f>IFERROR(__xludf.DUMMYFUNCTION("""COMPUTED_VALUE"""),43292.66666666667)</f>
        <v>43292.66667</v>
      </c>
      <c r="M168" s="9">
        <f>IFERROR(__xludf.DUMMYFUNCTION("""COMPUTED_VALUE"""),47.13)</f>
        <v>47.13</v>
      </c>
      <c r="N168" s="11">
        <f>IFERROR(__xludf.DUMMYFUNCTION("""COMPUTED_VALUE"""),43292.66666666667)</f>
        <v>43292.66667</v>
      </c>
      <c r="O168" s="9">
        <f>IFERROR(__xludf.DUMMYFUNCTION("""COMPUTED_VALUE"""),46.97)</f>
        <v>46.97</v>
      </c>
      <c r="Q168" s="11">
        <f>IFERROR(__xludf.DUMMYFUNCTION("""COMPUTED_VALUE"""),43292.66666666667)</f>
        <v>43292.66667</v>
      </c>
      <c r="R168" s="9">
        <f>IFERROR(__xludf.DUMMYFUNCTION("""COMPUTED_VALUE"""),202.22)</f>
        <v>202.22</v>
      </c>
      <c r="S168" s="11">
        <f>IFERROR(__xludf.DUMMYFUNCTION("""COMPUTED_VALUE"""),43292.66666666667)</f>
        <v>43292.66667</v>
      </c>
      <c r="T168" s="9">
        <f>IFERROR(__xludf.DUMMYFUNCTION("""COMPUTED_VALUE"""),202.54)</f>
        <v>202.54</v>
      </c>
      <c r="V168" s="11">
        <f>IFERROR(__xludf.DUMMYFUNCTION("""COMPUTED_VALUE"""),43292.66666666667)</f>
        <v>43292.66667</v>
      </c>
      <c r="W168" s="9">
        <f>IFERROR(__xludf.DUMMYFUNCTION("""COMPUTED_VALUE"""),411.34)</f>
        <v>411.34</v>
      </c>
      <c r="X168" s="11">
        <f>IFERROR(__xludf.DUMMYFUNCTION("""COMPUTED_VALUE"""),43292.66666666667)</f>
        <v>43292.66667</v>
      </c>
      <c r="Y168" s="9">
        <f>IFERROR(__xludf.DUMMYFUNCTION("""COMPUTED_VALUE"""),418.65)</f>
        <v>418.65</v>
      </c>
      <c r="AA168" s="11">
        <f>IFERROR(__xludf.DUMMYFUNCTION("""COMPUTED_VALUE"""),43292.66666666667)</f>
        <v>43292.66667</v>
      </c>
      <c r="AB168" s="9">
        <f>IFERROR(__xludf.DUMMYFUNCTION("""COMPUTED_VALUE"""),1737.99)</f>
        <v>1737.99</v>
      </c>
      <c r="AC168" s="11">
        <f>IFERROR(__xludf.DUMMYFUNCTION("""COMPUTED_VALUE"""),43292.66666666667)</f>
        <v>43292.66667</v>
      </c>
      <c r="AD168" s="9">
        <f>IFERROR(__xludf.DUMMYFUNCTION("""COMPUTED_VALUE"""),1755.0)</f>
        <v>1755</v>
      </c>
    </row>
    <row r="169">
      <c r="B169" s="11">
        <f>IFERROR(__xludf.DUMMYFUNCTION("""COMPUTED_VALUE"""),43293.66666666667)</f>
        <v>43293.66667</v>
      </c>
      <c r="C169" s="9">
        <f>IFERROR(__xludf.DUMMYFUNCTION("""COMPUTED_VALUE"""),64.29)</f>
        <v>64.29</v>
      </c>
      <c r="D169" s="11">
        <f>IFERROR(__xludf.DUMMYFUNCTION("""COMPUTED_VALUE"""),43293.66666666667)</f>
        <v>43293.66667</v>
      </c>
      <c r="E169" s="9">
        <f>IFERROR(__xludf.DUMMYFUNCTION("""COMPUTED_VALUE"""),63.34)</f>
        <v>63.34</v>
      </c>
      <c r="G169" s="11">
        <f>IFERROR(__xludf.DUMMYFUNCTION("""COMPUTED_VALUE"""),43293.66666666667)</f>
        <v>43293.66667</v>
      </c>
      <c r="H169" s="9">
        <f>IFERROR(__xludf.DUMMYFUNCTION("""COMPUTED_VALUE"""),1159.89)</f>
        <v>1159.89</v>
      </c>
      <c r="I169" s="11">
        <f>IFERROR(__xludf.DUMMYFUNCTION("""COMPUTED_VALUE"""),43293.66666666667)</f>
        <v>43293.66667</v>
      </c>
      <c r="J169" s="9">
        <f>IFERROR(__xludf.DUMMYFUNCTION("""COMPUTED_VALUE"""),1183.48)</f>
        <v>1183.48</v>
      </c>
      <c r="L169" s="11">
        <f>IFERROR(__xludf.DUMMYFUNCTION("""COMPUTED_VALUE"""),43293.66666666667)</f>
        <v>43293.66667</v>
      </c>
      <c r="M169" s="9">
        <f>IFERROR(__xludf.DUMMYFUNCTION("""COMPUTED_VALUE"""),47.38)</f>
        <v>47.38</v>
      </c>
      <c r="N169" s="11">
        <f>IFERROR(__xludf.DUMMYFUNCTION("""COMPUTED_VALUE"""),43293.66666666667)</f>
        <v>43293.66667</v>
      </c>
      <c r="O169" s="9">
        <f>IFERROR(__xludf.DUMMYFUNCTION("""COMPUTED_VALUE"""),47.76)</f>
        <v>47.76</v>
      </c>
      <c r="Q169" s="11">
        <f>IFERROR(__xludf.DUMMYFUNCTION("""COMPUTED_VALUE"""),43293.66666666667)</f>
        <v>43293.66667</v>
      </c>
      <c r="R169" s="9">
        <f>IFERROR(__xludf.DUMMYFUNCTION("""COMPUTED_VALUE"""),203.43)</f>
        <v>203.43</v>
      </c>
      <c r="S169" s="11">
        <f>IFERROR(__xludf.DUMMYFUNCTION("""COMPUTED_VALUE"""),43293.66666666667)</f>
        <v>43293.66667</v>
      </c>
      <c r="T169" s="9">
        <f>IFERROR(__xludf.DUMMYFUNCTION("""COMPUTED_VALUE"""),206.92)</f>
        <v>206.92</v>
      </c>
      <c r="V169" s="11">
        <f>IFERROR(__xludf.DUMMYFUNCTION("""COMPUTED_VALUE"""),43293.66666666667)</f>
        <v>43293.66667</v>
      </c>
      <c r="W169" s="9">
        <f>IFERROR(__xludf.DUMMYFUNCTION("""COMPUTED_VALUE"""),415.16)</f>
        <v>415.16</v>
      </c>
      <c r="X169" s="11">
        <f>IFERROR(__xludf.DUMMYFUNCTION("""COMPUTED_VALUE"""),43293.66666666667)</f>
        <v>43293.66667</v>
      </c>
      <c r="Y169" s="9">
        <f>IFERROR(__xludf.DUMMYFUNCTION("""COMPUTED_VALUE"""),413.5)</f>
        <v>413.5</v>
      </c>
      <c r="AA169" s="11">
        <f>IFERROR(__xludf.DUMMYFUNCTION("""COMPUTED_VALUE"""),43293.66666666667)</f>
        <v>43293.66667</v>
      </c>
      <c r="AB169" s="9">
        <f>IFERROR(__xludf.DUMMYFUNCTION("""COMPUTED_VALUE"""),1764.51)</f>
        <v>1764.51</v>
      </c>
      <c r="AC169" s="11">
        <f>IFERROR(__xludf.DUMMYFUNCTION("""COMPUTED_VALUE"""),43293.66666666667)</f>
        <v>43293.66667</v>
      </c>
      <c r="AD169" s="9">
        <f>IFERROR(__xludf.DUMMYFUNCTION("""COMPUTED_VALUE"""),1796.62)</f>
        <v>1796.62</v>
      </c>
    </row>
    <row r="170">
      <c r="B170" s="11">
        <f>IFERROR(__xludf.DUMMYFUNCTION("""COMPUTED_VALUE"""),43294.66666666667)</f>
        <v>43294.66667</v>
      </c>
      <c r="C170" s="9">
        <f>IFERROR(__xludf.DUMMYFUNCTION("""COMPUTED_VALUE"""),63.12)</f>
        <v>63.12</v>
      </c>
      <c r="D170" s="11">
        <f>IFERROR(__xludf.DUMMYFUNCTION("""COMPUTED_VALUE"""),43294.66666666667)</f>
        <v>43294.66667</v>
      </c>
      <c r="E170" s="9">
        <f>IFERROR(__xludf.DUMMYFUNCTION("""COMPUTED_VALUE"""),63.77)</f>
        <v>63.77</v>
      </c>
      <c r="G170" s="11">
        <f>IFERROR(__xludf.DUMMYFUNCTION("""COMPUTED_VALUE"""),43294.66666666667)</f>
        <v>43294.66667</v>
      </c>
      <c r="H170" s="9">
        <f>IFERROR(__xludf.DUMMYFUNCTION("""COMPUTED_VALUE"""),1185.0)</f>
        <v>1185</v>
      </c>
      <c r="I170" s="11">
        <f>IFERROR(__xludf.DUMMYFUNCTION("""COMPUTED_VALUE"""),43294.66666666667)</f>
        <v>43294.66667</v>
      </c>
      <c r="J170" s="9">
        <f>IFERROR(__xludf.DUMMYFUNCTION("""COMPUTED_VALUE"""),1188.82)</f>
        <v>1188.82</v>
      </c>
      <c r="L170" s="11">
        <f>IFERROR(__xludf.DUMMYFUNCTION("""COMPUTED_VALUE"""),43294.66666666667)</f>
        <v>43294.66667</v>
      </c>
      <c r="M170" s="9">
        <f>IFERROR(__xludf.DUMMYFUNCTION("""COMPUTED_VALUE"""),47.77)</f>
        <v>47.77</v>
      </c>
      <c r="N170" s="11">
        <f>IFERROR(__xludf.DUMMYFUNCTION("""COMPUTED_VALUE"""),43294.66666666667)</f>
        <v>43294.66667</v>
      </c>
      <c r="O170" s="9">
        <f>IFERROR(__xludf.DUMMYFUNCTION("""COMPUTED_VALUE"""),47.83)</f>
        <v>47.83</v>
      </c>
      <c r="Q170" s="11">
        <f>IFERROR(__xludf.DUMMYFUNCTION("""COMPUTED_VALUE"""),43294.66666666667)</f>
        <v>43294.66667</v>
      </c>
      <c r="R170" s="9">
        <f>IFERROR(__xludf.DUMMYFUNCTION("""COMPUTED_VALUE"""),207.81)</f>
        <v>207.81</v>
      </c>
      <c r="S170" s="11">
        <f>IFERROR(__xludf.DUMMYFUNCTION("""COMPUTED_VALUE"""),43294.66666666667)</f>
        <v>43294.66667</v>
      </c>
      <c r="T170" s="9">
        <f>IFERROR(__xludf.DUMMYFUNCTION("""COMPUTED_VALUE"""),207.32)</f>
        <v>207.32</v>
      </c>
      <c r="V170" s="11">
        <f>IFERROR(__xludf.DUMMYFUNCTION("""COMPUTED_VALUE"""),43294.66666666667)</f>
        <v>43294.66667</v>
      </c>
      <c r="W170" s="9">
        <f>IFERROR(__xludf.DUMMYFUNCTION("""COMPUTED_VALUE"""),409.19)</f>
        <v>409.19</v>
      </c>
      <c r="X170" s="11">
        <f>IFERROR(__xludf.DUMMYFUNCTION("""COMPUTED_VALUE"""),43294.66666666667)</f>
        <v>43294.66667</v>
      </c>
      <c r="Y170" s="9">
        <f>IFERROR(__xludf.DUMMYFUNCTION("""COMPUTED_VALUE"""),395.8)</f>
        <v>395.8</v>
      </c>
      <c r="AA170" s="11">
        <f>IFERROR(__xludf.DUMMYFUNCTION("""COMPUTED_VALUE"""),43294.66666666667)</f>
        <v>43294.66667</v>
      </c>
      <c r="AB170" s="9">
        <f>IFERROR(__xludf.DUMMYFUNCTION("""COMPUTED_VALUE"""),1803.93)</f>
        <v>1803.93</v>
      </c>
      <c r="AC170" s="11">
        <f>IFERROR(__xludf.DUMMYFUNCTION("""COMPUTED_VALUE"""),43294.66666666667)</f>
        <v>43294.66667</v>
      </c>
      <c r="AD170" s="9">
        <f>IFERROR(__xludf.DUMMYFUNCTION("""COMPUTED_VALUE"""),1813.03)</f>
        <v>1813.03</v>
      </c>
    </row>
    <row r="171">
      <c r="B171" s="11">
        <f>IFERROR(__xludf.DUMMYFUNCTION("""COMPUTED_VALUE"""),43297.66666666667)</f>
        <v>43297.66667</v>
      </c>
      <c r="C171" s="9">
        <f>IFERROR(__xludf.DUMMYFUNCTION("""COMPUTED_VALUE"""),62.34)</f>
        <v>62.34</v>
      </c>
      <c r="D171" s="11">
        <f>IFERROR(__xludf.DUMMYFUNCTION("""COMPUTED_VALUE"""),43297.66666666667)</f>
        <v>43297.66667</v>
      </c>
      <c r="E171" s="9">
        <f>IFERROR(__xludf.DUMMYFUNCTION("""COMPUTED_VALUE"""),62.02)</f>
        <v>62.02</v>
      </c>
      <c r="G171" s="11">
        <f>IFERROR(__xludf.DUMMYFUNCTION("""COMPUTED_VALUE"""),43297.66666666667)</f>
        <v>43297.66667</v>
      </c>
      <c r="H171" s="9">
        <f>IFERROR(__xludf.DUMMYFUNCTION("""COMPUTED_VALUE"""),1189.39)</f>
        <v>1189.39</v>
      </c>
      <c r="I171" s="11">
        <f>IFERROR(__xludf.DUMMYFUNCTION("""COMPUTED_VALUE"""),43297.66666666667)</f>
        <v>43297.66667</v>
      </c>
      <c r="J171" s="9">
        <f>IFERROR(__xludf.DUMMYFUNCTION("""COMPUTED_VALUE"""),1183.86)</f>
        <v>1183.86</v>
      </c>
      <c r="L171" s="11">
        <f>IFERROR(__xludf.DUMMYFUNCTION("""COMPUTED_VALUE"""),43297.66666666667)</f>
        <v>43297.66667</v>
      </c>
      <c r="M171" s="9">
        <f>IFERROR(__xludf.DUMMYFUNCTION("""COMPUTED_VALUE"""),47.88)</f>
        <v>47.88</v>
      </c>
      <c r="N171" s="11">
        <f>IFERROR(__xludf.DUMMYFUNCTION("""COMPUTED_VALUE"""),43297.66666666667)</f>
        <v>43297.66667</v>
      </c>
      <c r="O171" s="9">
        <f>IFERROR(__xludf.DUMMYFUNCTION("""COMPUTED_VALUE"""),47.73)</f>
        <v>47.73</v>
      </c>
      <c r="Q171" s="11">
        <f>IFERROR(__xludf.DUMMYFUNCTION("""COMPUTED_VALUE"""),43297.66666666667)</f>
        <v>43297.66667</v>
      </c>
      <c r="R171" s="9">
        <f>IFERROR(__xludf.DUMMYFUNCTION("""COMPUTED_VALUE"""),207.5)</f>
        <v>207.5</v>
      </c>
      <c r="S171" s="11">
        <f>IFERROR(__xludf.DUMMYFUNCTION("""COMPUTED_VALUE"""),43297.66666666667)</f>
        <v>43297.66667</v>
      </c>
      <c r="T171" s="9">
        <f>IFERROR(__xludf.DUMMYFUNCTION("""COMPUTED_VALUE"""),207.23)</f>
        <v>207.23</v>
      </c>
      <c r="V171" s="11">
        <f>IFERROR(__xludf.DUMMYFUNCTION("""COMPUTED_VALUE"""),43297.66666666667)</f>
        <v>43297.66667</v>
      </c>
      <c r="W171" s="9">
        <f>IFERROR(__xludf.DUMMYFUNCTION("""COMPUTED_VALUE"""),398.98)</f>
        <v>398.98</v>
      </c>
      <c r="X171" s="11">
        <f>IFERROR(__xludf.DUMMYFUNCTION("""COMPUTED_VALUE"""),43297.66666666667)</f>
        <v>43297.66667</v>
      </c>
      <c r="Y171" s="9">
        <f>IFERROR(__xludf.DUMMYFUNCTION("""COMPUTED_VALUE"""),400.48)</f>
        <v>400.48</v>
      </c>
      <c r="AA171" s="11">
        <f>IFERROR(__xludf.DUMMYFUNCTION("""COMPUTED_VALUE"""),43297.66666666667)</f>
        <v>43297.66667</v>
      </c>
      <c r="AB171" s="9">
        <f>IFERROR(__xludf.DUMMYFUNCTION("""COMPUTED_VALUE"""),1821.95)</f>
        <v>1821.95</v>
      </c>
      <c r="AC171" s="11">
        <f>IFERROR(__xludf.DUMMYFUNCTION("""COMPUTED_VALUE"""),43297.66666666667)</f>
        <v>43297.66667</v>
      </c>
      <c r="AD171" s="9">
        <f>IFERROR(__xludf.DUMMYFUNCTION("""COMPUTED_VALUE"""),1822.49)</f>
        <v>1822.49</v>
      </c>
    </row>
    <row r="172">
      <c r="B172" s="11">
        <f>IFERROR(__xludf.DUMMYFUNCTION("""COMPUTED_VALUE"""),43298.66666666667)</f>
        <v>43298.66667</v>
      </c>
      <c r="C172" s="9">
        <f>IFERROR(__xludf.DUMMYFUNCTION("""COMPUTED_VALUE"""),61.76)</f>
        <v>61.76</v>
      </c>
      <c r="D172" s="11">
        <f>IFERROR(__xludf.DUMMYFUNCTION("""COMPUTED_VALUE"""),43298.66666666667)</f>
        <v>43298.66667</v>
      </c>
      <c r="E172" s="9">
        <f>IFERROR(__xludf.DUMMYFUNCTION("""COMPUTED_VALUE"""),64.54)</f>
        <v>64.54</v>
      </c>
      <c r="G172" s="11">
        <f>IFERROR(__xludf.DUMMYFUNCTION("""COMPUTED_VALUE"""),43298.66666666667)</f>
        <v>43298.66667</v>
      </c>
      <c r="H172" s="9">
        <f>IFERROR(__xludf.DUMMYFUNCTION("""COMPUTED_VALUE"""),1172.22)</f>
        <v>1172.22</v>
      </c>
      <c r="I172" s="11">
        <f>IFERROR(__xludf.DUMMYFUNCTION("""COMPUTED_VALUE"""),43298.66666666667)</f>
        <v>43298.66667</v>
      </c>
      <c r="J172" s="9">
        <f>IFERROR(__xludf.DUMMYFUNCTION("""COMPUTED_VALUE"""),1198.8)</f>
        <v>1198.8</v>
      </c>
      <c r="L172" s="11">
        <f>IFERROR(__xludf.DUMMYFUNCTION("""COMPUTED_VALUE"""),43298.66666666667)</f>
        <v>43298.66667</v>
      </c>
      <c r="M172" s="9">
        <f>IFERROR(__xludf.DUMMYFUNCTION("""COMPUTED_VALUE"""),47.44)</f>
        <v>47.44</v>
      </c>
      <c r="N172" s="11">
        <f>IFERROR(__xludf.DUMMYFUNCTION("""COMPUTED_VALUE"""),43298.66666666667)</f>
        <v>43298.66667</v>
      </c>
      <c r="O172" s="9">
        <f>IFERROR(__xludf.DUMMYFUNCTION("""COMPUTED_VALUE"""),47.86)</f>
        <v>47.86</v>
      </c>
      <c r="Q172" s="11">
        <f>IFERROR(__xludf.DUMMYFUNCTION("""COMPUTED_VALUE"""),43298.66666666667)</f>
        <v>43298.66667</v>
      </c>
      <c r="R172" s="9">
        <f>IFERROR(__xludf.DUMMYFUNCTION("""COMPUTED_VALUE"""),204.9)</f>
        <v>204.9</v>
      </c>
      <c r="S172" s="11">
        <f>IFERROR(__xludf.DUMMYFUNCTION("""COMPUTED_VALUE"""),43298.66666666667)</f>
        <v>43298.66667</v>
      </c>
      <c r="T172" s="9">
        <f>IFERROR(__xludf.DUMMYFUNCTION("""COMPUTED_VALUE"""),209.99)</f>
        <v>209.99</v>
      </c>
      <c r="V172" s="11">
        <f>IFERROR(__xludf.DUMMYFUNCTION("""COMPUTED_VALUE"""),43298.66666666667)</f>
        <v>43298.66667</v>
      </c>
      <c r="W172" s="9">
        <f>IFERROR(__xludf.DUMMYFUNCTION("""COMPUTED_VALUE"""),346.95)</f>
        <v>346.95</v>
      </c>
      <c r="X172" s="11">
        <f>IFERROR(__xludf.DUMMYFUNCTION("""COMPUTED_VALUE"""),43298.66666666667)</f>
        <v>43298.66667</v>
      </c>
      <c r="Y172" s="9">
        <f>IFERROR(__xludf.DUMMYFUNCTION("""COMPUTED_VALUE"""),379.48)</f>
        <v>379.48</v>
      </c>
      <c r="AA172" s="11">
        <f>IFERROR(__xludf.DUMMYFUNCTION("""COMPUTED_VALUE"""),43298.66666666667)</f>
        <v>43298.66667</v>
      </c>
      <c r="AB172" s="9">
        <f>IFERROR(__xludf.DUMMYFUNCTION("""COMPUTED_VALUE"""),1811.56)</f>
        <v>1811.56</v>
      </c>
      <c r="AC172" s="11">
        <f>IFERROR(__xludf.DUMMYFUNCTION("""COMPUTED_VALUE"""),43298.66666666667)</f>
        <v>43298.66667</v>
      </c>
      <c r="AD172" s="9">
        <f>IFERROR(__xludf.DUMMYFUNCTION("""COMPUTED_VALUE"""),1843.93)</f>
        <v>1843.93</v>
      </c>
    </row>
    <row r="173">
      <c r="B173" s="11">
        <f>IFERROR(__xludf.DUMMYFUNCTION("""COMPUTED_VALUE"""),43299.66666666667)</f>
        <v>43299.66667</v>
      </c>
      <c r="C173" s="9">
        <f>IFERROR(__xludf.DUMMYFUNCTION("""COMPUTED_VALUE"""),65.0)</f>
        <v>65</v>
      </c>
      <c r="D173" s="11">
        <f>IFERROR(__xludf.DUMMYFUNCTION("""COMPUTED_VALUE"""),43299.66666666667)</f>
        <v>43299.66667</v>
      </c>
      <c r="E173" s="9">
        <f>IFERROR(__xludf.DUMMYFUNCTION("""COMPUTED_VALUE"""),64.77)</f>
        <v>64.77</v>
      </c>
      <c r="G173" s="11">
        <f>IFERROR(__xludf.DUMMYFUNCTION("""COMPUTED_VALUE"""),43299.66666666667)</f>
        <v>43299.66667</v>
      </c>
      <c r="H173" s="9">
        <f>IFERROR(__xludf.DUMMYFUNCTION("""COMPUTED_VALUE"""),1196.56)</f>
        <v>1196.56</v>
      </c>
      <c r="I173" s="11">
        <f>IFERROR(__xludf.DUMMYFUNCTION("""COMPUTED_VALUE"""),43299.66666666667)</f>
        <v>43299.66667</v>
      </c>
      <c r="J173" s="9">
        <f>IFERROR(__xludf.DUMMYFUNCTION("""COMPUTED_VALUE"""),1195.88)</f>
        <v>1195.88</v>
      </c>
      <c r="L173" s="11">
        <f>IFERROR(__xludf.DUMMYFUNCTION("""COMPUTED_VALUE"""),43299.66666666667)</f>
        <v>43299.66667</v>
      </c>
      <c r="M173" s="9">
        <f>IFERROR(__xludf.DUMMYFUNCTION("""COMPUTED_VALUE"""),47.95)</f>
        <v>47.95</v>
      </c>
      <c r="N173" s="11">
        <f>IFERROR(__xludf.DUMMYFUNCTION("""COMPUTED_VALUE"""),43299.66666666667)</f>
        <v>43299.66667</v>
      </c>
      <c r="O173" s="9">
        <f>IFERROR(__xludf.DUMMYFUNCTION("""COMPUTED_VALUE"""),47.6)</f>
        <v>47.6</v>
      </c>
      <c r="Q173" s="11">
        <f>IFERROR(__xludf.DUMMYFUNCTION("""COMPUTED_VALUE"""),43299.66666666667)</f>
        <v>43299.66667</v>
      </c>
      <c r="R173" s="9">
        <f>IFERROR(__xludf.DUMMYFUNCTION("""COMPUTED_VALUE"""),209.82)</f>
        <v>209.82</v>
      </c>
      <c r="S173" s="11">
        <f>IFERROR(__xludf.DUMMYFUNCTION("""COMPUTED_VALUE"""),43299.66666666667)</f>
        <v>43299.66667</v>
      </c>
      <c r="T173" s="9">
        <f>IFERROR(__xludf.DUMMYFUNCTION("""COMPUTED_VALUE"""),209.36)</f>
        <v>209.36</v>
      </c>
      <c r="V173" s="11">
        <f>IFERROR(__xludf.DUMMYFUNCTION("""COMPUTED_VALUE"""),43299.66666666667)</f>
        <v>43299.66667</v>
      </c>
      <c r="W173" s="9">
        <f>IFERROR(__xludf.DUMMYFUNCTION("""COMPUTED_VALUE"""),381.24)</f>
        <v>381.24</v>
      </c>
      <c r="X173" s="11">
        <f>IFERROR(__xludf.DUMMYFUNCTION("""COMPUTED_VALUE"""),43299.66666666667)</f>
        <v>43299.66667</v>
      </c>
      <c r="Y173" s="9">
        <f>IFERROR(__xludf.DUMMYFUNCTION("""COMPUTED_VALUE"""),375.13)</f>
        <v>375.13</v>
      </c>
      <c r="AA173" s="11">
        <f>IFERROR(__xludf.DUMMYFUNCTION("""COMPUTED_VALUE"""),43299.66666666667)</f>
        <v>43299.66667</v>
      </c>
      <c r="AB173" s="9">
        <f>IFERROR(__xludf.DUMMYFUNCTION("""COMPUTED_VALUE"""),1848.0)</f>
        <v>1848</v>
      </c>
      <c r="AC173" s="11">
        <f>IFERROR(__xludf.DUMMYFUNCTION("""COMPUTED_VALUE"""),43299.66666666667)</f>
        <v>43299.66667</v>
      </c>
      <c r="AD173" s="9">
        <f>IFERROR(__xludf.DUMMYFUNCTION("""COMPUTED_VALUE"""),1842.92)</f>
        <v>1842.92</v>
      </c>
    </row>
    <row r="174">
      <c r="B174" s="11">
        <f>IFERROR(__xludf.DUMMYFUNCTION("""COMPUTED_VALUE"""),43300.66666666667)</f>
        <v>43300.66667</v>
      </c>
      <c r="C174" s="9">
        <f>IFERROR(__xludf.DUMMYFUNCTION("""COMPUTED_VALUE"""),63.27)</f>
        <v>63.27</v>
      </c>
      <c r="D174" s="11">
        <f>IFERROR(__xludf.DUMMYFUNCTION("""COMPUTED_VALUE"""),43300.66666666667)</f>
        <v>43300.66667</v>
      </c>
      <c r="E174" s="9">
        <f>IFERROR(__xludf.DUMMYFUNCTION("""COMPUTED_VALUE"""),64.05)</f>
        <v>64.05</v>
      </c>
      <c r="G174" s="11">
        <f>IFERROR(__xludf.DUMMYFUNCTION("""COMPUTED_VALUE"""),43300.66666666667)</f>
        <v>43300.66667</v>
      </c>
      <c r="H174" s="9">
        <f>IFERROR(__xludf.DUMMYFUNCTION("""COMPUTED_VALUE"""),1191.0)</f>
        <v>1191</v>
      </c>
      <c r="I174" s="11">
        <f>IFERROR(__xludf.DUMMYFUNCTION("""COMPUTED_VALUE"""),43300.66666666667)</f>
        <v>43300.66667</v>
      </c>
      <c r="J174" s="9">
        <f>IFERROR(__xludf.DUMMYFUNCTION("""COMPUTED_VALUE"""),1186.96)</f>
        <v>1186.96</v>
      </c>
      <c r="L174" s="11">
        <f>IFERROR(__xludf.DUMMYFUNCTION("""COMPUTED_VALUE"""),43300.66666666667)</f>
        <v>43300.66667</v>
      </c>
      <c r="M174" s="9">
        <f>IFERROR(__xludf.DUMMYFUNCTION("""COMPUTED_VALUE"""),47.42)</f>
        <v>47.42</v>
      </c>
      <c r="N174" s="11">
        <f>IFERROR(__xludf.DUMMYFUNCTION("""COMPUTED_VALUE"""),43300.66666666667)</f>
        <v>43300.66667</v>
      </c>
      <c r="O174" s="9">
        <f>IFERROR(__xludf.DUMMYFUNCTION("""COMPUTED_VALUE"""),47.97)</f>
        <v>47.97</v>
      </c>
      <c r="Q174" s="11">
        <f>IFERROR(__xludf.DUMMYFUNCTION("""COMPUTED_VALUE"""),43300.66666666667)</f>
        <v>43300.66667</v>
      </c>
      <c r="R174" s="9">
        <f>IFERROR(__xludf.DUMMYFUNCTION("""COMPUTED_VALUE"""),208.77)</f>
        <v>208.77</v>
      </c>
      <c r="S174" s="11">
        <f>IFERROR(__xludf.DUMMYFUNCTION("""COMPUTED_VALUE"""),43300.66666666667)</f>
        <v>43300.66667</v>
      </c>
      <c r="T174" s="9">
        <f>IFERROR(__xludf.DUMMYFUNCTION("""COMPUTED_VALUE"""),208.09)</f>
        <v>208.09</v>
      </c>
      <c r="V174" s="11">
        <f>IFERROR(__xludf.DUMMYFUNCTION("""COMPUTED_VALUE"""),43300.66666666667)</f>
        <v>43300.66667</v>
      </c>
      <c r="W174" s="9">
        <f>IFERROR(__xludf.DUMMYFUNCTION("""COMPUTED_VALUE"""),371.06)</f>
        <v>371.06</v>
      </c>
      <c r="X174" s="11">
        <f>IFERROR(__xludf.DUMMYFUNCTION("""COMPUTED_VALUE"""),43300.66666666667)</f>
        <v>43300.66667</v>
      </c>
      <c r="Y174" s="9">
        <f>IFERROR(__xludf.DUMMYFUNCTION("""COMPUTED_VALUE"""),364.23)</f>
        <v>364.23</v>
      </c>
      <c r="AA174" s="11">
        <f>IFERROR(__xludf.DUMMYFUNCTION("""COMPUTED_VALUE"""),43300.66666666667)</f>
        <v>43300.66667</v>
      </c>
      <c r="AB174" s="9">
        <f>IFERROR(__xludf.DUMMYFUNCTION("""COMPUTED_VALUE"""),1829.46)</f>
        <v>1829.46</v>
      </c>
      <c r="AC174" s="11">
        <f>IFERROR(__xludf.DUMMYFUNCTION("""COMPUTED_VALUE"""),43300.66666666667)</f>
        <v>43300.66667</v>
      </c>
      <c r="AD174" s="9">
        <f>IFERROR(__xludf.DUMMYFUNCTION("""COMPUTED_VALUE"""),1812.97)</f>
        <v>1812.97</v>
      </c>
    </row>
    <row r="175">
      <c r="B175" s="11">
        <f>IFERROR(__xludf.DUMMYFUNCTION("""COMPUTED_VALUE"""),43301.66666666667)</f>
        <v>43301.66667</v>
      </c>
      <c r="C175" s="9">
        <f>IFERROR(__xludf.DUMMYFUNCTION("""COMPUTED_VALUE"""),64.25)</f>
        <v>64.25</v>
      </c>
      <c r="D175" s="11">
        <f>IFERROR(__xludf.DUMMYFUNCTION("""COMPUTED_VALUE"""),43301.66666666667)</f>
        <v>43301.66667</v>
      </c>
      <c r="E175" s="9">
        <f>IFERROR(__xludf.DUMMYFUNCTION("""COMPUTED_VALUE"""),62.72)</f>
        <v>62.72</v>
      </c>
      <c r="G175" s="11">
        <f>IFERROR(__xludf.DUMMYFUNCTION("""COMPUTED_VALUE"""),43301.66666666667)</f>
        <v>43301.66667</v>
      </c>
      <c r="H175" s="9">
        <f>IFERROR(__xludf.DUMMYFUNCTION("""COMPUTED_VALUE"""),1186.96)</f>
        <v>1186.96</v>
      </c>
      <c r="I175" s="11">
        <f>IFERROR(__xludf.DUMMYFUNCTION("""COMPUTED_VALUE"""),43301.66666666667)</f>
        <v>43301.66667</v>
      </c>
      <c r="J175" s="9">
        <f>IFERROR(__xludf.DUMMYFUNCTION("""COMPUTED_VALUE"""),1184.91)</f>
        <v>1184.91</v>
      </c>
      <c r="L175" s="11">
        <f>IFERROR(__xludf.DUMMYFUNCTION("""COMPUTED_VALUE"""),43301.66666666667)</f>
        <v>43301.66667</v>
      </c>
      <c r="M175" s="9">
        <f>IFERROR(__xludf.DUMMYFUNCTION("""COMPUTED_VALUE"""),47.95)</f>
        <v>47.95</v>
      </c>
      <c r="N175" s="11">
        <f>IFERROR(__xludf.DUMMYFUNCTION("""COMPUTED_VALUE"""),43301.66666666667)</f>
        <v>43301.66667</v>
      </c>
      <c r="O175" s="9">
        <f>IFERROR(__xludf.DUMMYFUNCTION("""COMPUTED_VALUE"""),47.86)</f>
        <v>47.86</v>
      </c>
      <c r="Q175" s="11">
        <f>IFERROR(__xludf.DUMMYFUNCTION("""COMPUTED_VALUE"""),43301.66666666667)</f>
        <v>43301.66667</v>
      </c>
      <c r="R175" s="9">
        <f>IFERROR(__xludf.DUMMYFUNCTION("""COMPUTED_VALUE"""),208.85)</f>
        <v>208.85</v>
      </c>
      <c r="S175" s="11">
        <f>IFERROR(__xludf.DUMMYFUNCTION("""COMPUTED_VALUE"""),43301.66666666667)</f>
        <v>43301.66667</v>
      </c>
      <c r="T175" s="9">
        <f>IFERROR(__xludf.DUMMYFUNCTION("""COMPUTED_VALUE"""),209.94)</f>
        <v>209.94</v>
      </c>
      <c r="V175" s="11">
        <f>IFERROR(__xludf.DUMMYFUNCTION("""COMPUTED_VALUE"""),43301.66666666667)</f>
        <v>43301.66667</v>
      </c>
      <c r="W175" s="9">
        <f>IFERROR(__xludf.DUMMYFUNCTION("""COMPUTED_VALUE"""),364.92)</f>
        <v>364.92</v>
      </c>
      <c r="X175" s="11">
        <f>IFERROR(__xludf.DUMMYFUNCTION("""COMPUTED_VALUE"""),43301.66666666667)</f>
        <v>43301.66667</v>
      </c>
      <c r="Y175" s="9">
        <f>IFERROR(__xludf.DUMMYFUNCTION("""COMPUTED_VALUE"""),361.05)</f>
        <v>361.05</v>
      </c>
      <c r="AA175" s="11">
        <f>IFERROR(__xludf.DUMMYFUNCTION("""COMPUTED_VALUE"""),43301.66666666667)</f>
        <v>43301.66667</v>
      </c>
      <c r="AB175" s="9">
        <f>IFERROR(__xludf.DUMMYFUNCTION("""COMPUTED_VALUE"""),1825.01)</f>
        <v>1825.01</v>
      </c>
      <c r="AC175" s="11">
        <f>IFERROR(__xludf.DUMMYFUNCTION("""COMPUTED_VALUE"""),43301.66666666667)</f>
        <v>43301.66667</v>
      </c>
      <c r="AD175" s="9">
        <f>IFERROR(__xludf.DUMMYFUNCTION("""COMPUTED_VALUE"""),1813.7)</f>
        <v>1813.7</v>
      </c>
    </row>
    <row r="176">
      <c r="B176" s="11">
        <f>IFERROR(__xludf.DUMMYFUNCTION("""COMPUTED_VALUE"""),43304.66666666667)</f>
        <v>43304.66667</v>
      </c>
      <c r="C176" s="9">
        <f>IFERROR(__xludf.DUMMYFUNCTION("""COMPUTED_VALUE"""),60.37)</f>
        <v>60.37</v>
      </c>
      <c r="D176" s="11">
        <f>IFERROR(__xludf.DUMMYFUNCTION("""COMPUTED_VALUE"""),43304.66666666667)</f>
        <v>43304.66667</v>
      </c>
      <c r="E176" s="9">
        <f>IFERROR(__xludf.DUMMYFUNCTION("""COMPUTED_VALUE"""),60.64)</f>
        <v>60.64</v>
      </c>
      <c r="G176" s="11">
        <f>IFERROR(__xludf.DUMMYFUNCTION("""COMPUTED_VALUE"""),43304.66666666667)</f>
        <v>43304.66667</v>
      </c>
      <c r="H176" s="9">
        <f>IFERROR(__xludf.DUMMYFUNCTION("""COMPUTED_VALUE"""),1181.01)</f>
        <v>1181.01</v>
      </c>
      <c r="I176" s="11">
        <f>IFERROR(__xludf.DUMMYFUNCTION("""COMPUTED_VALUE"""),43304.66666666667)</f>
        <v>43304.66667</v>
      </c>
      <c r="J176" s="9">
        <f>IFERROR(__xludf.DUMMYFUNCTION("""COMPUTED_VALUE"""),1205.5)</f>
        <v>1205.5</v>
      </c>
      <c r="L176" s="11">
        <f>IFERROR(__xludf.DUMMYFUNCTION("""COMPUTED_VALUE"""),43304.66666666667)</f>
        <v>43304.66667</v>
      </c>
      <c r="M176" s="9">
        <f>IFERROR(__xludf.DUMMYFUNCTION("""COMPUTED_VALUE"""),47.95)</f>
        <v>47.95</v>
      </c>
      <c r="N176" s="11">
        <f>IFERROR(__xludf.DUMMYFUNCTION("""COMPUTED_VALUE"""),43304.66666666667)</f>
        <v>43304.66667</v>
      </c>
      <c r="O176" s="9">
        <f>IFERROR(__xludf.DUMMYFUNCTION("""COMPUTED_VALUE"""),47.86)</f>
        <v>47.86</v>
      </c>
      <c r="Q176" s="11">
        <f>IFERROR(__xludf.DUMMYFUNCTION("""COMPUTED_VALUE"""),43304.66666666667)</f>
        <v>43304.66667</v>
      </c>
      <c r="R176" s="9">
        <f>IFERROR(__xludf.DUMMYFUNCTION("""COMPUTED_VALUE"""),210.58)</f>
        <v>210.58</v>
      </c>
      <c r="S176" s="11">
        <f>IFERROR(__xludf.DUMMYFUNCTION("""COMPUTED_VALUE"""),43304.66666666667)</f>
        <v>43304.66667</v>
      </c>
      <c r="T176" s="9">
        <f>IFERROR(__xludf.DUMMYFUNCTION("""COMPUTED_VALUE"""),210.91)</f>
        <v>210.91</v>
      </c>
      <c r="V176" s="11">
        <f>IFERROR(__xludf.DUMMYFUNCTION("""COMPUTED_VALUE"""),43304.66666666667)</f>
        <v>43304.66667</v>
      </c>
      <c r="W176" s="9">
        <f>IFERROR(__xludf.DUMMYFUNCTION("""COMPUTED_VALUE"""),359.15)</f>
        <v>359.15</v>
      </c>
      <c r="X176" s="11">
        <f>IFERROR(__xludf.DUMMYFUNCTION("""COMPUTED_VALUE"""),43304.66666666667)</f>
        <v>43304.66667</v>
      </c>
      <c r="Y176" s="9">
        <f>IFERROR(__xludf.DUMMYFUNCTION("""COMPUTED_VALUE"""),362.66)</f>
        <v>362.66</v>
      </c>
      <c r="AA176" s="11">
        <f>IFERROR(__xludf.DUMMYFUNCTION("""COMPUTED_VALUE"""),43304.66666666667)</f>
        <v>43304.66667</v>
      </c>
      <c r="AB176" s="9">
        <f>IFERROR(__xludf.DUMMYFUNCTION("""COMPUTED_VALUE"""),1812.21)</f>
        <v>1812.21</v>
      </c>
      <c r="AC176" s="11">
        <f>IFERROR(__xludf.DUMMYFUNCTION("""COMPUTED_VALUE"""),43304.66666666667)</f>
        <v>43304.66667</v>
      </c>
      <c r="AD176" s="9">
        <f>IFERROR(__xludf.DUMMYFUNCTION("""COMPUTED_VALUE"""),1802.0)</f>
        <v>1802</v>
      </c>
    </row>
    <row r="177">
      <c r="B177" s="11">
        <f>IFERROR(__xludf.DUMMYFUNCTION("""COMPUTED_VALUE"""),43305.66666666667)</f>
        <v>43305.66667</v>
      </c>
      <c r="C177" s="9">
        <f>IFERROR(__xludf.DUMMYFUNCTION("""COMPUTED_VALUE"""),60.88)</f>
        <v>60.88</v>
      </c>
      <c r="D177" s="11">
        <f>IFERROR(__xludf.DUMMYFUNCTION("""COMPUTED_VALUE"""),43305.66666666667)</f>
        <v>43305.66667</v>
      </c>
      <c r="E177" s="9">
        <f>IFERROR(__xludf.DUMMYFUNCTION("""COMPUTED_VALUE"""),59.49)</f>
        <v>59.49</v>
      </c>
      <c r="G177" s="11">
        <f>IFERROR(__xludf.DUMMYFUNCTION("""COMPUTED_VALUE"""),43305.66666666667)</f>
        <v>43305.66667</v>
      </c>
      <c r="H177" s="9">
        <f>IFERROR(__xludf.DUMMYFUNCTION("""COMPUTED_VALUE"""),1262.59)</f>
        <v>1262.59</v>
      </c>
      <c r="I177" s="11">
        <f>IFERROR(__xludf.DUMMYFUNCTION("""COMPUTED_VALUE"""),43305.66666666667)</f>
        <v>43305.66667</v>
      </c>
      <c r="J177" s="9">
        <f>IFERROR(__xludf.DUMMYFUNCTION("""COMPUTED_VALUE"""),1248.08)</f>
        <v>1248.08</v>
      </c>
      <c r="L177" s="11">
        <f>IFERROR(__xludf.DUMMYFUNCTION("""COMPUTED_VALUE"""),43305.66666666667)</f>
        <v>43305.66667</v>
      </c>
      <c r="M177" s="9">
        <f>IFERROR(__xludf.DUMMYFUNCTION("""COMPUTED_VALUE"""),48.11)</f>
        <v>48.11</v>
      </c>
      <c r="N177" s="11">
        <f>IFERROR(__xludf.DUMMYFUNCTION("""COMPUTED_VALUE"""),43305.66666666667)</f>
        <v>43305.66667</v>
      </c>
      <c r="O177" s="9">
        <f>IFERROR(__xludf.DUMMYFUNCTION("""COMPUTED_VALUE"""),48.25)</f>
        <v>48.25</v>
      </c>
      <c r="Q177" s="11">
        <f>IFERROR(__xludf.DUMMYFUNCTION("""COMPUTED_VALUE"""),43305.66666666667)</f>
        <v>43305.66667</v>
      </c>
      <c r="R177" s="9">
        <f>IFERROR(__xludf.DUMMYFUNCTION("""COMPUTED_VALUE"""),215.11)</f>
        <v>215.11</v>
      </c>
      <c r="S177" s="11">
        <f>IFERROR(__xludf.DUMMYFUNCTION("""COMPUTED_VALUE"""),43305.66666666667)</f>
        <v>43305.66667</v>
      </c>
      <c r="T177" s="9">
        <f>IFERROR(__xludf.DUMMYFUNCTION("""COMPUTED_VALUE"""),214.67)</f>
        <v>214.67</v>
      </c>
      <c r="V177" s="11">
        <f>IFERROR(__xludf.DUMMYFUNCTION("""COMPUTED_VALUE"""),43305.66666666667)</f>
        <v>43305.66667</v>
      </c>
      <c r="W177" s="9">
        <f>IFERROR(__xludf.DUMMYFUNCTION("""COMPUTED_VALUE"""),366.94)</f>
        <v>366.94</v>
      </c>
      <c r="X177" s="11">
        <f>IFERROR(__xludf.DUMMYFUNCTION("""COMPUTED_VALUE"""),43305.66666666667)</f>
        <v>43305.66667</v>
      </c>
      <c r="Y177" s="9">
        <f>IFERROR(__xludf.DUMMYFUNCTION("""COMPUTED_VALUE"""),357.32)</f>
        <v>357.32</v>
      </c>
      <c r="AA177" s="11">
        <f>IFERROR(__xludf.DUMMYFUNCTION("""COMPUTED_VALUE"""),43305.66666666667)</f>
        <v>43305.66667</v>
      </c>
      <c r="AB177" s="9">
        <f>IFERROR(__xludf.DUMMYFUNCTION("""COMPUTED_VALUE"""),1829.01)</f>
        <v>1829.01</v>
      </c>
      <c r="AC177" s="11">
        <f>IFERROR(__xludf.DUMMYFUNCTION("""COMPUTED_VALUE"""),43305.66666666667)</f>
        <v>43305.66667</v>
      </c>
      <c r="AD177" s="9">
        <f>IFERROR(__xludf.DUMMYFUNCTION("""COMPUTED_VALUE"""),1829.24)</f>
        <v>1829.24</v>
      </c>
    </row>
    <row r="178">
      <c r="B178" s="11">
        <f>IFERROR(__xludf.DUMMYFUNCTION("""COMPUTED_VALUE"""),43306.66666666667)</f>
        <v>43306.66667</v>
      </c>
      <c r="C178" s="9">
        <f>IFERROR(__xludf.DUMMYFUNCTION("""COMPUTED_VALUE"""),59.35)</f>
        <v>59.35</v>
      </c>
      <c r="D178" s="11">
        <f>IFERROR(__xludf.DUMMYFUNCTION("""COMPUTED_VALUE"""),43306.66666666667)</f>
        <v>43306.66667</v>
      </c>
      <c r="E178" s="9">
        <f>IFERROR(__xludf.DUMMYFUNCTION("""COMPUTED_VALUE"""),61.75)</f>
        <v>61.75</v>
      </c>
      <c r="G178" s="11">
        <f>IFERROR(__xludf.DUMMYFUNCTION("""COMPUTED_VALUE"""),43306.66666666667)</f>
        <v>43306.66667</v>
      </c>
      <c r="H178" s="9">
        <f>IFERROR(__xludf.DUMMYFUNCTION("""COMPUTED_VALUE"""),1239.13)</f>
        <v>1239.13</v>
      </c>
      <c r="I178" s="11">
        <f>IFERROR(__xludf.DUMMYFUNCTION("""COMPUTED_VALUE"""),43306.66666666667)</f>
        <v>43306.66667</v>
      </c>
      <c r="J178" s="9">
        <f>IFERROR(__xludf.DUMMYFUNCTION("""COMPUTED_VALUE"""),1263.7)</f>
        <v>1263.7</v>
      </c>
      <c r="L178" s="11">
        <f>IFERROR(__xludf.DUMMYFUNCTION("""COMPUTED_VALUE"""),43306.66666666667)</f>
        <v>43306.66667</v>
      </c>
      <c r="M178" s="9">
        <f>IFERROR(__xludf.DUMMYFUNCTION("""COMPUTED_VALUE"""),48.27)</f>
        <v>48.27</v>
      </c>
      <c r="N178" s="11">
        <f>IFERROR(__xludf.DUMMYFUNCTION("""COMPUTED_VALUE"""),43306.66666666667)</f>
        <v>43306.66667</v>
      </c>
      <c r="O178" s="9">
        <f>IFERROR(__xludf.DUMMYFUNCTION("""COMPUTED_VALUE"""),48.71)</f>
        <v>48.71</v>
      </c>
      <c r="Q178" s="11">
        <f>IFERROR(__xludf.DUMMYFUNCTION("""COMPUTED_VALUE"""),43306.66666666667)</f>
        <v>43306.66667</v>
      </c>
      <c r="R178" s="9">
        <f>IFERROR(__xludf.DUMMYFUNCTION("""COMPUTED_VALUE"""),215.72)</f>
        <v>215.72</v>
      </c>
      <c r="S178" s="11">
        <f>IFERROR(__xludf.DUMMYFUNCTION("""COMPUTED_VALUE"""),43306.66666666667)</f>
        <v>43306.66667</v>
      </c>
      <c r="T178" s="9">
        <f>IFERROR(__xludf.DUMMYFUNCTION("""COMPUTED_VALUE"""),217.5)</f>
        <v>217.5</v>
      </c>
      <c r="V178" s="11">
        <f>IFERROR(__xludf.DUMMYFUNCTION("""COMPUTED_VALUE"""),43306.66666666667)</f>
        <v>43306.66667</v>
      </c>
      <c r="W178" s="9">
        <f>IFERROR(__xludf.DUMMYFUNCTION("""COMPUTED_VALUE"""),357.57)</f>
        <v>357.57</v>
      </c>
      <c r="X178" s="11">
        <f>IFERROR(__xludf.DUMMYFUNCTION("""COMPUTED_VALUE"""),43306.66666666667)</f>
        <v>43306.66667</v>
      </c>
      <c r="Y178" s="9">
        <f>IFERROR(__xludf.DUMMYFUNCTION("""COMPUTED_VALUE"""),362.87)</f>
        <v>362.87</v>
      </c>
      <c r="AA178" s="11">
        <f>IFERROR(__xludf.DUMMYFUNCTION("""COMPUTED_VALUE"""),43306.66666666667)</f>
        <v>43306.66667</v>
      </c>
      <c r="AB178" s="9">
        <f>IFERROR(__xludf.DUMMYFUNCTION("""COMPUTED_VALUE"""),1829.3)</f>
        <v>1829.3</v>
      </c>
      <c r="AC178" s="11">
        <f>IFERROR(__xludf.DUMMYFUNCTION("""COMPUTED_VALUE"""),43306.66666666667)</f>
        <v>43306.66667</v>
      </c>
      <c r="AD178" s="9">
        <f>IFERROR(__xludf.DUMMYFUNCTION("""COMPUTED_VALUE"""),1863.61)</f>
        <v>1863.61</v>
      </c>
    </row>
    <row r="179">
      <c r="B179" s="11">
        <f>IFERROR(__xludf.DUMMYFUNCTION("""COMPUTED_VALUE"""),43307.66666666667)</f>
        <v>43307.66667</v>
      </c>
      <c r="C179" s="9">
        <f>IFERROR(__xludf.DUMMYFUNCTION("""COMPUTED_VALUE"""),60.97)</f>
        <v>60.97</v>
      </c>
      <c r="D179" s="11">
        <f>IFERROR(__xludf.DUMMYFUNCTION("""COMPUTED_VALUE"""),43307.66666666667)</f>
        <v>43307.66667</v>
      </c>
      <c r="E179" s="9">
        <f>IFERROR(__xludf.DUMMYFUNCTION("""COMPUTED_VALUE"""),61.33)</f>
        <v>61.33</v>
      </c>
      <c r="G179" s="11">
        <f>IFERROR(__xludf.DUMMYFUNCTION("""COMPUTED_VALUE"""),43307.66666666667)</f>
        <v>43307.66667</v>
      </c>
      <c r="H179" s="9">
        <f>IFERROR(__xludf.DUMMYFUNCTION("""COMPUTED_VALUE"""),1251.0)</f>
        <v>1251</v>
      </c>
      <c r="I179" s="11">
        <f>IFERROR(__xludf.DUMMYFUNCTION("""COMPUTED_VALUE"""),43307.66666666667)</f>
        <v>43307.66667</v>
      </c>
      <c r="J179" s="9">
        <f>IFERROR(__xludf.DUMMYFUNCTION("""COMPUTED_VALUE"""),1268.33)</f>
        <v>1268.33</v>
      </c>
      <c r="L179" s="11">
        <f>IFERROR(__xludf.DUMMYFUNCTION("""COMPUTED_VALUE"""),43307.66666666667)</f>
        <v>43307.66667</v>
      </c>
      <c r="M179" s="9">
        <f>IFERROR(__xludf.DUMMYFUNCTION("""COMPUTED_VALUE"""),48.65)</f>
        <v>48.65</v>
      </c>
      <c r="N179" s="11">
        <f>IFERROR(__xludf.DUMMYFUNCTION("""COMPUTED_VALUE"""),43307.66666666667)</f>
        <v>43307.66667</v>
      </c>
      <c r="O179" s="9">
        <f>IFERROR(__xludf.DUMMYFUNCTION("""COMPUTED_VALUE"""),48.55)</f>
        <v>48.55</v>
      </c>
      <c r="Q179" s="11">
        <f>IFERROR(__xludf.DUMMYFUNCTION("""COMPUTED_VALUE"""),43307.66666666667)</f>
        <v>43307.66667</v>
      </c>
      <c r="R179" s="9">
        <f>IFERROR(__xludf.DUMMYFUNCTION("""COMPUTED_VALUE"""),174.89)</f>
        <v>174.89</v>
      </c>
      <c r="S179" s="11">
        <f>IFERROR(__xludf.DUMMYFUNCTION("""COMPUTED_VALUE"""),43307.66666666667)</f>
        <v>43307.66667</v>
      </c>
      <c r="T179" s="9">
        <f>IFERROR(__xludf.DUMMYFUNCTION("""COMPUTED_VALUE"""),176.26)</f>
        <v>176.26</v>
      </c>
      <c r="V179" s="11">
        <f>IFERROR(__xludf.DUMMYFUNCTION("""COMPUTED_VALUE"""),43307.66666666667)</f>
        <v>43307.66667</v>
      </c>
      <c r="W179" s="9">
        <f>IFERROR(__xludf.DUMMYFUNCTION("""COMPUTED_VALUE"""),358.19)</f>
        <v>358.19</v>
      </c>
      <c r="X179" s="11">
        <f>IFERROR(__xludf.DUMMYFUNCTION("""COMPUTED_VALUE"""),43307.66666666667)</f>
        <v>43307.66667</v>
      </c>
      <c r="Y179" s="9">
        <f>IFERROR(__xludf.DUMMYFUNCTION("""COMPUTED_VALUE"""),363.09)</f>
        <v>363.09</v>
      </c>
      <c r="AA179" s="11">
        <f>IFERROR(__xludf.DUMMYFUNCTION("""COMPUTED_VALUE"""),43307.66666666667)</f>
        <v>43307.66667</v>
      </c>
      <c r="AB179" s="9">
        <f>IFERROR(__xludf.DUMMYFUNCTION("""COMPUTED_VALUE"""),1839.0)</f>
        <v>1839</v>
      </c>
      <c r="AC179" s="11">
        <f>IFERROR(__xludf.DUMMYFUNCTION("""COMPUTED_VALUE"""),43307.66666666667)</f>
        <v>43307.66667</v>
      </c>
      <c r="AD179" s="9">
        <f>IFERROR(__xludf.DUMMYFUNCTION("""COMPUTED_VALUE"""),1808.0)</f>
        <v>1808</v>
      </c>
    </row>
    <row r="180">
      <c r="B180" s="11">
        <f>IFERROR(__xludf.DUMMYFUNCTION("""COMPUTED_VALUE"""),43308.66666666667)</f>
        <v>43308.66667</v>
      </c>
      <c r="C180" s="9">
        <f>IFERROR(__xludf.DUMMYFUNCTION("""COMPUTED_VALUE"""),61.45)</f>
        <v>61.45</v>
      </c>
      <c r="D180" s="11">
        <f>IFERROR(__xludf.DUMMYFUNCTION("""COMPUTED_VALUE"""),43308.66666666667)</f>
        <v>43308.66667</v>
      </c>
      <c r="E180" s="9">
        <f>IFERROR(__xludf.DUMMYFUNCTION("""COMPUTED_VALUE"""),59.44)</f>
        <v>59.44</v>
      </c>
      <c r="G180" s="11">
        <f>IFERROR(__xludf.DUMMYFUNCTION("""COMPUTED_VALUE"""),43308.66666666667)</f>
        <v>43308.66667</v>
      </c>
      <c r="H180" s="9">
        <f>IFERROR(__xludf.DUMMYFUNCTION("""COMPUTED_VALUE"""),1271.0)</f>
        <v>1271</v>
      </c>
      <c r="I180" s="11">
        <f>IFERROR(__xludf.DUMMYFUNCTION("""COMPUTED_VALUE"""),43308.66666666667)</f>
        <v>43308.66667</v>
      </c>
      <c r="J180" s="9">
        <f>IFERROR(__xludf.DUMMYFUNCTION("""COMPUTED_VALUE"""),1238.5)</f>
        <v>1238.5</v>
      </c>
      <c r="L180" s="11">
        <f>IFERROR(__xludf.DUMMYFUNCTION("""COMPUTED_VALUE"""),43308.66666666667)</f>
        <v>43308.66667</v>
      </c>
      <c r="M180" s="9">
        <f>IFERROR(__xludf.DUMMYFUNCTION("""COMPUTED_VALUE"""),48.75)</f>
        <v>48.75</v>
      </c>
      <c r="N180" s="11">
        <f>IFERROR(__xludf.DUMMYFUNCTION("""COMPUTED_VALUE"""),43308.66666666667)</f>
        <v>43308.66667</v>
      </c>
      <c r="O180" s="9">
        <f>IFERROR(__xludf.DUMMYFUNCTION("""COMPUTED_VALUE"""),47.75)</f>
        <v>47.75</v>
      </c>
      <c r="Q180" s="11">
        <f>IFERROR(__xludf.DUMMYFUNCTION("""COMPUTED_VALUE"""),43308.66666666667)</f>
        <v>43308.66667</v>
      </c>
      <c r="R180" s="9">
        <f>IFERROR(__xludf.DUMMYFUNCTION("""COMPUTED_VALUE"""),179.87)</f>
        <v>179.87</v>
      </c>
      <c r="S180" s="11">
        <f>IFERROR(__xludf.DUMMYFUNCTION("""COMPUTED_VALUE"""),43308.66666666667)</f>
        <v>43308.66667</v>
      </c>
      <c r="T180" s="9">
        <f>IFERROR(__xludf.DUMMYFUNCTION("""COMPUTED_VALUE"""),174.89)</f>
        <v>174.89</v>
      </c>
      <c r="V180" s="11">
        <f>IFERROR(__xludf.DUMMYFUNCTION("""COMPUTED_VALUE"""),43308.66666666667)</f>
        <v>43308.66667</v>
      </c>
      <c r="W180" s="9">
        <f>IFERROR(__xludf.DUMMYFUNCTION("""COMPUTED_VALUE"""),366.85)</f>
        <v>366.85</v>
      </c>
      <c r="X180" s="11">
        <f>IFERROR(__xludf.DUMMYFUNCTION("""COMPUTED_VALUE"""),43308.66666666667)</f>
        <v>43308.66667</v>
      </c>
      <c r="Y180" s="9">
        <f>IFERROR(__xludf.DUMMYFUNCTION("""COMPUTED_VALUE"""),355.21)</f>
        <v>355.21</v>
      </c>
      <c r="AA180" s="11">
        <f>IFERROR(__xludf.DUMMYFUNCTION("""COMPUTED_VALUE"""),43308.66666666667)</f>
        <v>43308.66667</v>
      </c>
      <c r="AB180" s="9">
        <f>IFERROR(__xludf.DUMMYFUNCTION("""COMPUTED_VALUE"""),1876.05)</f>
        <v>1876.05</v>
      </c>
      <c r="AC180" s="11">
        <f>IFERROR(__xludf.DUMMYFUNCTION("""COMPUTED_VALUE"""),43308.66666666667)</f>
        <v>43308.66667</v>
      </c>
      <c r="AD180" s="9">
        <f>IFERROR(__xludf.DUMMYFUNCTION("""COMPUTED_VALUE"""),1817.27)</f>
        <v>1817.27</v>
      </c>
    </row>
    <row r="181">
      <c r="B181" s="11">
        <f>IFERROR(__xludf.DUMMYFUNCTION("""COMPUTED_VALUE"""),43311.66666666667)</f>
        <v>43311.66667</v>
      </c>
      <c r="C181" s="9">
        <f>IFERROR(__xludf.DUMMYFUNCTION("""COMPUTED_VALUE"""),59.18)</f>
        <v>59.18</v>
      </c>
      <c r="D181" s="11">
        <f>IFERROR(__xludf.DUMMYFUNCTION("""COMPUTED_VALUE"""),43311.66666666667)</f>
        <v>43311.66667</v>
      </c>
      <c r="E181" s="9">
        <f>IFERROR(__xludf.DUMMYFUNCTION("""COMPUTED_VALUE"""),58.03)</f>
        <v>58.03</v>
      </c>
      <c r="G181" s="11">
        <f>IFERROR(__xludf.DUMMYFUNCTION("""COMPUTED_VALUE"""),43311.66666666667)</f>
        <v>43311.66667</v>
      </c>
      <c r="H181" s="9">
        <f>IFERROR(__xludf.DUMMYFUNCTION("""COMPUTED_VALUE"""),1228.01)</f>
        <v>1228.01</v>
      </c>
      <c r="I181" s="11">
        <f>IFERROR(__xludf.DUMMYFUNCTION("""COMPUTED_VALUE"""),43311.66666666667)</f>
        <v>43311.66667</v>
      </c>
      <c r="J181" s="9">
        <f>IFERROR(__xludf.DUMMYFUNCTION("""COMPUTED_VALUE"""),1219.74)</f>
        <v>1219.74</v>
      </c>
      <c r="L181" s="11">
        <f>IFERROR(__xludf.DUMMYFUNCTION("""COMPUTED_VALUE"""),43311.66666666667)</f>
        <v>43311.66667</v>
      </c>
      <c r="M181" s="9">
        <f>IFERROR(__xludf.DUMMYFUNCTION("""COMPUTED_VALUE"""),47.98)</f>
        <v>47.98</v>
      </c>
      <c r="N181" s="11">
        <f>IFERROR(__xludf.DUMMYFUNCTION("""COMPUTED_VALUE"""),43311.66666666667)</f>
        <v>43311.66667</v>
      </c>
      <c r="O181" s="9">
        <f>IFERROR(__xludf.DUMMYFUNCTION("""COMPUTED_VALUE"""),47.48)</f>
        <v>47.48</v>
      </c>
      <c r="Q181" s="11">
        <f>IFERROR(__xludf.DUMMYFUNCTION("""COMPUTED_VALUE"""),43311.66666666667)</f>
        <v>43311.66667</v>
      </c>
      <c r="R181" s="9">
        <f>IFERROR(__xludf.DUMMYFUNCTION("""COMPUTED_VALUE"""),175.3)</f>
        <v>175.3</v>
      </c>
      <c r="S181" s="11">
        <f>IFERROR(__xludf.DUMMYFUNCTION("""COMPUTED_VALUE"""),43311.66666666667)</f>
        <v>43311.66667</v>
      </c>
      <c r="T181" s="9">
        <f>IFERROR(__xludf.DUMMYFUNCTION("""COMPUTED_VALUE"""),171.06)</f>
        <v>171.06</v>
      </c>
      <c r="V181" s="11">
        <f>IFERROR(__xludf.DUMMYFUNCTION("""COMPUTED_VALUE"""),43311.66666666667)</f>
        <v>43311.66667</v>
      </c>
      <c r="W181" s="9">
        <f>IFERROR(__xludf.DUMMYFUNCTION("""COMPUTED_VALUE"""),351.93)</f>
        <v>351.93</v>
      </c>
      <c r="X181" s="11">
        <f>IFERROR(__xludf.DUMMYFUNCTION("""COMPUTED_VALUE"""),43311.66666666667)</f>
        <v>43311.66667</v>
      </c>
      <c r="Y181" s="9">
        <f>IFERROR(__xludf.DUMMYFUNCTION("""COMPUTED_VALUE"""),334.96)</f>
        <v>334.96</v>
      </c>
      <c r="AA181" s="11">
        <f>IFERROR(__xludf.DUMMYFUNCTION("""COMPUTED_VALUE"""),43311.66666666667)</f>
        <v>43311.66667</v>
      </c>
      <c r="AB181" s="9">
        <f>IFERROR(__xludf.DUMMYFUNCTION("""COMPUTED_VALUE"""),1827.33)</f>
        <v>1827.33</v>
      </c>
      <c r="AC181" s="11">
        <f>IFERROR(__xludf.DUMMYFUNCTION("""COMPUTED_VALUE"""),43311.66666666667)</f>
        <v>43311.66667</v>
      </c>
      <c r="AD181" s="9">
        <f>IFERROR(__xludf.DUMMYFUNCTION("""COMPUTED_VALUE"""),1779.22)</f>
        <v>1779.22</v>
      </c>
    </row>
    <row r="182">
      <c r="B182" s="11">
        <f>IFERROR(__xludf.DUMMYFUNCTION("""COMPUTED_VALUE"""),43312.66666666667)</f>
        <v>43312.66667</v>
      </c>
      <c r="C182" s="9">
        <f>IFERROR(__xludf.DUMMYFUNCTION("""COMPUTED_VALUE"""),58.45)</f>
        <v>58.45</v>
      </c>
      <c r="D182" s="11">
        <f>IFERROR(__xludf.DUMMYFUNCTION("""COMPUTED_VALUE"""),43312.66666666667)</f>
        <v>43312.66667</v>
      </c>
      <c r="E182" s="9">
        <f>IFERROR(__xludf.DUMMYFUNCTION("""COMPUTED_VALUE"""),59.63)</f>
        <v>59.63</v>
      </c>
      <c r="G182" s="11">
        <f>IFERROR(__xludf.DUMMYFUNCTION("""COMPUTED_VALUE"""),43312.66666666667)</f>
        <v>43312.66667</v>
      </c>
      <c r="H182" s="9">
        <f>IFERROR(__xludf.DUMMYFUNCTION("""COMPUTED_VALUE"""),1220.01)</f>
        <v>1220.01</v>
      </c>
      <c r="I182" s="11">
        <f>IFERROR(__xludf.DUMMYFUNCTION("""COMPUTED_VALUE"""),43312.66666666667)</f>
        <v>43312.66667</v>
      </c>
      <c r="J182" s="9">
        <f>IFERROR(__xludf.DUMMYFUNCTION("""COMPUTED_VALUE"""),1217.26)</f>
        <v>1217.26</v>
      </c>
      <c r="L182" s="11">
        <f>IFERROR(__xludf.DUMMYFUNCTION("""COMPUTED_VALUE"""),43312.66666666667)</f>
        <v>43312.66667</v>
      </c>
      <c r="M182" s="9">
        <f>IFERROR(__xludf.DUMMYFUNCTION("""COMPUTED_VALUE"""),47.58)</f>
        <v>47.58</v>
      </c>
      <c r="N182" s="11">
        <f>IFERROR(__xludf.DUMMYFUNCTION("""COMPUTED_VALUE"""),43312.66666666667)</f>
        <v>43312.66667</v>
      </c>
      <c r="O182" s="9">
        <f>IFERROR(__xludf.DUMMYFUNCTION("""COMPUTED_VALUE"""),47.57)</f>
        <v>47.57</v>
      </c>
      <c r="Q182" s="11">
        <f>IFERROR(__xludf.DUMMYFUNCTION("""COMPUTED_VALUE"""),43312.66666666667)</f>
        <v>43312.66667</v>
      </c>
      <c r="R182" s="9">
        <f>IFERROR(__xludf.DUMMYFUNCTION("""COMPUTED_VALUE"""),170.67)</f>
        <v>170.67</v>
      </c>
      <c r="S182" s="11">
        <f>IFERROR(__xludf.DUMMYFUNCTION("""COMPUTED_VALUE"""),43312.66666666667)</f>
        <v>43312.66667</v>
      </c>
      <c r="T182" s="9">
        <f>IFERROR(__xludf.DUMMYFUNCTION("""COMPUTED_VALUE"""),172.58)</f>
        <v>172.58</v>
      </c>
      <c r="V182" s="11">
        <f>IFERROR(__xludf.DUMMYFUNCTION("""COMPUTED_VALUE"""),43312.66666666667)</f>
        <v>43312.66667</v>
      </c>
      <c r="W182" s="9">
        <f>IFERROR(__xludf.DUMMYFUNCTION("""COMPUTED_VALUE"""),331.51)</f>
        <v>331.51</v>
      </c>
      <c r="X182" s="11">
        <f>IFERROR(__xludf.DUMMYFUNCTION("""COMPUTED_VALUE"""),43312.66666666667)</f>
        <v>43312.66667</v>
      </c>
      <c r="Y182" s="9">
        <f>IFERROR(__xludf.DUMMYFUNCTION("""COMPUTED_VALUE"""),337.45)</f>
        <v>337.45</v>
      </c>
      <c r="AA182" s="11">
        <f>IFERROR(__xludf.DUMMYFUNCTION("""COMPUTED_VALUE"""),43312.66666666667)</f>
        <v>43312.66667</v>
      </c>
      <c r="AB182" s="9">
        <f>IFERROR(__xludf.DUMMYFUNCTION("""COMPUTED_VALUE"""),1786.49)</f>
        <v>1786.49</v>
      </c>
      <c r="AC182" s="11">
        <f>IFERROR(__xludf.DUMMYFUNCTION("""COMPUTED_VALUE"""),43312.66666666667)</f>
        <v>43312.66667</v>
      </c>
      <c r="AD182" s="9">
        <f>IFERROR(__xludf.DUMMYFUNCTION("""COMPUTED_VALUE"""),1777.44)</f>
        <v>1777.44</v>
      </c>
    </row>
    <row r="183">
      <c r="B183" s="11">
        <f>IFERROR(__xludf.DUMMYFUNCTION("""COMPUTED_VALUE"""),43313.66666666667)</f>
        <v>43313.66667</v>
      </c>
      <c r="C183" s="9">
        <f>IFERROR(__xludf.DUMMYFUNCTION("""COMPUTED_VALUE"""),59.6)</f>
        <v>59.6</v>
      </c>
      <c r="D183" s="11">
        <f>IFERROR(__xludf.DUMMYFUNCTION("""COMPUTED_VALUE"""),43313.66666666667)</f>
        <v>43313.66667</v>
      </c>
      <c r="E183" s="9">
        <f>IFERROR(__xludf.DUMMYFUNCTION("""COMPUTED_VALUE"""),60.17)</f>
        <v>60.17</v>
      </c>
      <c r="G183" s="11">
        <f>IFERROR(__xludf.DUMMYFUNCTION("""COMPUTED_VALUE"""),43313.66666666667)</f>
        <v>43313.66667</v>
      </c>
      <c r="H183" s="9">
        <f>IFERROR(__xludf.DUMMYFUNCTION("""COMPUTED_VALUE"""),1228.0)</f>
        <v>1228</v>
      </c>
      <c r="I183" s="11">
        <f>IFERROR(__xludf.DUMMYFUNCTION("""COMPUTED_VALUE"""),43313.66666666667)</f>
        <v>43313.66667</v>
      </c>
      <c r="J183" s="9">
        <f>IFERROR(__xludf.DUMMYFUNCTION("""COMPUTED_VALUE"""),1220.01)</f>
        <v>1220.01</v>
      </c>
      <c r="L183" s="11">
        <f>IFERROR(__xludf.DUMMYFUNCTION("""COMPUTED_VALUE"""),43313.66666666667)</f>
        <v>43313.66667</v>
      </c>
      <c r="M183" s="9">
        <f>IFERROR(__xludf.DUMMYFUNCTION("""COMPUTED_VALUE"""),49.78)</f>
        <v>49.78</v>
      </c>
      <c r="N183" s="11">
        <f>IFERROR(__xludf.DUMMYFUNCTION("""COMPUTED_VALUE"""),43313.66666666667)</f>
        <v>43313.66667</v>
      </c>
      <c r="O183" s="9">
        <f>IFERROR(__xludf.DUMMYFUNCTION("""COMPUTED_VALUE"""),50.38)</f>
        <v>50.38</v>
      </c>
      <c r="Q183" s="11">
        <f>IFERROR(__xludf.DUMMYFUNCTION("""COMPUTED_VALUE"""),43313.66666666667)</f>
        <v>43313.66667</v>
      </c>
      <c r="R183" s="9">
        <f>IFERROR(__xludf.DUMMYFUNCTION("""COMPUTED_VALUE"""),173.93)</f>
        <v>173.93</v>
      </c>
      <c r="S183" s="11">
        <f>IFERROR(__xludf.DUMMYFUNCTION("""COMPUTED_VALUE"""),43313.66666666667)</f>
        <v>43313.66667</v>
      </c>
      <c r="T183" s="9">
        <f>IFERROR(__xludf.DUMMYFUNCTION("""COMPUTED_VALUE"""),171.65)</f>
        <v>171.65</v>
      </c>
      <c r="V183" s="11">
        <f>IFERROR(__xludf.DUMMYFUNCTION("""COMPUTED_VALUE"""),43313.66666666667)</f>
        <v>43313.66667</v>
      </c>
      <c r="W183" s="9">
        <f>IFERROR(__xludf.DUMMYFUNCTION("""COMPUTED_VALUE"""),335.87)</f>
        <v>335.87</v>
      </c>
      <c r="X183" s="11">
        <f>IFERROR(__xludf.DUMMYFUNCTION("""COMPUTED_VALUE"""),43313.66666666667)</f>
        <v>43313.66667</v>
      </c>
      <c r="Y183" s="9">
        <f>IFERROR(__xludf.DUMMYFUNCTION("""COMPUTED_VALUE"""),338.38)</f>
        <v>338.38</v>
      </c>
      <c r="AA183" s="11">
        <f>IFERROR(__xludf.DUMMYFUNCTION("""COMPUTED_VALUE"""),43313.66666666667)</f>
        <v>43313.66667</v>
      </c>
      <c r="AB183" s="9">
        <f>IFERROR(__xludf.DUMMYFUNCTION("""COMPUTED_VALUE"""),1784.0)</f>
        <v>1784</v>
      </c>
      <c r="AC183" s="11">
        <f>IFERROR(__xludf.DUMMYFUNCTION("""COMPUTED_VALUE"""),43313.66666666667)</f>
        <v>43313.66667</v>
      </c>
      <c r="AD183" s="9">
        <f>IFERROR(__xludf.DUMMYFUNCTION("""COMPUTED_VALUE"""),1797.17)</f>
        <v>1797.17</v>
      </c>
    </row>
    <row r="184">
      <c r="B184" s="11">
        <f>IFERROR(__xludf.DUMMYFUNCTION("""COMPUTED_VALUE"""),43314.66666666667)</f>
        <v>43314.66667</v>
      </c>
      <c r="C184" s="9">
        <f>IFERROR(__xludf.DUMMYFUNCTION("""COMPUTED_VALUE"""),65.69)</f>
        <v>65.69</v>
      </c>
      <c r="D184" s="11">
        <f>IFERROR(__xludf.DUMMYFUNCTION("""COMPUTED_VALUE"""),43314.66666666667)</f>
        <v>43314.66667</v>
      </c>
      <c r="E184" s="9">
        <f>IFERROR(__xludf.DUMMYFUNCTION("""COMPUTED_VALUE"""),69.91)</f>
        <v>69.91</v>
      </c>
      <c r="G184" s="11">
        <f>IFERROR(__xludf.DUMMYFUNCTION("""COMPUTED_VALUE"""),43314.66666666667)</f>
        <v>43314.66667</v>
      </c>
      <c r="H184" s="9">
        <f>IFERROR(__xludf.DUMMYFUNCTION("""COMPUTED_VALUE"""),1205.9)</f>
        <v>1205.9</v>
      </c>
      <c r="I184" s="11">
        <f>IFERROR(__xludf.DUMMYFUNCTION("""COMPUTED_VALUE"""),43314.66666666667)</f>
        <v>43314.66667</v>
      </c>
      <c r="J184" s="9">
        <f>IFERROR(__xludf.DUMMYFUNCTION("""COMPUTED_VALUE"""),1226.15)</f>
        <v>1226.15</v>
      </c>
      <c r="L184" s="11">
        <f>IFERROR(__xludf.DUMMYFUNCTION("""COMPUTED_VALUE"""),43314.66666666667)</f>
        <v>43314.66667</v>
      </c>
      <c r="M184" s="9">
        <f>IFERROR(__xludf.DUMMYFUNCTION("""COMPUTED_VALUE"""),50.15)</f>
        <v>50.15</v>
      </c>
      <c r="N184" s="11">
        <f>IFERROR(__xludf.DUMMYFUNCTION("""COMPUTED_VALUE"""),43314.66666666667)</f>
        <v>43314.66667</v>
      </c>
      <c r="O184" s="9">
        <f>IFERROR(__xludf.DUMMYFUNCTION("""COMPUTED_VALUE"""),51.85)</f>
        <v>51.85</v>
      </c>
      <c r="Q184" s="11">
        <f>IFERROR(__xludf.DUMMYFUNCTION("""COMPUTED_VALUE"""),43314.66666666667)</f>
        <v>43314.66667</v>
      </c>
      <c r="R184" s="9">
        <f>IFERROR(__xludf.DUMMYFUNCTION("""COMPUTED_VALUE"""),170.68)</f>
        <v>170.68</v>
      </c>
      <c r="S184" s="11">
        <f>IFERROR(__xludf.DUMMYFUNCTION("""COMPUTED_VALUE"""),43314.66666666667)</f>
        <v>43314.66667</v>
      </c>
      <c r="T184" s="9">
        <f>IFERROR(__xludf.DUMMYFUNCTION("""COMPUTED_VALUE"""),176.37)</f>
        <v>176.37</v>
      </c>
      <c r="V184" s="11">
        <f>IFERROR(__xludf.DUMMYFUNCTION("""COMPUTED_VALUE"""),43314.66666666667)</f>
        <v>43314.66667</v>
      </c>
      <c r="W184" s="9">
        <f>IFERROR(__xludf.DUMMYFUNCTION("""COMPUTED_VALUE"""),337.23)</f>
        <v>337.23</v>
      </c>
      <c r="X184" s="11">
        <f>IFERROR(__xludf.DUMMYFUNCTION("""COMPUTED_VALUE"""),43314.66666666667)</f>
        <v>43314.66667</v>
      </c>
      <c r="Y184" s="9">
        <f>IFERROR(__xludf.DUMMYFUNCTION("""COMPUTED_VALUE"""),344.5)</f>
        <v>344.5</v>
      </c>
      <c r="AA184" s="11">
        <f>IFERROR(__xludf.DUMMYFUNCTION("""COMPUTED_VALUE"""),43314.66666666667)</f>
        <v>43314.66667</v>
      </c>
      <c r="AB184" s="9">
        <f>IFERROR(__xludf.DUMMYFUNCTION("""COMPUTED_VALUE"""),1788.77)</f>
        <v>1788.77</v>
      </c>
      <c r="AC184" s="11">
        <f>IFERROR(__xludf.DUMMYFUNCTION("""COMPUTED_VALUE"""),43314.66666666667)</f>
        <v>43314.66667</v>
      </c>
      <c r="AD184" s="9">
        <f>IFERROR(__xludf.DUMMYFUNCTION("""COMPUTED_VALUE"""),1834.33)</f>
        <v>1834.33</v>
      </c>
    </row>
    <row r="185">
      <c r="B185" s="11">
        <f>IFERROR(__xludf.DUMMYFUNCTION("""COMPUTED_VALUE"""),43315.66666666667)</f>
        <v>43315.66667</v>
      </c>
      <c r="C185" s="9">
        <f>IFERROR(__xludf.DUMMYFUNCTION("""COMPUTED_VALUE"""),69.56)</f>
        <v>69.56</v>
      </c>
      <c r="D185" s="11">
        <f>IFERROR(__xludf.DUMMYFUNCTION("""COMPUTED_VALUE"""),43315.66666666667)</f>
        <v>43315.66667</v>
      </c>
      <c r="E185" s="9">
        <f>IFERROR(__xludf.DUMMYFUNCTION("""COMPUTED_VALUE"""),69.63)</f>
        <v>69.63</v>
      </c>
      <c r="G185" s="11">
        <f>IFERROR(__xludf.DUMMYFUNCTION("""COMPUTED_VALUE"""),43315.66666666667)</f>
        <v>43315.66667</v>
      </c>
      <c r="H185" s="9">
        <f>IFERROR(__xludf.DUMMYFUNCTION("""COMPUTED_VALUE"""),1229.62)</f>
        <v>1229.62</v>
      </c>
      <c r="I185" s="11">
        <f>IFERROR(__xludf.DUMMYFUNCTION("""COMPUTED_VALUE"""),43315.66666666667)</f>
        <v>43315.66667</v>
      </c>
      <c r="J185" s="9">
        <f>IFERROR(__xludf.DUMMYFUNCTION("""COMPUTED_VALUE"""),1223.71)</f>
        <v>1223.71</v>
      </c>
      <c r="L185" s="11">
        <f>IFERROR(__xludf.DUMMYFUNCTION("""COMPUTED_VALUE"""),43315.66666666667)</f>
        <v>43315.66667</v>
      </c>
      <c r="M185" s="9">
        <f>IFERROR(__xludf.DUMMYFUNCTION("""COMPUTED_VALUE"""),51.76)</f>
        <v>51.76</v>
      </c>
      <c r="N185" s="11">
        <f>IFERROR(__xludf.DUMMYFUNCTION("""COMPUTED_VALUE"""),43315.66666666667)</f>
        <v>43315.66667</v>
      </c>
      <c r="O185" s="9">
        <f>IFERROR(__xludf.DUMMYFUNCTION("""COMPUTED_VALUE"""),52.0)</f>
        <v>52</v>
      </c>
      <c r="Q185" s="11">
        <f>IFERROR(__xludf.DUMMYFUNCTION("""COMPUTED_VALUE"""),43315.66666666667)</f>
        <v>43315.66667</v>
      </c>
      <c r="R185" s="9">
        <f>IFERROR(__xludf.DUMMYFUNCTION("""COMPUTED_VALUE"""),177.69)</f>
        <v>177.69</v>
      </c>
      <c r="S185" s="11">
        <f>IFERROR(__xludf.DUMMYFUNCTION("""COMPUTED_VALUE"""),43315.66666666667)</f>
        <v>43315.66667</v>
      </c>
      <c r="T185" s="9">
        <f>IFERROR(__xludf.DUMMYFUNCTION("""COMPUTED_VALUE"""),177.78)</f>
        <v>177.78</v>
      </c>
      <c r="V185" s="11">
        <f>IFERROR(__xludf.DUMMYFUNCTION("""COMPUTED_VALUE"""),43315.66666666667)</f>
        <v>43315.66667</v>
      </c>
      <c r="W185" s="9">
        <f>IFERROR(__xludf.DUMMYFUNCTION("""COMPUTED_VALUE"""),347.75)</f>
        <v>347.75</v>
      </c>
      <c r="X185" s="11">
        <f>IFERROR(__xludf.DUMMYFUNCTION("""COMPUTED_VALUE"""),43315.66666666667)</f>
        <v>43315.66667</v>
      </c>
      <c r="Y185" s="9">
        <f>IFERROR(__xludf.DUMMYFUNCTION("""COMPUTED_VALUE"""),343.09)</f>
        <v>343.09</v>
      </c>
      <c r="AA185" s="11">
        <f>IFERROR(__xludf.DUMMYFUNCTION("""COMPUTED_VALUE"""),43315.66666666667)</f>
        <v>43315.66667</v>
      </c>
      <c r="AB185" s="9">
        <f>IFERROR(__xludf.DUMMYFUNCTION("""COMPUTED_VALUE"""),1837.74)</f>
        <v>1837.74</v>
      </c>
      <c r="AC185" s="11">
        <f>IFERROR(__xludf.DUMMYFUNCTION("""COMPUTED_VALUE"""),43315.66666666667)</f>
        <v>43315.66667</v>
      </c>
      <c r="AD185" s="9">
        <f>IFERROR(__xludf.DUMMYFUNCTION("""COMPUTED_VALUE"""),1823.29)</f>
        <v>1823.29</v>
      </c>
    </row>
    <row r="186">
      <c r="B186" s="11">
        <f>IFERROR(__xludf.DUMMYFUNCTION("""COMPUTED_VALUE"""),43318.66666666667)</f>
        <v>43318.66667</v>
      </c>
      <c r="C186" s="9">
        <f>IFERROR(__xludf.DUMMYFUNCTION("""COMPUTED_VALUE"""),69.09)</f>
        <v>69.09</v>
      </c>
      <c r="D186" s="11">
        <f>IFERROR(__xludf.DUMMYFUNCTION("""COMPUTED_VALUE"""),43318.66666666667)</f>
        <v>43318.66667</v>
      </c>
      <c r="E186" s="9">
        <f>IFERROR(__xludf.DUMMYFUNCTION("""COMPUTED_VALUE"""),68.4)</f>
        <v>68.4</v>
      </c>
      <c r="G186" s="11">
        <f>IFERROR(__xludf.DUMMYFUNCTION("""COMPUTED_VALUE"""),43318.66666666667)</f>
        <v>43318.66667</v>
      </c>
      <c r="H186" s="9">
        <f>IFERROR(__xludf.DUMMYFUNCTION("""COMPUTED_VALUE"""),1225.0)</f>
        <v>1225</v>
      </c>
      <c r="I186" s="11">
        <f>IFERROR(__xludf.DUMMYFUNCTION("""COMPUTED_VALUE"""),43318.66666666667)</f>
        <v>43318.66667</v>
      </c>
      <c r="J186" s="9">
        <f>IFERROR(__xludf.DUMMYFUNCTION("""COMPUTED_VALUE"""),1224.77)</f>
        <v>1224.77</v>
      </c>
      <c r="L186" s="11">
        <f>IFERROR(__xludf.DUMMYFUNCTION("""COMPUTED_VALUE"""),43318.66666666667)</f>
        <v>43318.66667</v>
      </c>
      <c r="M186" s="9">
        <f>IFERROR(__xludf.DUMMYFUNCTION("""COMPUTED_VALUE"""),52.0)</f>
        <v>52</v>
      </c>
      <c r="N186" s="11">
        <f>IFERROR(__xludf.DUMMYFUNCTION("""COMPUTED_VALUE"""),43318.66666666667)</f>
        <v>43318.66667</v>
      </c>
      <c r="O186" s="9">
        <f>IFERROR(__xludf.DUMMYFUNCTION("""COMPUTED_VALUE"""),52.27)</f>
        <v>52.27</v>
      </c>
      <c r="Q186" s="11">
        <f>IFERROR(__xludf.DUMMYFUNCTION("""COMPUTED_VALUE"""),43318.66666666667)</f>
        <v>43318.66667</v>
      </c>
      <c r="R186" s="9">
        <f>IFERROR(__xludf.DUMMYFUNCTION("""COMPUTED_VALUE"""),178.97)</f>
        <v>178.97</v>
      </c>
      <c r="S186" s="11">
        <f>IFERROR(__xludf.DUMMYFUNCTION("""COMPUTED_VALUE"""),43318.66666666667)</f>
        <v>43318.66667</v>
      </c>
      <c r="T186" s="9">
        <f>IFERROR(__xludf.DUMMYFUNCTION("""COMPUTED_VALUE"""),185.69)</f>
        <v>185.69</v>
      </c>
      <c r="V186" s="11">
        <f>IFERROR(__xludf.DUMMYFUNCTION("""COMPUTED_VALUE"""),43318.66666666667)</f>
        <v>43318.66667</v>
      </c>
      <c r="W186" s="9">
        <f>IFERROR(__xludf.DUMMYFUNCTION("""COMPUTED_VALUE"""),342.87)</f>
        <v>342.87</v>
      </c>
      <c r="X186" s="11">
        <f>IFERROR(__xludf.DUMMYFUNCTION("""COMPUTED_VALUE"""),43318.66666666667)</f>
        <v>43318.66667</v>
      </c>
      <c r="Y186" s="9">
        <f>IFERROR(__xludf.DUMMYFUNCTION("""COMPUTED_VALUE"""),350.92)</f>
        <v>350.92</v>
      </c>
      <c r="AA186" s="11">
        <f>IFERROR(__xludf.DUMMYFUNCTION("""COMPUTED_VALUE"""),43318.66666666667)</f>
        <v>43318.66667</v>
      </c>
      <c r="AB186" s="9">
        <f>IFERROR(__xludf.DUMMYFUNCTION("""COMPUTED_VALUE"""),1825.81)</f>
        <v>1825.81</v>
      </c>
      <c r="AC186" s="11">
        <f>IFERROR(__xludf.DUMMYFUNCTION("""COMPUTED_VALUE"""),43318.66666666667)</f>
        <v>43318.66667</v>
      </c>
      <c r="AD186" s="9">
        <f>IFERROR(__xludf.DUMMYFUNCTION("""COMPUTED_VALUE"""),1847.75)</f>
        <v>1847.75</v>
      </c>
    </row>
    <row r="187">
      <c r="B187" s="11">
        <f>IFERROR(__xludf.DUMMYFUNCTION("""COMPUTED_VALUE"""),43319.66666666667)</f>
        <v>43319.66667</v>
      </c>
      <c r="C187" s="9">
        <f>IFERROR(__xludf.DUMMYFUNCTION("""COMPUTED_VALUE"""),68.77)</f>
        <v>68.77</v>
      </c>
      <c r="D187" s="11">
        <f>IFERROR(__xludf.DUMMYFUNCTION("""COMPUTED_VALUE"""),43319.66666666667)</f>
        <v>43319.66667</v>
      </c>
      <c r="E187" s="9">
        <f>IFERROR(__xludf.DUMMYFUNCTION("""COMPUTED_VALUE"""),75.91)</f>
        <v>75.91</v>
      </c>
      <c r="G187" s="11">
        <f>IFERROR(__xludf.DUMMYFUNCTION("""COMPUTED_VALUE"""),43319.66666666667)</f>
        <v>43319.66667</v>
      </c>
      <c r="H187" s="9">
        <f>IFERROR(__xludf.DUMMYFUNCTION("""COMPUTED_VALUE"""),1237.0)</f>
        <v>1237</v>
      </c>
      <c r="I187" s="11">
        <f>IFERROR(__xludf.DUMMYFUNCTION("""COMPUTED_VALUE"""),43319.66666666667)</f>
        <v>43319.66667</v>
      </c>
      <c r="J187" s="9">
        <f>IFERROR(__xludf.DUMMYFUNCTION("""COMPUTED_VALUE"""),1242.22)</f>
        <v>1242.22</v>
      </c>
      <c r="L187" s="11">
        <f>IFERROR(__xludf.DUMMYFUNCTION("""COMPUTED_VALUE"""),43319.66666666667)</f>
        <v>43319.66667</v>
      </c>
      <c r="M187" s="9">
        <f>IFERROR(__xludf.DUMMYFUNCTION("""COMPUTED_VALUE"""),52.33)</f>
        <v>52.33</v>
      </c>
      <c r="N187" s="11">
        <f>IFERROR(__xludf.DUMMYFUNCTION("""COMPUTED_VALUE"""),43319.66666666667)</f>
        <v>43319.66667</v>
      </c>
      <c r="O187" s="9">
        <f>IFERROR(__xludf.DUMMYFUNCTION("""COMPUTED_VALUE"""),51.78)</f>
        <v>51.78</v>
      </c>
      <c r="Q187" s="11">
        <f>IFERROR(__xludf.DUMMYFUNCTION("""COMPUTED_VALUE"""),43319.66666666667)</f>
        <v>43319.66667</v>
      </c>
      <c r="R187" s="9">
        <f>IFERROR(__xludf.DUMMYFUNCTION("""COMPUTED_VALUE"""),186.5)</f>
        <v>186.5</v>
      </c>
      <c r="S187" s="11">
        <f>IFERROR(__xludf.DUMMYFUNCTION("""COMPUTED_VALUE"""),43319.66666666667)</f>
        <v>43319.66667</v>
      </c>
      <c r="T187" s="9">
        <f>IFERROR(__xludf.DUMMYFUNCTION("""COMPUTED_VALUE"""),183.81)</f>
        <v>183.81</v>
      </c>
      <c r="V187" s="11">
        <f>IFERROR(__xludf.DUMMYFUNCTION("""COMPUTED_VALUE"""),43319.66666666667)</f>
        <v>43319.66667</v>
      </c>
      <c r="W187" s="9">
        <f>IFERROR(__xludf.DUMMYFUNCTION("""COMPUTED_VALUE"""),353.23)</f>
        <v>353.23</v>
      </c>
      <c r="X187" s="11">
        <f>IFERROR(__xludf.DUMMYFUNCTION("""COMPUTED_VALUE"""),43319.66666666667)</f>
        <v>43319.66667</v>
      </c>
      <c r="Y187" s="9">
        <f>IFERROR(__xludf.DUMMYFUNCTION("""COMPUTED_VALUE"""),351.83)</f>
        <v>351.83</v>
      </c>
      <c r="AA187" s="11">
        <f>IFERROR(__xludf.DUMMYFUNCTION("""COMPUTED_VALUE"""),43319.66666666667)</f>
        <v>43319.66667</v>
      </c>
      <c r="AB187" s="9">
        <f>IFERROR(__xludf.DUMMYFUNCTION("""COMPUTED_VALUE"""),1854.53)</f>
        <v>1854.53</v>
      </c>
      <c r="AC187" s="11">
        <f>IFERROR(__xludf.DUMMYFUNCTION("""COMPUTED_VALUE"""),43319.66666666667)</f>
        <v>43319.66667</v>
      </c>
      <c r="AD187" s="9">
        <f>IFERROR(__xludf.DUMMYFUNCTION("""COMPUTED_VALUE"""),1862.48)</f>
        <v>1862.48</v>
      </c>
    </row>
    <row r="188">
      <c r="B188" s="11">
        <f>IFERROR(__xludf.DUMMYFUNCTION("""COMPUTED_VALUE"""),43320.66666666667)</f>
        <v>43320.66667</v>
      </c>
      <c r="C188" s="9">
        <f>IFERROR(__xludf.DUMMYFUNCTION("""COMPUTED_VALUE"""),73.82)</f>
        <v>73.82</v>
      </c>
      <c r="D188" s="11">
        <f>IFERROR(__xludf.DUMMYFUNCTION("""COMPUTED_VALUE"""),43320.66666666667)</f>
        <v>43320.66667</v>
      </c>
      <c r="E188" s="9">
        <f>IFERROR(__xludf.DUMMYFUNCTION("""COMPUTED_VALUE"""),74.07)</f>
        <v>74.07</v>
      </c>
      <c r="G188" s="11">
        <f>IFERROR(__xludf.DUMMYFUNCTION("""COMPUTED_VALUE"""),43320.66666666667)</f>
        <v>43320.66667</v>
      </c>
      <c r="H188" s="9">
        <f>IFERROR(__xludf.DUMMYFUNCTION("""COMPUTED_VALUE"""),1240.47)</f>
        <v>1240.47</v>
      </c>
      <c r="I188" s="11">
        <f>IFERROR(__xludf.DUMMYFUNCTION("""COMPUTED_VALUE"""),43320.66666666667)</f>
        <v>43320.66667</v>
      </c>
      <c r="J188" s="9">
        <f>IFERROR(__xludf.DUMMYFUNCTION("""COMPUTED_VALUE"""),1245.61)</f>
        <v>1245.61</v>
      </c>
      <c r="L188" s="11">
        <f>IFERROR(__xludf.DUMMYFUNCTION("""COMPUTED_VALUE"""),43320.66666666667)</f>
        <v>43320.66667</v>
      </c>
      <c r="M188" s="9">
        <f>IFERROR(__xludf.DUMMYFUNCTION("""COMPUTED_VALUE"""),51.51)</f>
        <v>51.51</v>
      </c>
      <c r="N188" s="11">
        <f>IFERROR(__xludf.DUMMYFUNCTION("""COMPUTED_VALUE"""),43320.66666666667)</f>
        <v>43320.66667</v>
      </c>
      <c r="O188" s="9">
        <f>IFERROR(__xludf.DUMMYFUNCTION("""COMPUTED_VALUE"""),51.81)</f>
        <v>51.81</v>
      </c>
      <c r="Q188" s="11">
        <f>IFERROR(__xludf.DUMMYFUNCTION("""COMPUTED_VALUE"""),43320.66666666667)</f>
        <v>43320.66667</v>
      </c>
      <c r="R188" s="9">
        <f>IFERROR(__xludf.DUMMYFUNCTION("""COMPUTED_VALUE"""),184.75)</f>
        <v>184.75</v>
      </c>
      <c r="S188" s="11">
        <f>IFERROR(__xludf.DUMMYFUNCTION("""COMPUTED_VALUE"""),43320.66666666667)</f>
        <v>43320.66667</v>
      </c>
      <c r="T188" s="9">
        <f>IFERROR(__xludf.DUMMYFUNCTION("""COMPUTED_VALUE"""),185.18)</f>
        <v>185.18</v>
      </c>
      <c r="V188" s="11">
        <f>IFERROR(__xludf.DUMMYFUNCTION("""COMPUTED_VALUE"""),43320.66666666667)</f>
        <v>43320.66667</v>
      </c>
      <c r="W188" s="9">
        <f>IFERROR(__xludf.DUMMYFUNCTION("""COMPUTED_VALUE"""),352.21)</f>
        <v>352.21</v>
      </c>
      <c r="X188" s="11">
        <f>IFERROR(__xludf.DUMMYFUNCTION("""COMPUTED_VALUE"""),43320.66666666667)</f>
        <v>43320.66667</v>
      </c>
      <c r="Y188" s="9">
        <f>IFERROR(__xludf.DUMMYFUNCTION("""COMPUTED_VALUE"""),347.61)</f>
        <v>347.61</v>
      </c>
      <c r="AA188" s="11">
        <f>IFERROR(__xludf.DUMMYFUNCTION("""COMPUTED_VALUE"""),43320.66666666667)</f>
        <v>43320.66667</v>
      </c>
      <c r="AB188" s="9">
        <f>IFERROR(__xludf.DUMMYFUNCTION("""COMPUTED_VALUE"""),1861.0)</f>
        <v>1861</v>
      </c>
      <c r="AC188" s="11">
        <f>IFERROR(__xludf.DUMMYFUNCTION("""COMPUTED_VALUE"""),43320.66666666667)</f>
        <v>43320.66667</v>
      </c>
      <c r="AD188" s="9">
        <f>IFERROR(__xludf.DUMMYFUNCTION("""COMPUTED_VALUE"""),1886.52)</f>
        <v>1886.52</v>
      </c>
    </row>
    <row r="189">
      <c r="B189" s="11">
        <f>IFERROR(__xludf.DUMMYFUNCTION("""COMPUTED_VALUE"""),43321.66666666667)</f>
        <v>43321.66667</v>
      </c>
      <c r="C189" s="9">
        <f>IFERROR(__xludf.DUMMYFUNCTION("""COMPUTED_VALUE"""),73.11)</f>
        <v>73.11</v>
      </c>
      <c r="D189" s="11">
        <f>IFERROR(__xludf.DUMMYFUNCTION("""COMPUTED_VALUE"""),43321.66666666667)</f>
        <v>43321.66667</v>
      </c>
      <c r="E189" s="9">
        <f>IFERROR(__xludf.DUMMYFUNCTION("""COMPUTED_VALUE"""),70.49)</f>
        <v>70.49</v>
      </c>
      <c r="G189" s="11">
        <f>IFERROR(__xludf.DUMMYFUNCTION("""COMPUTED_VALUE"""),43321.66666666667)</f>
        <v>43321.66667</v>
      </c>
      <c r="H189" s="9">
        <f>IFERROR(__xludf.DUMMYFUNCTION("""COMPUTED_VALUE"""),1249.9)</f>
        <v>1249.9</v>
      </c>
      <c r="I189" s="11">
        <f>IFERROR(__xludf.DUMMYFUNCTION("""COMPUTED_VALUE"""),43321.66666666667)</f>
        <v>43321.66667</v>
      </c>
      <c r="J189" s="9">
        <f>IFERROR(__xludf.DUMMYFUNCTION("""COMPUTED_VALUE"""),1249.1)</f>
        <v>1249.1</v>
      </c>
      <c r="L189" s="11">
        <f>IFERROR(__xludf.DUMMYFUNCTION("""COMPUTED_VALUE"""),43321.66666666667)</f>
        <v>43321.66667</v>
      </c>
      <c r="M189" s="9">
        <f>IFERROR(__xludf.DUMMYFUNCTION("""COMPUTED_VALUE"""),51.82)</f>
        <v>51.82</v>
      </c>
      <c r="N189" s="11">
        <f>IFERROR(__xludf.DUMMYFUNCTION("""COMPUTED_VALUE"""),43321.66666666667)</f>
        <v>43321.66667</v>
      </c>
      <c r="O189" s="9">
        <f>IFERROR(__xludf.DUMMYFUNCTION("""COMPUTED_VALUE"""),52.22)</f>
        <v>52.22</v>
      </c>
      <c r="Q189" s="11">
        <f>IFERROR(__xludf.DUMMYFUNCTION("""COMPUTED_VALUE"""),43321.66666666667)</f>
        <v>43321.66667</v>
      </c>
      <c r="R189" s="9">
        <f>IFERROR(__xludf.DUMMYFUNCTION("""COMPUTED_VALUE"""),185.85)</f>
        <v>185.85</v>
      </c>
      <c r="S189" s="11">
        <f>IFERROR(__xludf.DUMMYFUNCTION("""COMPUTED_VALUE"""),43321.66666666667)</f>
        <v>43321.66667</v>
      </c>
      <c r="T189" s="9">
        <f>IFERROR(__xludf.DUMMYFUNCTION("""COMPUTED_VALUE"""),183.09)</f>
        <v>183.09</v>
      </c>
      <c r="V189" s="11">
        <f>IFERROR(__xludf.DUMMYFUNCTION("""COMPUTED_VALUE"""),43321.66666666667)</f>
        <v>43321.66667</v>
      </c>
      <c r="W189" s="9">
        <f>IFERROR(__xludf.DUMMYFUNCTION("""COMPUTED_VALUE"""),347.96)</f>
        <v>347.96</v>
      </c>
      <c r="X189" s="11">
        <f>IFERROR(__xludf.DUMMYFUNCTION("""COMPUTED_VALUE"""),43321.66666666667)</f>
        <v>43321.66667</v>
      </c>
      <c r="Y189" s="9">
        <f>IFERROR(__xludf.DUMMYFUNCTION("""COMPUTED_VALUE"""),349.36)</f>
        <v>349.36</v>
      </c>
      <c r="AA189" s="11">
        <f>IFERROR(__xludf.DUMMYFUNCTION("""COMPUTED_VALUE"""),43321.66666666667)</f>
        <v>43321.66667</v>
      </c>
      <c r="AB189" s="9">
        <f>IFERROR(__xludf.DUMMYFUNCTION("""COMPUTED_VALUE"""),1882.0)</f>
        <v>1882</v>
      </c>
      <c r="AC189" s="11">
        <f>IFERROR(__xludf.DUMMYFUNCTION("""COMPUTED_VALUE"""),43321.66666666667)</f>
        <v>43321.66667</v>
      </c>
      <c r="AD189" s="9">
        <f>IFERROR(__xludf.DUMMYFUNCTION("""COMPUTED_VALUE"""),1898.52)</f>
        <v>1898.52</v>
      </c>
    </row>
    <row r="190">
      <c r="B190" s="11">
        <f>IFERROR(__xludf.DUMMYFUNCTION("""COMPUTED_VALUE"""),43322.66666666667)</f>
        <v>43322.66667</v>
      </c>
      <c r="C190" s="9">
        <f>IFERROR(__xludf.DUMMYFUNCTION("""COMPUTED_VALUE"""),70.8)</f>
        <v>70.8</v>
      </c>
      <c r="D190" s="11">
        <f>IFERROR(__xludf.DUMMYFUNCTION("""COMPUTED_VALUE"""),43322.66666666667)</f>
        <v>43322.66667</v>
      </c>
      <c r="E190" s="9">
        <f>IFERROR(__xludf.DUMMYFUNCTION("""COMPUTED_VALUE"""),71.1)</f>
        <v>71.1</v>
      </c>
      <c r="G190" s="11">
        <f>IFERROR(__xludf.DUMMYFUNCTION("""COMPUTED_VALUE"""),43322.66666666667)</f>
        <v>43322.66667</v>
      </c>
      <c r="H190" s="9">
        <f>IFERROR(__xludf.DUMMYFUNCTION("""COMPUTED_VALUE"""),1243.0)</f>
        <v>1243</v>
      </c>
      <c r="I190" s="11">
        <f>IFERROR(__xludf.DUMMYFUNCTION("""COMPUTED_VALUE"""),43322.66666666667)</f>
        <v>43322.66667</v>
      </c>
      <c r="J190" s="9">
        <f>IFERROR(__xludf.DUMMYFUNCTION("""COMPUTED_VALUE"""),1237.61)</f>
        <v>1237.61</v>
      </c>
      <c r="L190" s="11">
        <f>IFERROR(__xludf.DUMMYFUNCTION("""COMPUTED_VALUE"""),43322.66666666667)</f>
        <v>43322.66667</v>
      </c>
      <c r="M190" s="9">
        <f>IFERROR(__xludf.DUMMYFUNCTION("""COMPUTED_VALUE"""),51.84)</f>
        <v>51.84</v>
      </c>
      <c r="N190" s="11">
        <f>IFERROR(__xludf.DUMMYFUNCTION("""COMPUTED_VALUE"""),43322.66666666667)</f>
        <v>43322.66667</v>
      </c>
      <c r="O190" s="9">
        <f>IFERROR(__xludf.DUMMYFUNCTION("""COMPUTED_VALUE"""),51.88)</f>
        <v>51.88</v>
      </c>
      <c r="Q190" s="11">
        <f>IFERROR(__xludf.DUMMYFUNCTION("""COMPUTED_VALUE"""),43322.66666666667)</f>
        <v>43322.66667</v>
      </c>
      <c r="R190" s="9">
        <f>IFERROR(__xludf.DUMMYFUNCTION("""COMPUTED_VALUE"""),182.04)</f>
        <v>182.04</v>
      </c>
      <c r="S190" s="11">
        <f>IFERROR(__xludf.DUMMYFUNCTION("""COMPUTED_VALUE"""),43322.66666666667)</f>
        <v>43322.66667</v>
      </c>
      <c r="T190" s="9">
        <f>IFERROR(__xludf.DUMMYFUNCTION("""COMPUTED_VALUE"""),180.26)</f>
        <v>180.26</v>
      </c>
      <c r="V190" s="11">
        <f>IFERROR(__xludf.DUMMYFUNCTION("""COMPUTED_VALUE"""),43322.66666666667)</f>
        <v>43322.66667</v>
      </c>
      <c r="W190" s="9">
        <f>IFERROR(__xludf.DUMMYFUNCTION("""COMPUTED_VALUE"""),346.91)</f>
        <v>346.91</v>
      </c>
      <c r="X190" s="11">
        <f>IFERROR(__xludf.DUMMYFUNCTION("""COMPUTED_VALUE"""),43322.66666666667)</f>
        <v>43322.66667</v>
      </c>
      <c r="Y190" s="9">
        <f>IFERROR(__xludf.DUMMYFUNCTION("""COMPUTED_VALUE"""),345.87)</f>
        <v>345.87</v>
      </c>
      <c r="AA190" s="11">
        <f>IFERROR(__xludf.DUMMYFUNCTION("""COMPUTED_VALUE"""),43322.66666666667)</f>
        <v>43322.66667</v>
      </c>
      <c r="AB190" s="9">
        <f>IFERROR(__xludf.DUMMYFUNCTION("""COMPUTED_VALUE"""),1888.51)</f>
        <v>1888.51</v>
      </c>
      <c r="AC190" s="11">
        <f>IFERROR(__xludf.DUMMYFUNCTION("""COMPUTED_VALUE"""),43322.66666666667)</f>
        <v>43322.66667</v>
      </c>
      <c r="AD190" s="9">
        <f>IFERROR(__xludf.DUMMYFUNCTION("""COMPUTED_VALUE"""),1886.3)</f>
        <v>1886.3</v>
      </c>
    </row>
    <row r="191">
      <c r="B191" s="11">
        <f>IFERROR(__xludf.DUMMYFUNCTION("""COMPUTED_VALUE"""),43325.66666666667)</f>
        <v>43325.66667</v>
      </c>
      <c r="C191" s="9">
        <f>IFERROR(__xludf.DUMMYFUNCTION("""COMPUTED_VALUE"""),72.23)</f>
        <v>72.23</v>
      </c>
      <c r="D191" s="11">
        <f>IFERROR(__xludf.DUMMYFUNCTION("""COMPUTED_VALUE"""),43325.66666666667)</f>
        <v>43325.66667</v>
      </c>
      <c r="E191" s="9">
        <f>IFERROR(__xludf.DUMMYFUNCTION("""COMPUTED_VALUE"""),71.28)</f>
        <v>71.28</v>
      </c>
      <c r="G191" s="11">
        <f>IFERROR(__xludf.DUMMYFUNCTION("""COMPUTED_VALUE"""),43325.66666666667)</f>
        <v>43325.66667</v>
      </c>
      <c r="H191" s="9">
        <f>IFERROR(__xludf.DUMMYFUNCTION("""COMPUTED_VALUE"""),1236.98)</f>
        <v>1236.98</v>
      </c>
      <c r="I191" s="11">
        <f>IFERROR(__xludf.DUMMYFUNCTION("""COMPUTED_VALUE"""),43325.66666666667)</f>
        <v>43325.66667</v>
      </c>
      <c r="J191" s="9">
        <f>IFERROR(__xludf.DUMMYFUNCTION("""COMPUTED_VALUE"""),1235.01)</f>
        <v>1235.01</v>
      </c>
      <c r="L191" s="11">
        <f>IFERROR(__xludf.DUMMYFUNCTION("""COMPUTED_VALUE"""),43325.66666666667)</f>
        <v>43325.66667</v>
      </c>
      <c r="M191" s="9">
        <f>IFERROR(__xludf.DUMMYFUNCTION("""COMPUTED_VALUE"""),51.93)</f>
        <v>51.93</v>
      </c>
      <c r="N191" s="11">
        <f>IFERROR(__xludf.DUMMYFUNCTION("""COMPUTED_VALUE"""),43325.66666666667)</f>
        <v>43325.66667</v>
      </c>
      <c r="O191" s="9">
        <f>IFERROR(__xludf.DUMMYFUNCTION("""COMPUTED_VALUE"""),52.22)</f>
        <v>52.22</v>
      </c>
      <c r="Q191" s="11">
        <f>IFERROR(__xludf.DUMMYFUNCTION("""COMPUTED_VALUE"""),43325.66666666667)</f>
        <v>43325.66667</v>
      </c>
      <c r="R191" s="9">
        <f>IFERROR(__xludf.DUMMYFUNCTION("""COMPUTED_VALUE"""),180.1)</f>
        <v>180.1</v>
      </c>
      <c r="S191" s="11">
        <f>IFERROR(__xludf.DUMMYFUNCTION("""COMPUTED_VALUE"""),43325.66666666667)</f>
        <v>43325.66667</v>
      </c>
      <c r="T191" s="9">
        <f>IFERROR(__xludf.DUMMYFUNCTION("""COMPUTED_VALUE"""),180.05)</f>
        <v>180.05</v>
      </c>
      <c r="V191" s="11">
        <f>IFERROR(__xludf.DUMMYFUNCTION("""COMPUTED_VALUE"""),43325.66666666667)</f>
        <v>43325.66667</v>
      </c>
      <c r="W191" s="9">
        <f>IFERROR(__xludf.DUMMYFUNCTION("""COMPUTED_VALUE"""),339.89)</f>
        <v>339.89</v>
      </c>
      <c r="X191" s="11">
        <f>IFERROR(__xludf.DUMMYFUNCTION("""COMPUTED_VALUE"""),43325.66666666667)</f>
        <v>43325.66667</v>
      </c>
      <c r="Y191" s="9">
        <f>IFERROR(__xludf.DUMMYFUNCTION("""COMPUTED_VALUE"""),341.31)</f>
        <v>341.31</v>
      </c>
      <c r="AA191" s="11">
        <f>IFERROR(__xludf.DUMMYFUNCTION("""COMPUTED_VALUE"""),43325.66666666667)</f>
        <v>43325.66667</v>
      </c>
      <c r="AB191" s="9">
        <f>IFERROR(__xludf.DUMMYFUNCTION("""COMPUTED_VALUE"""),1898.5)</f>
        <v>1898.5</v>
      </c>
      <c r="AC191" s="11">
        <f>IFERROR(__xludf.DUMMYFUNCTION("""COMPUTED_VALUE"""),43325.66666666667)</f>
        <v>43325.66667</v>
      </c>
      <c r="AD191" s="9">
        <f>IFERROR(__xludf.DUMMYFUNCTION("""COMPUTED_VALUE"""),1896.2)</f>
        <v>1896.2</v>
      </c>
    </row>
    <row r="192">
      <c r="B192" s="11">
        <f>IFERROR(__xludf.DUMMYFUNCTION("""COMPUTED_VALUE"""),43326.66666666667)</f>
        <v>43326.66667</v>
      </c>
      <c r="C192" s="9">
        <f>IFERROR(__xludf.DUMMYFUNCTION("""COMPUTED_VALUE"""),71.69)</f>
        <v>71.69</v>
      </c>
      <c r="D192" s="11">
        <f>IFERROR(__xludf.DUMMYFUNCTION("""COMPUTED_VALUE"""),43326.66666666667)</f>
        <v>43326.66667</v>
      </c>
      <c r="E192" s="9">
        <f>IFERROR(__xludf.DUMMYFUNCTION("""COMPUTED_VALUE"""),69.53)</f>
        <v>69.53</v>
      </c>
      <c r="G192" s="11">
        <f>IFERROR(__xludf.DUMMYFUNCTION("""COMPUTED_VALUE"""),43326.66666666667)</f>
        <v>43326.66667</v>
      </c>
      <c r="H192" s="9">
        <f>IFERROR(__xludf.DUMMYFUNCTION("""COMPUTED_VALUE"""),1235.19)</f>
        <v>1235.19</v>
      </c>
      <c r="I192" s="11">
        <f>IFERROR(__xludf.DUMMYFUNCTION("""COMPUTED_VALUE"""),43326.66666666667)</f>
        <v>43326.66667</v>
      </c>
      <c r="J192" s="9">
        <f>IFERROR(__xludf.DUMMYFUNCTION("""COMPUTED_VALUE"""),1242.1)</f>
        <v>1242.1</v>
      </c>
      <c r="L192" s="11">
        <f>IFERROR(__xludf.DUMMYFUNCTION("""COMPUTED_VALUE"""),43326.66666666667)</f>
        <v>43326.66667</v>
      </c>
      <c r="M192" s="9">
        <f>IFERROR(__xludf.DUMMYFUNCTION("""COMPUTED_VALUE"""),52.54)</f>
        <v>52.54</v>
      </c>
      <c r="N192" s="11">
        <f>IFERROR(__xludf.DUMMYFUNCTION("""COMPUTED_VALUE"""),43326.66666666667)</f>
        <v>43326.66667</v>
      </c>
      <c r="O192" s="9">
        <f>IFERROR(__xludf.DUMMYFUNCTION("""COMPUTED_VALUE"""),52.44)</f>
        <v>52.44</v>
      </c>
      <c r="Q192" s="11">
        <f>IFERROR(__xludf.DUMMYFUNCTION("""COMPUTED_VALUE"""),43326.66666666667)</f>
        <v>43326.66667</v>
      </c>
      <c r="R192" s="9">
        <f>IFERROR(__xludf.DUMMYFUNCTION("""COMPUTED_VALUE"""),180.71)</f>
        <v>180.71</v>
      </c>
      <c r="S192" s="11">
        <f>IFERROR(__xludf.DUMMYFUNCTION("""COMPUTED_VALUE"""),43326.66666666667)</f>
        <v>43326.66667</v>
      </c>
      <c r="T192" s="9">
        <f>IFERROR(__xludf.DUMMYFUNCTION("""COMPUTED_VALUE"""),181.11)</f>
        <v>181.11</v>
      </c>
      <c r="V192" s="11">
        <f>IFERROR(__xludf.DUMMYFUNCTION("""COMPUTED_VALUE"""),43326.66666666667)</f>
        <v>43326.66667</v>
      </c>
      <c r="W192" s="9">
        <f>IFERROR(__xludf.DUMMYFUNCTION("""COMPUTED_VALUE"""),342.09)</f>
        <v>342.09</v>
      </c>
      <c r="X192" s="11">
        <f>IFERROR(__xludf.DUMMYFUNCTION("""COMPUTED_VALUE"""),43326.66666666667)</f>
        <v>43326.66667</v>
      </c>
      <c r="Y192" s="9">
        <f>IFERROR(__xludf.DUMMYFUNCTION("""COMPUTED_VALUE"""),337.49)</f>
        <v>337.49</v>
      </c>
      <c r="AA192" s="11">
        <f>IFERROR(__xludf.DUMMYFUNCTION("""COMPUTED_VALUE"""),43326.66666666667)</f>
        <v>43326.66667</v>
      </c>
      <c r="AB192" s="9">
        <f>IFERROR(__xludf.DUMMYFUNCTION("""COMPUTED_VALUE"""),1919.39)</f>
        <v>1919.39</v>
      </c>
      <c r="AC192" s="11">
        <f>IFERROR(__xludf.DUMMYFUNCTION("""COMPUTED_VALUE"""),43326.66666666667)</f>
        <v>43326.66667</v>
      </c>
      <c r="AD192" s="9">
        <f>IFERROR(__xludf.DUMMYFUNCTION("""COMPUTED_VALUE"""),1919.65)</f>
        <v>1919.65</v>
      </c>
    </row>
    <row r="193">
      <c r="B193" s="11">
        <f>IFERROR(__xludf.DUMMYFUNCTION("""COMPUTED_VALUE"""),43327.66666666667)</f>
        <v>43327.66667</v>
      </c>
      <c r="C193" s="9">
        <f>IFERROR(__xludf.DUMMYFUNCTION("""COMPUTED_VALUE"""),68.38)</f>
        <v>68.38</v>
      </c>
      <c r="D193" s="11">
        <f>IFERROR(__xludf.DUMMYFUNCTION("""COMPUTED_VALUE"""),43327.66666666667)</f>
        <v>43327.66667</v>
      </c>
      <c r="E193" s="9">
        <f>IFERROR(__xludf.DUMMYFUNCTION("""COMPUTED_VALUE"""),67.74)</f>
        <v>67.74</v>
      </c>
      <c r="G193" s="11">
        <f>IFERROR(__xludf.DUMMYFUNCTION("""COMPUTED_VALUE"""),43327.66666666667)</f>
        <v>43327.66667</v>
      </c>
      <c r="H193" s="9">
        <f>IFERROR(__xludf.DUMMYFUNCTION("""COMPUTED_VALUE"""),1229.26)</f>
        <v>1229.26</v>
      </c>
      <c r="I193" s="11">
        <f>IFERROR(__xludf.DUMMYFUNCTION("""COMPUTED_VALUE"""),43327.66666666667)</f>
        <v>43327.66667</v>
      </c>
      <c r="J193" s="9">
        <f>IFERROR(__xludf.DUMMYFUNCTION("""COMPUTED_VALUE"""),1214.38)</f>
        <v>1214.38</v>
      </c>
      <c r="L193" s="11">
        <f>IFERROR(__xludf.DUMMYFUNCTION("""COMPUTED_VALUE"""),43327.66666666667)</f>
        <v>43327.66667</v>
      </c>
      <c r="M193" s="9">
        <f>IFERROR(__xludf.DUMMYFUNCTION("""COMPUTED_VALUE"""),52.31)</f>
        <v>52.31</v>
      </c>
      <c r="N193" s="11">
        <f>IFERROR(__xludf.DUMMYFUNCTION("""COMPUTED_VALUE"""),43327.66666666667)</f>
        <v>43327.66667</v>
      </c>
      <c r="O193" s="9">
        <f>IFERROR(__xludf.DUMMYFUNCTION("""COMPUTED_VALUE"""),52.56)</f>
        <v>52.56</v>
      </c>
      <c r="Q193" s="11">
        <f>IFERROR(__xludf.DUMMYFUNCTION("""COMPUTED_VALUE"""),43327.66666666667)</f>
        <v>43327.66667</v>
      </c>
      <c r="R193" s="9">
        <f>IFERROR(__xludf.DUMMYFUNCTION("""COMPUTED_VALUE"""),179.34)</f>
        <v>179.34</v>
      </c>
      <c r="S193" s="11">
        <f>IFERROR(__xludf.DUMMYFUNCTION("""COMPUTED_VALUE"""),43327.66666666667)</f>
        <v>43327.66667</v>
      </c>
      <c r="T193" s="9">
        <f>IFERROR(__xludf.DUMMYFUNCTION("""COMPUTED_VALUE"""),179.53)</f>
        <v>179.53</v>
      </c>
      <c r="V193" s="11">
        <f>IFERROR(__xludf.DUMMYFUNCTION("""COMPUTED_VALUE"""),43327.66666666667)</f>
        <v>43327.66667</v>
      </c>
      <c r="W193" s="9">
        <f>IFERROR(__xludf.DUMMYFUNCTION("""COMPUTED_VALUE"""),334.03)</f>
        <v>334.03</v>
      </c>
      <c r="X193" s="11">
        <f>IFERROR(__xludf.DUMMYFUNCTION("""COMPUTED_VALUE"""),43327.66666666667)</f>
        <v>43327.66667</v>
      </c>
      <c r="Y193" s="9">
        <f>IFERROR(__xludf.DUMMYFUNCTION("""COMPUTED_VALUE"""),326.4)</f>
        <v>326.4</v>
      </c>
      <c r="AA193" s="11">
        <f>IFERROR(__xludf.DUMMYFUNCTION("""COMPUTED_VALUE"""),43327.66666666667)</f>
        <v>43327.66667</v>
      </c>
      <c r="AB193" s="9">
        <f>IFERROR(__xludf.DUMMYFUNCTION("""COMPUTED_VALUE"""),1909.55)</f>
        <v>1909.55</v>
      </c>
      <c r="AC193" s="11">
        <f>IFERROR(__xludf.DUMMYFUNCTION("""COMPUTED_VALUE"""),43327.66666666667)</f>
        <v>43327.66667</v>
      </c>
      <c r="AD193" s="9">
        <f>IFERROR(__xludf.DUMMYFUNCTION("""COMPUTED_VALUE"""),1882.62)</f>
        <v>1882.62</v>
      </c>
    </row>
    <row r="194">
      <c r="B194" s="11">
        <f>IFERROR(__xludf.DUMMYFUNCTION("""COMPUTED_VALUE"""),43328.66666666667)</f>
        <v>43328.66667</v>
      </c>
      <c r="C194" s="9">
        <f>IFERROR(__xludf.DUMMYFUNCTION("""COMPUTED_VALUE"""),67.98)</f>
        <v>67.98</v>
      </c>
      <c r="D194" s="11">
        <f>IFERROR(__xludf.DUMMYFUNCTION("""COMPUTED_VALUE"""),43328.66666666667)</f>
        <v>43328.66667</v>
      </c>
      <c r="E194" s="9">
        <f>IFERROR(__xludf.DUMMYFUNCTION("""COMPUTED_VALUE"""),67.09)</f>
        <v>67.09</v>
      </c>
      <c r="G194" s="11">
        <f>IFERROR(__xludf.DUMMYFUNCTION("""COMPUTED_VALUE"""),43328.66666666667)</f>
        <v>43328.66667</v>
      </c>
      <c r="H194" s="9">
        <f>IFERROR(__xludf.DUMMYFUNCTION("""COMPUTED_VALUE"""),1224.73)</f>
        <v>1224.73</v>
      </c>
      <c r="I194" s="11">
        <f>IFERROR(__xludf.DUMMYFUNCTION("""COMPUTED_VALUE"""),43328.66666666667)</f>
        <v>43328.66667</v>
      </c>
      <c r="J194" s="9">
        <f>IFERROR(__xludf.DUMMYFUNCTION("""COMPUTED_VALUE"""),1206.49)</f>
        <v>1206.49</v>
      </c>
      <c r="L194" s="11">
        <f>IFERROR(__xludf.DUMMYFUNCTION("""COMPUTED_VALUE"""),43328.66666666667)</f>
        <v>43328.66667</v>
      </c>
      <c r="M194" s="9">
        <f>IFERROR(__xludf.DUMMYFUNCTION("""COMPUTED_VALUE"""),52.94)</f>
        <v>52.94</v>
      </c>
      <c r="N194" s="11">
        <f>IFERROR(__xludf.DUMMYFUNCTION("""COMPUTED_VALUE"""),43328.66666666667)</f>
        <v>43328.66667</v>
      </c>
      <c r="O194" s="9">
        <f>IFERROR(__xludf.DUMMYFUNCTION("""COMPUTED_VALUE"""),53.33)</f>
        <v>53.33</v>
      </c>
      <c r="Q194" s="11">
        <f>IFERROR(__xludf.DUMMYFUNCTION("""COMPUTED_VALUE"""),43328.66666666667)</f>
        <v>43328.66667</v>
      </c>
      <c r="R194" s="9">
        <f>IFERROR(__xludf.DUMMYFUNCTION("""COMPUTED_VALUE"""),180.42)</f>
        <v>180.42</v>
      </c>
      <c r="S194" s="11">
        <f>IFERROR(__xludf.DUMMYFUNCTION("""COMPUTED_VALUE"""),43328.66666666667)</f>
        <v>43328.66667</v>
      </c>
      <c r="T194" s="9">
        <f>IFERROR(__xludf.DUMMYFUNCTION("""COMPUTED_VALUE"""),174.7)</f>
        <v>174.7</v>
      </c>
      <c r="V194" s="11">
        <f>IFERROR(__xludf.DUMMYFUNCTION("""COMPUTED_VALUE"""),43328.66666666667)</f>
        <v>43328.66667</v>
      </c>
      <c r="W194" s="9">
        <f>IFERROR(__xludf.DUMMYFUNCTION("""COMPUTED_VALUE"""),329.9)</f>
        <v>329.9</v>
      </c>
      <c r="X194" s="11">
        <f>IFERROR(__xludf.DUMMYFUNCTION("""COMPUTED_VALUE"""),43328.66666666667)</f>
        <v>43328.66667</v>
      </c>
      <c r="Y194" s="9">
        <f>IFERROR(__xludf.DUMMYFUNCTION("""COMPUTED_VALUE"""),322.44)</f>
        <v>322.44</v>
      </c>
      <c r="AA194" s="11">
        <f>IFERROR(__xludf.DUMMYFUNCTION("""COMPUTED_VALUE"""),43328.66666666667)</f>
        <v>43328.66667</v>
      </c>
      <c r="AB194" s="9">
        <f>IFERROR(__xludf.DUMMYFUNCTION("""COMPUTED_VALUE"""),1903.94)</f>
        <v>1903.94</v>
      </c>
      <c r="AC194" s="11">
        <f>IFERROR(__xludf.DUMMYFUNCTION("""COMPUTED_VALUE"""),43328.66666666667)</f>
        <v>43328.66667</v>
      </c>
      <c r="AD194" s="9">
        <f>IFERROR(__xludf.DUMMYFUNCTION("""COMPUTED_VALUE"""),1886.52)</f>
        <v>1886.52</v>
      </c>
    </row>
    <row r="195">
      <c r="B195" s="11">
        <f>IFERROR(__xludf.DUMMYFUNCTION("""COMPUTED_VALUE"""),43329.66666666667)</f>
        <v>43329.66667</v>
      </c>
      <c r="C195" s="9">
        <f>IFERROR(__xludf.DUMMYFUNCTION("""COMPUTED_VALUE"""),64.7)</f>
        <v>64.7</v>
      </c>
      <c r="D195" s="11">
        <f>IFERROR(__xludf.DUMMYFUNCTION("""COMPUTED_VALUE"""),43329.66666666667)</f>
        <v>43329.66667</v>
      </c>
      <c r="E195" s="9">
        <f>IFERROR(__xludf.DUMMYFUNCTION("""COMPUTED_VALUE"""),61.1)</f>
        <v>61.1</v>
      </c>
      <c r="G195" s="11">
        <f>IFERROR(__xludf.DUMMYFUNCTION("""COMPUTED_VALUE"""),43329.66666666667)</f>
        <v>43329.66667</v>
      </c>
      <c r="H195" s="9">
        <f>IFERROR(__xludf.DUMMYFUNCTION("""COMPUTED_VALUE"""),1202.03)</f>
        <v>1202.03</v>
      </c>
      <c r="I195" s="11">
        <f>IFERROR(__xludf.DUMMYFUNCTION("""COMPUTED_VALUE"""),43329.66666666667)</f>
        <v>43329.66667</v>
      </c>
      <c r="J195" s="9">
        <f>IFERROR(__xludf.DUMMYFUNCTION("""COMPUTED_VALUE"""),1200.96)</f>
        <v>1200.96</v>
      </c>
      <c r="L195" s="11">
        <f>IFERROR(__xludf.DUMMYFUNCTION("""COMPUTED_VALUE"""),43329.66666666667)</f>
        <v>43329.66667</v>
      </c>
      <c r="M195" s="9">
        <f>IFERROR(__xludf.DUMMYFUNCTION("""COMPUTED_VALUE"""),53.36)</f>
        <v>53.36</v>
      </c>
      <c r="N195" s="11">
        <f>IFERROR(__xludf.DUMMYFUNCTION("""COMPUTED_VALUE"""),43329.66666666667)</f>
        <v>43329.66667</v>
      </c>
      <c r="O195" s="9">
        <f>IFERROR(__xludf.DUMMYFUNCTION("""COMPUTED_VALUE"""),54.4)</f>
        <v>54.4</v>
      </c>
      <c r="Q195" s="11">
        <f>IFERROR(__xludf.DUMMYFUNCTION("""COMPUTED_VALUE"""),43329.66666666667)</f>
        <v>43329.66667</v>
      </c>
      <c r="R195" s="9">
        <f>IFERROR(__xludf.DUMMYFUNCTION("""COMPUTED_VALUE"""),174.5)</f>
        <v>174.5</v>
      </c>
      <c r="S195" s="11">
        <f>IFERROR(__xludf.DUMMYFUNCTION("""COMPUTED_VALUE"""),43329.66666666667)</f>
        <v>43329.66667</v>
      </c>
      <c r="T195" s="9">
        <f>IFERROR(__xludf.DUMMYFUNCTION("""COMPUTED_VALUE"""),173.8)</f>
        <v>173.8</v>
      </c>
      <c r="V195" s="11">
        <f>IFERROR(__xludf.DUMMYFUNCTION("""COMPUTED_VALUE"""),43329.66666666667)</f>
        <v>43329.66667</v>
      </c>
      <c r="W195" s="9">
        <f>IFERROR(__xludf.DUMMYFUNCTION("""COMPUTED_VALUE"""),319.01)</f>
        <v>319.01</v>
      </c>
      <c r="X195" s="11">
        <f>IFERROR(__xludf.DUMMYFUNCTION("""COMPUTED_VALUE"""),43329.66666666667)</f>
        <v>43329.66667</v>
      </c>
      <c r="Y195" s="9">
        <f>IFERROR(__xludf.DUMMYFUNCTION("""COMPUTED_VALUE"""),316.78)</f>
        <v>316.78</v>
      </c>
      <c r="AA195" s="11">
        <f>IFERROR(__xludf.DUMMYFUNCTION("""COMPUTED_VALUE"""),43329.66666666667)</f>
        <v>43329.66667</v>
      </c>
      <c r="AB195" s="9">
        <f>IFERROR(__xludf.DUMMYFUNCTION("""COMPUTED_VALUE"""),1885.8)</f>
        <v>1885.8</v>
      </c>
      <c r="AC195" s="11">
        <f>IFERROR(__xludf.DUMMYFUNCTION("""COMPUTED_VALUE"""),43329.66666666667)</f>
        <v>43329.66667</v>
      </c>
      <c r="AD195" s="9">
        <f>IFERROR(__xludf.DUMMYFUNCTION("""COMPUTED_VALUE"""),1882.22)</f>
        <v>1882.22</v>
      </c>
    </row>
    <row r="196">
      <c r="B196" s="11">
        <f>IFERROR(__xludf.DUMMYFUNCTION("""COMPUTED_VALUE"""),43332.66666666667)</f>
        <v>43332.66667</v>
      </c>
      <c r="C196" s="9">
        <f>IFERROR(__xludf.DUMMYFUNCTION("""COMPUTED_VALUE"""),58.34)</f>
        <v>58.34</v>
      </c>
      <c r="D196" s="11">
        <f>IFERROR(__xludf.DUMMYFUNCTION("""COMPUTED_VALUE"""),43332.66666666667)</f>
        <v>43332.66667</v>
      </c>
      <c r="E196" s="9">
        <f>IFERROR(__xludf.DUMMYFUNCTION("""COMPUTED_VALUE"""),61.69)</f>
        <v>61.69</v>
      </c>
      <c r="G196" s="11">
        <f>IFERROR(__xludf.DUMMYFUNCTION("""COMPUTED_VALUE"""),43332.66666666667)</f>
        <v>43332.66667</v>
      </c>
      <c r="H196" s="9">
        <f>IFERROR(__xludf.DUMMYFUNCTION("""COMPUTED_VALUE"""),1205.02)</f>
        <v>1205.02</v>
      </c>
      <c r="I196" s="11">
        <f>IFERROR(__xludf.DUMMYFUNCTION("""COMPUTED_VALUE"""),43332.66666666667)</f>
        <v>43332.66667</v>
      </c>
      <c r="J196" s="9">
        <f>IFERROR(__xludf.DUMMYFUNCTION("""COMPUTED_VALUE"""),1207.77)</f>
        <v>1207.77</v>
      </c>
      <c r="L196" s="11">
        <f>IFERROR(__xludf.DUMMYFUNCTION("""COMPUTED_VALUE"""),43332.66666666667)</f>
        <v>43332.66667</v>
      </c>
      <c r="M196" s="9">
        <f>IFERROR(__xludf.DUMMYFUNCTION("""COMPUTED_VALUE"""),54.53)</f>
        <v>54.53</v>
      </c>
      <c r="N196" s="11">
        <f>IFERROR(__xludf.DUMMYFUNCTION("""COMPUTED_VALUE"""),43332.66666666667)</f>
        <v>43332.66667</v>
      </c>
      <c r="O196" s="9">
        <f>IFERROR(__xludf.DUMMYFUNCTION("""COMPUTED_VALUE"""),53.87)</f>
        <v>53.87</v>
      </c>
      <c r="Q196" s="11">
        <f>IFERROR(__xludf.DUMMYFUNCTION("""COMPUTED_VALUE"""),43332.66666666667)</f>
        <v>43332.66667</v>
      </c>
      <c r="R196" s="9">
        <f>IFERROR(__xludf.DUMMYFUNCTION("""COMPUTED_VALUE"""),174.04)</f>
        <v>174.04</v>
      </c>
      <c r="S196" s="11">
        <f>IFERROR(__xludf.DUMMYFUNCTION("""COMPUTED_VALUE"""),43332.66666666667)</f>
        <v>43332.66667</v>
      </c>
      <c r="T196" s="9">
        <f>IFERROR(__xludf.DUMMYFUNCTION("""COMPUTED_VALUE"""),172.5)</f>
        <v>172.5</v>
      </c>
      <c r="V196" s="11">
        <f>IFERROR(__xludf.DUMMYFUNCTION("""COMPUTED_VALUE"""),43332.66666666667)</f>
        <v>43332.66667</v>
      </c>
      <c r="W196" s="9">
        <f>IFERROR(__xludf.DUMMYFUNCTION("""COMPUTED_VALUE"""),314.64)</f>
        <v>314.64</v>
      </c>
      <c r="X196" s="11">
        <f>IFERROR(__xludf.DUMMYFUNCTION("""COMPUTED_VALUE"""),43332.66666666667)</f>
        <v>43332.66667</v>
      </c>
      <c r="Y196" s="9">
        <f>IFERROR(__xludf.DUMMYFUNCTION("""COMPUTED_VALUE"""),327.73)</f>
        <v>327.73</v>
      </c>
      <c r="AA196" s="11">
        <f>IFERROR(__xludf.DUMMYFUNCTION("""COMPUTED_VALUE"""),43332.66666666667)</f>
        <v>43332.66667</v>
      </c>
      <c r="AB196" s="9">
        <f>IFERROR(__xludf.DUMMYFUNCTION("""COMPUTED_VALUE"""),1890.57)</f>
        <v>1890.57</v>
      </c>
      <c r="AC196" s="11">
        <f>IFERROR(__xludf.DUMMYFUNCTION("""COMPUTED_VALUE"""),43332.66666666667)</f>
        <v>43332.66667</v>
      </c>
      <c r="AD196" s="9">
        <f>IFERROR(__xludf.DUMMYFUNCTION("""COMPUTED_VALUE"""),1876.71)</f>
        <v>1876.71</v>
      </c>
    </row>
    <row r="197">
      <c r="B197" s="11">
        <f>IFERROR(__xludf.DUMMYFUNCTION("""COMPUTED_VALUE"""),43333.66666666667)</f>
        <v>43333.66667</v>
      </c>
      <c r="C197" s="9">
        <f>IFERROR(__xludf.DUMMYFUNCTION("""COMPUTED_VALUE"""),62.12)</f>
        <v>62.12</v>
      </c>
      <c r="D197" s="11">
        <f>IFERROR(__xludf.DUMMYFUNCTION("""COMPUTED_VALUE"""),43333.66666666667)</f>
        <v>43333.66667</v>
      </c>
      <c r="E197" s="9">
        <f>IFERROR(__xludf.DUMMYFUNCTION("""COMPUTED_VALUE"""),64.38)</f>
        <v>64.38</v>
      </c>
      <c r="G197" s="11">
        <f>IFERROR(__xludf.DUMMYFUNCTION("""COMPUTED_VALUE"""),43333.66666666667)</f>
        <v>43333.66667</v>
      </c>
      <c r="H197" s="9">
        <f>IFERROR(__xludf.DUMMYFUNCTION("""COMPUTED_VALUE"""),1208.0)</f>
        <v>1208</v>
      </c>
      <c r="I197" s="11">
        <f>IFERROR(__xludf.DUMMYFUNCTION("""COMPUTED_VALUE"""),43333.66666666667)</f>
        <v>43333.66667</v>
      </c>
      <c r="J197" s="9">
        <f>IFERROR(__xludf.DUMMYFUNCTION("""COMPUTED_VALUE"""),1201.62)</f>
        <v>1201.62</v>
      </c>
      <c r="L197" s="11">
        <f>IFERROR(__xludf.DUMMYFUNCTION("""COMPUTED_VALUE"""),43333.66666666667)</f>
        <v>43333.66667</v>
      </c>
      <c r="M197" s="9">
        <f>IFERROR(__xludf.DUMMYFUNCTION("""COMPUTED_VALUE"""),54.2)</f>
        <v>54.2</v>
      </c>
      <c r="N197" s="11">
        <f>IFERROR(__xludf.DUMMYFUNCTION("""COMPUTED_VALUE"""),43333.66666666667)</f>
        <v>43333.66667</v>
      </c>
      <c r="O197" s="9">
        <f>IFERROR(__xludf.DUMMYFUNCTION("""COMPUTED_VALUE"""),53.76)</f>
        <v>53.76</v>
      </c>
      <c r="Q197" s="11">
        <f>IFERROR(__xludf.DUMMYFUNCTION("""COMPUTED_VALUE"""),43333.66666666667)</f>
        <v>43333.66667</v>
      </c>
      <c r="R197" s="9">
        <f>IFERROR(__xludf.DUMMYFUNCTION("""COMPUTED_VALUE"""),172.81)</f>
        <v>172.81</v>
      </c>
      <c r="S197" s="11">
        <f>IFERROR(__xludf.DUMMYFUNCTION("""COMPUTED_VALUE"""),43333.66666666667)</f>
        <v>43333.66667</v>
      </c>
      <c r="T197" s="9">
        <f>IFERROR(__xludf.DUMMYFUNCTION("""COMPUTED_VALUE"""),172.62)</f>
        <v>172.62</v>
      </c>
      <c r="V197" s="11">
        <f>IFERROR(__xludf.DUMMYFUNCTION("""COMPUTED_VALUE"""),43333.66666666667)</f>
        <v>43333.66667</v>
      </c>
      <c r="W197" s="9">
        <f>IFERROR(__xludf.DUMMYFUNCTION("""COMPUTED_VALUE"""),331.0)</f>
        <v>331</v>
      </c>
      <c r="X197" s="11">
        <f>IFERROR(__xludf.DUMMYFUNCTION("""COMPUTED_VALUE"""),43333.66666666667)</f>
        <v>43333.66667</v>
      </c>
      <c r="Y197" s="9">
        <f>IFERROR(__xludf.DUMMYFUNCTION("""COMPUTED_VALUE"""),338.02)</f>
        <v>338.02</v>
      </c>
      <c r="AA197" s="11">
        <f>IFERROR(__xludf.DUMMYFUNCTION("""COMPUTED_VALUE"""),43333.66666666667)</f>
        <v>43333.66667</v>
      </c>
      <c r="AB197" s="9">
        <f>IFERROR(__xludf.DUMMYFUNCTION("""COMPUTED_VALUE"""),1880.0)</f>
        <v>1880</v>
      </c>
      <c r="AC197" s="11">
        <f>IFERROR(__xludf.DUMMYFUNCTION("""COMPUTED_VALUE"""),43333.66666666667)</f>
        <v>43333.66667</v>
      </c>
      <c r="AD197" s="9">
        <f>IFERROR(__xludf.DUMMYFUNCTION("""COMPUTED_VALUE"""),1883.42)</f>
        <v>1883.42</v>
      </c>
    </row>
    <row r="198">
      <c r="B198" s="11">
        <f>IFERROR(__xludf.DUMMYFUNCTION("""COMPUTED_VALUE"""),43334.66666666667)</f>
        <v>43334.66667</v>
      </c>
      <c r="C198" s="9">
        <f>IFERROR(__xludf.DUMMYFUNCTION("""COMPUTED_VALUE"""),64.17)</f>
        <v>64.17</v>
      </c>
      <c r="D198" s="11">
        <f>IFERROR(__xludf.DUMMYFUNCTION("""COMPUTED_VALUE"""),43334.66666666667)</f>
        <v>43334.66667</v>
      </c>
      <c r="E198" s="9">
        <f>IFERROR(__xludf.DUMMYFUNCTION("""COMPUTED_VALUE"""),64.33)</f>
        <v>64.33</v>
      </c>
      <c r="G198" s="11">
        <f>IFERROR(__xludf.DUMMYFUNCTION("""COMPUTED_VALUE"""),43334.66666666667)</f>
        <v>43334.66667</v>
      </c>
      <c r="H198" s="9">
        <f>IFERROR(__xludf.DUMMYFUNCTION("""COMPUTED_VALUE"""),1200.0)</f>
        <v>1200</v>
      </c>
      <c r="I198" s="11">
        <f>IFERROR(__xludf.DUMMYFUNCTION("""COMPUTED_VALUE"""),43334.66666666667)</f>
        <v>43334.66667</v>
      </c>
      <c r="J198" s="9">
        <f>IFERROR(__xludf.DUMMYFUNCTION("""COMPUTED_VALUE"""),1207.33)</f>
        <v>1207.33</v>
      </c>
      <c r="L198" s="11">
        <f>IFERROR(__xludf.DUMMYFUNCTION("""COMPUTED_VALUE"""),43334.66666666667)</f>
        <v>43334.66667</v>
      </c>
      <c r="M198" s="9">
        <f>IFERROR(__xludf.DUMMYFUNCTION("""COMPUTED_VALUE"""),53.53)</f>
        <v>53.53</v>
      </c>
      <c r="N198" s="11">
        <f>IFERROR(__xludf.DUMMYFUNCTION("""COMPUTED_VALUE"""),43334.66666666667)</f>
        <v>43334.66667</v>
      </c>
      <c r="O198" s="9">
        <f>IFERROR(__xludf.DUMMYFUNCTION("""COMPUTED_VALUE"""),53.76)</f>
        <v>53.76</v>
      </c>
      <c r="Q198" s="11">
        <f>IFERROR(__xludf.DUMMYFUNCTION("""COMPUTED_VALUE"""),43334.66666666667)</f>
        <v>43334.66667</v>
      </c>
      <c r="R198" s="9">
        <f>IFERROR(__xludf.DUMMYFUNCTION("""COMPUTED_VALUE"""),172.21)</f>
        <v>172.21</v>
      </c>
      <c r="S198" s="11">
        <f>IFERROR(__xludf.DUMMYFUNCTION("""COMPUTED_VALUE"""),43334.66666666667)</f>
        <v>43334.66667</v>
      </c>
      <c r="T198" s="9">
        <f>IFERROR(__xludf.DUMMYFUNCTION("""COMPUTED_VALUE"""),173.64)</f>
        <v>173.64</v>
      </c>
      <c r="V198" s="11">
        <f>IFERROR(__xludf.DUMMYFUNCTION("""COMPUTED_VALUE"""),43334.66666666667)</f>
        <v>43334.66667</v>
      </c>
      <c r="W198" s="9">
        <f>IFERROR(__xludf.DUMMYFUNCTION("""COMPUTED_VALUE"""),338.49)</f>
        <v>338.49</v>
      </c>
      <c r="X198" s="11">
        <f>IFERROR(__xludf.DUMMYFUNCTION("""COMPUTED_VALUE"""),43334.66666666667)</f>
        <v>43334.66667</v>
      </c>
      <c r="Y198" s="9">
        <f>IFERROR(__xludf.DUMMYFUNCTION("""COMPUTED_VALUE"""),344.44)</f>
        <v>344.44</v>
      </c>
      <c r="AA198" s="11">
        <f>IFERROR(__xludf.DUMMYFUNCTION("""COMPUTED_VALUE"""),43334.66666666667)</f>
        <v>43334.66667</v>
      </c>
      <c r="AB198" s="9">
        <f>IFERROR(__xludf.DUMMYFUNCTION("""COMPUTED_VALUE"""),1876.64)</f>
        <v>1876.64</v>
      </c>
      <c r="AC198" s="11">
        <f>IFERROR(__xludf.DUMMYFUNCTION("""COMPUTED_VALUE"""),43334.66666666667)</f>
        <v>43334.66667</v>
      </c>
      <c r="AD198" s="9">
        <f>IFERROR(__xludf.DUMMYFUNCTION("""COMPUTED_VALUE"""),1904.9)</f>
        <v>1904.9</v>
      </c>
    </row>
    <row r="199">
      <c r="B199" s="11">
        <f>IFERROR(__xludf.DUMMYFUNCTION("""COMPUTED_VALUE"""),43335.66666666667)</f>
        <v>43335.66667</v>
      </c>
      <c r="C199" s="9">
        <f>IFERROR(__xludf.DUMMYFUNCTION("""COMPUTED_VALUE"""),63.83)</f>
        <v>63.83</v>
      </c>
      <c r="D199" s="11">
        <f>IFERROR(__xludf.DUMMYFUNCTION("""COMPUTED_VALUE"""),43335.66666666667)</f>
        <v>43335.66667</v>
      </c>
      <c r="E199" s="9">
        <f>IFERROR(__xludf.DUMMYFUNCTION("""COMPUTED_VALUE"""),64.02)</f>
        <v>64.02</v>
      </c>
      <c r="G199" s="11">
        <f>IFERROR(__xludf.DUMMYFUNCTION("""COMPUTED_VALUE"""),43335.66666666667)</f>
        <v>43335.66667</v>
      </c>
      <c r="H199" s="9">
        <f>IFERROR(__xludf.DUMMYFUNCTION("""COMPUTED_VALUE"""),1207.14)</f>
        <v>1207.14</v>
      </c>
      <c r="I199" s="11">
        <f>IFERROR(__xludf.DUMMYFUNCTION("""COMPUTED_VALUE"""),43335.66666666667)</f>
        <v>43335.66667</v>
      </c>
      <c r="J199" s="9">
        <f>IFERROR(__xludf.DUMMYFUNCTION("""COMPUTED_VALUE"""),1205.38)</f>
        <v>1205.38</v>
      </c>
      <c r="L199" s="11">
        <f>IFERROR(__xludf.DUMMYFUNCTION("""COMPUTED_VALUE"""),43335.66666666667)</f>
        <v>43335.66667</v>
      </c>
      <c r="M199" s="9">
        <f>IFERROR(__xludf.DUMMYFUNCTION("""COMPUTED_VALUE"""),53.66)</f>
        <v>53.66</v>
      </c>
      <c r="N199" s="11">
        <f>IFERROR(__xludf.DUMMYFUNCTION("""COMPUTED_VALUE"""),43335.66666666667)</f>
        <v>43335.66667</v>
      </c>
      <c r="O199" s="9">
        <f>IFERROR(__xludf.DUMMYFUNCTION("""COMPUTED_VALUE"""),53.87)</f>
        <v>53.87</v>
      </c>
      <c r="Q199" s="11">
        <f>IFERROR(__xludf.DUMMYFUNCTION("""COMPUTED_VALUE"""),43335.66666666667)</f>
        <v>43335.66667</v>
      </c>
      <c r="R199" s="9">
        <f>IFERROR(__xludf.DUMMYFUNCTION("""COMPUTED_VALUE"""),173.09)</f>
        <v>173.09</v>
      </c>
      <c r="S199" s="11">
        <f>IFERROR(__xludf.DUMMYFUNCTION("""COMPUTED_VALUE"""),43335.66666666667)</f>
        <v>43335.66667</v>
      </c>
      <c r="T199" s="9">
        <f>IFERROR(__xludf.DUMMYFUNCTION("""COMPUTED_VALUE"""),172.9)</f>
        <v>172.9</v>
      </c>
      <c r="V199" s="11">
        <f>IFERROR(__xludf.DUMMYFUNCTION("""COMPUTED_VALUE"""),43335.66666666667)</f>
        <v>43335.66667</v>
      </c>
      <c r="W199" s="9">
        <f>IFERROR(__xludf.DUMMYFUNCTION("""COMPUTED_VALUE"""),348.11)</f>
        <v>348.11</v>
      </c>
      <c r="X199" s="11">
        <f>IFERROR(__xludf.DUMMYFUNCTION("""COMPUTED_VALUE"""),43335.66666666667)</f>
        <v>43335.66667</v>
      </c>
      <c r="Y199" s="9">
        <f>IFERROR(__xludf.DUMMYFUNCTION("""COMPUTED_VALUE"""),339.17)</f>
        <v>339.17</v>
      </c>
      <c r="AA199" s="11">
        <f>IFERROR(__xludf.DUMMYFUNCTION("""COMPUTED_VALUE"""),43335.66666666667)</f>
        <v>43335.66667</v>
      </c>
      <c r="AB199" s="9">
        <f>IFERROR(__xludf.DUMMYFUNCTION("""COMPUTED_VALUE"""),1907.17)</f>
        <v>1907.17</v>
      </c>
      <c r="AC199" s="11">
        <f>IFERROR(__xludf.DUMMYFUNCTION("""COMPUTED_VALUE"""),43335.66666666667)</f>
        <v>43335.66667</v>
      </c>
      <c r="AD199" s="9">
        <f>IFERROR(__xludf.DUMMYFUNCTION("""COMPUTED_VALUE"""),1902.9)</f>
        <v>1902.9</v>
      </c>
    </row>
    <row r="200">
      <c r="B200" s="11">
        <f>IFERROR(__xludf.DUMMYFUNCTION("""COMPUTED_VALUE"""),43336.66666666667)</f>
        <v>43336.66667</v>
      </c>
      <c r="C200" s="9">
        <f>IFERROR(__xludf.DUMMYFUNCTION("""COMPUTED_VALUE"""),64.14)</f>
        <v>64.14</v>
      </c>
      <c r="D200" s="11">
        <f>IFERROR(__xludf.DUMMYFUNCTION("""COMPUTED_VALUE"""),43336.66666666667)</f>
        <v>43336.66667</v>
      </c>
      <c r="E200" s="9">
        <f>IFERROR(__xludf.DUMMYFUNCTION("""COMPUTED_VALUE"""),64.56)</f>
        <v>64.56</v>
      </c>
      <c r="G200" s="11">
        <f>IFERROR(__xludf.DUMMYFUNCTION("""COMPUTED_VALUE"""),43336.66666666667)</f>
        <v>43336.66667</v>
      </c>
      <c r="H200" s="9">
        <f>IFERROR(__xludf.DUMMYFUNCTION("""COMPUTED_VALUE"""),1208.82)</f>
        <v>1208.82</v>
      </c>
      <c r="I200" s="11">
        <f>IFERROR(__xludf.DUMMYFUNCTION("""COMPUTED_VALUE"""),43336.66666666667)</f>
        <v>43336.66667</v>
      </c>
      <c r="J200" s="9">
        <f>IFERROR(__xludf.DUMMYFUNCTION("""COMPUTED_VALUE"""),1220.65)</f>
        <v>1220.65</v>
      </c>
      <c r="L200" s="11">
        <f>IFERROR(__xludf.DUMMYFUNCTION("""COMPUTED_VALUE"""),43336.66666666667)</f>
        <v>43336.66667</v>
      </c>
      <c r="M200" s="9">
        <f>IFERROR(__xludf.DUMMYFUNCTION("""COMPUTED_VALUE"""),54.15)</f>
        <v>54.15</v>
      </c>
      <c r="N200" s="11">
        <f>IFERROR(__xludf.DUMMYFUNCTION("""COMPUTED_VALUE"""),43336.66666666667)</f>
        <v>43336.66667</v>
      </c>
      <c r="O200" s="9">
        <f>IFERROR(__xludf.DUMMYFUNCTION("""COMPUTED_VALUE"""),54.04)</f>
        <v>54.04</v>
      </c>
      <c r="Q200" s="11">
        <f>IFERROR(__xludf.DUMMYFUNCTION("""COMPUTED_VALUE"""),43336.66666666667)</f>
        <v>43336.66667</v>
      </c>
      <c r="R200" s="9">
        <f>IFERROR(__xludf.DUMMYFUNCTION("""COMPUTED_VALUE"""),173.7)</f>
        <v>173.7</v>
      </c>
      <c r="S200" s="11">
        <f>IFERROR(__xludf.DUMMYFUNCTION("""COMPUTED_VALUE"""),43336.66666666667)</f>
        <v>43336.66667</v>
      </c>
      <c r="T200" s="9">
        <f>IFERROR(__xludf.DUMMYFUNCTION("""COMPUTED_VALUE"""),174.65)</f>
        <v>174.65</v>
      </c>
      <c r="V200" s="11">
        <f>IFERROR(__xludf.DUMMYFUNCTION("""COMPUTED_VALUE"""),43336.66666666667)</f>
        <v>43336.66667</v>
      </c>
      <c r="W200" s="9">
        <f>IFERROR(__xludf.DUMMYFUNCTION("""COMPUTED_VALUE"""),346.0)</f>
        <v>346</v>
      </c>
      <c r="X200" s="11">
        <f>IFERROR(__xludf.DUMMYFUNCTION("""COMPUTED_VALUE"""),43336.66666666667)</f>
        <v>43336.66667</v>
      </c>
      <c r="Y200" s="9">
        <f>IFERROR(__xludf.DUMMYFUNCTION("""COMPUTED_VALUE"""),358.82)</f>
        <v>358.82</v>
      </c>
      <c r="AA200" s="11">
        <f>IFERROR(__xludf.DUMMYFUNCTION("""COMPUTED_VALUE"""),43336.66666666667)</f>
        <v>43336.66667</v>
      </c>
      <c r="AB200" s="9">
        <f>IFERROR(__xludf.DUMMYFUNCTION("""COMPUTED_VALUE"""),1910.51)</f>
        <v>1910.51</v>
      </c>
      <c r="AC200" s="11">
        <f>IFERROR(__xludf.DUMMYFUNCTION("""COMPUTED_VALUE"""),43336.66666666667)</f>
        <v>43336.66667</v>
      </c>
      <c r="AD200" s="9">
        <f>IFERROR(__xludf.DUMMYFUNCTION("""COMPUTED_VALUE"""),1905.39)</f>
        <v>1905.39</v>
      </c>
    </row>
    <row r="201">
      <c r="B201" s="11">
        <f>IFERROR(__xludf.DUMMYFUNCTION("""COMPUTED_VALUE"""),43339.66666666667)</f>
        <v>43339.66667</v>
      </c>
      <c r="C201" s="9">
        <f>IFERROR(__xludf.DUMMYFUNCTION("""COMPUTED_VALUE"""),63.6)</f>
        <v>63.6</v>
      </c>
      <c r="D201" s="11">
        <f>IFERROR(__xludf.DUMMYFUNCTION("""COMPUTED_VALUE"""),43339.66666666667)</f>
        <v>43339.66667</v>
      </c>
      <c r="E201" s="9">
        <f>IFERROR(__xludf.DUMMYFUNCTION("""COMPUTED_VALUE"""),63.85)</f>
        <v>63.85</v>
      </c>
      <c r="G201" s="11">
        <f>IFERROR(__xludf.DUMMYFUNCTION("""COMPUTED_VALUE"""),43339.66666666667)</f>
        <v>43339.66667</v>
      </c>
      <c r="H201" s="9">
        <f>IFERROR(__xludf.DUMMYFUNCTION("""COMPUTED_VALUE"""),1227.6)</f>
        <v>1227.6</v>
      </c>
      <c r="I201" s="11">
        <f>IFERROR(__xludf.DUMMYFUNCTION("""COMPUTED_VALUE"""),43339.66666666667)</f>
        <v>43339.66667</v>
      </c>
      <c r="J201" s="9">
        <f>IFERROR(__xludf.DUMMYFUNCTION("""COMPUTED_VALUE"""),1241.82)</f>
        <v>1241.82</v>
      </c>
      <c r="L201" s="11">
        <f>IFERROR(__xludf.DUMMYFUNCTION("""COMPUTED_VALUE"""),43339.66666666667)</f>
        <v>43339.66667</v>
      </c>
      <c r="M201" s="9">
        <f>IFERROR(__xludf.DUMMYFUNCTION("""COMPUTED_VALUE"""),54.29)</f>
        <v>54.29</v>
      </c>
      <c r="N201" s="11">
        <f>IFERROR(__xludf.DUMMYFUNCTION("""COMPUTED_VALUE"""),43339.66666666667)</f>
        <v>43339.66667</v>
      </c>
      <c r="O201" s="9">
        <f>IFERROR(__xludf.DUMMYFUNCTION("""COMPUTED_VALUE"""),54.49)</f>
        <v>54.49</v>
      </c>
      <c r="Q201" s="11">
        <f>IFERROR(__xludf.DUMMYFUNCTION("""COMPUTED_VALUE"""),43339.66666666667)</f>
        <v>43339.66667</v>
      </c>
      <c r="R201" s="9">
        <f>IFERROR(__xludf.DUMMYFUNCTION("""COMPUTED_VALUE"""),175.99)</f>
        <v>175.99</v>
      </c>
      <c r="S201" s="11">
        <f>IFERROR(__xludf.DUMMYFUNCTION("""COMPUTED_VALUE"""),43339.66666666667)</f>
        <v>43339.66667</v>
      </c>
      <c r="T201" s="9">
        <f>IFERROR(__xludf.DUMMYFUNCTION("""COMPUTED_VALUE"""),177.46)</f>
        <v>177.46</v>
      </c>
      <c r="V201" s="11">
        <f>IFERROR(__xludf.DUMMYFUNCTION("""COMPUTED_VALUE"""),43339.66666666667)</f>
        <v>43339.66667</v>
      </c>
      <c r="W201" s="9">
        <f>IFERROR(__xludf.DUMMYFUNCTION("""COMPUTED_VALUE"""),367.15)</f>
        <v>367.15</v>
      </c>
      <c r="X201" s="11">
        <f>IFERROR(__xludf.DUMMYFUNCTION("""COMPUTED_VALUE"""),43339.66666666667)</f>
        <v>43339.66667</v>
      </c>
      <c r="Y201" s="9">
        <f>IFERROR(__xludf.DUMMYFUNCTION("""COMPUTED_VALUE"""),364.58)</f>
        <v>364.58</v>
      </c>
      <c r="AA201" s="11">
        <f>IFERROR(__xludf.DUMMYFUNCTION("""COMPUTED_VALUE"""),43339.66666666667)</f>
        <v>43339.66667</v>
      </c>
      <c r="AB201" s="9">
        <f>IFERROR(__xludf.DUMMYFUNCTION("""COMPUTED_VALUE"""),1915.0)</f>
        <v>1915</v>
      </c>
      <c r="AC201" s="11">
        <f>IFERROR(__xludf.DUMMYFUNCTION("""COMPUTED_VALUE"""),43339.66666666667)</f>
        <v>43339.66667</v>
      </c>
      <c r="AD201" s="9">
        <f>IFERROR(__xludf.DUMMYFUNCTION("""COMPUTED_VALUE"""),1927.68)</f>
        <v>1927.68</v>
      </c>
    </row>
    <row r="202">
      <c r="B202" s="11">
        <f>IFERROR(__xludf.DUMMYFUNCTION("""COMPUTED_VALUE"""),43340.66666666667)</f>
        <v>43340.66667</v>
      </c>
      <c r="C202" s="9">
        <f>IFERROR(__xludf.DUMMYFUNCTION("""COMPUTED_VALUE"""),63.68)</f>
        <v>63.68</v>
      </c>
      <c r="D202" s="11">
        <f>IFERROR(__xludf.DUMMYFUNCTION("""COMPUTED_VALUE"""),43340.66666666667)</f>
        <v>43340.66667</v>
      </c>
      <c r="E202" s="9">
        <f>IFERROR(__xludf.DUMMYFUNCTION("""COMPUTED_VALUE"""),62.37)</f>
        <v>62.37</v>
      </c>
      <c r="G202" s="11">
        <f>IFERROR(__xludf.DUMMYFUNCTION("""COMPUTED_VALUE"""),43340.66666666667)</f>
        <v>43340.66667</v>
      </c>
      <c r="H202" s="9">
        <f>IFERROR(__xludf.DUMMYFUNCTION("""COMPUTED_VALUE"""),1241.29)</f>
        <v>1241.29</v>
      </c>
      <c r="I202" s="11">
        <f>IFERROR(__xludf.DUMMYFUNCTION("""COMPUTED_VALUE"""),43340.66666666667)</f>
        <v>43340.66667</v>
      </c>
      <c r="J202" s="9">
        <f>IFERROR(__xludf.DUMMYFUNCTION("""COMPUTED_VALUE"""),1231.15)</f>
        <v>1231.15</v>
      </c>
      <c r="L202" s="11">
        <f>IFERROR(__xludf.DUMMYFUNCTION("""COMPUTED_VALUE"""),43340.66666666667)</f>
        <v>43340.66667</v>
      </c>
      <c r="M202" s="9">
        <f>IFERROR(__xludf.DUMMYFUNCTION("""COMPUTED_VALUE"""),54.75)</f>
        <v>54.75</v>
      </c>
      <c r="N202" s="11">
        <f>IFERROR(__xludf.DUMMYFUNCTION("""COMPUTED_VALUE"""),43340.66666666667)</f>
        <v>43340.66667</v>
      </c>
      <c r="O202" s="9">
        <f>IFERROR(__xludf.DUMMYFUNCTION("""COMPUTED_VALUE"""),54.93)</f>
        <v>54.93</v>
      </c>
      <c r="Q202" s="11">
        <f>IFERROR(__xludf.DUMMYFUNCTION("""COMPUTED_VALUE"""),43340.66666666667)</f>
        <v>43340.66667</v>
      </c>
      <c r="R202" s="9">
        <f>IFERROR(__xludf.DUMMYFUNCTION("""COMPUTED_VALUE"""),178.1)</f>
        <v>178.1</v>
      </c>
      <c r="S202" s="11">
        <f>IFERROR(__xludf.DUMMYFUNCTION("""COMPUTED_VALUE"""),43340.66666666667)</f>
        <v>43340.66667</v>
      </c>
      <c r="T202" s="9">
        <f>IFERROR(__xludf.DUMMYFUNCTION("""COMPUTED_VALUE"""),176.26)</f>
        <v>176.26</v>
      </c>
      <c r="V202" s="11">
        <f>IFERROR(__xludf.DUMMYFUNCTION("""COMPUTED_VALUE"""),43340.66666666667)</f>
        <v>43340.66667</v>
      </c>
      <c r="W202" s="9">
        <f>IFERROR(__xludf.DUMMYFUNCTION("""COMPUTED_VALUE"""),367.23)</f>
        <v>367.23</v>
      </c>
      <c r="X202" s="11">
        <f>IFERROR(__xludf.DUMMYFUNCTION("""COMPUTED_VALUE"""),43340.66666666667)</f>
        <v>43340.66667</v>
      </c>
      <c r="Y202" s="9">
        <f>IFERROR(__xludf.DUMMYFUNCTION("""COMPUTED_VALUE"""),368.49)</f>
        <v>368.49</v>
      </c>
      <c r="AA202" s="11">
        <f>IFERROR(__xludf.DUMMYFUNCTION("""COMPUTED_VALUE"""),43340.66666666667)</f>
        <v>43340.66667</v>
      </c>
      <c r="AB202" s="9">
        <f>IFERROR(__xludf.DUMMYFUNCTION("""COMPUTED_VALUE"""),1937.73)</f>
        <v>1937.73</v>
      </c>
      <c r="AC202" s="11">
        <f>IFERROR(__xludf.DUMMYFUNCTION("""COMPUTED_VALUE"""),43340.66666666667)</f>
        <v>43340.66667</v>
      </c>
      <c r="AD202" s="9">
        <f>IFERROR(__xludf.DUMMYFUNCTION("""COMPUTED_VALUE"""),1932.82)</f>
        <v>1932.82</v>
      </c>
    </row>
    <row r="203">
      <c r="B203" s="11">
        <f>IFERROR(__xludf.DUMMYFUNCTION("""COMPUTED_VALUE"""),43341.66666666667)</f>
        <v>43341.66667</v>
      </c>
      <c r="C203" s="9">
        <f>IFERROR(__xludf.DUMMYFUNCTION("""COMPUTED_VALUE"""),62.05)</f>
        <v>62.05</v>
      </c>
      <c r="D203" s="11">
        <f>IFERROR(__xludf.DUMMYFUNCTION("""COMPUTED_VALUE"""),43341.66666666667)</f>
        <v>43341.66667</v>
      </c>
      <c r="E203" s="9">
        <f>IFERROR(__xludf.DUMMYFUNCTION("""COMPUTED_VALUE"""),61.0)</f>
        <v>61</v>
      </c>
      <c r="G203" s="11">
        <f>IFERROR(__xludf.DUMMYFUNCTION("""COMPUTED_VALUE"""),43341.66666666667)</f>
        <v>43341.66667</v>
      </c>
      <c r="H203" s="9">
        <f>IFERROR(__xludf.DUMMYFUNCTION("""COMPUTED_VALUE"""),1237.45)</f>
        <v>1237.45</v>
      </c>
      <c r="I203" s="11">
        <f>IFERROR(__xludf.DUMMYFUNCTION("""COMPUTED_VALUE"""),43341.66666666667)</f>
        <v>43341.66667</v>
      </c>
      <c r="J203" s="9">
        <f>IFERROR(__xludf.DUMMYFUNCTION("""COMPUTED_VALUE"""),1249.3)</f>
        <v>1249.3</v>
      </c>
      <c r="L203" s="11">
        <f>IFERROR(__xludf.DUMMYFUNCTION("""COMPUTED_VALUE"""),43341.66666666667)</f>
        <v>43341.66667</v>
      </c>
      <c r="M203" s="9">
        <f>IFERROR(__xludf.DUMMYFUNCTION("""COMPUTED_VALUE"""),55.04)</f>
        <v>55.04</v>
      </c>
      <c r="N203" s="11">
        <f>IFERROR(__xludf.DUMMYFUNCTION("""COMPUTED_VALUE"""),43341.66666666667)</f>
        <v>43341.66667</v>
      </c>
      <c r="O203" s="9">
        <f>IFERROR(__xludf.DUMMYFUNCTION("""COMPUTED_VALUE"""),55.75)</f>
        <v>55.75</v>
      </c>
      <c r="Q203" s="11">
        <f>IFERROR(__xludf.DUMMYFUNCTION("""COMPUTED_VALUE"""),43341.66666666667)</f>
        <v>43341.66667</v>
      </c>
      <c r="R203" s="9">
        <f>IFERROR(__xludf.DUMMYFUNCTION("""COMPUTED_VALUE"""),176.3)</f>
        <v>176.3</v>
      </c>
      <c r="S203" s="11">
        <f>IFERROR(__xludf.DUMMYFUNCTION("""COMPUTED_VALUE"""),43341.66666666667)</f>
        <v>43341.66667</v>
      </c>
      <c r="T203" s="9">
        <f>IFERROR(__xludf.DUMMYFUNCTION("""COMPUTED_VALUE"""),175.9)</f>
        <v>175.9</v>
      </c>
      <c r="V203" s="11">
        <f>IFERROR(__xludf.DUMMYFUNCTION("""COMPUTED_VALUE"""),43341.66666666667)</f>
        <v>43341.66667</v>
      </c>
      <c r="W203" s="9">
        <f>IFERROR(__xludf.DUMMYFUNCTION("""COMPUTED_VALUE"""),367.2)</f>
        <v>367.2</v>
      </c>
      <c r="X203" s="11">
        <f>IFERROR(__xludf.DUMMYFUNCTION("""COMPUTED_VALUE"""),43341.66666666667)</f>
        <v>43341.66667</v>
      </c>
      <c r="Y203" s="9">
        <f>IFERROR(__xludf.DUMMYFUNCTION("""COMPUTED_VALUE"""),368.04)</f>
        <v>368.04</v>
      </c>
      <c r="AA203" s="11">
        <f>IFERROR(__xludf.DUMMYFUNCTION("""COMPUTED_VALUE"""),43341.66666666667)</f>
        <v>43341.66667</v>
      </c>
      <c r="AB203" s="9">
        <f>IFERROR(__xludf.DUMMYFUNCTION("""COMPUTED_VALUE"""),1953.45)</f>
        <v>1953.45</v>
      </c>
      <c r="AC203" s="11">
        <f>IFERROR(__xludf.DUMMYFUNCTION("""COMPUTED_VALUE"""),43341.66666666667)</f>
        <v>43341.66667</v>
      </c>
      <c r="AD203" s="9">
        <f>IFERROR(__xludf.DUMMYFUNCTION("""COMPUTED_VALUE"""),1998.1)</f>
        <v>1998.1</v>
      </c>
    </row>
    <row r="204">
      <c r="B204" s="11">
        <f>IFERROR(__xludf.DUMMYFUNCTION("""COMPUTED_VALUE"""),43342.66666666667)</f>
        <v>43342.66667</v>
      </c>
      <c r="C204" s="9">
        <f>IFERROR(__xludf.DUMMYFUNCTION("""COMPUTED_VALUE"""),60.45)</f>
        <v>60.45</v>
      </c>
      <c r="D204" s="11">
        <f>IFERROR(__xludf.DUMMYFUNCTION("""COMPUTED_VALUE"""),43342.66666666667)</f>
        <v>43342.66667</v>
      </c>
      <c r="E204" s="9">
        <f>IFERROR(__xludf.DUMMYFUNCTION("""COMPUTED_VALUE"""),60.63)</f>
        <v>60.63</v>
      </c>
      <c r="G204" s="11">
        <f>IFERROR(__xludf.DUMMYFUNCTION("""COMPUTED_VALUE"""),43342.66666666667)</f>
        <v>43342.66667</v>
      </c>
      <c r="H204" s="9">
        <f>IFERROR(__xludf.DUMMYFUNCTION("""COMPUTED_VALUE"""),1244.23)</f>
        <v>1244.23</v>
      </c>
      <c r="I204" s="11">
        <f>IFERROR(__xludf.DUMMYFUNCTION("""COMPUTED_VALUE"""),43342.66666666667)</f>
        <v>43342.66667</v>
      </c>
      <c r="J204" s="9">
        <f>IFERROR(__xludf.DUMMYFUNCTION("""COMPUTED_VALUE"""),1239.12)</f>
        <v>1239.12</v>
      </c>
      <c r="L204" s="11">
        <f>IFERROR(__xludf.DUMMYFUNCTION("""COMPUTED_VALUE"""),43342.66666666667)</f>
        <v>43342.66667</v>
      </c>
      <c r="M204" s="9">
        <f>IFERROR(__xludf.DUMMYFUNCTION("""COMPUTED_VALUE"""),55.81)</f>
        <v>55.81</v>
      </c>
      <c r="N204" s="11">
        <f>IFERROR(__xludf.DUMMYFUNCTION("""COMPUTED_VALUE"""),43342.66666666667)</f>
        <v>43342.66667</v>
      </c>
      <c r="O204" s="9">
        <f>IFERROR(__xludf.DUMMYFUNCTION("""COMPUTED_VALUE"""),56.26)</f>
        <v>56.26</v>
      </c>
      <c r="Q204" s="11">
        <f>IFERROR(__xludf.DUMMYFUNCTION("""COMPUTED_VALUE"""),43342.66666666667)</f>
        <v>43342.66667</v>
      </c>
      <c r="R204" s="9">
        <f>IFERROR(__xludf.DUMMYFUNCTION("""COMPUTED_VALUE"""),175.9)</f>
        <v>175.9</v>
      </c>
      <c r="S204" s="11">
        <f>IFERROR(__xludf.DUMMYFUNCTION("""COMPUTED_VALUE"""),43342.66666666667)</f>
        <v>43342.66667</v>
      </c>
      <c r="T204" s="9">
        <f>IFERROR(__xludf.DUMMYFUNCTION("""COMPUTED_VALUE"""),177.64)</f>
        <v>177.64</v>
      </c>
      <c r="V204" s="11">
        <f>IFERROR(__xludf.DUMMYFUNCTION("""COMPUTED_VALUE"""),43342.66666666667)</f>
        <v>43342.66667</v>
      </c>
      <c r="W204" s="9">
        <f>IFERROR(__xludf.DUMMYFUNCTION("""COMPUTED_VALUE"""),365.0)</f>
        <v>365</v>
      </c>
      <c r="X204" s="11">
        <f>IFERROR(__xludf.DUMMYFUNCTION("""COMPUTED_VALUE"""),43342.66666666667)</f>
        <v>43342.66667</v>
      </c>
      <c r="Y204" s="9">
        <f>IFERROR(__xludf.DUMMYFUNCTION("""COMPUTED_VALUE"""),370.98)</f>
        <v>370.98</v>
      </c>
      <c r="AA204" s="11">
        <f>IFERROR(__xludf.DUMMYFUNCTION("""COMPUTED_VALUE"""),43342.66666666667)</f>
        <v>43342.66667</v>
      </c>
      <c r="AB204" s="9">
        <f>IFERROR(__xludf.DUMMYFUNCTION("""COMPUTED_VALUE"""),1997.42)</f>
        <v>1997.42</v>
      </c>
      <c r="AC204" s="11">
        <f>IFERROR(__xludf.DUMMYFUNCTION("""COMPUTED_VALUE"""),43342.66666666667)</f>
        <v>43342.66667</v>
      </c>
      <c r="AD204" s="9">
        <f>IFERROR(__xludf.DUMMYFUNCTION("""COMPUTED_VALUE"""),2002.38)</f>
        <v>2002.38</v>
      </c>
    </row>
    <row r="205">
      <c r="B205" s="11">
        <f>IFERROR(__xludf.DUMMYFUNCTION("""COMPUTED_VALUE"""),43343.66666666667)</f>
        <v>43343.66667</v>
      </c>
      <c r="C205" s="9">
        <f>IFERROR(__xludf.DUMMYFUNCTION("""COMPUTED_VALUE"""),60.4)</f>
        <v>60.4</v>
      </c>
      <c r="D205" s="11">
        <f>IFERROR(__xludf.DUMMYFUNCTION("""COMPUTED_VALUE"""),43343.66666666667)</f>
        <v>43343.66667</v>
      </c>
      <c r="E205" s="9">
        <f>IFERROR(__xludf.DUMMYFUNCTION("""COMPUTED_VALUE"""),60.33)</f>
        <v>60.33</v>
      </c>
      <c r="G205" s="11">
        <f>IFERROR(__xludf.DUMMYFUNCTION("""COMPUTED_VALUE"""),43343.66666666667)</f>
        <v>43343.66667</v>
      </c>
      <c r="H205" s="9">
        <f>IFERROR(__xludf.DUMMYFUNCTION("""COMPUTED_VALUE"""),1234.98)</f>
        <v>1234.98</v>
      </c>
      <c r="I205" s="11">
        <f>IFERROR(__xludf.DUMMYFUNCTION("""COMPUTED_VALUE"""),43343.66666666667)</f>
        <v>43343.66667</v>
      </c>
      <c r="J205" s="9">
        <f>IFERROR(__xludf.DUMMYFUNCTION("""COMPUTED_VALUE"""),1218.19)</f>
        <v>1218.19</v>
      </c>
      <c r="L205" s="11">
        <f>IFERROR(__xludf.DUMMYFUNCTION("""COMPUTED_VALUE"""),43343.66666666667)</f>
        <v>43343.66667</v>
      </c>
      <c r="M205" s="9">
        <f>IFERROR(__xludf.DUMMYFUNCTION("""COMPUTED_VALUE"""),56.63)</f>
        <v>56.63</v>
      </c>
      <c r="N205" s="11">
        <f>IFERROR(__xludf.DUMMYFUNCTION("""COMPUTED_VALUE"""),43343.66666666667)</f>
        <v>43343.66667</v>
      </c>
      <c r="O205" s="9">
        <f>IFERROR(__xludf.DUMMYFUNCTION("""COMPUTED_VALUE"""),56.91)</f>
        <v>56.91</v>
      </c>
      <c r="Q205" s="11">
        <f>IFERROR(__xludf.DUMMYFUNCTION("""COMPUTED_VALUE"""),43343.66666666667)</f>
        <v>43343.66667</v>
      </c>
      <c r="R205" s="9">
        <f>IFERROR(__xludf.DUMMYFUNCTION("""COMPUTED_VALUE"""),177.15)</f>
        <v>177.15</v>
      </c>
      <c r="S205" s="11">
        <f>IFERROR(__xludf.DUMMYFUNCTION("""COMPUTED_VALUE"""),43343.66666666667)</f>
        <v>43343.66667</v>
      </c>
      <c r="T205" s="9">
        <f>IFERROR(__xludf.DUMMYFUNCTION("""COMPUTED_VALUE"""),175.73)</f>
        <v>175.73</v>
      </c>
      <c r="V205" s="11">
        <f>IFERROR(__xludf.DUMMYFUNCTION("""COMPUTED_VALUE"""),43343.66666666667)</f>
        <v>43343.66667</v>
      </c>
      <c r="W205" s="9">
        <f>IFERROR(__xludf.DUMMYFUNCTION("""COMPUTED_VALUE"""),370.66)</f>
        <v>370.66</v>
      </c>
      <c r="X205" s="11">
        <f>IFERROR(__xludf.DUMMYFUNCTION("""COMPUTED_VALUE"""),43343.66666666667)</f>
        <v>43343.66667</v>
      </c>
      <c r="Y205" s="9">
        <f>IFERROR(__xludf.DUMMYFUNCTION("""COMPUTED_VALUE"""),367.68)</f>
        <v>367.68</v>
      </c>
      <c r="AA205" s="11">
        <f>IFERROR(__xludf.DUMMYFUNCTION("""COMPUTED_VALUE"""),43343.66666666667)</f>
        <v>43343.66667</v>
      </c>
      <c r="AB205" s="9">
        <f>IFERROR(__xludf.DUMMYFUNCTION("""COMPUTED_VALUE"""),2007.0)</f>
        <v>2007</v>
      </c>
      <c r="AC205" s="11">
        <f>IFERROR(__xludf.DUMMYFUNCTION("""COMPUTED_VALUE"""),43343.66666666667)</f>
        <v>43343.66667</v>
      </c>
      <c r="AD205" s="9">
        <f>IFERROR(__xludf.DUMMYFUNCTION("""COMPUTED_VALUE"""),2012.71)</f>
        <v>2012.71</v>
      </c>
    </row>
    <row r="206">
      <c r="B206" s="11">
        <f>IFERROR(__xludf.DUMMYFUNCTION("""COMPUTED_VALUE"""),43347.66666666667)</f>
        <v>43347.66667</v>
      </c>
      <c r="C206" s="9">
        <f>IFERROR(__xludf.DUMMYFUNCTION("""COMPUTED_VALUE"""),59.39)</f>
        <v>59.39</v>
      </c>
      <c r="D206" s="11">
        <f>IFERROR(__xludf.DUMMYFUNCTION("""COMPUTED_VALUE"""),43347.66666666667)</f>
        <v>43347.66667</v>
      </c>
      <c r="E206" s="9">
        <f>IFERROR(__xludf.DUMMYFUNCTION("""COMPUTED_VALUE"""),57.79)</f>
        <v>57.79</v>
      </c>
      <c r="G206" s="11">
        <f>IFERROR(__xludf.DUMMYFUNCTION("""COMPUTED_VALUE"""),43347.66666666667)</f>
        <v>43347.66667</v>
      </c>
      <c r="H206" s="9">
        <f>IFERROR(__xludf.DUMMYFUNCTION("""COMPUTED_VALUE"""),1204.27)</f>
        <v>1204.27</v>
      </c>
      <c r="I206" s="11">
        <f>IFERROR(__xludf.DUMMYFUNCTION("""COMPUTED_VALUE"""),43347.66666666667)</f>
        <v>43347.66667</v>
      </c>
      <c r="J206" s="9">
        <f>IFERROR(__xludf.DUMMYFUNCTION("""COMPUTED_VALUE"""),1197.0)</f>
        <v>1197</v>
      </c>
      <c r="L206" s="11">
        <f>IFERROR(__xludf.DUMMYFUNCTION("""COMPUTED_VALUE"""),43347.66666666667)</f>
        <v>43347.66667</v>
      </c>
      <c r="M206" s="9">
        <f>IFERROR(__xludf.DUMMYFUNCTION("""COMPUTED_VALUE"""),57.1)</f>
        <v>57.1</v>
      </c>
      <c r="N206" s="11">
        <f>IFERROR(__xludf.DUMMYFUNCTION("""COMPUTED_VALUE"""),43347.66666666667)</f>
        <v>43347.66667</v>
      </c>
      <c r="O206" s="9">
        <f>IFERROR(__xludf.DUMMYFUNCTION("""COMPUTED_VALUE"""),57.09)</f>
        <v>57.09</v>
      </c>
      <c r="Q206" s="11">
        <f>IFERROR(__xludf.DUMMYFUNCTION("""COMPUTED_VALUE"""),43347.66666666667)</f>
        <v>43347.66667</v>
      </c>
      <c r="R206" s="9">
        <f>IFERROR(__xludf.DUMMYFUNCTION("""COMPUTED_VALUE"""),173.5)</f>
        <v>173.5</v>
      </c>
      <c r="S206" s="11">
        <f>IFERROR(__xludf.DUMMYFUNCTION("""COMPUTED_VALUE"""),43347.66666666667)</f>
        <v>43347.66667</v>
      </c>
      <c r="T206" s="9">
        <f>IFERROR(__xludf.DUMMYFUNCTION("""COMPUTED_VALUE"""),171.16)</f>
        <v>171.16</v>
      </c>
      <c r="V206" s="11">
        <f>IFERROR(__xludf.DUMMYFUNCTION("""COMPUTED_VALUE"""),43347.66666666667)</f>
        <v>43347.66667</v>
      </c>
      <c r="W206" s="9">
        <f>IFERROR(__xludf.DUMMYFUNCTION("""COMPUTED_VALUE"""),366.47)</f>
        <v>366.47</v>
      </c>
      <c r="X206" s="11">
        <f>IFERROR(__xludf.DUMMYFUNCTION("""COMPUTED_VALUE"""),43347.66666666667)</f>
        <v>43347.66667</v>
      </c>
      <c r="Y206" s="9">
        <f>IFERROR(__xludf.DUMMYFUNCTION("""COMPUTED_VALUE"""),363.6)</f>
        <v>363.6</v>
      </c>
      <c r="AA206" s="11">
        <f>IFERROR(__xludf.DUMMYFUNCTION("""COMPUTED_VALUE"""),43347.66666666667)</f>
        <v>43347.66667</v>
      </c>
      <c r="AB206" s="9">
        <f>IFERROR(__xludf.DUMMYFUNCTION("""COMPUTED_VALUE"""),2026.5)</f>
        <v>2026.5</v>
      </c>
      <c r="AC206" s="11">
        <f>IFERROR(__xludf.DUMMYFUNCTION("""COMPUTED_VALUE"""),43347.66666666667)</f>
        <v>43347.66667</v>
      </c>
      <c r="AD206" s="9">
        <f>IFERROR(__xludf.DUMMYFUNCTION("""COMPUTED_VALUE"""),2039.51)</f>
        <v>2039.51</v>
      </c>
    </row>
    <row r="207">
      <c r="B207" s="11">
        <f>IFERROR(__xludf.DUMMYFUNCTION("""COMPUTED_VALUE"""),43348.66666666667)</f>
        <v>43348.66667</v>
      </c>
      <c r="C207" s="9">
        <f>IFERROR(__xludf.DUMMYFUNCTION("""COMPUTED_VALUE"""),57.01)</f>
        <v>57.01</v>
      </c>
      <c r="D207" s="11">
        <f>IFERROR(__xludf.DUMMYFUNCTION("""COMPUTED_VALUE"""),43348.66666666667)</f>
        <v>43348.66667</v>
      </c>
      <c r="E207" s="9">
        <f>IFERROR(__xludf.DUMMYFUNCTION("""COMPUTED_VALUE"""),56.15)</f>
        <v>56.15</v>
      </c>
      <c r="G207" s="11">
        <f>IFERROR(__xludf.DUMMYFUNCTION("""COMPUTED_VALUE"""),43348.66666666667)</f>
        <v>43348.66667</v>
      </c>
      <c r="H207" s="9">
        <f>IFERROR(__xludf.DUMMYFUNCTION("""COMPUTED_VALUE"""),1193.8)</f>
        <v>1193.8</v>
      </c>
      <c r="I207" s="11">
        <f>IFERROR(__xludf.DUMMYFUNCTION("""COMPUTED_VALUE"""),43348.66666666667)</f>
        <v>43348.66667</v>
      </c>
      <c r="J207" s="9">
        <f>IFERROR(__xludf.DUMMYFUNCTION("""COMPUTED_VALUE"""),1186.48)</f>
        <v>1186.48</v>
      </c>
      <c r="L207" s="11">
        <f>IFERROR(__xludf.DUMMYFUNCTION("""COMPUTED_VALUE"""),43348.66666666667)</f>
        <v>43348.66667</v>
      </c>
      <c r="M207" s="9">
        <f>IFERROR(__xludf.DUMMYFUNCTION("""COMPUTED_VALUE"""),57.25)</f>
        <v>57.25</v>
      </c>
      <c r="N207" s="11">
        <f>IFERROR(__xludf.DUMMYFUNCTION("""COMPUTED_VALUE"""),43348.66666666667)</f>
        <v>43348.66667</v>
      </c>
      <c r="O207" s="9">
        <f>IFERROR(__xludf.DUMMYFUNCTION("""COMPUTED_VALUE"""),56.72)</f>
        <v>56.72</v>
      </c>
      <c r="Q207" s="11">
        <f>IFERROR(__xludf.DUMMYFUNCTION("""COMPUTED_VALUE"""),43348.66666666667)</f>
        <v>43348.66667</v>
      </c>
      <c r="R207" s="9">
        <f>IFERROR(__xludf.DUMMYFUNCTION("""COMPUTED_VALUE"""),169.49)</f>
        <v>169.49</v>
      </c>
      <c r="S207" s="11">
        <f>IFERROR(__xludf.DUMMYFUNCTION("""COMPUTED_VALUE"""),43348.66666666667)</f>
        <v>43348.66667</v>
      </c>
      <c r="T207" s="9">
        <f>IFERROR(__xludf.DUMMYFUNCTION("""COMPUTED_VALUE"""),167.18)</f>
        <v>167.18</v>
      </c>
      <c r="V207" s="11">
        <f>IFERROR(__xludf.DUMMYFUNCTION("""COMPUTED_VALUE"""),43348.66666666667)</f>
        <v>43348.66667</v>
      </c>
      <c r="W207" s="9">
        <f>IFERROR(__xludf.DUMMYFUNCTION("""COMPUTED_VALUE"""),360.0)</f>
        <v>360</v>
      </c>
      <c r="X207" s="11">
        <f>IFERROR(__xludf.DUMMYFUNCTION("""COMPUTED_VALUE"""),43348.66666666667)</f>
        <v>43348.66667</v>
      </c>
      <c r="Y207" s="9">
        <f>IFERROR(__xludf.DUMMYFUNCTION("""COMPUTED_VALUE"""),341.18)</f>
        <v>341.18</v>
      </c>
      <c r="AA207" s="11">
        <f>IFERROR(__xludf.DUMMYFUNCTION("""COMPUTED_VALUE"""),43348.66666666667)</f>
        <v>43348.66667</v>
      </c>
      <c r="AB207" s="9">
        <f>IFERROR(__xludf.DUMMYFUNCTION("""COMPUTED_VALUE"""),2038.11)</f>
        <v>2038.11</v>
      </c>
      <c r="AC207" s="11">
        <f>IFERROR(__xludf.DUMMYFUNCTION("""COMPUTED_VALUE"""),43348.66666666667)</f>
        <v>43348.66667</v>
      </c>
      <c r="AD207" s="9">
        <f>IFERROR(__xludf.DUMMYFUNCTION("""COMPUTED_VALUE"""),1994.82)</f>
        <v>1994.82</v>
      </c>
    </row>
    <row r="208">
      <c r="B208" s="11">
        <f>IFERROR(__xludf.DUMMYFUNCTION("""COMPUTED_VALUE"""),43349.66666666667)</f>
        <v>43349.66667</v>
      </c>
      <c r="C208" s="9">
        <f>IFERROR(__xludf.DUMMYFUNCTION("""COMPUTED_VALUE"""),56.96)</f>
        <v>56.96</v>
      </c>
      <c r="D208" s="11">
        <f>IFERROR(__xludf.DUMMYFUNCTION("""COMPUTED_VALUE"""),43349.66666666667)</f>
        <v>43349.66667</v>
      </c>
      <c r="E208" s="9">
        <f>IFERROR(__xludf.DUMMYFUNCTION("""COMPUTED_VALUE"""),56.19)</f>
        <v>56.19</v>
      </c>
      <c r="G208" s="11">
        <f>IFERROR(__xludf.DUMMYFUNCTION("""COMPUTED_VALUE"""),43349.66666666667)</f>
        <v>43349.66667</v>
      </c>
      <c r="H208" s="9">
        <f>IFERROR(__xludf.DUMMYFUNCTION("""COMPUTED_VALUE"""),1186.3)</f>
        <v>1186.3</v>
      </c>
      <c r="I208" s="11">
        <f>IFERROR(__xludf.DUMMYFUNCTION("""COMPUTED_VALUE"""),43349.66666666667)</f>
        <v>43349.66667</v>
      </c>
      <c r="J208" s="9">
        <f>IFERROR(__xludf.DUMMYFUNCTION("""COMPUTED_VALUE"""),1171.44)</f>
        <v>1171.44</v>
      </c>
      <c r="L208" s="11">
        <f>IFERROR(__xludf.DUMMYFUNCTION("""COMPUTED_VALUE"""),43349.66666666667)</f>
        <v>43349.66667</v>
      </c>
      <c r="M208" s="9">
        <f>IFERROR(__xludf.DUMMYFUNCTION("""COMPUTED_VALUE"""),56.56)</f>
        <v>56.56</v>
      </c>
      <c r="N208" s="11">
        <f>IFERROR(__xludf.DUMMYFUNCTION("""COMPUTED_VALUE"""),43349.66666666667)</f>
        <v>43349.66667</v>
      </c>
      <c r="O208" s="9">
        <f>IFERROR(__xludf.DUMMYFUNCTION("""COMPUTED_VALUE"""),55.78)</f>
        <v>55.78</v>
      </c>
      <c r="Q208" s="11">
        <f>IFERROR(__xludf.DUMMYFUNCTION("""COMPUTED_VALUE"""),43349.66666666667)</f>
        <v>43349.66667</v>
      </c>
      <c r="R208" s="9">
        <f>IFERROR(__xludf.DUMMYFUNCTION("""COMPUTED_VALUE"""),166.98)</f>
        <v>166.98</v>
      </c>
      <c r="S208" s="11">
        <f>IFERROR(__xludf.DUMMYFUNCTION("""COMPUTED_VALUE"""),43349.66666666667)</f>
        <v>43349.66667</v>
      </c>
      <c r="T208" s="9">
        <f>IFERROR(__xludf.DUMMYFUNCTION("""COMPUTED_VALUE"""),162.53)</f>
        <v>162.53</v>
      </c>
      <c r="V208" s="11">
        <f>IFERROR(__xludf.DUMMYFUNCTION("""COMPUTED_VALUE"""),43349.66666666667)</f>
        <v>43349.66667</v>
      </c>
      <c r="W208" s="9">
        <f>IFERROR(__xludf.DUMMYFUNCTION("""COMPUTED_VALUE"""),347.44)</f>
        <v>347.44</v>
      </c>
      <c r="X208" s="11">
        <f>IFERROR(__xludf.DUMMYFUNCTION("""COMPUTED_VALUE"""),43349.66666666667)</f>
        <v>43349.66667</v>
      </c>
      <c r="Y208" s="9">
        <f>IFERROR(__xludf.DUMMYFUNCTION("""COMPUTED_VALUE"""),346.46)</f>
        <v>346.46</v>
      </c>
      <c r="AA208" s="11">
        <f>IFERROR(__xludf.DUMMYFUNCTION("""COMPUTED_VALUE"""),43349.66666666667)</f>
        <v>43349.66667</v>
      </c>
      <c r="AB208" s="9">
        <f>IFERROR(__xludf.DUMMYFUNCTION("""COMPUTED_VALUE"""),2006.51)</f>
        <v>2006.51</v>
      </c>
      <c r="AC208" s="11">
        <f>IFERROR(__xludf.DUMMYFUNCTION("""COMPUTED_VALUE"""),43349.66666666667)</f>
        <v>43349.66667</v>
      </c>
      <c r="AD208" s="9">
        <f>IFERROR(__xludf.DUMMYFUNCTION("""COMPUTED_VALUE"""),1958.31)</f>
        <v>1958.31</v>
      </c>
    </row>
    <row r="209">
      <c r="B209" s="11">
        <f>IFERROR(__xludf.DUMMYFUNCTION("""COMPUTED_VALUE"""),43350.66666666667)</f>
        <v>43350.66667</v>
      </c>
      <c r="C209" s="9">
        <f>IFERROR(__xludf.DUMMYFUNCTION("""COMPUTED_VALUE"""),52.02)</f>
        <v>52.02</v>
      </c>
      <c r="D209" s="11">
        <f>IFERROR(__xludf.DUMMYFUNCTION("""COMPUTED_VALUE"""),43350.66666666667)</f>
        <v>43350.66667</v>
      </c>
      <c r="E209" s="9">
        <f>IFERROR(__xludf.DUMMYFUNCTION("""COMPUTED_VALUE"""),52.65)</f>
        <v>52.65</v>
      </c>
      <c r="G209" s="11">
        <f>IFERROR(__xludf.DUMMYFUNCTION("""COMPUTED_VALUE"""),43350.66666666667)</f>
        <v>43350.66667</v>
      </c>
      <c r="H209" s="9">
        <f>IFERROR(__xludf.DUMMYFUNCTION("""COMPUTED_VALUE"""),1158.67)</f>
        <v>1158.67</v>
      </c>
      <c r="I209" s="11">
        <f>IFERROR(__xludf.DUMMYFUNCTION("""COMPUTED_VALUE"""),43350.66666666667)</f>
        <v>43350.66667</v>
      </c>
      <c r="J209" s="9">
        <f>IFERROR(__xludf.DUMMYFUNCTION("""COMPUTED_VALUE"""),1164.83)</f>
        <v>1164.83</v>
      </c>
      <c r="L209" s="11">
        <f>IFERROR(__xludf.DUMMYFUNCTION("""COMPUTED_VALUE"""),43350.66666666667)</f>
        <v>43350.66667</v>
      </c>
      <c r="M209" s="9">
        <f>IFERROR(__xludf.DUMMYFUNCTION("""COMPUTED_VALUE"""),55.46)</f>
        <v>55.46</v>
      </c>
      <c r="N209" s="11">
        <f>IFERROR(__xludf.DUMMYFUNCTION("""COMPUTED_VALUE"""),43350.66666666667)</f>
        <v>43350.66667</v>
      </c>
      <c r="O209" s="9">
        <f>IFERROR(__xludf.DUMMYFUNCTION("""COMPUTED_VALUE"""),55.33)</f>
        <v>55.33</v>
      </c>
      <c r="Q209" s="11">
        <f>IFERROR(__xludf.DUMMYFUNCTION("""COMPUTED_VALUE"""),43350.66666666667)</f>
        <v>43350.66667</v>
      </c>
      <c r="R209" s="9">
        <f>IFERROR(__xludf.DUMMYFUNCTION("""COMPUTED_VALUE"""),160.31)</f>
        <v>160.31</v>
      </c>
      <c r="S209" s="11">
        <f>IFERROR(__xludf.DUMMYFUNCTION("""COMPUTED_VALUE"""),43350.66666666667)</f>
        <v>43350.66667</v>
      </c>
      <c r="T209" s="9">
        <f>IFERROR(__xludf.DUMMYFUNCTION("""COMPUTED_VALUE"""),163.04)</f>
        <v>163.04</v>
      </c>
      <c r="V209" s="11">
        <f>IFERROR(__xludf.DUMMYFUNCTION("""COMPUTED_VALUE"""),43350.66666666667)</f>
        <v>43350.66667</v>
      </c>
      <c r="W209" s="9">
        <f>IFERROR(__xludf.DUMMYFUNCTION("""COMPUTED_VALUE"""),342.2)</f>
        <v>342.2</v>
      </c>
      <c r="X209" s="11">
        <f>IFERROR(__xludf.DUMMYFUNCTION("""COMPUTED_VALUE"""),43350.66666666667)</f>
        <v>43350.66667</v>
      </c>
      <c r="Y209" s="9">
        <f>IFERROR(__xludf.DUMMYFUNCTION("""COMPUTED_VALUE"""),348.68)</f>
        <v>348.68</v>
      </c>
      <c r="AA209" s="11">
        <f>IFERROR(__xludf.DUMMYFUNCTION("""COMPUTED_VALUE"""),43350.66666666667)</f>
        <v>43350.66667</v>
      </c>
      <c r="AB209" s="9">
        <f>IFERROR(__xludf.DUMMYFUNCTION("""COMPUTED_VALUE"""),1938.71)</f>
        <v>1938.71</v>
      </c>
      <c r="AC209" s="11">
        <f>IFERROR(__xludf.DUMMYFUNCTION("""COMPUTED_VALUE"""),43350.66666666667)</f>
        <v>43350.66667</v>
      </c>
      <c r="AD209" s="9">
        <f>IFERROR(__xludf.DUMMYFUNCTION("""COMPUTED_VALUE"""),1952.07)</f>
        <v>1952.07</v>
      </c>
    </row>
    <row r="210">
      <c r="B210" s="11">
        <f>IFERROR(__xludf.DUMMYFUNCTION("""COMPUTED_VALUE"""),43353.66666666667)</f>
        <v>43353.66667</v>
      </c>
      <c r="C210" s="9">
        <f>IFERROR(__xludf.DUMMYFUNCTION("""COMPUTED_VALUE"""),54.65)</f>
        <v>54.65</v>
      </c>
      <c r="D210" s="11">
        <f>IFERROR(__xludf.DUMMYFUNCTION("""COMPUTED_VALUE"""),43353.66666666667)</f>
        <v>43353.66667</v>
      </c>
      <c r="E210" s="9">
        <f>IFERROR(__xludf.DUMMYFUNCTION("""COMPUTED_VALUE"""),57.1)</f>
        <v>57.1</v>
      </c>
      <c r="G210" s="11">
        <f>IFERROR(__xludf.DUMMYFUNCTION("""COMPUTED_VALUE"""),43353.66666666667)</f>
        <v>43353.66667</v>
      </c>
      <c r="H210" s="9">
        <f>IFERROR(__xludf.DUMMYFUNCTION("""COMPUTED_VALUE"""),1172.19)</f>
        <v>1172.19</v>
      </c>
      <c r="I210" s="11">
        <f>IFERROR(__xludf.DUMMYFUNCTION("""COMPUTED_VALUE"""),43353.66666666667)</f>
        <v>43353.66667</v>
      </c>
      <c r="J210" s="9">
        <f>IFERROR(__xludf.DUMMYFUNCTION("""COMPUTED_VALUE"""),1164.64)</f>
        <v>1164.64</v>
      </c>
      <c r="L210" s="11">
        <f>IFERROR(__xludf.DUMMYFUNCTION("""COMPUTED_VALUE"""),43353.66666666667)</f>
        <v>43353.66667</v>
      </c>
      <c r="M210" s="9">
        <f>IFERROR(__xludf.DUMMYFUNCTION("""COMPUTED_VALUE"""),55.24)</f>
        <v>55.24</v>
      </c>
      <c r="N210" s="11">
        <f>IFERROR(__xludf.DUMMYFUNCTION("""COMPUTED_VALUE"""),43353.66666666667)</f>
        <v>43353.66667</v>
      </c>
      <c r="O210" s="9">
        <f>IFERROR(__xludf.DUMMYFUNCTION("""COMPUTED_VALUE"""),54.58)</f>
        <v>54.58</v>
      </c>
      <c r="Q210" s="11">
        <f>IFERROR(__xludf.DUMMYFUNCTION("""COMPUTED_VALUE"""),43353.66666666667)</f>
        <v>43353.66667</v>
      </c>
      <c r="R210" s="9">
        <f>IFERROR(__xludf.DUMMYFUNCTION("""COMPUTED_VALUE"""),163.51)</f>
        <v>163.51</v>
      </c>
      <c r="S210" s="11">
        <f>IFERROR(__xludf.DUMMYFUNCTION("""COMPUTED_VALUE"""),43353.66666666667)</f>
        <v>43353.66667</v>
      </c>
      <c r="T210" s="9">
        <f>IFERROR(__xludf.DUMMYFUNCTION("""COMPUTED_VALUE"""),164.18)</f>
        <v>164.18</v>
      </c>
      <c r="V210" s="11">
        <f>IFERROR(__xludf.DUMMYFUNCTION("""COMPUTED_VALUE"""),43353.66666666667)</f>
        <v>43353.66667</v>
      </c>
      <c r="W210" s="9">
        <f>IFERROR(__xludf.DUMMYFUNCTION("""COMPUTED_VALUE"""),352.27)</f>
        <v>352.27</v>
      </c>
      <c r="X210" s="11">
        <f>IFERROR(__xludf.DUMMYFUNCTION("""COMPUTED_VALUE"""),43353.66666666667)</f>
        <v>43353.66667</v>
      </c>
      <c r="Y210" s="9">
        <f>IFERROR(__xludf.DUMMYFUNCTION("""COMPUTED_VALUE"""),348.41)</f>
        <v>348.41</v>
      </c>
      <c r="AA210" s="11">
        <f>IFERROR(__xludf.DUMMYFUNCTION("""COMPUTED_VALUE"""),43353.66666666667)</f>
        <v>43353.66667</v>
      </c>
      <c r="AB210" s="9">
        <f>IFERROR(__xludf.DUMMYFUNCTION("""COMPUTED_VALUE"""),1971.0)</f>
        <v>1971</v>
      </c>
      <c r="AC210" s="11">
        <f>IFERROR(__xludf.DUMMYFUNCTION("""COMPUTED_VALUE"""),43353.66666666667)</f>
        <v>43353.66667</v>
      </c>
      <c r="AD210" s="9">
        <f>IFERROR(__xludf.DUMMYFUNCTION("""COMPUTED_VALUE"""),1939.01)</f>
        <v>1939.01</v>
      </c>
    </row>
    <row r="211">
      <c r="B211" s="11">
        <f>IFERROR(__xludf.DUMMYFUNCTION("""COMPUTED_VALUE"""),43354.66666666667)</f>
        <v>43354.66667</v>
      </c>
      <c r="C211" s="9">
        <f>IFERROR(__xludf.DUMMYFUNCTION("""COMPUTED_VALUE"""),55.89)</f>
        <v>55.89</v>
      </c>
      <c r="D211" s="11">
        <f>IFERROR(__xludf.DUMMYFUNCTION("""COMPUTED_VALUE"""),43354.66666666667)</f>
        <v>43354.66667</v>
      </c>
      <c r="E211" s="9">
        <f>IFERROR(__xludf.DUMMYFUNCTION("""COMPUTED_VALUE"""),55.89)</f>
        <v>55.89</v>
      </c>
      <c r="G211" s="11">
        <f>IFERROR(__xludf.DUMMYFUNCTION("""COMPUTED_VALUE"""),43354.66666666667)</f>
        <v>43354.66667</v>
      </c>
      <c r="H211" s="9">
        <f>IFERROR(__xludf.DUMMYFUNCTION("""COMPUTED_VALUE"""),1161.63)</f>
        <v>1161.63</v>
      </c>
      <c r="I211" s="11">
        <f>IFERROR(__xludf.DUMMYFUNCTION("""COMPUTED_VALUE"""),43354.66666666667)</f>
        <v>43354.66667</v>
      </c>
      <c r="J211" s="9">
        <f>IFERROR(__xludf.DUMMYFUNCTION("""COMPUTED_VALUE"""),1177.36)</f>
        <v>1177.36</v>
      </c>
      <c r="L211" s="11">
        <f>IFERROR(__xludf.DUMMYFUNCTION("""COMPUTED_VALUE"""),43354.66666666667)</f>
        <v>43354.66667</v>
      </c>
      <c r="M211" s="9">
        <f>IFERROR(__xludf.DUMMYFUNCTION("""COMPUTED_VALUE"""),54.5)</f>
        <v>54.5</v>
      </c>
      <c r="N211" s="11">
        <f>IFERROR(__xludf.DUMMYFUNCTION("""COMPUTED_VALUE"""),43354.66666666667)</f>
        <v>43354.66667</v>
      </c>
      <c r="O211" s="9">
        <f>IFERROR(__xludf.DUMMYFUNCTION("""COMPUTED_VALUE"""),55.96)</f>
        <v>55.96</v>
      </c>
      <c r="Q211" s="11">
        <f>IFERROR(__xludf.DUMMYFUNCTION("""COMPUTED_VALUE"""),43354.66666666667)</f>
        <v>43354.66667</v>
      </c>
      <c r="R211" s="9">
        <f>IFERROR(__xludf.DUMMYFUNCTION("""COMPUTED_VALUE"""),163.94)</f>
        <v>163.94</v>
      </c>
      <c r="S211" s="11">
        <f>IFERROR(__xludf.DUMMYFUNCTION("""COMPUTED_VALUE"""),43354.66666666667)</f>
        <v>43354.66667</v>
      </c>
      <c r="T211" s="9">
        <f>IFERROR(__xludf.DUMMYFUNCTION("""COMPUTED_VALUE"""),165.94)</f>
        <v>165.94</v>
      </c>
      <c r="V211" s="11">
        <f>IFERROR(__xludf.DUMMYFUNCTION("""COMPUTED_VALUE"""),43354.66666666667)</f>
        <v>43354.66667</v>
      </c>
      <c r="W211" s="9">
        <f>IFERROR(__xludf.DUMMYFUNCTION("""COMPUTED_VALUE"""),344.67)</f>
        <v>344.67</v>
      </c>
      <c r="X211" s="11">
        <f>IFERROR(__xludf.DUMMYFUNCTION("""COMPUTED_VALUE"""),43354.66666666667)</f>
        <v>43354.66667</v>
      </c>
      <c r="Y211" s="9">
        <f>IFERROR(__xludf.DUMMYFUNCTION("""COMPUTED_VALUE"""),355.93)</f>
        <v>355.93</v>
      </c>
      <c r="AA211" s="11">
        <f>IFERROR(__xludf.DUMMYFUNCTION("""COMPUTED_VALUE"""),43354.66666666667)</f>
        <v>43354.66667</v>
      </c>
      <c r="AB211" s="9">
        <f>IFERROR(__xludf.DUMMYFUNCTION("""COMPUTED_VALUE"""),1928.27)</f>
        <v>1928.27</v>
      </c>
      <c r="AC211" s="11">
        <f>IFERROR(__xludf.DUMMYFUNCTION("""COMPUTED_VALUE"""),43354.66666666667)</f>
        <v>43354.66667</v>
      </c>
      <c r="AD211" s="9">
        <f>IFERROR(__xludf.DUMMYFUNCTION("""COMPUTED_VALUE"""),1987.15)</f>
        <v>1987.15</v>
      </c>
    </row>
    <row r="212">
      <c r="B212" s="11">
        <f>IFERROR(__xludf.DUMMYFUNCTION("""COMPUTED_VALUE"""),43355.66666666667)</f>
        <v>43355.66667</v>
      </c>
      <c r="C212" s="9">
        <f>IFERROR(__xludf.DUMMYFUNCTION("""COMPUTED_VALUE"""),56.29)</f>
        <v>56.29</v>
      </c>
      <c r="D212" s="11">
        <f>IFERROR(__xludf.DUMMYFUNCTION("""COMPUTED_VALUE"""),43355.66666666667)</f>
        <v>43355.66667</v>
      </c>
      <c r="E212" s="9">
        <f>IFERROR(__xludf.DUMMYFUNCTION("""COMPUTED_VALUE"""),58.11)</f>
        <v>58.11</v>
      </c>
      <c r="G212" s="11">
        <f>IFERROR(__xludf.DUMMYFUNCTION("""COMPUTED_VALUE"""),43355.66666666667)</f>
        <v>43355.66667</v>
      </c>
      <c r="H212" s="9">
        <f>IFERROR(__xludf.DUMMYFUNCTION("""COMPUTED_VALUE"""),1172.72)</f>
        <v>1172.72</v>
      </c>
      <c r="I212" s="11">
        <f>IFERROR(__xludf.DUMMYFUNCTION("""COMPUTED_VALUE"""),43355.66666666667)</f>
        <v>43355.66667</v>
      </c>
      <c r="J212" s="9">
        <f>IFERROR(__xludf.DUMMYFUNCTION("""COMPUTED_VALUE"""),1162.82)</f>
        <v>1162.82</v>
      </c>
      <c r="L212" s="11">
        <f>IFERROR(__xludf.DUMMYFUNCTION("""COMPUTED_VALUE"""),43355.66666666667)</f>
        <v>43355.66667</v>
      </c>
      <c r="M212" s="9">
        <f>IFERROR(__xludf.DUMMYFUNCTION("""COMPUTED_VALUE"""),56.24)</f>
        <v>56.24</v>
      </c>
      <c r="N212" s="11">
        <f>IFERROR(__xludf.DUMMYFUNCTION("""COMPUTED_VALUE"""),43355.66666666667)</f>
        <v>43355.66667</v>
      </c>
      <c r="O212" s="9">
        <f>IFERROR(__xludf.DUMMYFUNCTION("""COMPUTED_VALUE"""),55.27)</f>
        <v>55.27</v>
      </c>
      <c r="Q212" s="11">
        <f>IFERROR(__xludf.DUMMYFUNCTION("""COMPUTED_VALUE"""),43355.66666666667)</f>
        <v>43355.66667</v>
      </c>
      <c r="R212" s="9">
        <f>IFERROR(__xludf.DUMMYFUNCTION("""COMPUTED_VALUE"""),163.25)</f>
        <v>163.25</v>
      </c>
      <c r="S212" s="11">
        <f>IFERROR(__xludf.DUMMYFUNCTION("""COMPUTED_VALUE"""),43355.66666666667)</f>
        <v>43355.66667</v>
      </c>
      <c r="T212" s="9">
        <f>IFERROR(__xludf.DUMMYFUNCTION("""COMPUTED_VALUE"""),162.0)</f>
        <v>162</v>
      </c>
      <c r="V212" s="11">
        <f>IFERROR(__xludf.DUMMYFUNCTION("""COMPUTED_VALUE"""),43355.66666666667)</f>
        <v>43355.66667</v>
      </c>
      <c r="W212" s="9">
        <f>IFERROR(__xludf.DUMMYFUNCTION("""COMPUTED_VALUE"""),359.08)</f>
        <v>359.08</v>
      </c>
      <c r="X212" s="11">
        <f>IFERROR(__xludf.DUMMYFUNCTION("""COMPUTED_VALUE"""),43355.66666666667)</f>
        <v>43355.66667</v>
      </c>
      <c r="Y212" s="9">
        <f>IFERROR(__xludf.DUMMYFUNCTION("""COMPUTED_VALUE"""),369.95)</f>
        <v>369.95</v>
      </c>
      <c r="AA212" s="11">
        <f>IFERROR(__xludf.DUMMYFUNCTION("""COMPUTED_VALUE"""),43355.66666666667)</f>
        <v>43355.66667</v>
      </c>
      <c r="AB212" s="9">
        <f>IFERROR(__xludf.DUMMYFUNCTION("""COMPUTED_VALUE"""),1994.0)</f>
        <v>1994</v>
      </c>
      <c r="AC212" s="11">
        <f>IFERROR(__xludf.DUMMYFUNCTION("""COMPUTED_VALUE"""),43355.66666666667)</f>
        <v>43355.66667</v>
      </c>
      <c r="AD212" s="9">
        <f>IFERROR(__xludf.DUMMYFUNCTION("""COMPUTED_VALUE"""),1990.0)</f>
        <v>1990</v>
      </c>
    </row>
    <row r="213">
      <c r="B213" s="11">
        <f>IFERROR(__xludf.DUMMYFUNCTION("""COMPUTED_VALUE"""),43356.66666666667)</f>
        <v>43356.66667</v>
      </c>
      <c r="C213" s="9">
        <f>IFERROR(__xludf.DUMMYFUNCTION("""COMPUTED_VALUE"""),57.6)</f>
        <v>57.6</v>
      </c>
      <c r="D213" s="11">
        <f>IFERROR(__xludf.DUMMYFUNCTION("""COMPUTED_VALUE"""),43356.66666666667)</f>
        <v>43356.66667</v>
      </c>
      <c r="E213" s="9">
        <f>IFERROR(__xludf.DUMMYFUNCTION("""COMPUTED_VALUE"""),57.89)</f>
        <v>57.89</v>
      </c>
      <c r="G213" s="11">
        <f>IFERROR(__xludf.DUMMYFUNCTION("""COMPUTED_VALUE"""),43356.66666666667)</f>
        <v>43356.66667</v>
      </c>
      <c r="H213" s="9">
        <f>IFERROR(__xludf.DUMMYFUNCTION("""COMPUTED_VALUE"""),1170.74)</f>
        <v>1170.74</v>
      </c>
      <c r="I213" s="11">
        <f>IFERROR(__xludf.DUMMYFUNCTION("""COMPUTED_VALUE"""),43356.66666666667)</f>
        <v>43356.66667</v>
      </c>
      <c r="J213" s="9">
        <f>IFERROR(__xludf.DUMMYFUNCTION("""COMPUTED_VALUE"""),1175.33)</f>
        <v>1175.33</v>
      </c>
      <c r="L213" s="11">
        <f>IFERROR(__xludf.DUMMYFUNCTION("""COMPUTED_VALUE"""),43356.66666666667)</f>
        <v>43356.66667</v>
      </c>
      <c r="M213" s="9">
        <f>IFERROR(__xludf.DUMMYFUNCTION("""COMPUTED_VALUE"""),55.88)</f>
        <v>55.88</v>
      </c>
      <c r="N213" s="11">
        <f>IFERROR(__xludf.DUMMYFUNCTION("""COMPUTED_VALUE"""),43356.66666666667)</f>
        <v>43356.66667</v>
      </c>
      <c r="O213" s="9">
        <f>IFERROR(__xludf.DUMMYFUNCTION("""COMPUTED_VALUE"""),56.6)</f>
        <v>56.6</v>
      </c>
      <c r="Q213" s="11">
        <f>IFERROR(__xludf.DUMMYFUNCTION("""COMPUTED_VALUE"""),43356.66666666667)</f>
        <v>43356.66667</v>
      </c>
      <c r="R213" s="9">
        <f>IFERROR(__xludf.DUMMYFUNCTION("""COMPUTED_VALUE"""),162.0)</f>
        <v>162</v>
      </c>
      <c r="S213" s="11">
        <f>IFERROR(__xludf.DUMMYFUNCTION("""COMPUTED_VALUE"""),43356.66666666667)</f>
        <v>43356.66667</v>
      </c>
      <c r="T213" s="9">
        <f>IFERROR(__xludf.DUMMYFUNCTION("""COMPUTED_VALUE"""),161.36)</f>
        <v>161.36</v>
      </c>
      <c r="V213" s="11">
        <f>IFERROR(__xludf.DUMMYFUNCTION("""COMPUTED_VALUE"""),43356.66666666667)</f>
        <v>43356.66667</v>
      </c>
      <c r="W213" s="9">
        <f>IFERROR(__xludf.DUMMYFUNCTION("""COMPUTED_VALUE"""),371.91)</f>
        <v>371.91</v>
      </c>
      <c r="X213" s="11">
        <f>IFERROR(__xludf.DUMMYFUNCTION("""COMPUTED_VALUE"""),43356.66666666667)</f>
        <v>43356.66667</v>
      </c>
      <c r="Y213" s="9">
        <f>IFERROR(__xludf.DUMMYFUNCTION("""COMPUTED_VALUE"""),368.15)</f>
        <v>368.15</v>
      </c>
      <c r="AA213" s="11">
        <f>IFERROR(__xludf.DUMMYFUNCTION("""COMPUTED_VALUE"""),43356.66666666667)</f>
        <v>43356.66667</v>
      </c>
      <c r="AB213" s="9">
        <f>IFERROR(__xludf.DUMMYFUNCTION("""COMPUTED_VALUE"""),2000.0)</f>
        <v>2000</v>
      </c>
      <c r="AC213" s="11">
        <f>IFERROR(__xludf.DUMMYFUNCTION("""COMPUTED_VALUE"""),43356.66666666667)</f>
        <v>43356.66667</v>
      </c>
      <c r="AD213" s="9">
        <f>IFERROR(__xludf.DUMMYFUNCTION("""COMPUTED_VALUE"""),1989.87)</f>
        <v>1989.87</v>
      </c>
    </row>
    <row r="214">
      <c r="B214" s="11">
        <f>IFERROR(__xludf.DUMMYFUNCTION("""COMPUTED_VALUE"""),43357.66666666667)</f>
        <v>43357.66667</v>
      </c>
      <c r="C214" s="9">
        <f>IFERROR(__xludf.DUMMYFUNCTION("""COMPUTED_VALUE"""),57.75)</f>
        <v>57.75</v>
      </c>
      <c r="D214" s="11">
        <f>IFERROR(__xludf.DUMMYFUNCTION("""COMPUTED_VALUE"""),43357.66666666667)</f>
        <v>43357.66667</v>
      </c>
      <c r="E214" s="9">
        <f>IFERROR(__xludf.DUMMYFUNCTION("""COMPUTED_VALUE"""),59.04)</f>
        <v>59.04</v>
      </c>
      <c r="G214" s="11">
        <f>IFERROR(__xludf.DUMMYFUNCTION("""COMPUTED_VALUE"""),43357.66666666667)</f>
        <v>43357.66667</v>
      </c>
      <c r="H214" s="9">
        <f>IFERROR(__xludf.DUMMYFUNCTION("""COMPUTED_VALUE"""),1179.1)</f>
        <v>1179.1</v>
      </c>
      <c r="I214" s="11">
        <f>IFERROR(__xludf.DUMMYFUNCTION("""COMPUTED_VALUE"""),43357.66666666667)</f>
        <v>43357.66667</v>
      </c>
      <c r="J214" s="9">
        <f>IFERROR(__xludf.DUMMYFUNCTION("""COMPUTED_VALUE"""),1172.53)</f>
        <v>1172.53</v>
      </c>
      <c r="L214" s="11">
        <f>IFERROR(__xludf.DUMMYFUNCTION("""COMPUTED_VALUE"""),43357.66666666667)</f>
        <v>43357.66667</v>
      </c>
      <c r="M214" s="9">
        <f>IFERROR(__xludf.DUMMYFUNCTION("""COMPUTED_VALUE"""),56.44)</f>
        <v>56.44</v>
      </c>
      <c r="N214" s="11">
        <f>IFERROR(__xludf.DUMMYFUNCTION("""COMPUTED_VALUE"""),43357.66666666667)</f>
        <v>43357.66667</v>
      </c>
      <c r="O214" s="9">
        <f>IFERROR(__xludf.DUMMYFUNCTION("""COMPUTED_VALUE"""),55.96)</f>
        <v>55.96</v>
      </c>
      <c r="Q214" s="11">
        <f>IFERROR(__xludf.DUMMYFUNCTION("""COMPUTED_VALUE"""),43357.66666666667)</f>
        <v>43357.66667</v>
      </c>
      <c r="R214" s="9">
        <f>IFERROR(__xludf.DUMMYFUNCTION("""COMPUTED_VALUE"""),161.72)</f>
        <v>161.72</v>
      </c>
      <c r="S214" s="11">
        <f>IFERROR(__xludf.DUMMYFUNCTION("""COMPUTED_VALUE"""),43357.66666666667)</f>
        <v>43357.66667</v>
      </c>
      <c r="T214" s="9">
        <f>IFERROR(__xludf.DUMMYFUNCTION("""COMPUTED_VALUE"""),162.32)</f>
        <v>162.32</v>
      </c>
      <c r="V214" s="11">
        <f>IFERROR(__xludf.DUMMYFUNCTION("""COMPUTED_VALUE"""),43357.66666666667)</f>
        <v>43357.66667</v>
      </c>
      <c r="W214" s="9">
        <f>IFERROR(__xludf.DUMMYFUNCTION("""COMPUTED_VALUE"""),368.55)</f>
        <v>368.55</v>
      </c>
      <c r="X214" s="11">
        <f>IFERROR(__xludf.DUMMYFUNCTION("""COMPUTED_VALUE"""),43357.66666666667)</f>
        <v>43357.66667</v>
      </c>
      <c r="Y214" s="9">
        <f>IFERROR(__xludf.DUMMYFUNCTION("""COMPUTED_VALUE"""),364.56)</f>
        <v>364.56</v>
      </c>
      <c r="AA214" s="11">
        <f>IFERROR(__xludf.DUMMYFUNCTION("""COMPUTED_VALUE"""),43357.66666666667)</f>
        <v>43357.66667</v>
      </c>
      <c r="AB214" s="9">
        <f>IFERROR(__xludf.DUMMYFUNCTION("""COMPUTED_VALUE"""),1992.93)</f>
        <v>1992.93</v>
      </c>
      <c r="AC214" s="11">
        <f>IFERROR(__xludf.DUMMYFUNCTION("""COMPUTED_VALUE"""),43357.66666666667)</f>
        <v>43357.66667</v>
      </c>
      <c r="AD214" s="9">
        <f>IFERROR(__xludf.DUMMYFUNCTION("""COMPUTED_VALUE"""),1970.19)</f>
        <v>1970.19</v>
      </c>
    </row>
    <row r="215">
      <c r="B215" s="11">
        <f>IFERROR(__xludf.DUMMYFUNCTION("""COMPUTED_VALUE"""),43360.66666666667)</f>
        <v>43360.66667</v>
      </c>
      <c r="C215" s="9">
        <f>IFERROR(__xludf.DUMMYFUNCTION("""COMPUTED_VALUE"""),58.01)</f>
        <v>58.01</v>
      </c>
      <c r="D215" s="11">
        <f>IFERROR(__xludf.DUMMYFUNCTION("""COMPUTED_VALUE"""),43360.66666666667)</f>
        <v>43360.66667</v>
      </c>
      <c r="E215" s="9">
        <f>IFERROR(__xludf.DUMMYFUNCTION("""COMPUTED_VALUE"""),58.97)</f>
        <v>58.97</v>
      </c>
      <c r="G215" s="11">
        <f>IFERROR(__xludf.DUMMYFUNCTION("""COMPUTED_VALUE"""),43360.66666666667)</f>
        <v>43360.66667</v>
      </c>
      <c r="H215" s="9">
        <f>IFERROR(__xludf.DUMMYFUNCTION("""COMPUTED_VALUE"""),1170.14)</f>
        <v>1170.14</v>
      </c>
      <c r="I215" s="11">
        <f>IFERROR(__xludf.DUMMYFUNCTION("""COMPUTED_VALUE"""),43360.66666666667)</f>
        <v>43360.66667</v>
      </c>
      <c r="J215" s="9">
        <f>IFERROR(__xludf.DUMMYFUNCTION("""COMPUTED_VALUE"""),1156.05)</f>
        <v>1156.05</v>
      </c>
      <c r="L215" s="11">
        <f>IFERROR(__xludf.DUMMYFUNCTION("""COMPUTED_VALUE"""),43360.66666666667)</f>
        <v>43360.66667</v>
      </c>
      <c r="M215" s="9">
        <f>IFERROR(__xludf.DUMMYFUNCTION("""COMPUTED_VALUE"""),55.54)</f>
        <v>55.54</v>
      </c>
      <c r="N215" s="11">
        <f>IFERROR(__xludf.DUMMYFUNCTION("""COMPUTED_VALUE"""),43360.66666666667)</f>
        <v>43360.66667</v>
      </c>
      <c r="O215" s="9">
        <f>IFERROR(__xludf.DUMMYFUNCTION("""COMPUTED_VALUE"""),54.47)</f>
        <v>54.47</v>
      </c>
      <c r="Q215" s="11">
        <f>IFERROR(__xludf.DUMMYFUNCTION("""COMPUTED_VALUE"""),43360.66666666667)</f>
        <v>43360.66667</v>
      </c>
      <c r="R215" s="9">
        <f>IFERROR(__xludf.DUMMYFUNCTION("""COMPUTED_VALUE"""),161.92)</f>
        <v>161.92</v>
      </c>
      <c r="S215" s="11">
        <f>IFERROR(__xludf.DUMMYFUNCTION("""COMPUTED_VALUE"""),43360.66666666667)</f>
        <v>43360.66667</v>
      </c>
      <c r="T215" s="9">
        <f>IFERROR(__xludf.DUMMYFUNCTION("""COMPUTED_VALUE"""),160.58)</f>
        <v>160.58</v>
      </c>
      <c r="V215" s="11">
        <f>IFERROR(__xludf.DUMMYFUNCTION("""COMPUTED_VALUE"""),43360.66666666667)</f>
        <v>43360.66667</v>
      </c>
      <c r="W215" s="9">
        <f>IFERROR(__xludf.DUMMYFUNCTION("""COMPUTED_VALUE"""),364.22)</f>
        <v>364.22</v>
      </c>
      <c r="X215" s="11">
        <f>IFERROR(__xludf.DUMMYFUNCTION("""COMPUTED_VALUE"""),43360.66666666667)</f>
        <v>43360.66667</v>
      </c>
      <c r="Y215" s="9">
        <f>IFERROR(__xludf.DUMMYFUNCTION("""COMPUTED_VALUE"""),350.35)</f>
        <v>350.35</v>
      </c>
      <c r="AA215" s="11">
        <f>IFERROR(__xludf.DUMMYFUNCTION("""COMPUTED_VALUE"""),43360.66666666667)</f>
        <v>43360.66667</v>
      </c>
      <c r="AB215" s="9">
        <f>IFERROR(__xludf.DUMMYFUNCTION("""COMPUTED_VALUE"""),1954.73)</f>
        <v>1954.73</v>
      </c>
      <c r="AC215" s="11">
        <f>IFERROR(__xludf.DUMMYFUNCTION("""COMPUTED_VALUE"""),43360.66666666667)</f>
        <v>43360.66667</v>
      </c>
      <c r="AD215" s="9">
        <f>IFERROR(__xludf.DUMMYFUNCTION("""COMPUTED_VALUE"""),1908.03)</f>
        <v>1908.03</v>
      </c>
    </row>
    <row r="216">
      <c r="B216" s="11">
        <f>IFERROR(__xludf.DUMMYFUNCTION("""COMPUTED_VALUE"""),43361.66666666667)</f>
        <v>43361.66667</v>
      </c>
      <c r="C216" s="9">
        <f>IFERROR(__xludf.DUMMYFUNCTION("""COMPUTED_VALUE"""),59.34)</f>
        <v>59.34</v>
      </c>
      <c r="D216" s="11">
        <f>IFERROR(__xludf.DUMMYFUNCTION("""COMPUTED_VALUE"""),43361.66666666667)</f>
        <v>43361.66667</v>
      </c>
      <c r="E216" s="9">
        <f>IFERROR(__xludf.DUMMYFUNCTION("""COMPUTED_VALUE"""),56.99)</f>
        <v>56.99</v>
      </c>
      <c r="G216" s="11">
        <f>IFERROR(__xludf.DUMMYFUNCTION("""COMPUTED_VALUE"""),43361.66666666667)</f>
        <v>43361.66667</v>
      </c>
      <c r="H216" s="9">
        <f>IFERROR(__xludf.DUMMYFUNCTION("""COMPUTED_VALUE"""),1157.09)</f>
        <v>1157.09</v>
      </c>
      <c r="I216" s="11">
        <f>IFERROR(__xludf.DUMMYFUNCTION("""COMPUTED_VALUE"""),43361.66666666667)</f>
        <v>43361.66667</v>
      </c>
      <c r="J216" s="9">
        <f>IFERROR(__xludf.DUMMYFUNCTION("""COMPUTED_VALUE"""),1161.22)</f>
        <v>1161.22</v>
      </c>
      <c r="L216" s="11">
        <f>IFERROR(__xludf.DUMMYFUNCTION("""COMPUTED_VALUE"""),43361.66666666667)</f>
        <v>43361.66667</v>
      </c>
      <c r="M216" s="9">
        <f>IFERROR(__xludf.DUMMYFUNCTION("""COMPUTED_VALUE"""),54.45)</f>
        <v>54.45</v>
      </c>
      <c r="N216" s="11">
        <f>IFERROR(__xludf.DUMMYFUNCTION("""COMPUTED_VALUE"""),43361.66666666667)</f>
        <v>43361.66667</v>
      </c>
      <c r="O216" s="9">
        <f>IFERROR(__xludf.DUMMYFUNCTION("""COMPUTED_VALUE"""),54.56)</f>
        <v>54.56</v>
      </c>
      <c r="Q216" s="11">
        <f>IFERROR(__xludf.DUMMYFUNCTION("""COMPUTED_VALUE"""),43361.66666666667)</f>
        <v>43361.66667</v>
      </c>
      <c r="R216" s="9">
        <f>IFERROR(__xludf.DUMMYFUNCTION("""COMPUTED_VALUE"""),159.39)</f>
        <v>159.39</v>
      </c>
      <c r="S216" s="11">
        <f>IFERROR(__xludf.DUMMYFUNCTION("""COMPUTED_VALUE"""),43361.66666666667)</f>
        <v>43361.66667</v>
      </c>
      <c r="T216" s="9">
        <f>IFERROR(__xludf.DUMMYFUNCTION("""COMPUTED_VALUE"""),160.3)</f>
        <v>160.3</v>
      </c>
      <c r="V216" s="11">
        <f>IFERROR(__xludf.DUMMYFUNCTION("""COMPUTED_VALUE"""),43361.66666666667)</f>
        <v>43361.66667</v>
      </c>
      <c r="W216" s="9">
        <f>IFERROR(__xludf.DUMMYFUNCTION("""COMPUTED_VALUE"""),353.67)</f>
        <v>353.67</v>
      </c>
      <c r="X216" s="11">
        <f>IFERROR(__xludf.DUMMYFUNCTION("""COMPUTED_VALUE"""),43361.66666666667)</f>
        <v>43361.66667</v>
      </c>
      <c r="Y216" s="9">
        <f>IFERROR(__xludf.DUMMYFUNCTION("""COMPUTED_VALUE"""),367.65)</f>
        <v>367.65</v>
      </c>
      <c r="AA216" s="11">
        <f>IFERROR(__xludf.DUMMYFUNCTION("""COMPUTED_VALUE"""),43361.66666666667)</f>
        <v>43361.66667</v>
      </c>
      <c r="AB216" s="9">
        <f>IFERROR(__xludf.DUMMYFUNCTION("""COMPUTED_VALUE"""),1918.65)</f>
        <v>1918.65</v>
      </c>
      <c r="AC216" s="11">
        <f>IFERROR(__xludf.DUMMYFUNCTION("""COMPUTED_VALUE"""),43361.66666666667)</f>
        <v>43361.66667</v>
      </c>
      <c r="AD216" s="9">
        <f>IFERROR(__xludf.DUMMYFUNCTION("""COMPUTED_VALUE"""),1941.05)</f>
        <v>1941.05</v>
      </c>
    </row>
    <row r="217">
      <c r="B217" s="11">
        <f>IFERROR(__xludf.DUMMYFUNCTION("""COMPUTED_VALUE"""),43362.66666666667)</f>
        <v>43362.66667</v>
      </c>
      <c r="C217" s="9">
        <f>IFERROR(__xludf.DUMMYFUNCTION("""COMPUTED_VALUE"""),56.1)</f>
        <v>56.1</v>
      </c>
      <c r="D217" s="11">
        <f>IFERROR(__xludf.DUMMYFUNCTION("""COMPUTED_VALUE"""),43362.66666666667)</f>
        <v>43362.66667</v>
      </c>
      <c r="E217" s="9">
        <f>IFERROR(__xludf.DUMMYFUNCTION("""COMPUTED_VALUE"""),59.8)</f>
        <v>59.8</v>
      </c>
      <c r="G217" s="11">
        <f>IFERROR(__xludf.DUMMYFUNCTION("""COMPUTED_VALUE"""),43362.66666666667)</f>
        <v>43362.66667</v>
      </c>
      <c r="H217" s="9">
        <f>IFERROR(__xludf.DUMMYFUNCTION("""COMPUTED_VALUE"""),1164.98)</f>
        <v>1164.98</v>
      </c>
      <c r="I217" s="11">
        <f>IFERROR(__xludf.DUMMYFUNCTION("""COMPUTED_VALUE"""),43362.66666666667)</f>
        <v>43362.66667</v>
      </c>
      <c r="J217" s="9">
        <f>IFERROR(__xludf.DUMMYFUNCTION("""COMPUTED_VALUE"""),1171.09)</f>
        <v>1171.09</v>
      </c>
      <c r="L217" s="11">
        <f>IFERROR(__xludf.DUMMYFUNCTION("""COMPUTED_VALUE"""),43362.66666666667)</f>
        <v>43362.66667</v>
      </c>
      <c r="M217" s="9">
        <f>IFERROR(__xludf.DUMMYFUNCTION("""COMPUTED_VALUE"""),54.63)</f>
        <v>54.63</v>
      </c>
      <c r="N217" s="11">
        <f>IFERROR(__xludf.DUMMYFUNCTION("""COMPUTED_VALUE"""),43362.66666666667)</f>
        <v>43362.66667</v>
      </c>
      <c r="O217" s="9">
        <f>IFERROR(__xludf.DUMMYFUNCTION("""COMPUTED_VALUE"""),54.59)</f>
        <v>54.59</v>
      </c>
      <c r="Q217" s="11">
        <f>IFERROR(__xludf.DUMMYFUNCTION("""COMPUTED_VALUE"""),43362.66666666667)</f>
        <v>43362.66667</v>
      </c>
      <c r="R217" s="9">
        <f>IFERROR(__xludf.DUMMYFUNCTION("""COMPUTED_VALUE"""),160.08)</f>
        <v>160.08</v>
      </c>
      <c r="S217" s="11">
        <f>IFERROR(__xludf.DUMMYFUNCTION("""COMPUTED_VALUE"""),43362.66666666667)</f>
        <v>43362.66667</v>
      </c>
      <c r="T217" s="9">
        <f>IFERROR(__xludf.DUMMYFUNCTION("""COMPUTED_VALUE"""),163.06)</f>
        <v>163.06</v>
      </c>
      <c r="V217" s="11">
        <f>IFERROR(__xludf.DUMMYFUNCTION("""COMPUTED_VALUE"""),43362.66666666667)</f>
        <v>43362.66667</v>
      </c>
      <c r="W217" s="9">
        <f>IFERROR(__xludf.DUMMYFUNCTION("""COMPUTED_VALUE"""),373.95)</f>
        <v>373.95</v>
      </c>
      <c r="X217" s="11">
        <f>IFERROR(__xludf.DUMMYFUNCTION("""COMPUTED_VALUE"""),43362.66666666667)</f>
        <v>43362.66667</v>
      </c>
      <c r="Y217" s="9">
        <f>IFERROR(__xludf.DUMMYFUNCTION("""COMPUTED_VALUE"""),366.96)</f>
        <v>366.96</v>
      </c>
      <c r="AA217" s="11">
        <f>IFERROR(__xludf.DUMMYFUNCTION("""COMPUTED_VALUE"""),43362.66666666667)</f>
        <v>43362.66667</v>
      </c>
      <c r="AB217" s="9">
        <f>IFERROR(__xludf.DUMMYFUNCTION("""COMPUTED_VALUE"""),1940.5)</f>
        <v>1940.5</v>
      </c>
      <c r="AC217" s="11">
        <f>IFERROR(__xludf.DUMMYFUNCTION("""COMPUTED_VALUE"""),43362.66666666667)</f>
        <v>43362.66667</v>
      </c>
      <c r="AD217" s="9">
        <f>IFERROR(__xludf.DUMMYFUNCTION("""COMPUTED_VALUE"""),1926.42)</f>
        <v>1926.42</v>
      </c>
    </row>
    <row r="218">
      <c r="B218" s="11">
        <f>IFERROR(__xludf.DUMMYFUNCTION("""COMPUTED_VALUE"""),43363.66666666667)</f>
        <v>43363.66667</v>
      </c>
      <c r="C218" s="9">
        <f>IFERROR(__xludf.DUMMYFUNCTION("""COMPUTED_VALUE"""),60.71)</f>
        <v>60.71</v>
      </c>
      <c r="D218" s="11">
        <f>IFERROR(__xludf.DUMMYFUNCTION("""COMPUTED_VALUE"""),43363.66666666667)</f>
        <v>43363.66667</v>
      </c>
      <c r="E218" s="9">
        <f>IFERROR(__xludf.DUMMYFUNCTION("""COMPUTED_VALUE"""),59.67)</f>
        <v>59.67</v>
      </c>
      <c r="G218" s="11">
        <f>IFERROR(__xludf.DUMMYFUNCTION("""COMPUTED_VALUE"""),43363.66666666667)</f>
        <v>43363.66667</v>
      </c>
      <c r="H218" s="9">
        <f>IFERROR(__xludf.DUMMYFUNCTION("""COMPUTED_VALUE"""),1179.99)</f>
        <v>1179.99</v>
      </c>
      <c r="I218" s="11">
        <f>IFERROR(__xludf.DUMMYFUNCTION("""COMPUTED_VALUE"""),43363.66666666667)</f>
        <v>43363.66667</v>
      </c>
      <c r="J218" s="9">
        <f>IFERROR(__xludf.DUMMYFUNCTION("""COMPUTED_VALUE"""),1186.87)</f>
        <v>1186.87</v>
      </c>
      <c r="L218" s="11">
        <f>IFERROR(__xludf.DUMMYFUNCTION("""COMPUTED_VALUE"""),43363.66666666667)</f>
        <v>43363.66667</v>
      </c>
      <c r="M218" s="9">
        <f>IFERROR(__xludf.DUMMYFUNCTION("""COMPUTED_VALUE"""),55.06)</f>
        <v>55.06</v>
      </c>
      <c r="N218" s="11">
        <f>IFERROR(__xludf.DUMMYFUNCTION("""COMPUTED_VALUE"""),43363.66666666667)</f>
        <v>43363.66667</v>
      </c>
      <c r="O218" s="9">
        <f>IFERROR(__xludf.DUMMYFUNCTION("""COMPUTED_VALUE"""),55.01)</f>
        <v>55.01</v>
      </c>
      <c r="Q218" s="11">
        <f>IFERROR(__xludf.DUMMYFUNCTION("""COMPUTED_VALUE"""),43363.66666666667)</f>
        <v>43363.66667</v>
      </c>
      <c r="R218" s="9">
        <f>IFERROR(__xludf.DUMMYFUNCTION("""COMPUTED_VALUE"""),164.5)</f>
        <v>164.5</v>
      </c>
      <c r="S218" s="11">
        <f>IFERROR(__xludf.DUMMYFUNCTION("""COMPUTED_VALUE"""),43363.66666666667)</f>
        <v>43363.66667</v>
      </c>
      <c r="T218" s="9">
        <f>IFERROR(__xludf.DUMMYFUNCTION("""COMPUTED_VALUE"""),166.02)</f>
        <v>166.02</v>
      </c>
      <c r="V218" s="11">
        <f>IFERROR(__xludf.DUMMYFUNCTION("""COMPUTED_VALUE"""),43363.66666666667)</f>
        <v>43363.66667</v>
      </c>
      <c r="W218" s="9">
        <f>IFERROR(__xludf.DUMMYFUNCTION("""COMPUTED_VALUE"""),370.26)</f>
        <v>370.26</v>
      </c>
      <c r="X218" s="11">
        <f>IFERROR(__xludf.DUMMYFUNCTION("""COMPUTED_VALUE"""),43363.66666666667)</f>
        <v>43363.66667</v>
      </c>
      <c r="Y218" s="9">
        <f>IFERROR(__xludf.DUMMYFUNCTION("""COMPUTED_VALUE"""),365.36)</f>
        <v>365.36</v>
      </c>
      <c r="AA218" s="11">
        <f>IFERROR(__xludf.DUMMYFUNCTION("""COMPUTED_VALUE"""),43363.66666666667)</f>
        <v>43363.66667</v>
      </c>
      <c r="AB218" s="9">
        <f>IFERROR(__xludf.DUMMYFUNCTION("""COMPUTED_VALUE"""),1938.58)</f>
        <v>1938.58</v>
      </c>
      <c r="AC218" s="11">
        <f>IFERROR(__xludf.DUMMYFUNCTION("""COMPUTED_VALUE"""),43363.66666666667)</f>
        <v>43363.66667</v>
      </c>
      <c r="AD218" s="9">
        <f>IFERROR(__xludf.DUMMYFUNCTION("""COMPUTED_VALUE"""),1944.3)</f>
        <v>1944.3</v>
      </c>
    </row>
    <row r="219">
      <c r="B219" s="11">
        <f>IFERROR(__xludf.DUMMYFUNCTION("""COMPUTED_VALUE"""),43364.66666666667)</f>
        <v>43364.66667</v>
      </c>
      <c r="C219" s="9">
        <f>IFERROR(__xludf.DUMMYFUNCTION("""COMPUTED_VALUE"""),59.54)</f>
        <v>59.54</v>
      </c>
      <c r="D219" s="11">
        <f>IFERROR(__xludf.DUMMYFUNCTION("""COMPUTED_VALUE"""),43364.66666666667)</f>
        <v>43364.66667</v>
      </c>
      <c r="E219" s="9">
        <f>IFERROR(__xludf.DUMMYFUNCTION("""COMPUTED_VALUE"""),59.82)</f>
        <v>59.82</v>
      </c>
      <c r="G219" s="11">
        <f>IFERROR(__xludf.DUMMYFUNCTION("""COMPUTED_VALUE"""),43364.66666666667)</f>
        <v>43364.66667</v>
      </c>
      <c r="H219" s="9">
        <f>IFERROR(__xludf.DUMMYFUNCTION("""COMPUTED_VALUE"""),1192.0)</f>
        <v>1192</v>
      </c>
      <c r="I219" s="11">
        <f>IFERROR(__xludf.DUMMYFUNCTION("""COMPUTED_VALUE"""),43364.66666666667)</f>
        <v>43364.66667</v>
      </c>
      <c r="J219" s="9">
        <f>IFERROR(__xludf.DUMMYFUNCTION("""COMPUTED_VALUE"""),1166.09)</f>
        <v>1166.09</v>
      </c>
      <c r="L219" s="11">
        <f>IFERROR(__xludf.DUMMYFUNCTION("""COMPUTED_VALUE"""),43364.66666666667)</f>
        <v>43364.66667</v>
      </c>
      <c r="M219" s="9">
        <f>IFERROR(__xludf.DUMMYFUNCTION("""COMPUTED_VALUE"""),55.2)</f>
        <v>55.2</v>
      </c>
      <c r="N219" s="11">
        <f>IFERROR(__xludf.DUMMYFUNCTION("""COMPUTED_VALUE"""),43364.66666666667)</f>
        <v>43364.66667</v>
      </c>
      <c r="O219" s="9">
        <f>IFERROR(__xludf.DUMMYFUNCTION("""COMPUTED_VALUE"""),54.42)</f>
        <v>54.42</v>
      </c>
      <c r="Q219" s="11">
        <f>IFERROR(__xludf.DUMMYFUNCTION("""COMPUTED_VALUE"""),43364.66666666667)</f>
        <v>43364.66667</v>
      </c>
      <c r="R219" s="9">
        <f>IFERROR(__xludf.DUMMYFUNCTION("""COMPUTED_VALUE"""),166.64)</f>
        <v>166.64</v>
      </c>
      <c r="S219" s="11">
        <f>IFERROR(__xludf.DUMMYFUNCTION("""COMPUTED_VALUE"""),43364.66666666667)</f>
        <v>43364.66667</v>
      </c>
      <c r="T219" s="9">
        <f>IFERROR(__xludf.DUMMYFUNCTION("""COMPUTED_VALUE"""),162.93)</f>
        <v>162.93</v>
      </c>
      <c r="V219" s="11">
        <f>IFERROR(__xludf.DUMMYFUNCTION("""COMPUTED_VALUE"""),43364.66666666667)</f>
        <v>43364.66667</v>
      </c>
      <c r="W219" s="9">
        <f>IFERROR(__xludf.DUMMYFUNCTION("""COMPUTED_VALUE"""),366.59)</f>
        <v>366.59</v>
      </c>
      <c r="X219" s="11">
        <f>IFERROR(__xludf.DUMMYFUNCTION("""COMPUTED_VALUE"""),43364.66666666667)</f>
        <v>43364.66667</v>
      </c>
      <c r="Y219" s="9">
        <f>IFERROR(__xludf.DUMMYFUNCTION("""COMPUTED_VALUE"""),361.19)</f>
        <v>361.19</v>
      </c>
      <c r="AA219" s="11">
        <f>IFERROR(__xludf.DUMMYFUNCTION("""COMPUTED_VALUE"""),43364.66666666667)</f>
        <v>43364.66667</v>
      </c>
      <c r="AB219" s="9">
        <f>IFERROR(__xludf.DUMMYFUNCTION("""COMPUTED_VALUE"""),1954.22)</f>
        <v>1954.22</v>
      </c>
      <c r="AC219" s="11">
        <f>IFERROR(__xludf.DUMMYFUNCTION("""COMPUTED_VALUE"""),43364.66666666667)</f>
        <v>43364.66667</v>
      </c>
      <c r="AD219" s="9">
        <f>IFERROR(__xludf.DUMMYFUNCTION("""COMPUTED_VALUE"""),1915.01)</f>
        <v>1915.01</v>
      </c>
    </row>
    <row r="220">
      <c r="B220" s="11">
        <f>IFERROR(__xludf.DUMMYFUNCTION("""COMPUTED_VALUE"""),43367.66666666667)</f>
        <v>43367.66667</v>
      </c>
      <c r="C220" s="9">
        <f>IFERROR(__xludf.DUMMYFUNCTION("""COMPUTED_VALUE"""),59.7)</f>
        <v>59.7</v>
      </c>
      <c r="D220" s="11">
        <f>IFERROR(__xludf.DUMMYFUNCTION("""COMPUTED_VALUE"""),43367.66666666667)</f>
        <v>43367.66667</v>
      </c>
      <c r="E220" s="9">
        <f>IFERROR(__xludf.DUMMYFUNCTION("""COMPUTED_VALUE"""),59.94)</f>
        <v>59.94</v>
      </c>
      <c r="G220" s="11">
        <f>IFERROR(__xludf.DUMMYFUNCTION("""COMPUTED_VALUE"""),43367.66666666667)</f>
        <v>43367.66667</v>
      </c>
      <c r="H220" s="9">
        <f>IFERROR(__xludf.DUMMYFUNCTION("""COMPUTED_VALUE"""),1157.17)</f>
        <v>1157.17</v>
      </c>
      <c r="I220" s="11">
        <f>IFERROR(__xludf.DUMMYFUNCTION("""COMPUTED_VALUE"""),43367.66666666667)</f>
        <v>43367.66667</v>
      </c>
      <c r="J220" s="9">
        <f>IFERROR(__xludf.DUMMYFUNCTION("""COMPUTED_VALUE"""),1173.37)</f>
        <v>1173.37</v>
      </c>
      <c r="L220" s="11">
        <f>IFERROR(__xludf.DUMMYFUNCTION("""COMPUTED_VALUE"""),43367.66666666667)</f>
        <v>43367.66667</v>
      </c>
      <c r="M220" s="9">
        <f>IFERROR(__xludf.DUMMYFUNCTION("""COMPUTED_VALUE"""),54.21)</f>
        <v>54.21</v>
      </c>
      <c r="N220" s="11">
        <f>IFERROR(__xludf.DUMMYFUNCTION("""COMPUTED_VALUE"""),43367.66666666667)</f>
        <v>43367.66667</v>
      </c>
      <c r="O220" s="9">
        <f>IFERROR(__xludf.DUMMYFUNCTION("""COMPUTED_VALUE"""),55.2)</f>
        <v>55.2</v>
      </c>
      <c r="Q220" s="11">
        <f>IFERROR(__xludf.DUMMYFUNCTION("""COMPUTED_VALUE"""),43367.66666666667)</f>
        <v>43367.66667</v>
      </c>
      <c r="R220" s="9">
        <f>IFERROR(__xludf.DUMMYFUNCTION("""COMPUTED_VALUE"""),161.03)</f>
        <v>161.03</v>
      </c>
      <c r="S220" s="11">
        <f>IFERROR(__xludf.DUMMYFUNCTION("""COMPUTED_VALUE"""),43367.66666666667)</f>
        <v>43367.66667</v>
      </c>
      <c r="T220" s="9">
        <f>IFERROR(__xludf.DUMMYFUNCTION("""COMPUTED_VALUE"""),165.41)</f>
        <v>165.41</v>
      </c>
      <c r="V220" s="11">
        <f>IFERROR(__xludf.DUMMYFUNCTION("""COMPUTED_VALUE"""),43367.66666666667)</f>
        <v>43367.66667</v>
      </c>
      <c r="W220" s="9">
        <f>IFERROR(__xludf.DUMMYFUNCTION("""COMPUTED_VALUE"""),359.0)</f>
        <v>359</v>
      </c>
      <c r="X220" s="11">
        <f>IFERROR(__xludf.DUMMYFUNCTION("""COMPUTED_VALUE"""),43367.66666666667)</f>
        <v>43367.66667</v>
      </c>
      <c r="Y220" s="9">
        <f>IFERROR(__xludf.DUMMYFUNCTION("""COMPUTED_VALUE"""),369.61)</f>
        <v>369.61</v>
      </c>
      <c r="AA220" s="11">
        <f>IFERROR(__xludf.DUMMYFUNCTION("""COMPUTED_VALUE"""),43367.66666666667)</f>
        <v>43367.66667</v>
      </c>
      <c r="AB220" s="9">
        <f>IFERROR(__xludf.DUMMYFUNCTION("""COMPUTED_VALUE"""),1903.79)</f>
        <v>1903.79</v>
      </c>
      <c r="AC220" s="11">
        <f>IFERROR(__xludf.DUMMYFUNCTION("""COMPUTED_VALUE"""),43367.66666666667)</f>
        <v>43367.66667</v>
      </c>
      <c r="AD220" s="9">
        <f>IFERROR(__xludf.DUMMYFUNCTION("""COMPUTED_VALUE"""),1934.36)</f>
        <v>1934.36</v>
      </c>
    </row>
    <row r="221">
      <c r="B221" s="11">
        <f>IFERROR(__xludf.DUMMYFUNCTION("""COMPUTED_VALUE"""),43368.66666666667)</f>
        <v>43368.66667</v>
      </c>
      <c r="C221" s="9">
        <f>IFERROR(__xludf.DUMMYFUNCTION("""COMPUTED_VALUE"""),60.0)</f>
        <v>60</v>
      </c>
      <c r="D221" s="11">
        <f>IFERROR(__xludf.DUMMYFUNCTION("""COMPUTED_VALUE"""),43368.66666666667)</f>
        <v>43368.66667</v>
      </c>
      <c r="E221" s="9">
        <f>IFERROR(__xludf.DUMMYFUNCTION("""COMPUTED_VALUE"""),60.2)</f>
        <v>60.2</v>
      </c>
      <c r="G221" s="11">
        <f>IFERROR(__xludf.DUMMYFUNCTION("""COMPUTED_VALUE"""),43368.66666666667)</f>
        <v>43368.66667</v>
      </c>
      <c r="H221" s="9">
        <f>IFERROR(__xludf.DUMMYFUNCTION("""COMPUTED_VALUE"""),1176.15)</f>
        <v>1176.15</v>
      </c>
      <c r="I221" s="11">
        <f>IFERROR(__xludf.DUMMYFUNCTION("""COMPUTED_VALUE"""),43368.66666666667)</f>
        <v>43368.66667</v>
      </c>
      <c r="J221" s="9">
        <f>IFERROR(__xludf.DUMMYFUNCTION("""COMPUTED_VALUE"""),1184.65)</f>
        <v>1184.65</v>
      </c>
      <c r="L221" s="11">
        <f>IFERROR(__xludf.DUMMYFUNCTION("""COMPUTED_VALUE"""),43368.66666666667)</f>
        <v>43368.66667</v>
      </c>
      <c r="M221" s="9">
        <f>IFERROR(__xludf.DUMMYFUNCTION("""COMPUTED_VALUE"""),54.94)</f>
        <v>54.94</v>
      </c>
      <c r="N221" s="11">
        <f>IFERROR(__xludf.DUMMYFUNCTION("""COMPUTED_VALUE"""),43368.66666666667)</f>
        <v>43368.66667</v>
      </c>
      <c r="O221" s="9">
        <f>IFERROR(__xludf.DUMMYFUNCTION("""COMPUTED_VALUE"""),55.55)</f>
        <v>55.55</v>
      </c>
      <c r="Q221" s="11">
        <f>IFERROR(__xludf.DUMMYFUNCTION("""COMPUTED_VALUE"""),43368.66666666667)</f>
        <v>43368.66667</v>
      </c>
      <c r="R221" s="9">
        <f>IFERROR(__xludf.DUMMYFUNCTION("""COMPUTED_VALUE"""),161.99)</f>
        <v>161.99</v>
      </c>
      <c r="S221" s="11">
        <f>IFERROR(__xludf.DUMMYFUNCTION("""COMPUTED_VALUE"""),43368.66666666667)</f>
        <v>43368.66667</v>
      </c>
      <c r="T221" s="9">
        <f>IFERROR(__xludf.DUMMYFUNCTION("""COMPUTED_VALUE"""),164.91)</f>
        <v>164.91</v>
      </c>
      <c r="V221" s="11">
        <f>IFERROR(__xludf.DUMMYFUNCTION("""COMPUTED_VALUE"""),43368.66666666667)</f>
        <v>43368.66667</v>
      </c>
      <c r="W221" s="9">
        <f>IFERROR(__xludf.DUMMYFUNCTION("""COMPUTED_VALUE"""),370.23)</f>
        <v>370.23</v>
      </c>
      <c r="X221" s="11">
        <f>IFERROR(__xludf.DUMMYFUNCTION("""COMPUTED_VALUE"""),43368.66666666667)</f>
        <v>43368.66667</v>
      </c>
      <c r="Y221" s="9">
        <f>IFERROR(__xludf.DUMMYFUNCTION("""COMPUTED_VALUE"""),369.43)</f>
        <v>369.43</v>
      </c>
      <c r="AA221" s="11">
        <f>IFERROR(__xludf.DUMMYFUNCTION("""COMPUTED_VALUE"""),43368.66666666667)</f>
        <v>43368.66667</v>
      </c>
      <c r="AB221" s="9">
        <f>IFERROR(__xludf.DUMMYFUNCTION("""COMPUTED_VALUE"""),1942.9)</f>
        <v>1942.9</v>
      </c>
      <c r="AC221" s="11">
        <f>IFERROR(__xludf.DUMMYFUNCTION("""COMPUTED_VALUE"""),43368.66666666667)</f>
        <v>43368.66667</v>
      </c>
      <c r="AD221" s="9">
        <f>IFERROR(__xludf.DUMMYFUNCTION("""COMPUTED_VALUE"""),1974.55)</f>
        <v>1974.55</v>
      </c>
    </row>
    <row r="222">
      <c r="B222" s="11">
        <f>IFERROR(__xludf.DUMMYFUNCTION("""COMPUTED_VALUE"""),43369.66666666667)</f>
        <v>43369.66667</v>
      </c>
      <c r="C222" s="9">
        <f>IFERROR(__xludf.DUMMYFUNCTION("""COMPUTED_VALUE"""),60.38)</f>
        <v>60.38</v>
      </c>
      <c r="D222" s="11">
        <f>IFERROR(__xludf.DUMMYFUNCTION("""COMPUTED_VALUE"""),43369.66666666667)</f>
        <v>43369.66667</v>
      </c>
      <c r="E222" s="9">
        <f>IFERROR(__xludf.DUMMYFUNCTION("""COMPUTED_VALUE"""),61.92)</f>
        <v>61.92</v>
      </c>
      <c r="G222" s="11">
        <f>IFERROR(__xludf.DUMMYFUNCTION("""COMPUTED_VALUE"""),43369.66666666667)</f>
        <v>43369.66667</v>
      </c>
      <c r="H222" s="9">
        <f>IFERROR(__xludf.DUMMYFUNCTION("""COMPUTED_VALUE"""),1185.15)</f>
        <v>1185.15</v>
      </c>
      <c r="I222" s="11">
        <f>IFERROR(__xludf.DUMMYFUNCTION("""COMPUTED_VALUE"""),43369.66666666667)</f>
        <v>43369.66667</v>
      </c>
      <c r="J222" s="9">
        <f>IFERROR(__xludf.DUMMYFUNCTION("""COMPUTED_VALUE"""),1180.49)</f>
        <v>1180.49</v>
      </c>
      <c r="L222" s="11">
        <f>IFERROR(__xludf.DUMMYFUNCTION("""COMPUTED_VALUE"""),43369.66666666667)</f>
        <v>43369.66667</v>
      </c>
      <c r="M222" s="9">
        <f>IFERROR(__xludf.DUMMYFUNCTION("""COMPUTED_VALUE"""),55.25)</f>
        <v>55.25</v>
      </c>
      <c r="N222" s="11">
        <f>IFERROR(__xludf.DUMMYFUNCTION("""COMPUTED_VALUE"""),43369.66666666667)</f>
        <v>43369.66667</v>
      </c>
      <c r="O222" s="9">
        <f>IFERROR(__xludf.DUMMYFUNCTION("""COMPUTED_VALUE"""),55.11)</f>
        <v>55.11</v>
      </c>
      <c r="Q222" s="11">
        <f>IFERROR(__xludf.DUMMYFUNCTION("""COMPUTED_VALUE"""),43369.66666666667)</f>
        <v>43369.66667</v>
      </c>
      <c r="R222" s="9">
        <f>IFERROR(__xludf.DUMMYFUNCTION("""COMPUTED_VALUE"""),164.3)</f>
        <v>164.3</v>
      </c>
      <c r="S222" s="11">
        <f>IFERROR(__xludf.DUMMYFUNCTION("""COMPUTED_VALUE"""),43369.66666666667)</f>
        <v>43369.66667</v>
      </c>
      <c r="T222" s="9">
        <f>IFERROR(__xludf.DUMMYFUNCTION("""COMPUTED_VALUE"""),166.95)</f>
        <v>166.95</v>
      </c>
      <c r="V222" s="11">
        <f>IFERROR(__xludf.DUMMYFUNCTION("""COMPUTED_VALUE"""),43369.66666666667)</f>
        <v>43369.66667</v>
      </c>
      <c r="W222" s="9">
        <f>IFERROR(__xludf.DUMMYFUNCTION("""COMPUTED_VALUE"""),373.59)</f>
        <v>373.59</v>
      </c>
      <c r="X222" s="11">
        <f>IFERROR(__xludf.DUMMYFUNCTION("""COMPUTED_VALUE"""),43369.66666666667)</f>
        <v>43369.66667</v>
      </c>
      <c r="Y222" s="9">
        <f>IFERROR(__xludf.DUMMYFUNCTION("""COMPUTED_VALUE"""),377.88)</f>
        <v>377.88</v>
      </c>
      <c r="AA222" s="11">
        <f>IFERROR(__xludf.DUMMYFUNCTION("""COMPUTED_VALUE"""),43369.66666666667)</f>
        <v>43369.66667</v>
      </c>
      <c r="AB222" s="9">
        <f>IFERROR(__xludf.DUMMYFUNCTION("""COMPUTED_VALUE"""),1968.5)</f>
        <v>1968.5</v>
      </c>
      <c r="AC222" s="11">
        <f>IFERROR(__xludf.DUMMYFUNCTION("""COMPUTED_VALUE"""),43369.66666666667)</f>
        <v>43369.66667</v>
      </c>
      <c r="AD222" s="9">
        <f>IFERROR(__xludf.DUMMYFUNCTION("""COMPUTED_VALUE"""),1974.85)</f>
        <v>1974.85</v>
      </c>
    </row>
    <row r="223">
      <c r="B223" s="11">
        <f>IFERROR(__xludf.DUMMYFUNCTION("""COMPUTED_VALUE"""),43370.66666666667)</f>
        <v>43370.66667</v>
      </c>
      <c r="C223" s="9">
        <f>IFERROR(__xludf.DUMMYFUNCTION("""COMPUTED_VALUE"""),62.58)</f>
        <v>62.58</v>
      </c>
      <c r="D223" s="11">
        <f>IFERROR(__xludf.DUMMYFUNCTION("""COMPUTED_VALUE"""),43370.66666666667)</f>
        <v>43370.66667</v>
      </c>
      <c r="E223" s="9">
        <f>IFERROR(__xludf.DUMMYFUNCTION("""COMPUTED_VALUE"""),61.5)</f>
        <v>61.5</v>
      </c>
      <c r="G223" s="11">
        <f>IFERROR(__xludf.DUMMYFUNCTION("""COMPUTED_VALUE"""),43370.66666666667)</f>
        <v>43370.66667</v>
      </c>
      <c r="H223" s="9">
        <f>IFERROR(__xludf.DUMMYFUNCTION("""COMPUTED_VALUE"""),1186.73)</f>
        <v>1186.73</v>
      </c>
      <c r="I223" s="11">
        <f>IFERROR(__xludf.DUMMYFUNCTION("""COMPUTED_VALUE"""),43370.66666666667)</f>
        <v>43370.66667</v>
      </c>
      <c r="J223" s="9">
        <f>IFERROR(__xludf.DUMMYFUNCTION("""COMPUTED_VALUE"""),1194.64)</f>
        <v>1194.64</v>
      </c>
      <c r="L223" s="11">
        <f>IFERROR(__xludf.DUMMYFUNCTION("""COMPUTED_VALUE"""),43370.66666666667)</f>
        <v>43370.66667</v>
      </c>
      <c r="M223" s="9">
        <f>IFERROR(__xludf.DUMMYFUNCTION("""COMPUTED_VALUE"""),55.96)</f>
        <v>55.96</v>
      </c>
      <c r="N223" s="11">
        <f>IFERROR(__xludf.DUMMYFUNCTION("""COMPUTED_VALUE"""),43370.66666666667)</f>
        <v>43370.66667</v>
      </c>
      <c r="O223" s="9">
        <f>IFERROR(__xludf.DUMMYFUNCTION("""COMPUTED_VALUE"""),56.24)</f>
        <v>56.24</v>
      </c>
      <c r="Q223" s="11">
        <f>IFERROR(__xludf.DUMMYFUNCTION("""COMPUTED_VALUE"""),43370.66666666667)</f>
        <v>43370.66667</v>
      </c>
      <c r="R223" s="9">
        <f>IFERROR(__xludf.DUMMYFUNCTION("""COMPUTED_VALUE"""),167.55)</f>
        <v>167.55</v>
      </c>
      <c r="S223" s="11">
        <f>IFERROR(__xludf.DUMMYFUNCTION("""COMPUTED_VALUE"""),43370.66666666667)</f>
        <v>43370.66667</v>
      </c>
      <c r="T223" s="9">
        <f>IFERROR(__xludf.DUMMYFUNCTION("""COMPUTED_VALUE"""),168.84)</f>
        <v>168.84</v>
      </c>
      <c r="V223" s="11">
        <f>IFERROR(__xludf.DUMMYFUNCTION("""COMPUTED_VALUE"""),43370.66666666667)</f>
        <v>43370.66667</v>
      </c>
      <c r="W223" s="9">
        <f>IFERROR(__xludf.DUMMYFUNCTION("""COMPUTED_VALUE"""),379.87)</f>
        <v>379.87</v>
      </c>
      <c r="X223" s="11">
        <f>IFERROR(__xludf.DUMMYFUNCTION("""COMPUTED_VALUE"""),43370.66666666667)</f>
        <v>43370.66667</v>
      </c>
      <c r="Y223" s="9">
        <f>IFERROR(__xludf.DUMMYFUNCTION("""COMPUTED_VALUE"""),380.71)</f>
        <v>380.71</v>
      </c>
      <c r="AA223" s="11">
        <f>IFERROR(__xludf.DUMMYFUNCTION("""COMPUTED_VALUE"""),43370.66666666667)</f>
        <v>43370.66667</v>
      </c>
      <c r="AB223" s="9">
        <f>IFERROR(__xludf.DUMMYFUNCTION("""COMPUTED_VALUE"""),1993.24)</f>
        <v>1993.24</v>
      </c>
      <c r="AC223" s="11">
        <f>IFERROR(__xludf.DUMMYFUNCTION("""COMPUTED_VALUE"""),43370.66666666667)</f>
        <v>43370.66667</v>
      </c>
      <c r="AD223" s="9">
        <f>IFERROR(__xludf.DUMMYFUNCTION("""COMPUTED_VALUE"""),2012.98)</f>
        <v>2012.98</v>
      </c>
    </row>
    <row r="224">
      <c r="B224" s="11">
        <f>IFERROR(__xludf.DUMMYFUNCTION("""COMPUTED_VALUE"""),43371.66666666667)</f>
        <v>43371.66667</v>
      </c>
      <c r="C224" s="9">
        <f>IFERROR(__xludf.DUMMYFUNCTION("""COMPUTED_VALUE"""),54.05)</f>
        <v>54.05</v>
      </c>
      <c r="D224" s="11">
        <f>IFERROR(__xludf.DUMMYFUNCTION("""COMPUTED_VALUE"""),43371.66666666667)</f>
        <v>43371.66667</v>
      </c>
      <c r="E224" s="9">
        <f>IFERROR(__xludf.DUMMYFUNCTION("""COMPUTED_VALUE"""),52.95)</f>
        <v>52.95</v>
      </c>
      <c r="G224" s="11">
        <f>IFERROR(__xludf.DUMMYFUNCTION("""COMPUTED_VALUE"""),43371.66666666667)</f>
        <v>43371.66667</v>
      </c>
      <c r="H224" s="9">
        <f>IFERROR(__xludf.DUMMYFUNCTION("""COMPUTED_VALUE"""),1191.87)</f>
        <v>1191.87</v>
      </c>
      <c r="I224" s="11">
        <f>IFERROR(__xludf.DUMMYFUNCTION("""COMPUTED_VALUE"""),43371.66666666667)</f>
        <v>43371.66667</v>
      </c>
      <c r="J224" s="9">
        <f>IFERROR(__xludf.DUMMYFUNCTION("""COMPUTED_VALUE"""),1193.47)</f>
        <v>1193.47</v>
      </c>
      <c r="L224" s="11">
        <f>IFERROR(__xludf.DUMMYFUNCTION("""COMPUTED_VALUE"""),43371.66666666667)</f>
        <v>43371.66667</v>
      </c>
      <c r="M224" s="9">
        <f>IFERROR(__xludf.DUMMYFUNCTION("""COMPUTED_VALUE"""),56.2)</f>
        <v>56.2</v>
      </c>
      <c r="N224" s="11">
        <f>IFERROR(__xludf.DUMMYFUNCTION("""COMPUTED_VALUE"""),43371.66666666667)</f>
        <v>43371.66667</v>
      </c>
      <c r="O224" s="9">
        <f>IFERROR(__xludf.DUMMYFUNCTION("""COMPUTED_VALUE"""),56.44)</f>
        <v>56.44</v>
      </c>
      <c r="Q224" s="11">
        <f>IFERROR(__xludf.DUMMYFUNCTION("""COMPUTED_VALUE"""),43371.66666666667)</f>
        <v>43371.66667</v>
      </c>
      <c r="R224" s="9">
        <f>IFERROR(__xludf.DUMMYFUNCTION("""COMPUTED_VALUE"""),168.33)</f>
        <v>168.33</v>
      </c>
      <c r="S224" s="11">
        <f>IFERROR(__xludf.DUMMYFUNCTION("""COMPUTED_VALUE"""),43371.66666666667)</f>
        <v>43371.66667</v>
      </c>
      <c r="T224" s="9">
        <f>IFERROR(__xludf.DUMMYFUNCTION("""COMPUTED_VALUE"""),164.46)</f>
        <v>164.46</v>
      </c>
      <c r="V224" s="11">
        <f>IFERROR(__xludf.DUMMYFUNCTION("""COMPUTED_VALUE"""),43371.66666666667)</f>
        <v>43371.66667</v>
      </c>
      <c r="W224" s="9">
        <f>IFERROR(__xludf.DUMMYFUNCTION("""COMPUTED_VALUE"""),379.24)</f>
        <v>379.24</v>
      </c>
      <c r="X224" s="11">
        <f>IFERROR(__xludf.DUMMYFUNCTION("""COMPUTED_VALUE"""),43371.66666666667)</f>
        <v>43371.66667</v>
      </c>
      <c r="Y224" s="9">
        <f>IFERROR(__xludf.DUMMYFUNCTION("""COMPUTED_VALUE"""),374.13)</f>
        <v>374.13</v>
      </c>
      <c r="AA224" s="11">
        <f>IFERROR(__xludf.DUMMYFUNCTION("""COMPUTED_VALUE"""),43371.66666666667)</f>
        <v>43371.66667</v>
      </c>
      <c r="AB224" s="9">
        <f>IFERROR(__xludf.DUMMYFUNCTION("""COMPUTED_VALUE"""),2004.41)</f>
        <v>2004.41</v>
      </c>
      <c r="AC224" s="11">
        <f>IFERROR(__xludf.DUMMYFUNCTION("""COMPUTED_VALUE"""),43371.66666666667)</f>
        <v>43371.66667</v>
      </c>
      <c r="AD224" s="9">
        <f>IFERROR(__xludf.DUMMYFUNCTION("""COMPUTED_VALUE"""),2003.0)</f>
        <v>2003</v>
      </c>
    </row>
    <row r="225">
      <c r="B225" s="11">
        <f>IFERROR(__xludf.DUMMYFUNCTION("""COMPUTED_VALUE"""),43374.66666666667)</f>
        <v>43374.66667</v>
      </c>
      <c r="C225" s="9">
        <f>IFERROR(__xludf.DUMMYFUNCTION("""COMPUTED_VALUE"""),61.15)</f>
        <v>61.15</v>
      </c>
      <c r="D225" s="11">
        <f>IFERROR(__xludf.DUMMYFUNCTION("""COMPUTED_VALUE"""),43374.66666666667)</f>
        <v>43374.66667</v>
      </c>
      <c r="E225" s="9">
        <f>IFERROR(__xludf.DUMMYFUNCTION("""COMPUTED_VALUE"""),62.14)</f>
        <v>62.14</v>
      </c>
      <c r="G225" s="11">
        <f>IFERROR(__xludf.DUMMYFUNCTION("""COMPUTED_VALUE"""),43374.66666666667)</f>
        <v>43374.66667</v>
      </c>
      <c r="H225" s="9">
        <f>IFERROR(__xludf.DUMMYFUNCTION("""COMPUTED_VALUE"""),1199.89)</f>
        <v>1199.89</v>
      </c>
      <c r="I225" s="11">
        <f>IFERROR(__xludf.DUMMYFUNCTION("""COMPUTED_VALUE"""),43374.66666666667)</f>
        <v>43374.66667</v>
      </c>
      <c r="J225" s="9">
        <f>IFERROR(__xludf.DUMMYFUNCTION("""COMPUTED_VALUE"""),1195.31)</f>
        <v>1195.31</v>
      </c>
      <c r="L225" s="11">
        <f>IFERROR(__xludf.DUMMYFUNCTION("""COMPUTED_VALUE"""),43374.66666666667)</f>
        <v>43374.66667</v>
      </c>
      <c r="M225" s="9">
        <f>IFERROR(__xludf.DUMMYFUNCTION("""COMPUTED_VALUE"""),56.99)</f>
        <v>56.99</v>
      </c>
      <c r="N225" s="11">
        <f>IFERROR(__xludf.DUMMYFUNCTION("""COMPUTED_VALUE"""),43374.66666666667)</f>
        <v>43374.66667</v>
      </c>
      <c r="O225" s="9">
        <f>IFERROR(__xludf.DUMMYFUNCTION("""COMPUTED_VALUE"""),56.82)</f>
        <v>56.82</v>
      </c>
      <c r="Q225" s="11">
        <f>IFERROR(__xludf.DUMMYFUNCTION("""COMPUTED_VALUE"""),43374.66666666667)</f>
        <v>43374.66667</v>
      </c>
      <c r="R225" s="9">
        <f>IFERROR(__xludf.DUMMYFUNCTION("""COMPUTED_VALUE"""),163.03)</f>
        <v>163.03</v>
      </c>
      <c r="S225" s="11">
        <f>IFERROR(__xludf.DUMMYFUNCTION("""COMPUTED_VALUE"""),43374.66666666667)</f>
        <v>43374.66667</v>
      </c>
      <c r="T225" s="9">
        <f>IFERROR(__xludf.DUMMYFUNCTION("""COMPUTED_VALUE"""),162.44)</f>
        <v>162.44</v>
      </c>
      <c r="V225" s="11">
        <f>IFERROR(__xludf.DUMMYFUNCTION("""COMPUTED_VALUE"""),43374.66666666667)</f>
        <v>43374.66667</v>
      </c>
      <c r="W225" s="9">
        <f>IFERROR(__xludf.DUMMYFUNCTION("""COMPUTED_VALUE"""),375.85)</f>
        <v>375.85</v>
      </c>
      <c r="X225" s="11">
        <f>IFERROR(__xludf.DUMMYFUNCTION("""COMPUTED_VALUE"""),43374.66666666667)</f>
        <v>43374.66667</v>
      </c>
      <c r="Y225" s="9">
        <f>IFERROR(__xludf.DUMMYFUNCTION("""COMPUTED_VALUE"""),381.43)</f>
        <v>381.43</v>
      </c>
      <c r="AA225" s="11">
        <f>IFERROR(__xludf.DUMMYFUNCTION("""COMPUTED_VALUE"""),43374.66666666667)</f>
        <v>43374.66667</v>
      </c>
      <c r="AB225" s="9">
        <f>IFERROR(__xludf.DUMMYFUNCTION("""COMPUTED_VALUE"""),2021.99)</f>
        <v>2021.99</v>
      </c>
      <c r="AC225" s="11">
        <f>IFERROR(__xludf.DUMMYFUNCTION("""COMPUTED_VALUE"""),43374.66666666667)</f>
        <v>43374.66667</v>
      </c>
      <c r="AD225" s="9">
        <f>IFERROR(__xludf.DUMMYFUNCTION("""COMPUTED_VALUE"""),2004.36)</f>
        <v>2004.36</v>
      </c>
    </row>
    <row r="226">
      <c r="B226" s="11">
        <f>IFERROR(__xludf.DUMMYFUNCTION("""COMPUTED_VALUE"""),43375.66666666667)</f>
        <v>43375.66667</v>
      </c>
      <c r="C226" s="9">
        <f>IFERROR(__xludf.DUMMYFUNCTION("""COMPUTED_VALUE"""),62.79)</f>
        <v>62.79</v>
      </c>
      <c r="D226" s="11">
        <f>IFERROR(__xludf.DUMMYFUNCTION("""COMPUTED_VALUE"""),43375.66666666667)</f>
        <v>43375.66667</v>
      </c>
      <c r="E226" s="9">
        <f>IFERROR(__xludf.DUMMYFUNCTION("""COMPUTED_VALUE"""),60.2)</f>
        <v>60.2</v>
      </c>
      <c r="G226" s="11">
        <f>IFERROR(__xludf.DUMMYFUNCTION("""COMPUTED_VALUE"""),43375.66666666667)</f>
        <v>43375.66667</v>
      </c>
      <c r="H226" s="9">
        <f>IFERROR(__xludf.DUMMYFUNCTION("""COMPUTED_VALUE"""),1190.96)</f>
        <v>1190.96</v>
      </c>
      <c r="I226" s="11">
        <f>IFERROR(__xludf.DUMMYFUNCTION("""COMPUTED_VALUE"""),43375.66666666667)</f>
        <v>43375.66667</v>
      </c>
      <c r="J226" s="9">
        <f>IFERROR(__xludf.DUMMYFUNCTION("""COMPUTED_VALUE"""),1200.11)</f>
        <v>1200.11</v>
      </c>
      <c r="L226" s="11">
        <f>IFERROR(__xludf.DUMMYFUNCTION("""COMPUTED_VALUE"""),43375.66666666667)</f>
        <v>43375.66667</v>
      </c>
      <c r="M226" s="9">
        <f>IFERROR(__xludf.DUMMYFUNCTION("""COMPUTED_VALUE"""),56.81)</f>
        <v>56.81</v>
      </c>
      <c r="N226" s="11">
        <f>IFERROR(__xludf.DUMMYFUNCTION("""COMPUTED_VALUE"""),43375.66666666667)</f>
        <v>43375.66667</v>
      </c>
      <c r="O226" s="9">
        <f>IFERROR(__xludf.DUMMYFUNCTION("""COMPUTED_VALUE"""),57.32)</f>
        <v>57.32</v>
      </c>
      <c r="Q226" s="11">
        <f>IFERROR(__xludf.DUMMYFUNCTION("""COMPUTED_VALUE"""),43375.66666666667)</f>
        <v>43375.66667</v>
      </c>
      <c r="R226" s="9">
        <f>IFERROR(__xludf.DUMMYFUNCTION("""COMPUTED_VALUE"""),161.58)</f>
        <v>161.58</v>
      </c>
      <c r="S226" s="11">
        <f>IFERROR(__xludf.DUMMYFUNCTION("""COMPUTED_VALUE"""),43375.66666666667)</f>
        <v>43375.66667</v>
      </c>
      <c r="T226" s="9">
        <f>IFERROR(__xludf.DUMMYFUNCTION("""COMPUTED_VALUE"""),159.33)</f>
        <v>159.33</v>
      </c>
      <c r="V226" s="11">
        <f>IFERROR(__xludf.DUMMYFUNCTION("""COMPUTED_VALUE"""),43375.66666666667)</f>
        <v>43375.66667</v>
      </c>
      <c r="W226" s="9">
        <f>IFERROR(__xludf.DUMMYFUNCTION("""COMPUTED_VALUE"""),384.38)</f>
        <v>384.38</v>
      </c>
      <c r="X226" s="11">
        <f>IFERROR(__xludf.DUMMYFUNCTION("""COMPUTED_VALUE"""),43375.66666666667)</f>
        <v>43375.66667</v>
      </c>
      <c r="Y226" s="9">
        <f>IFERROR(__xludf.DUMMYFUNCTION("""COMPUTED_VALUE"""),377.14)</f>
        <v>377.14</v>
      </c>
      <c r="AA226" s="11">
        <f>IFERROR(__xludf.DUMMYFUNCTION("""COMPUTED_VALUE"""),43375.66666666667)</f>
        <v>43375.66667</v>
      </c>
      <c r="AB226" s="9">
        <f>IFERROR(__xludf.DUMMYFUNCTION("""COMPUTED_VALUE"""),1999.99)</f>
        <v>1999.99</v>
      </c>
      <c r="AC226" s="11">
        <f>IFERROR(__xludf.DUMMYFUNCTION("""COMPUTED_VALUE"""),43375.66666666667)</f>
        <v>43375.66667</v>
      </c>
      <c r="AD226" s="9">
        <f>IFERROR(__xludf.DUMMYFUNCTION("""COMPUTED_VALUE"""),1971.31)</f>
        <v>1971.31</v>
      </c>
    </row>
    <row r="227">
      <c r="B227" s="11">
        <f>IFERROR(__xludf.DUMMYFUNCTION("""COMPUTED_VALUE"""),43376.66666666667)</f>
        <v>43376.66667</v>
      </c>
      <c r="C227" s="9">
        <f>IFERROR(__xludf.DUMMYFUNCTION("""COMPUTED_VALUE"""),60.67)</f>
        <v>60.67</v>
      </c>
      <c r="D227" s="11">
        <f>IFERROR(__xludf.DUMMYFUNCTION("""COMPUTED_VALUE"""),43376.66666666667)</f>
        <v>43376.66667</v>
      </c>
      <c r="E227" s="9">
        <f>IFERROR(__xludf.DUMMYFUNCTION("""COMPUTED_VALUE"""),58.96)</f>
        <v>58.96</v>
      </c>
      <c r="G227" s="11">
        <f>IFERROR(__xludf.DUMMYFUNCTION("""COMPUTED_VALUE"""),43376.66666666667)</f>
        <v>43376.66667</v>
      </c>
      <c r="H227" s="9">
        <f>IFERROR(__xludf.DUMMYFUNCTION("""COMPUTED_VALUE"""),1205.0)</f>
        <v>1205</v>
      </c>
      <c r="I227" s="11">
        <f>IFERROR(__xludf.DUMMYFUNCTION("""COMPUTED_VALUE"""),43376.66666666667)</f>
        <v>43376.66667</v>
      </c>
      <c r="J227" s="9">
        <f>IFERROR(__xludf.DUMMYFUNCTION("""COMPUTED_VALUE"""),1202.95)</f>
        <v>1202.95</v>
      </c>
      <c r="L227" s="11">
        <f>IFERROR(__xludf.DUMMYFUNCTION("""COMPUTED_VALUE"""),43376.66666666667)</f>
        <v>43376.66667</v>
      </c>
      <c r="M227" s="9">
        <f>IFERROR(__xludf.DUMMYFUNCTION("""COMPUTED_VALUE"""),57.51)</f>
        <v>57.51</v>
      </c>
      <c r="N227" s="11">
        <f>IFERROR(__xludf.DUMMYFUNCTION("""COMPUTED_VALUE"""),43376.66666666667)</f>
        <v>43376.66667</v>
      </c>
      <c r="O227" s="9">
        <f>IFERROR(__xludf.DUMMYFUNCTION("""COMPUTED_VALUE"""),58.02)</f>
        <v>58.02</v>
      </c>
      <c r="Q227" s="11">
        <f>IFERROR(__xludf.DUMMYFUNCTION("""COMPUTED_VALUE"""),43376.66666666667)</f>
        <v>43376.66667</v>
      </c>
      <c r="R227" s="9">
        <f>IFERROR(__xludf.DUMMYFUNCTION("""COMPUTED_VALUE"""),160.0)</f>
        <v>160</v>
      </c>
      <c r="S227" s="11">
        <f>IFERROR(__xludf.DUMMYFUNCTION("""COMPUTED_VALUE"""),43376.66666666667)</f>
        <v>43376.66667</v>
      </c>
      <c r="T227" s="9">
        <f>IFERROR(__xludf.DUMMYFUNCTION("""COMPUTED_VALUE"""),162.43)</f>
        <v>162.43</v>
      </c>
      <c r="V227" s="11">
        <f>IFERROR(__xludf.DUMMYFUNCTION("""COMPUTED_VALUE"""),43376.66666666667)</f>
        <v>43376.66667</v>
      </c>
      <c r="W227" s="9">
        <f>IFERROR(__xludf.DUMMYFUNCTION("""COMPUTED_VALUE"""),378.53)</f>
        <v>378.53</v>
      </c>
      <c r="X227" s="11">
        <f>IFERROR(__xludf.DUMMYFUNCTION("""COMPUTED_VALUE"""),43376.66666666667)</f>
        <v>43376.66667</v>
      </c>
      <c r="Y227" s="9">
        <f>IFERROR(__xludf.DUMMYFUNCTION("""COMPUTED_VALUE"""),377.05)</f>
        <v>377.05</v>
      </c>
      <c r="AA227" s="11">
        <f>IFERROR(__xludf.DUMMYFUNCTION("""COMPUTED_VALUE"""),43376.66666666667)</f>
        <v>43376.66667</v>
      </c>
      <c r="AB227" s="9">
        <f>IFERROR(__xludf.DUMMYFUNCTION("""COMPUTED_VALUE"""),1981.7)</f>
        <v>1981.7</v>
      </c>
      <c r="AC227" s="11">
        <f>IFERROR(__xludf.DUMMYFUNCTION("""COMPUTED_VALUE"""),43376.66666666667)</f>
        <v>43376.66667</v>
      </c>
      <c r="AD227" s="9">
        <f>IFERROR(__xludf.DUMMYFUNCTION("""COMPUTED_VALUE"""),1952.76)</f>
        <v>1952.76</v>
      </c>
    </row>
    <row r="228">
      <c r="B228" s="11">
        <f>IFERROR(__xludf.DUMMYFUNCTION("""COMPUTED_VALUE"""),43377.66666666667)</f>
        <v>43377.66667</v>
      </c>
      <c r="C228" s="9">
        <f>IFERROR(__xludf.DUMMYFUNCTION("""COMPUTED_VALUE"""),58.79)</f>
        <v>58.79</v>
      </c>
      <c r="D228" s="11">
        <f>IFERROR(__xludf.DUMMYFUNCTION("""COMPUTED_VALUE"""),43377.66666666667)</f>
        <v>43377.66667</v>
      </c>
      <c r="E228" s="9">
        <f>IFERROR(__xludf.DUMMYFUNCTION("""COMPUTED_VALUE"""),56.37)</f>
        <v>56.37</v>
      </c>
      <c r="G228" s="11">
        <f>IFERROR(__xludf.DUMMYFUNCTION("""COMPUTED_VALUE"""),43377.66666666667)</f>
        <v>43377.66667</v>
      </c>
      <c r="H228" s="9">
        <f>IFERROR(__xludf.DUMMYFUNCTION("""COMPUTED_VALUE"""),1195.33)</f>
        <v>1195.33</v>
      </c>
      <c r="I228" s="11">
        <f>IFERROR(__xludf.DUMMYFUNCTION("""COMPUTED_VALUE"""),43377.66666666667)</f>
        <v>43377.66667</v>
      </c>
      <c r="J228" s="9">
        <f>IFERROR(__xludf.DUMMYFUNCTION("""COMPUTED_VALUE"""),1168.19)</f>
        <v>1168.19</v>
      </c>
      <c r="L228" s="11">
        <f>IFERROR(__xludf.DUMMYFUNCTION("""COMPUTED_VALUE"""),43377.66666666667)</f>
        <v>43377.66667</v>
      </c>
      <c r="M228" s="9">
        <f>IFERROR(__xludf.DUMMYFUNCTION("""COMPUTED_VALUE"""),57.7)</f>
        <v>57.7</v>
      </c>
      <c r="N228" s="11">
        <f>IFERROR(__xludf.DUMMYFUNCTION("""COMPUTED_VALUE"""),43377.66666666667)</f>
        <v>43377.66667</v>
      </c>
      <c r="O228" s="9">
        <f>IFERROR(__xludf.DUMMYFUNCTION("""COMPUTED_VALUE"""),57.0)</f>
        <v>57</v>
      </c>
      <c r="Q228" s="11">
        <f>IFERROR(__xludf.DUMMYFUNCTION("""COMPUTED_VALUE"""),43377.66666666667)</f>
        <v>43377.66667</v>
      </c>
      <c r="R228" s="9">
        <f>IFERROR(__xludf.DUMMYFUNCTION("""COMPUTED_VALUE"""),161.46)</f>
        <v>161.46</v>
      </c>
      <c r="S228" s="11">
        <f>IFERROR(__xludf.DUMMYFUNCTION("""COMPUTED_VALUE"""),43377.66666666667)</f>
        <v>43377.66667</v>
      </c>
      <c r="T228" s="9">
        <f>IFERROR(__xludf.DUMMYFUNCTION("""COMPUTED_VALUE"""),158.85)</f>
        <v>158.85</v>
      </c>
      <c r="V228" s="11">
        <f>IFERROR(__xludf.DUMMYFUNCTION("""COMPUTED_VALUE"""),43377.66666666667)</f>
        <v>43377.66667</v>
      </c>
      <c r="W228" s="9">
        <f>IFERROR(__xludf.DUMMYFUNCTION("""COMPUTED_VALUE"""),375.88)</f>
        <v>375.88</v>
      </c>
      <c r="X228" s="11">
        <f>IFERROR(__xludf.DUMMYFUNCTION("""COMPUTED_VALUE"""),43377.66666666667)</f>
        <v>43377.66667</v>
      </c>
      <c r="Y228" s="9">
        <f>IFERROR(__xludf.DUMMYFUNCTION("""COMPUTED_VALUE"""),363.65)</f>
        <v>363.65</v>
      </c>
      <c r="AA228" s="11">
        <f>IFERROR(__xludf.DUMMYFUNCTION("""COMPUTED_VALUE"""),43377.66666666667)</f>
        <v>43377.66667</v>
      </c>
      <c r="AB228" s="9">
        <f>IFERROR(__xludf.DUMMYFUNCTION("""COMPUTED_VALUE"""),1949.0)</f>
        <v>1949</v>
      </c>
      <c r="AC228" s="11">
        <f>IFERROR(__xludf.DUMMYFUNCTION("""COMPUTED_VALUE"""),43377.66666666667)</f>
        <v>43377.66667</v>
      </c>
      <c r="AD228" s="9">
        <f>IFERROR(__xludf.DUMMYFUNCTION("""COMPUTED_VALUE"""),1909.42)</f>
        <v>1909.42</v>
      </c>
    </row>
    <row r="229">
      <c r="B229" s="11">
        <f>IFERROR(__xludf.DUMMYFUNCTION("""COMPUTED_VALUE"""),43378.66666666667)</f>
        <v>43378.66667</v>
      </c>
      <c r="C229" s="9">
        <f>IFERROR(__xludf.DUMMYFUNCTION("""COMPUTED_VALUE"""),54.93)</f>
        <v>54.93</v>
      </c>
      <c r="D229" s="11">
        <f>IFERROR(__xludf.DUMMYFUNCTION("""COMPUTED_VALUE"""),43378.66666666667)</f>
        <v>43378.66667</v>
      </c>
      <c r="E229" s="9">
        <f>IFERROR(__xludf.DUMMYFUNCTION("""COMPUTED_VALUE"""),52.39)</f>
        <v>52.39</v>
      </c>
      <c r="G229" s="11">
        <f>IFERROR(__xludf.DUMMYFUNCTION("""COMPUTED_VALUE"""),43378.66666666667)</f>
        <v>43378.66667</v>
      </c>
      <c r="H229" s="9">
        <f>IFERROR(__xludf.DUMMYFUNCTION("""COMPUTED_VALUE"""),1167.5)</f>
        <v>1167.5</v>
      </c>
      <c r="I229" s="11">
        <f>IFERROR(__xludf.DUMMYFUNCTION("""COMPUTED_VALUE"""),43378.66666666667)</f>
        <v>43378.66667</v>
      </c>
      <c r="J229" s="9">
        <f>IFERROR(__xludf.DUMMYFUNCTION("""COMPUTED_VALUE"""),1157.35)</f>
        <v>1157.35</v>
      </c>
      <c r="L229" s="11">
        <f>IFERROR(__xludf.DUMMYFUNCTION("""COMPUTED_VALUE"""),43378.66666666667)</f>
        <v>43378.66667</v>
      </c>
      <c r="M229" s="9">
        <f>IFERROR(__xludf.DUMMYFUNCTION("""COMPUTED_VALUE"""),56.99)</f>
        <v>56.99</v>
      </c>
      <c r="N229" s="11">
        <f>IFERROR(__xludf.DUMMYFUNCTION("""COMPUTED_VALUE"""),43378.66666666667)</f>
        <v>43378.66667</v>
      </c>
      <c r="O229" s="9">
        <f>IFERROR(__xludf.DUMMYFUNCTION("""COMPUTED_VALUE"""),56.07)</f>
        <v>56.07</v>
      </c>
      <c r="Q229" s="11">
        <f>IFERROR(__xludf.DUMMYFUNCTION("""COMPUTED_VALUE"""),43378.66666666667)</f>
        <v>43378.66667</v>
      </c>
      <c r="R229" s="9">
        <f>IFERROR(__xludf.DUMMYFUNCTION("""COMPUTED_VALUE"""),159.21)</f>
        <v>159.21</v>
      </c>
      <c r="S229" s="11">
        <f>IFERROR(__xludf.DUMMYFUNCTION("""COMPUTED_VALUE"""),43378.66666666667)</f>
        <v>43378.66667</v>
      </c>
      <c r="T229" s="9">
        <f>IFERROR(__xludf.DUMMYFUNCTION("""COMPUTED_VALUE"""),157.33)</f>
        <v>157.33</v>
      </c>
      <c r="V229" s="11">
        <f>IFERROR(__xludf.DUMMYFUNCTION("""COMPUTED_VALUE"""),43378.66666666667)</f>
        <v>43378.66667</v>
      </c>
      <c r="W229" s="9">
        <f>IFERROR(__xludf.DUMMYFUNCTION("""COMPUTED_VALUE"""),359.77)</f>
        <v>359.77</v>
      </c>
      <c r="X229" s="11">
        <f>IFERROR(__xludf.DUMMYFUNCTION("""COMPUTED_VALUE"""),43378.66666666667)</f>
        <v>43378.66667</v>
      </c>
      <c r="Y229" s="9">
        <f>IFERROR(__xludf.DUMMYFUNCTION("""COMPUTED_VALUE"""),351.35)</f>
        <v>351.35</v>
      </c>
      <c r="AA229" s="11">
        <f>IFERROR(__xludf.DUMMYFUNCTION("""COMPUTED_VALUE"""),43378.66666666667)</f>
        <v>43378.66667</v>
      </c>
      <c r="AB229" s="9">
        <f>IFERROR(__xludf.DUMMYFUNCTION("""COMPUTED_VALUE"""),1917.99)</f>
        <v>1917.99</v>
      </c>
      <c r="AC229" s="11">
        <f>IFERROR(__xludf.DUMMYFUNCTION("""COMPUTED_VALUE"""),43378.66666666667)</f>
        <v>43378.66667</v>
      </c>
      <c r="AD229" s="9">
        <f>IFERROR(__xludf.DUMMYFUNCTION("""COMPUTED_VALUE"""),1889.65)</f>
        <v>1889.65</v>
      </c>
    </row>
    <row r="230">
      <c r="B230" s="11">
        <f>IFERROR(__xludf.DUMMYFUNCTION("""COMPUTED_VALUE"""),43381.66666666667)</f>
        <v>43381.66667</v>
      </c>
      <c r="C230" s="9">
        <f>IFERROR(__xludf.DUMMYFUNCTION("""COMPUTED_VALUE"""),52.9)</f>
        <v>52.9</v>
      </c>
      <c r="D230" s="11">
        <f>IFERROR(__xludf.DUMMYFUNCTION("""COMPUTED_VALUE"""),43381.66666666667)</f>
        <v>43381.66667</v>
      </c>
      <c r="E230" s="9">
        <f>IFERROR(__xludf.DUMMYFUNCTION("""COMPUTED_VALUE"""),50.11)</f>
        <v>50.11</v>
      </c>
      <c r="G230" s="11">
        <f>IFERROR(__xludf.DUMMYFUNCTION("""COMPUTED_VALUE"""),43381.66666666667)</f>
        <v>43381.66667</v>
      </c>
      <c r="H230" s="9">
        <f>IFERROR(__xludf.DUMMYFUNCTION("""COMPUTED_VALUE"""),1150.11)</f>
        <v>1150.11</v>
      </c>
      <c r="I230" s="11">
        <f>IFERROR(__xludf.DUMMYFUNCTION("""COMPUTED_VALUE"""),43381.66666666667)</f>
        <v>43381.66667</v>
      </c>
      <c r="J230" s="9">
        <f>IFERROR(__xludf.DUMMYFUNCTION("""COMPUTED_VALUE"""),1148.97)</f>
        <v>1148.97</v>
      </c>
      <c r="L230" s="11">
        <f>IFERROR(__xludf.DUMMYFUNCTION("""COMPUTED_VALUE"""),43381.66666666667)</f>
        <v>43381.66667</v>
      </c>
      <c r="M230" s="9">
        <f>IFERROR(__xludf.DUMMYFUNCTION("""COMPUTED_VALUE"""),55.55)</f>
        <v>55.55</v>
      </c>
      <c r="N230" s="11">
        <f>IFERROR(__xludf.DUMMYFUNCTION("""COMPUTED_VALUE"""),43381.66666666667)</f>
        <v>43381.66667</v>
      </c>
      <c r="O230" s="9">
        <f>IFERROR(__xludf.DUMMYFUNCTION("""COMPUTED_VALUE"""),55.94)</f>
        <v>55.94</v>
      </c>
      <c r="Q230" s="11">
        <f>IFERROR(__xludf.DUMMYFUNCTION("""COMPUTED_VALUE"""),43381.66666666667)</f>
        <v>43381.66667</v>
      </c>
      <c r="R230" s="9">
        <f>IFERROR(__xludf.DUMMYFUNCTION("""COMPUTED_VALUE"""),155.54)</f>
        <v>155.54</v>
      </c>
      <c r="S230" s="11">
        <f>IFERROR(__xludf.DUMMYFUNCTION("""COMPUTED_VALUE"""),43381.66666666667)</f>
        <v>43381.66667</v>
      </c>
      <c r="T230" s="9">
        <f>IFERROR(__xludf.DUMMYFUNCTION("""COMPUTED_VALUE"""),157.25)</f>
        <v>157.25</v>
      </c>
      <c r="V230" s="11">
        <f>IFERROR(__xludf.DUMMYFUNCTION("""COMPUTED_VALUE"""),43381.66666666667)</f>
        <v>43381.66667</v>
      </c>
      <c r="W230" s="9">
        <f>IFERROR(__xludf.DUMMYFUNCTION("""COMPUTED_VALUE"""),345.18)</f>
        <v>345.18</v>
      </c>
      <c r="X230" s="11">
        <f>IFERROR(__xludf.DUMMYFUNCTION("""COMPUTED_VALUE"""),43381.66666666667)</f>
        <v>43381.66667</v>
      </c>
      <c r="Y230" s="9">
        <f>IFERROR(__xludf.DUMMYFUNCTION("""COMPUTED_VALUE"""),349.1)</f>
        <v>349.1</v>
      </c>
      <c r="AA230" s="11">
        <f>IFERROR(__xludf.DUMMYFUNCTION("""COMPUTED_VALUE"""),43381.66666666667)</f>
        <v>43381.66667</v>
      </c>
      <c r="AB230" s="9">
        <f>IFERROR(__xludf.DUMMYFUNCTION("""COMPUTED_VALUE"""),1874.0)</f>
        <v>1874</v>
      </c>
      <c r="AC230" s="11">
        <f>IFERROR(__xludf.DUMMYFUNCTION("""COMPUTED_VALUE"""),43381.66666666667)</f>
        <v>43381.66667</v>
      </c>
      <c r="AD230" s="9">
        <f>IFERROR(__xludf.DUMMYFUNCTION("""COMPUTED_VALUE"""),1864.42)</f>
        <v>1864.42</v>
      </c>
    </row>
    <row r="231">
      <c r="B231" s="11">
        <f>IFERROR(__xludf.DUMMYFUNCTION("""COMPUTED_VALUE"""),43382.66666666667)</f>
        <v>43382.66667</v>
      </c>
      <c r="C231" s="9">
        <f>IFERROR(__xludf.DUMMYFUNCTION("""COMPUTED_VALUE"""),51.05)</f>
        <v>51.05</v>
      </c>
      <c r="D231" s="11">
        <f>IFERROR(__xludf.DUMMYFUNCTION("""COMPUTED_VALUE"""),43382.66666666667)</f>
        <v>43382.66667</v>
      </c>
      <c r="E231" s="9">
        <f>IFERROR(__xludf.DUMMYFUNCTION("""COMPUTED_VALUE"""),52.56)</f>
        <v>52.56</v>
      </c>
      <c r="G231" s="11">
        <f>IFERROR(__xludf.DUMMYFUNCTION("""COMPUTED_VALUE"""),43382.66666666667)</f>
        <v>43382.66667</v>
      </c>
      <c r="H231" s="9">
        <f>IFERROR(__xludf.DUMMYFUNCTION("""COMPUTED_VALUE"""),1146.15)</f>
        <v>1146.15</v>
      </c>
      <c r="I231" s="11">
        <f>IFERROR(__xludf.DUMMYFUNCTION("""COMPUTED_VALUE"""),43382.66666666667)</f>
        <v>43382.66667</v>
      </c>
      <c r="J231" s="9">
        <f>IFERROR(__xludf.DUMMYFUNCTION("""COMPUTED_VALUE"""),1138.82)</f>
        <v>1138.82</v>
      </c>
      <c r="L231" s="11">
        <f>IFERROR(__xludf.DUMMYFUNCTION("""COMPUTED_VALUE"""),43382.66666666667)</f>
        <v>43382.66667</v>
      </c>
      <c r="M231" s="9">
        <f>IFERROR(__xludf.DUMMYFUNCTION("""COMPUTED_VALUE"""),55.91)</f>
        <v>55.91</v>
      </c>
      <c r="N231" s="11">
        <f>IFERROR(__xludf.DUMMYFUNCTION("""COMPUTED_VALUE"""),43382.66666666667)</f>
        <v>43382.66667</v>
      </c>
      <c r="O231" s="9">
        <f>IFERROR(__xludf.DUMMYFUNCTION("""COMPUTED_VALUE"""),56.72)</f>
        <v>56.72</v>
      </c>
      <c r="Q231" s="11">
        <f>IFERROR(__xludf.DUMMYFUNCTION("""COMPUTED_VALUE"""),43382.66666666667)</f>
        <v>43382.66667</v>
      </c>
      <c r="R231" s="9">
        <f>IFERROR(__xludf.DUMMYFUNCTION("""COMPUTED_VALUE"""),157.69)</f>
        <v>157.69</v>
      </c>
      <c r="S231" s="11">
        <f>IFERROR(__xludf.DUMMYFUNCTION("""COMPUTED_VALUE"""),43382.66666666667)</f>
        <v>43382.66667</v>
      </c>
      <c r="T231" s="9">
        <f>IFERROR(__xludf.DUMMYFUNCTION("""COMPUTED_VALUE"""),157.9)</f>
        <v>157.9</v>
      </c>
      <c r="V231" s="11">
        <f>IFERROR(__xludf.DUMMYFUNCTION("""COMPUTED_VALUE"""),43382.66666666667)</f>
        <v>43382.66667</v>
      </c>
      <c r="W231" s="9">
        <f>IFERROR(__xludf.DUMMYFUNCTION("""COMPUTED_VALUE"""),348.48)</f>
        <v>348.48</v>
      </c>
      <c r="X231" s="11">
        <f>IFERROR(__xludf.DUMMYFUNCTION("""COMPUTED_VALUE"""),43382.66666666667)</f>
        <v>43382.66667</v>
      </c>
      <c r="Y231" s="9">
        <f>IFERROR(__xludf.DUMMYFUNCTION("""COMPUTED_VALUE"""),355.71)</f>
        <v>355.71</v>
      </c>
      <c r="AA231" s="11">
        <f>IFERROR(__xludf.DUMMYFUNCTION("""COMPUTED_VALUE"""),43382.66666666667)</f>
        <v>43382.66667</v>
      </c>
      <c r="AB231" s="9">
        <f>IFERROR(__xludf.DUMMYFUNCTION("""COMPUTED_VALUE"""),1859.99)</f>
        <v>1859.99</v>
      </c>
      <c r="AC231" s="11">
        <f>IFERROR(__xludf.DUMMYFUNCTION("""COMPUTED_VALUE"""),43382.66666666667)</f>
        <v>43382.66667</v>
      </c>
      <c r="AD231" s="9">
        <f>IFERROR(__xludf.DUMMYFUNCTION("""COMPUTED_VALUE"""),1870.32)</f>
        <v>1870.32</v>
      </c>
    </row>
    <row r="232">
      <c r="B232" s="11">
        <f>IFERROR(__xludf.DUMMYFUNCTION("""COMPUTED_VALUE"""),43383.66666666667)</f>
        <v>43383.66667</v>
      </c>
      <c r="C232" s="9">
        <f>IFERROR(__xludf.DUMMYFUNCTION("""COMPUTED_VALUE"""),52.92)</f>
        <v>52.92</v>
      </c>
      <c r="D232" s="11">
        <f>IFERROR(__xludf.DUMMYFUNCTION("""COMPUTED_VALUE"""),43383.66666666667)</f>
        <v>43383.66667</v>
      </c>
      <c r="E232" s="9">
        <f>IFERROR(__xludf.DUMMYFUNCTION("""COMPUTED_VALUE"""),51.38)</f>
        <v>51.38</v>
      </c>
      <c r="G232" s="11">
        <f>IFERROR(__xludf.DUMMYFUNCTION("""COMPUTED_VALUE"""),43383.66666666667)</f>
        <v>43383.66667</v>
      </c>
      <c r="H232" s="9">
        <f>IFERROR(__xludf.DUMMYFUNCTION("""COMPUTED_VALUE"""),1131.08)</f>
        <v>1131.08</v>
      </c>
      <c r="I232" s="11">
        <f>IFERROR(__xludf.DUMMYFUNCTION("""COMPUTED_VALUE"""),43383.66666666667)</f>
        <v>43383.66667</v>
      </c>
      <c r="J232" s="9">
        <f>IFERROR(__xludf.DUMMYFUNCTION("""COMPUTED_VALUE"""),1081.22)</f>
        <v>1081.22</v>
      </c>
      <c r="L232" s="11">
        <f>IFERROR(__xludf.DUMMYFUNCTION("""COMPUTED_VALUE"""),43383.66666666667)</f>
        <v>43383.66667</v>
      </c>
      <c r="M232" s="9">
        <f>IFERROR(__xludf.DUMMYFUNCTION("""COMPUTED_VALUE"""),56.37)</f>
        <v>56.37</v>
      </c>
      <c r="N232" s="11">
        <f>IFERROR(__xludf.DUMMYFUNCTION("""COMPUTED_VALUE"""),43383.66666666667)</f>
        <v>43383.66667</v>
      </c>
      <c r="O232" s="9">
        <f>IFERROR(__xludf.DUMMYFUNCTION("""COMPUTED_VALUE"""),54.09)</f>
        <v>54.09</v>
      </c>
      <c r="Q232" s="11">
        <f>IFERROR(__xludf.DUMMYFUNCTION("""COMPUTED_VALUE"""),43383.66666666667)</f>
        <v>43383.66667</v>
      </c>
      <c r="R232" s="9">
        <f>IFERROR(__xludf.DUMMYFUNCTION("""COMPUTED_VALUE"""),156.82)</f>
        <v>156.82</v>
      </c>
      <c r="S232" s="11">
        <f>IFERROR(__xludf.DUMMYFUNCTION("""COMPUTED_VALUE"""),43383.66666666667)</f>
        <v>43383.66667</v>
      </c>
      <c r="T232" s="9">
        <f>IFERROR(__xludf.DUMMYFUNCTION("""COMPUTED_VALUE"""),151.38)</f>
        <v>151.38</v>
      </c>
      <c r="V232" s="11">
        <f>IFERROR(__xludf.DUMMYFUNCTION("""COMPUTED_VALUE"""),43383.66666666667)</f>
        <v>43383.66667</v>
      </c>
      <c r="W232" s="9">
        <f>IFERROR(__xludf.DUMMYFUNCTION("""COMPUTED_VALUE"""),353.52)</f>
        <v>353.52</v>
      </c>
      <c r="X232" s="11">
        <f>IFERROR(__xludf.DUMMYFUNCTION("""COMPUTED_VALUE"""),43383.66666666667)</f>
        <v>43383.66667</v>
      </c>
      <c r="Y232" s="9">
        <f>IFERROR(__xludf.DUMMYFUNCTION("""COMPUTED_VALUE"""),325.89)</f>
        <v>325.89</v>
      </c>
      <c r="AA232" s="11">
        <f>IFERROR(__xludf.DUMMYFUNCTION("""COMPUTED_VALUE"""),43383.66666666667)</f>
        <v>43383.66667</v>
      </c>
      <c r="AB232" s="9">
        <f>IFERROR(__xludf.DUMMYFUNCTION("""COMPUTED_VALUE"""),1857.89)</f>
        <v>1857.89</v>
      </c>
      <c r="AC232" s="11">
        <f>IFERROR(__xludf.DUMMYFUNCTION("""COMPUTED_VALUE"""),43383.66666666667)</f>
        <v>43383.66667</v>
      </c>
      <c r="AD232" s="9">
        <f>IFERROR(__xludf.DUMMYFUNCTION("""COMPUTED_VALUE"""),1755.25)</f>
        <v>1755.25</v>
      </c>
    </row>
    <row r="233">
      <c r="B233" s="11">
        <f>IFERROR(__xludf.DUMMYFUNCTION("""COMPUTED_VALUE"""),43384.66666666667)</f>
        <v>43384.66667</v>
      </c>
      <c r="C233" s="9">
        <f>IFERROR(__xludf.DUMMYFUNCTION("""COMPUTED_VALUE"""),51.51)</f>
        <v>51.51</v>
      </c>
      <c r="D233" s="11">
        <f>IFERROR(__xludf.DUMMYFUNCTION("""COMPUTED_VALUE"""),43384.66666666667)</f>
        <v>43384.66667</v>
      </c>
      <c r="E233" s="9">
        <f>IFERROR(__xludf.DUMMYFUNCTION("""COMPUTED_VALUE"""),50.45)</f>
        <v>50.45</v>
      </c>
      <c r="G233" s="11">
        <f>IFERROR(__xludf.DUMMYFUNCTION("""COMPUTED_VALUE"""),43384.66666666667)</f>
        <v>43384.66667</v>
      </c>
      <c r="H233" s="9">
        <f>IFERROR(__xludf.DUMMYFUNCTION("""COMPUTED_VALUE"""),1072.94)</f>
        <v>1072.94</v>
      </c>
      <c r="I233" s="11">
        <f>IFERROR(__xludf.DUMMYFUNCTION("""COMPUTED_VALUE"""),43384.66666666667)</f>
        <v>43384.66667</v>
      </c>
      <c r="J233" s="9">
        <f>IFERROR(__xludf.DUMMYFUNCTION("""COMPUTED_VALUE"""),1079.32)</f>
        <v>1079.32</v>
      </c>
      <c r="L233" s="11">
        <f>IFERROR(__xludf.DUMMYFUNCTION("""COMPUTED_VALUE"""),43384.66666666667)</f>
        <v>43384.66667</v>
      </c>
      <c r="M233" s="9">
        <f>IFERROR(__xludf.DUMMYFUNCTION("""COMPUTED_VALUE"""),53.63)</f>
        <v>53.63</v>
      </c>
      <c r="N233" s="11">
        <f>IFERROR(__xludf.DUMMYFUNCTION("""COMPUTED_VALUE"""),43384.66666666667)</f>
        <v>43384.66667</v>
      </c>
      <c r="O233" s="9">
        <f>IFERROR(__xludf.DUMMYFUNCTION("""COMPUTED_VALUE"""),53.61)</f>
        <v>53.61</v>
      </c>
      <c r="Q233" s="11">
        <f>IFERROR(__xludf.DUMMYFUNCTION("""COMPUTED_VALUE"""),43384.66666666667)</f>
        <v>43384.66667</v>
      </c>
      <c r="R233" s="9">
        <f>IFERROR(__xludf.DUMMYFUNCTION("""COMPUTED_VALUE"""),150.13)</f>
        <v>150.13</v>
      </c>
      <c r="S233" s="11">
        <f>IFERROR(__xludf.DUMMYFUNCTION("""COMPUTED_VALUE"""),43384.66666666667)</f>
        <v>43384.66667</v>
      </c>
      <c r="T233" s="9">
        <f>IFERROR(__xludf.DUMMYFUNCTION("""COMPUTED_VALUE"""),153.35)</f>
        <v>153.35</v>
      </c>
      <c r="V233" s="11">
        <f>IFERROR(__xludf.DUMMYFUNCTION("""COMPUTED_VALUE"""),43384.66666666667)</f>
        <v>43384.66667</v>
      </c>
      <c r="W233" s="9">
        <f>IFERROR(__xludf.DUMMYFUNCTION("""COMPUTED_VALUE"""),324.94)</f>
        <v>324.94</v>
      </c>
      <c r="X233" s="11">
        <f>IFERROR(__xludf.DUMMYFUNCTION("""COMPUTED_VALUE"""),43384.66666666667)</f>
        <v>43384.66667</v>
      </c>
      <c r="Y233" s="9">
        <f>IFERROR(__xludf.DUMMYFUNCTION("""COMPUTED_VALUE"""),321.1)</f>
        <v>321.1</v>
      </c>
      <c r="AA233" s="11">
        <f>IFERROR(__xludf.DUMMYFUNCTION("""COMPUTED_VALUE"""),43384.66666666667)</f>
        <v>43384.66667</v>
      </c>
      <c r="AB233" s="9">
        <f>IFERROR(__xludf.DUMMYFUNCTION("""COMPUTED_VALUE"""),1724.0)</f>
        <v>1724</v>
      </c>
      <c r="AC233" s="11">
        <f>IFERROR(__xludf.DUMMYFUNCTION("""COMPUTED_VALUE"""),43384.66666666667)</f>
        <v>43384.66667</v>
      </c>
      <c r="AD233" s="9">
        <f>IFERROR(__xludf.DUMMYFUNCTION("""COMPUTED_VALUE"""),1719.36)</f>
        <v>1719.36</v>
      </c>
    </row>
    <row r="234">
      <c r="B234" s="11">
        <f>IFERROR(__xludf.DUMMYFUNCTION("""COMPUTED_VALUE"""),43385.66666666667)</f>
        <v>43385.66667</v>
      </c>
      <c r="C234" s="9">
        <f>IFERROR(__xludf.DUMMYFUNCTION("""COMPUTED_VALUE"""),52.2)</f>
        <v>52.2</v>
      </c>
      <c r="D234" s="11">
        <f>IFERROR(__xludf.DUMMYFUNCTION("""COMPUTED_VALUE"""),43385.66666666667)</f>
        <v>43385.66667</v>
      </c>
      <c r="E234" s="9">
        <f>IFERROR(__xludf.DUMMYFUNCTION("""COMPUTED_VALUE"""),51.76)</f>
        <v>51.76</v>
      </c>
      <c r="G234" s="11">
        <f>IFERROR(__xludf.DUMMYFUNCTION("""COMPUTED_VALUE"""),43385.66666666667)</f>
        <v>43385.66667</v>
      </c>
      <c r="H234" s="9">
        <f>IFERROR(__xludf.DUMMYFUNCTION("""COMPUTED_VALUE"""),1108.0)</f>
        <v>1108</v>
      </c>
      <c r="I234" s="11">
        <f>IFERROR(__xludf.DUMMYFUNCTION("""COMPUTED_VALUE"""),43385.66666666667)</f>
        <v>43385.66667</v>
      </c>
      <c r="J234" s="9">
        <f>IFERROR(__xludf.DUMMYFUNCTION("""COMPUTED_VALUE"""),1110.08)</f>
        <v>1110.08</v>
      </c>
      <c r="L234" s="11">
        <f>IFERROR(__xludf.DUMMYFUNCTION("""COMPUTED_VALUE"""),43385.66666666667)</f>
        <v>43385.66667</v>
      </c>
      <c r="M234" s="9">
        <f>IFERROR(__xludf.DUMMYFUNCTION("""COMPUTED_VALUE"""),55.11)</f>
        <v>55.11</v>
      </c>
      <c r="N234" s="11">
        <f>IFERROR(__xludf.DUMMYFUNCTION("""COMPUTED_VALUE"""),43385.66666666667)</f>
        <v>43385.66667</v>
      </c>
      <c r="O234" s="9">
        <f>IFERROR(__xludf.DUMMYFUNCTION("""COMPUTED_VALUE"""),55.53)</f>
        <v>55.53</v>
      </c>
      <c r="Q234" s="11">
        <f>IFERROR(__xludf.DUMMYFUNCTION("""COMPUTED_VALUE"""),43385.66666666667)</f>
        <v>43385.66667</v>
      </c>
      <c r="R234" s="9">
        <f>IFERROR(__xludf.DUMMYFUNCTION("""COMPUTED_VALUE"""),156.73)</f>
        <v>156.73</v>
      </c>
      <c r="S234" s="11">
        <f>IFERROR(__xludf.DUMMYFUNCTION("""COMPUTED_VALUE"""),43385.66666666667)</f>
        <v>43385.66667</v>
      </c>
      <c r="T234" s="9">
        <f>IFERROR(__xludf.DUMMYFUNCTION("""COMPUTED_VALUE"""),153.74)</f>
        <v>153.74</v>
      </c>
      <c r="V234" s="11">
        <f>IFERROR(__xludf.DUMMYFUNCTION("""COMPUTED_VALUE"""),43385.66666666667)</f>
        <v>43385.66667</v>
      </c>
      <c r="W234" s="9">
        <f>IFERROR(__xludf.DUMMYFUNCTION("""COMPUTED_VALUE"""),339.57)</f>
        <v>339.57</v>
      </c>
      <c r="X234" s="11">
        <f>IFERROR(__xludf.DUMMYFUNCTION("""COMPUTED_VALUE"""),43385.66666666667)</f>
        <v>43385.66667</v>
      </c>
      <c r="Y234" s="9">
        <f>IFERROR(__xludf.DUMMYFUNCTION("""COMPUTED_VALUE"""),339.56)</f>
        <v>339.56</v>
      </c>
      <c r="AA234" s="11">
        <f>IFERROR(__xludf.DUMMYFUNCTION("""COMPUTED_VALUE"""),43385.66666666667)</f>
        <v>43385.66667</v>
      </c>
      <c r="AB234" s="9">
        <f>IFERROR(__xludf.DUMMYFUNCTION("""COMPUTED_VALUE"""),1808.0)</f>
        <v>1808</v>
      </c>
      <c r="AC234" s="11">
        <f>IFERROR(__xludf.DUMMYFUNCTION("""COMPUTED_VALUE"""),43385.66666666667)</f>
        <v>43385.66667</v>
      </c>
      <c r="AD234" s="9">
        <f>IFERROR(__xludf.DUMMYFUNCTION("""COMPUTED_VALUE"""),1788.61)</f>
        <v>1788.61</v>
      </c>
    </row>
    <row r="235">
      <c r="B235" s="11">
        <f>IFERROR(__xludf.DUMMYFUNCTION("""COMPUTED_VALUE"""),43388.66666666667)</f>
        <v>43388.66667</v>
      </c>
      <c r="C235" s="9">
        <f>IFERROR(__xludf.DUMMYFUNCTION("""COMPUTED_VALUE"""),51.81)</f>
        <v>51.81</v>
      </c>
      <c r="D235" s="11">
        <f>IFERROR(__xludf.DUMMYFUNCTION("""COMPUTED_VALUE"""),43388.66666666667)</f>
        <v>43388.66667</v>
      </c>
      <c r="E235" s="9">
        <f>IFERROR(__xludf.DUMMYFUNCTION("""COMPUTED_VALUE"""),51.92)</f>
        <v>51.92</v>
      </c>
      <c r="G235" s="11">
        <f>IFERROR(__xludf.DUMMYFUNCTION("""COMPUTED_VALUE"""),43388.66666666667)</f>
        <v>43388.66667</v>
      </c>
      <c r="H235" s="9">
        <f>IFERROR(__xludf.DUMMYFUNCTION("""COMPUTED_VALUE"""),1108.91)</f>
        <v>1108.91</v>
      </c>
      <c r="I235" s="11">
        <f>IFERROR(__xludf.DUMMYFUNCTION("""COMPUTED_VALUE"""),43388.66666666667)</f>
        <v>43388.66667</v>
      </c>
      <c r="J235" s="9">
        <f>IFERROR(__xludf.DUMMYFUNCTION("""COMPUTED_VALUE"""),1092.25)</f>
        <v>1092.25</v>
      </c>
      <c r="L235" s="11">
        <f>IFERROR(__xludf.DUMMYFUNCTION("""COMPUTED_VALUE"""),43388.66666666667)</f>
        <v>43388.66667</v>
      </c>
      <c r="M235" s="9">
        <f>IFERROR(__xludf.DUMMYFUNCTION("""COMPUTED_VALUE"""),55.29)</f>
        <v>55.29</v>
      </c>
      <c r="N235" s="11">
        <f>IFERROR(__xludf.DUMMYFUNCTION("""COMPUTED_VALUE"""),43388.66666666667)</f>
        <v>43388.66667</v>
      </c>
      <c r="O235" s="9">
        <f>IFERROR(__xludf.DUMMYFUNCTION("""COMPUTED_VALUE"""),54.34)</f>
        <v>54.34</v>
      </c>
      <c r="Q235" s="11">
        <f>IFERROR(__xludf.DUMMYFUNCTION("""COMPUTED_VALUE"""),43388.66666666667)</f>
        <v>43388.66667</v>
      </c>
      <c r="R235" s="9">
        <f>IFERROR(__xludf.DUMMYFUNCTION("""COMPUTED_VALUE"""),153.32)</f>
        <v>153.32</v>
      </c>
      <c r="S235" s="11">
        <f>IFERROR(__xludf.DUMMYFUNCTION("""COMPUTED_VALUE"""),43388.66666666667)</f>
        <v>43388.66667</v>
      </c>
      <c r="T235" s="9">
        <f>IFERROR(__xludf.DUMMYFUNCTION("""COMPUTED_VALUE"""),153.52)</f>
        <v>153.52</v>
      </c>
      <c r="V235" s="11">
        <f>IFERROR(__xludf.DUMMYFUNCTION("""COMPUTED_VALUE"""),43388.66666666667)</f>
        <v>43388.66667</v>
      </c>
      <c r="W235" s="9">
        <f>IFERROR(__xludf.DUMMYFUNCTION("""COMPUTED_VALUE"""),337.63)</f>
        <v>337.63</v>
      </c>
      <c r="X235" s="11">
        <f>IFERROR(__xludf.DUMMYFUNCTION("""COMPUTED_VALUE"""),43388.66666666667)</f>
        <v>43388.66667</v>
      </c>
      <c r="Y235" s="9">
        <f>IFERROR(__xludf.DUMMYFUNCTION("""COMPUTED_VALUE"""),333.13)</f>
        <v>333.13</v>
      </c>
      <c r="AA235" s="11">
        <f>IFERROR(__xludf.DUMMYFUNCTION("""COMPUTED_VALUE"""),43388.66666666667)</f>
        <v>43388.66667</v>
      </c>
      <c r="AB235" s="9">
        <f>IFERROR(__xludf.DUMMYFUNCTION("""COMPUTED_VALUE"""),1795.0)</f>
        <v>1795</v>
      </c>
      <c r="AC235" s="11">
        <f>IFERROR(__xludf.DUMMYFUNCTION("""COMPUTED_VALUE"""),43388.66666666667)</f>
        <v>43388.66667</v>
      </c>
      <c r="AD235" s="9">
        <f>IFERROR(__xludf.DUMMYFUNCTION("""COMPUTED_VALUE"""),1760.95)</f>
        <v>1760.95</v>
      </c>
    </row>
    <row r="236">
      <c r="B236" s="11">
        <f>IFERROR(__xludf.DUMMYFUNCTION("""COMPUTED_VALUE"""),43389.66666666667)</f>
        <v>43389.66667</v>
      </c>
      <c r="C236" s="9">
        <f>IFERROR(__xludf.DUMMYFUNCTION("""COMPUTED_VALUE"""),53.14)</f>
        <v>53.14</v>
      </c>
      <c r="D236" s="11">
        <f>IFERROR(__xludf.DUMMYFUNCTION("""COMPUTED_VALUE"""),43389.66666666667)</f>
        <v>43389.66667</v>
      </c>
      <c r="E236" s="9">
        <f>IFERROR(__xludf.DUMMYFUNCTION("""COMPUTED_VALUE"""),55.32)</f>
        <v>55.32</v>
      </c>
      <c r="G236" s="11">
        <f>IFERROR(__xludf.DUMMYFUNCTION("""COMPUTED_VALUE"""),43389.66666666667)</f>
        <v>43389.66667</v>
      </c>
      <c r="H236" s="9">
        <f>IFERROR(__xludf.DUMMYFUNCTION("""COMPUTED_VALUE"""),1104.59)</f>
        <v>1104.59</v>
      </c>
      <c r="I236" s="11">
        <f>IFERROR(__xludf.DUMMYFUNCTION("""COMPUTED_VALUE"""),43389.66666666667)</f>
        <v>43389.66667</v>
      </c>
      <c r="J236" s="9">
        <f>IFERROR(__xludf.DUMMYFUNCTION("""COMPUTED_VALUE"""),1121.28)</f>
        <v>1121.28</v>
      </c>
      <c r="L236" s="11">
        <f>IFERROR(__xludf.DUMMYFUNCTION("""COMPUTED_VALUE"""),43389.66666666667)</f>
        <v>43389.66667</v>
      </c>
      <c r="M236" s="9">
        <f>IFERROR(__xludf.DUMMYFUNCTION("""COMPUTED_VALUE"""),54.73)</f>
        <v>54.73</v>
      </c>
      <c r="N236" s="11">
        <f>IFERROR(__xludf.DUMMYFUNCTION("""COMPUTED_VALUE"""),43389.66666666667)</f>
        <v>43389.66667</v>
      </c>
      <c r="O236" s="9">
        <f>IFERROR(__xludf.DUMMYFUNCTION("""COMPUTED_VALUE"""),55.54)</f>
        <v>55.54</v>
      </c>
      <c r="Q236" s="11">
        <f>IFERROR(__xludf.DUMMYFUNCTION("""COMPUTED_VALUE"""),43389.66666666667)</f>
        <v>43389.66667</v>
      </c>
      <c r="R236" s="9">
        <f>IFERROR(__xludf.DUMMYFUNCTION("""COMPUTED_VALUE"""),155.4)</f>
        <v>155.4</v>
      </c>
      <c r="S236" s="11">
        <f>IFERROR(__xludf.DUMMYFUNCTION("""COMPUTED_VALUE"""),43389.66666666667)</f>
        <v>43389.66667</v>
      </c>
      <c r="T236" s="9">
        <f>IFERROR(__xludf.DUMMYFUNCTION("""COMPUTED_VALUE"""),158.78)</f>
        <v>158.78</v>
      </c>
      <c r="V236" s="11">
        <f>IFERROR(__xludf.DUMMYFUNCTION("""COMPUTED_VALUE"""),43389.66666666667)</f>
        <v>43389.66667</v>
      </c>
      <c r="W236" s="9">
        <f>IFERROR(__xludf.DUMMYFUNCTION("""COMPUTED_VALUE"""),337.24)</f>
        <v>337.24</v>
      </c>
      <c r="X236" s="11">
        <f>IFERROR(__xludf.DUMMYFUNCTION("""COMPUTED_VALUE"""),43389.66666666667)</f>
        <v>43389.66667</v>
      </c>
      <c r="Y236" s="9">
        <f>IFERROR(__xludf.DUMMYFUNCTION("""COMPUTED_VALUE"""),346.4)</f>
        <v>346.4</v>
      </c>
      <c r="AA236" s="11">
        <f>IFERROR(__xludf.DUMMYFUNCTION("""COMPUTED_VALUE"""),43389.66666666667)</f>
        <v>43389.66667</v>
      </c>
      <c r="AB236" s="9">
        <f>IFERROR(__xludf.DUMMYFUNCTION("""COMPUTED_VALUE"""),1783.5)</f>
        <v>1783.5</v>
      </c>
      <c r="AC236" s="11">
        <f>IFERROR(__xludf.DUMMYFUNCTION("""COMPUTED_VALUE"""),43389.66666666667)</f>
        <v>43389.66667</v>
      </c>
      <c r="AD236" s="9">
        <f>IFERROR(__xludf.DUMMYFUNCTION("""COMPUTED_VALUE"""),1819.96)</f>
        <v>1819.96</v>
      </c>
    </row>
    <row r="237">
      <c r="B237" s="11">
        <f>IFERROR(__xludf.DUMMYFUNCTION("""COMPUTED_VALUE"""),43390.66666666667)</f>
        <v>43390.66667</v>
      </c>
      <c r="C237" s="9">
        <f>IFERROR(__xludf.DUMMYFUNCTION("""COMPUTED_VALUE"""),56.48)</f>
        <v>56.48</v>
      </c>
      <c r="D237" s="11">
        <f>IFERROR(__xludf.DUMMYFUNCTION("""COMPUTED_VALUE"""),43390.66666666667)</f>
        <v>43390.66667</v>
      </c>
      <c r="E237" s="9">
        <f>IFERROR(__xludf.DUMMYFUNCTION("""COMPUTED_VALUE"""),54.36)</f>
        <v>54.36</v>
      </c>
      <c r="G237" s="11">
        <f>IFERROR(__xludf.DUMMYFUNCTION("""COMPUTED_VALUE"""),43390.66666666667)</f>
        <v>43390.66667</v>
      </c>
      <c r="H237" s="9">
        <f>IFERROR(__xludf.DUMMYFUNCTION("""COMPUTED_VALUE"""),1126.46)</f>
        <v>1126.46</v>
      </c>
      <c r="I237" s="11">
        <f>IFERROR(__xludf.DUMMYFUNCTION("""COMPUTED_VALUE"""),43390.66666666667)</f>
        <v>43390.66667</v>
      </c>
      <c r="J237" s="9">
        <f>IFERROR(__xludf.DUMMYFUNCTION("""COMPUTED_VALUE"""),1115.69)</f>
        <v>1115.69</v>
      </c>
      <c r="L237" s="11">
        <f>IFERROR(__xludf.DUMMYFUNCTION("""COMPUTED_VALUE"""),43390.66666666667)</f>
        <v>43390.66667</v>
      </c>
      <c r="M237" s="9">
        <f>IFERROR(__xludf.DUMMYFUNCTION("""COMPUTED_VALUE"""),55.58)</f>
        <v>55.58</v>
      </c>
      <c r="N237" s="11">
        <f>IFERROR(__xludf.DUMMYFUNCTION("""COMPUTED_VALUE"""),43390.66666666667)</f>
        <v>43390.66667</v>
      </c>
      <c r="O237" s="9">
        <f>IFERROR(__xludf.DUMMYFUNCTION("""COMPUTED_VALUE"""),55.3)</f>
        <v>55.3</v>
      </c>
      <c r="Q237" s="11">
        <f>IFERROR(__xludf.DUMMYFUNCTION("""COMPUTED_VALUE"""),43390.66666666667)</f>
        <v>43390.66667</v>
      </c>
      <c r="R237" s="9">
        <f>IFERROR(__xludf.DUMMYFUNCTION("""COMPUTED_VALUE"""),159.56)</f>
        <v>159.56</v>
      </c>
      <c r="S237" s="11">
        <f>IFERROR(__xludf.DUMMYFUNCTION("""COMPUTED_VALUE"""),43390.66666666667)</f>
        <v>43390.66667</v>
      </c>
      <c r="T237" s="9">
        <f>IFERROR(__xludf.DUMMYFUNCTION("""COMPUTED_VALUE"""),159.42)</f>
        <v>159.42</v>
      </c>
      <c r="V237" s="11">
        <f>IFERROR(__xludf.DUMMYFUNCTION("""COMPUTED_VALUE"""),43390.66666666667)</f>
        <v>43390.66667</v>
      </c>
      <c r="W237" s="9">
        <f>IFERROR(__xludf.DUMMYFUNCTION("""COMPUTED_VALUE"""),378.33)</f>
        <v>378.33</v>
      </c>
      <c r="X237" s="11">
        <f>IFERROR(__xludf.DUMMYFUNCTION("""COMPUTED_VALUE"""),43390.66666666667)</f>
        <v>43390.66667</v>
      </c>
      <c r="Y237" s="9">
        <f>IFERROR(__xludf.DUMMYFUNCTION("""COMPUTED_VALUE"""),364.7)</f>
        <v>364.7</v>
      </c>
      <c r="AA237" s="11">
        <f>IFERROR(__xludf.DUMMYFUNCTION("""COMPUTED_VALUE"""),43390.66666666667)</f>
        <v>43390.66667</v>
      </c>
      <c r="AB237" s="9">
        <f>IFERROR(__xludf.DUMMYFUNCTION("""COMPUTED_VALUE"""),1842.79)</f>
        <v>1842.79</v>
      </c>
      <c r="AC237" s="11">
        <f>IFERROR(__xludf.DUMMYFUNCTION("""COMPUTED_VALUE"""),43390.66666666667)</f>
        <v>43390.66667</v>
      </c>
      <c r="AD237" s="9">
        <f>IFERROR(__xludf.DUMMYFUNCTION("""COMPUTED_VALUE"""),1831.73)</f>
        <v>1831.73</v>
      </c>
    </row>
    <row r="238">
      <c r="B238" s="11">
        <f>IFERROR(__xludf.DUMMYFUNCTION("""COMPUTED_VALUE"""),43391.66666666667)</f>
        <v>43391.66667</v>
      </c>
      <c r="C238" s="9">
        <f>IFERROR(__xludf.DUMMYFUNCTION("""COMPUTED_VALUE"""),53.86)</f>
        <v>53.86</v>
      </c>
      <c r="D238" s="11">
        <f>IFERROR(__xludf.DUMMYFUNCTION("""COMPUTED_VALUE"""),43391.66666666667)</f>
        <v>43391.66667</v>
      </c>
      <c r="E238" s="9">
        <f>IFERROR(__xludf.DUMMYFUNCTION("""COMPUTED_VALUE"""),52.78)</f>
        <v>52.78</v>
      </c>
      <c r="G238" s="11">
        <f>IFERROR(__xludf.DUMMYFUNCTION("""COMPUTED_VALUE"""),43391.66666666667)</f>
        <v>43391.66667</v>
      </c>
      <c r="H238" s="9">
        <f>IFERROR(__xludf.DUMMYFUNCTION("""COMPUTED_VALUE"""),1121.84)</f>
        <v>1121.84</v>
      </c>
      <c r="I238" s="11">
        <f>IFERROR(__xludf.DUMMYFUNCTION("""COMPUTED_VALUE"""),43391.66666666667)</f>
        <v>43391.66667</v>
      </c>
      <c r="J238" s="9">
        <f>IFERROR(__xludf.DUMMYFUNCTION("""COMPUTED_VALUE"""),1087.97)</f>
        <v>1087.97</v>
      </c>
      <c r="L238" s="11">
        <f>IFERROR(__xludf.DUMMYFUNCTION("""COMPUTED_VALUE"""),43391.66666666667)</f>
        <v>43391.66667</v>
      </c>
      <c r="M238" s="9">
        <f>IFERROR(__xludf.DUMMYFUNCTION("""COMPUTED_VALUE"""),54.47)</f>
        <v>54.47</v>
      </c>
      <c r="N238" s="11">
        <f>IFERROR(__xludf.DUMMYFUNCTION("""COMPUTED_VALUE"""),43391.66666666667)</f>
        <v>43391.66667</v>
      </c>
      <c r="O238" s="9">
        <f>IFERROR(__xludf.DUMMYFUNCTION("""COMPUTED_VALUE"""),54.01)</f>
        <v>54.01</v>
      </c>
      <c r="Q238" s="11">
        <f>IFERROR(__xludf.DUMMYFUNCTION("""COMPUTED_VALUE"""),43391.66666666667)</f>
        <v>43391.66667</v>
      </c>
      <c r="R238" s="9">
        <f>IFERROR(__xludf.DUMMYFUNCTION("""COMPUTED_VALUE"""),158.51)</f>
        <v>158.51</v>
      </c>
      <c r="S238" s="11">
        <f>IFERROR(__xludf.DUMMYFUNCTION("""COMPUTED_VALUE"""),43391.66666666667)</f>
        <v>43391.66667</v>
      </c>
      <c r="T238" s="9">
        <f>IFERROR(__xludf.DUMMYFUNCTION("""COMPUTED_VALUE"""),154.92)</f>
        <v>154.92</v>
      </c>
      <c r="V238" s="11">
        <f>IFERROR(__xludf.DUMMYFUNCTION("""COMPUTED_VALUE"""),43391.66666666667)</f>
        <v>43391.66667</v>
      </c>
      <c r="W238" s="9">
        <f>IFERROR(__xludf.DUMMYFUNCTION("""COMPUTED_VALUE"""),360.67)</f>
        <v>360.67</v>
      </c>
      <c r="X238" s="11">
        <f>IFERROR(__xludf.DUMMYFUNCTION("""COMPUTED_VALUE"""),43391.66666666667)</f>
        <v>43391.66667</v>
      </c>
      <c r="Y238" s="9">
        <f>IFERROR(__xludf.DUMMYFUNCTION("""COMPUTED_VALUE"""),346.71)</f>
        <v>346.71</v>
      </c>
      <c r="AA238" s="11">
        <f>IFERROR(__xludf.DUMMYFUNCTION("""COMPUTED_VALUE"""),43391.66666666667)</f>
        <v>43391.66667</v>
      </c>
      <c r="AB238" s="9">
        <f>IFERROR(__xludf.DUMMYFUNCTION("""COMPUTED_VALUE"""),1821.49)</f>
        <v>1821.49</v>
      </c>
      <c r="AC238" s="11">
        <f>IFERROR(__xludf.DUMMYFUNCTION("""COMPUTED_VALUE"""),43391.66666666667)</f>
        <v>43391.66667</v>
      </c>
      <c r="AD238" s="9">
        <f>IFERROR(__xludf.DUMMYFUNCTION("""COMPUTED_VALUE"""),1770.72)</f>
        <v>1770.72</v>
      </c>
    </row>
    <row r="239">
      <c r="B239" s="11">
        <f>IFERROR(__xludf.DUMMYFUNCTION("""COMPUTED_VALUE"""),43392.66666666667)</f>
        <v>43392.66667</v>
      </c>
      <c r="C239" s="9">
        <f>IFERROR(__xludf.DUMMYFUNCTION("""COMPUTED_VALUE"""),53.48)</f>
        <v>53.48</v>
      </c>
      <c r="D239" s="11">
        <f>IFERROR(__xludf.DUMMYFUNCTION("""COMPUTED_VALUE"""),43392.66666666667)</f>
        <v>43392.66667</v>
      </c>
      <c r="E239" s="9">
        <f>IFERROR(__xludf.DUMMYFUNCTION("""COMPUTED_VALUE"""),52.0)</f>
        <v>52</v>
      </c>
      <c r="G239" s="11">
        <f>IFERROR(__xludf.DUMMYFUNCTION("""COMPUTED_VALUE"""),43392.66666666667)</f>
        <v>43392.66667</v>
      </c>
      <c r="H239" s="9">
        <f>IFERROR(__xludf.DUMMYFUNCTION("""COMPUTED_VALUE"""),1093.37)</f>
        <v>1093.37</v>
      </c>
      <c r="I239" s="11">
        <f>IFERROR(__xludf.DUMMYFUNCTION("""COMPUTED_VALUE"""),43392.66666666667)</f>
        <v>43392.66667</v>
      </c>
      <c r="J239" s="9">
        <f>IFERROR(__xludf.DUMMYFUNCTION("""COMPUTED_VALUE"""),1096.46)</f>
        <v>1096.46</v>
      </c>
      <c r="L239" s="11">
        <f>IFERROR(__xludf.DUMMYFUNCTION("""COMPUTED_VALUE"""),43392.66666666667)</f>
        <v>43392.66667</v>
      </c>
      <c r="M239" s="9">
        <f>IFERROR(__xludf.DUMMYFUNCTION("""COMPUTED_VALUE"""),54.52)</f>
        <v>54.52</v>
      </c>
      <c r="N239" s="11">
        <f>IFERROR(__xludf.DUMMYFUNCTION("""COMPUTED_VALUE"""),43392.66666666667)</f>
        <v>43392.66667</v>
      </c>
      <c r="O239" s="9">
        <f>IFERROR(__xludf.DUMMYFUNCTION("""COMPUTED_VALUE"""),54.83)</f>
        <v>54.83</v>
      </c>
      <c r="Q239" s="11">
        <f>IFERROR(__xludf.DUMMYFUNCTION("""COMPUTED_VALUE"""),43392.66666666667)</f>
        <v>43392.66667</v>
      </c>
      <c r="R239" s="9">
        <f>IFERROR(__xludf.DUMMYFUNCTION("""COMPUTED_VALUE"""),155.86)</f>
        <v>155.86</v>
      </c>
      <c r="S239" s="11">
        <f>IFERROR(__xludf.DUMMYFUNCTION("""COMPUTED_VALUE"""),43392.66666666667)</f>
        <v>43392.66667</v>
      </c>
      <c r="T239" s="9">
        <f>IFERROR(__xludf.DUMMYFUNCTION("""COMPUTED_VALUE"""),154.05)</f>
        <v>154.05</v>
      </c>
      <c r="V239" s="11">
        <f>IFERROR(__xludf.DUMMYFUNCTION("""COMPUTED_VALUE"""),43392.66666666667)</f>
        <v>43392.66667</v>
      </c>
      <c r="W239" s="9">
        <f>IFERROR(__xludf.DUMMYFUNCTION("""COMPUTED_VALUE"""),351.0)</f>
        <v>351</v>
      </c>
      <c r="X239" s="11">
        <f>IFERROR(__xludf.DUMMYFUNCTION("""COMPUTED_VALUE"""),43392.66666666667)</f>
        <v>43392.66667</v>
      </c>
      <c r="Y239" s="9">
        <f>IFERROR(__xludf.DUMMYFUNCTION("""COMPUTED_VALUE"""),332.67)</f>
        <v>332.67</v>
      </c>
      <c r="AA239" s="11">
        <f>IFERROR(__xludf.DUMMYFUNCTION("""COMPUTED_VALUE"""),43392.66666666667)</f>
        <v>43392.66667</v>
      </c>
      <c r="AB239" s="9">
        <f>IFERROR(__xludf.DUMMYFUNCTION("""COMPUTED_VALUE"""),1785.16)</f>
        <v>1785.16</v>
      </c>
      <c r="AC239" s="11">
        <f>IFERROR(__xludf.DUMMYFUNCTION("""COMPUTED_VALUE"""),43392.66666666667)</f>
        <v>43392.66667</v>
      </c>
      <c r="AD239" s="9">
        <f>IFERROR(__xludf.DUMMYFUNCTION("""COMPUTED_VALUE"""),1764.03)</f>
        <v>1764.03</v>
      </c>
    </row>
    <row r="240">
      <c r="B240" s="11">
        <f>IFERROR(__xludf.DUMMYFUNCTION("""COMPUTED_VALUE"""),43395.66666666667)</f>
        <v>43395.66667</v>
      </c>
      <c r="C240" s="9">
        <f>IFERROR(__xludf.DUMMYFUNCTION("""COMPUTED_VALUE"""),52.14)</f>
        <v>52.14</v>
      </c>
      <c r="D240" s="11">
        <f>IFERROR(__xludf.DUMMYFUNCTION("""COMPUTED_VALUE"""),43395.66666666667)</f>
        <v>43395.66667</v>
      </c>
      <c r="E240" s="9">
        <f>IFERROR(__xludf.DUMMYFUNCTION("""COMPUTED_VALUE"""),52.19)</f>
        <v>52.19</v>
      </c>
      <c r="G240" s="11">
        <f>IFERROR(__xludf.DUMMYFUNCTION("""COMPUTED_VALUE"""),43395.66666666667)</f>
        <v>43395.66667</v>
      </c>
      <c r="H240" s="9">
        <f>IFERROR(__xludf.DUMMYFUNCTION("""COMPUTED_VALUE"""),1103.06)</f>
        <v>1103.06</v>
      </c>
      <c r="I240" s="11">
        <f>IFERROR(__xludf.DUMMYFUNCTION("""COMPUTED_VALUE"""),43395.66666666667)</f>
        <v>43395.66667</v>
      </c>
      <c r="J240" s="9">
        <f>IFERROR(__xludf.DUMMYFUNCTION("""COMPUTED_VALUE"""),1101.16)</f>
        <v>1101.16</v>
      </c>
      <c r="L240" s="11">
        <f>IFERROR(__xludf.DUMMYFUNCTION("""COMPUTED_VALUE"""),43395.66666666667)</f>
        <v>43395.66667</v>
      </c>
      <c r="M240" s="9">
        <f>IFERROR(__xludf.DUMMYFUNCTION("""COMPUTED_VALUE"""),54.95)</f>
        <v>54.95</v>
      </c>
      <c r="N240" s="11">
        <f>IFERROR(__xludf.DUMMYFUNCTION("""COMPUTED_VALUE"""),43395.66666666667)</f>
        <v>43395.66667</v>
      </c>
      <c r="O240" s="9">
        <f>IFERROR(__xludf.DUMMYFUNCTION("""COMPUTED_VALUE"""),55.16)</f>
        <v>55.16</v>
      </c>
      <c r="Q240" s="11">
        <f>IFERROR(__xludf.DUMMYFUNCTION("""COMPUTED_VALUE"""),43395.66666666667)</f>
        <v>43395.66667</v>
      </c>
      <c r="R240" s="9">
        <f>IFERROR(__xludf.DUMMYFUNCTION("""COMPUTED_VALUE"""),154.76)</f>
        <v>154.76</v>
      </c>
      <c r="S240" s="11">
        <f>IFERROR(__xludf.DUMMYFUNCTION("""COMPUTED_VALUE"""),43395.66666666667)</f>
        <v>43395.66667</v>
      </c>
      <c r="T240" s="9">
        <f>IFERROR(__xludf.DUMMYFUNCTION("""COMPUTED_VALUE"""),154.78)</f>
        <v>154.78</v>
      </c>
      <c r="V240" s="11">
        <f>IFERROR(__xludf.DUMMYFUNCTION("""COMPUTED_VALUE"""),43395.66666666667)</f>
        <v>43395.66667</v>
      </c>
      <c r="W240" s="9">
        <f>IFERROR(__xludf.DUMMYFUNCTION("""COMPUTED_VALUE"""),333.1)</f>
        <v>333.1</v>
      </c>
      <c r="X240" s="11">
        <f>IFERROR(__xludf.DUMMYFUNCTION("""COMPUTED_VALUE"""),43395.66666666667)</f>
        <v>43395.66667</v>
      </c>
      <c r="Y240" s="9">
        <f>IFERROR(__xludf.DUMMYFUNCTION("""COMPUTED_VALUE"""),329.54)</f>
        <v>329.54</v>
      </c>
      <c r="AA240" s="11">
        <f>IFERROR(__xludf.DUMMYFUNCTION("""COMPUTED_VALUE"""),43395.66666666667)</f>
        <v>43395.66667</v>
      </c>
      <c r="AB240" s="9">
        <f>IFERROR(__xludf.DUMMYFUNCTION("""COMPUTED_VALUE"""),1784.0)</f>
        <v>1784</v>
      </c>
      <c r="AC240" s="11">
        <f>IFERROR(__xludf.DUMMYFUNCTION("""COMPUTED_VALUE"""),43395.66666666667)</f>
        <v>43395.66667</v>
      </c>
      <c r="AD240" s="9">
        <f>IFERROR(__xludf.DUMMYFUNCTION("""COMPUTED_VALUE"""),1789.3)</f>
        <v>1789.3</v>
      </c>
    </row>
    <row r="241">
      <c r="B241" s="11">
        <f>IFERROR(__xludf.DUMMYFUNCTION("""COMPUTED_VALUE"""),43396.66666666667)</f>
        <v>43396.66667</v>
      </c>
      <c r="C241" s="9">
        <f>IFERROR(__xludf.DUMMYFUNCTION("""COMPUTED_VALUE"""),52.77)</f>
        <v>52.77</v>
      </c>
      <c r="D241" s="11">
        <f>IFERROR(__xludf.DUMMYFUNCTION("""COMPUTED_VALUE"""),43396.66666666667)</f>
        <v>43396.66667</v>
      </c>
      <c r="E241" s="9">
        <f>IFERROR(__xludf.DUMMYFUNCTION("""COMPUTED_VALUE"""),58.83)</f>
        <v>58.83</v>
      </c>
      <c r="G241" s="11">
        <f>IFERROR(__xludf.DUMMYFUNCTION("""COMPUTED_VALUE"""),43396.66666666667)</f>
        <v>43396.66667</v>
      </c>
      <c r="H241" s="9">
        <f>IFERROR(__xludf.DUMMYFUNCTION("""COMPUTED_VALUE"""),1080.89)</f>
        <v>1080.89</v>
      </c>
      <c r="I241" s="11">
        <f>IFERROR(__xludf.DUMMYFUNCTION("""COMPUTED_VALUE"""),43396.66666666667)</f>
        <v>43396.66667</v>
      </c>
      <c r="J241" s="9">
        <f>IFERROR(__xludf.DUMMYFUNCTION("""COMPUTED_VALUE"""),1103.69)</f>
        <v>1103.69</v>
      </c>
      <c r="L241" s="11">
        <f>IFERROR(__xludf.DUMMYFUNCTION("""COMPUTED_VALUE"""),43396.66666666667)</f>
        <v>43396.66667</v>
      </c>
      <c r="M241" s="9">
        <f>IFERROR(__xludf.DUMMYFUNCTION("""COMPUTED_VALUE"""),53.96)</f>
        <v>53.96</v>
      </c>
      <c r="N241" s="11">
        <f>IFERROR(__xludf.DUMMYFUNCTION("""COMPUTED_VALUE"""),43396.66666666667)</f>
        <v>43396.66667</v>
      </c>
      <c r="O241" s="9">
        <f>IFERROR(__xludf.DUMMYFUNCTION("""COMPUTED_VALUE"""),55.68)</f>
        <v>55.68</v>
      </c>
      <c r="Q241" s="11">
        <f>IFERROR(__xludf.DUMMYFUNCTION("""COMPUTED_VALUE"""),43396.66666666667)</f>
        <v>43396.66667</v>
      </c>
      <c r="R241" s="9">
        <f>IFERROR(__xludf.DUMMYFUNCTION("""COMPUTED_VALUE"""),151.22)</f>
        <v>151.22</v>
      </c>
      <c r="S241" s="11">
        <f>IFERROR(__xludf.DUMMYFUNCTION("""COMPUTED_VALUE"""),43396.66666666667)</f>
        <v>43396.66667</v>
      </c>
      <c r="T241" s="9">
        <f>IFERROR(__xludf.DUMMYFUNCTION("""COMPUTED_VALUE"""),154.39)</f>
        <v>154.39</v>
      </c>
      <c r="V241" s="11">
        <f>IFERROR(__xludf.DUMMYFUNCTION("""COMPUTED_VALUE"""),43396.66666666667)</f>
        <v>43396.66667</v>
      </c>
      <c r="W241" s="9">
        <f>IFERROR(__xludf.DUMMYFUNCTION("""COMPUTED_VALUE"""),318.0)</f>
        <v>318</v>
      </c>
      <c r="X241" s="11">
        <f>IFERROR(__xludf.DUMMYFUNCTION("""COMPUTED_VALUE"""),43396.66666666667)</f>
        <v>43396.66667</v>
      </c>
      <c r="Y241" s="9">
        <f>IFERROR(__xludf.DUMMYFUNCTION("""COMPUTED_VALUE"""),333.16)</f>
        <v>333.16</v>
      </c>
      <c r="AA241" s="11">
        <f>IFERROR(__xludf.DUMMYFUNCTION("""COMPUTED_VALUE"""),43396.66666666667)</f>
        <v>43396.66667</v>
      </c>
      <c r="AB241" s="9">
        <f>IFERROR(__xludf.DUMMYFUNCTION("""COMPUTED_VALUE"""),1742.24)</f>
        <v>1742.24</v>
      </c>
      <c r="AC241" s="11">
        <f>IFERROR(__xludf.DUMMYFUNCTION("""COMPUTED_VALUE"""),43396.66666666667)</f>
        <v>43396.66667</v>
      </c>
      <c r="AD241" s="9">
        <f>IFERROR(__xludf.DUMMYFUNCTION("""COMPUTED_VALUE"""),1768.7)</f>
        <v>1768.7</v>
      </c>
    </row>
    <row r="242">
      <c r="B242" s="11">
        <f>IFERROR(__xludf.DUMMYFUNCTION("""COMPUTED_VALUE"""),43397.66666666667)</f>
        <v>43397.66667</v>
      </c>
      <c r="C242" s="9">
        <f>IFERROR(__xludf.DUMMYFUNCTION("""COMPUTED_VALUE"""),60.21)</f>
        <v>60.21</v>
      </c>
      <c r="D242" s="11">
        <f>IFERROR(__xludf.DUMMYFUNCTION("""COMPUTED_VALUE"""),43397.66666666667)</f>
        <v>43397.66667</v>
      </c>
      <c r="E242" s="9">
        <f>IFERROR(__xludf.DUMMYFUNCTION("""COMPUTED_VALUE"""),57.7)</f>
        <v>57.7</v>
      </c>
      <c r="G242" s="11">
        <f>IFERROR(__xludf.DUMMYFUNCTION("""COMPUTED_VALUE"""),43397.66666666667)</f>
        <v>43397.66667</v>
      </c>
      <c r="H242" s="9">
        <f>IFERROR(__xludf.DUMMYFUNCTION("""COMPUTED_VALUE"""),1104.25)</f>
        <v>1104.25</v>
      </c>
      <c r="I242" s="11">
        <f>IFERROR(__xludf.DUMMYFUNCTION("""COMPUTED_VALUE"""),43397.66666666667)</f>
        <v>43397.66667</v>
      </c>
      <c r="J242" s="9">
        <f>IFERROR(__xludf.DUMMYFUNCTION("""COMPUTED_VALUE"""),1050.71)</f>
        <v>1050.71</v>
      </c>
      <c r="L242" s="11">
        <f>IFERROR(__xludf.DUMMYFUNCTION("""COMPUTED_VALUE"""),43397.66666666667)</f>
        <v>43397.66667</v>
      </c>
      <c r="M242" s="9">
        <f>IFERROR(__xludf.DUMMYFUNCTION("""COMPUTED_VALUE"""),55.65)</f>
        <v>55.65</v>
      </c>
      <c r="N242" s="11">
        <f>IFERROR(__xludf.DUMMYFUNCTION("""COMPUTED_VALUE"""),43397.66666666667)</f>
        <v>43397.66667</v>
      </c>
      <c r="O242" s="9">
        <f>IFERROR(__xludf.DUMMYFUNCTION("""COMPUTED_VALUE"""),53.77)</f>
        <v>53.77</v>
      </c>
      <c r="Q242" s="11">
        <f>IFERROR(__xludf.DUMMYFUNCTION("""COMPUTED_VALUE"""),43397.66666666667)</f>
        <v>43397.66667</v>
      </c>
      <c r="R242" s="9">
        <f>IFERROR(__xludf.DUMMYFUNCTION("""COMPUTED_VALUE"""),154.28)</f>
        <v>154.28</v>
      </c>
      <c r="S242" s="11">
        <f>IFERROR(__xludf.DUMMYFUNCTION("""COMPUTED_VALUE"""),43397.66666666667)</f>
        <v>43397.66667</v>
      </c>
      <c r="T242" s="9">
        <f>IFERROR(__xludf.DUMMYFUNCTION("""COMPUTED_VALUE"""),146.04)</f>
        <v>146.04</v>
      </c>
      <c r="V242" s="11">
        <f>IFERROR(__xludf.DUMMYFUNCTION("""COMPUTED_VALUE"""),43397.66666666667)</f>
        <v>43397.66667</v>
      </c>
      <c r="W242" s="9">
        <f>IFERROR(__xludf.DUMMYFUNCTION("""COMPUTED_VALUE"""),332.28)</f>
        <v>332.28</v>
      </c>
      <c r="X242" s="11">
        <f>IFERROR(__xludf.DUMMYFUNCTION("""COMPUTED_VALUE"""),43397.66666666667)</f>
        <v>43397.66667</v>
      </c>
      <c r="Y242" s="9">
        <f>IFERROR(__xludf.DUMMYFUNCTION("""COMPUTED_VALUE"""),301.83)</f>
        <v>301.83</v>
      </c>
      <c r="AA242" s="11">
        <f>IFERROR(__xludf.DUMMYFUNCTION("""COMPUTED_VALUE"""),43397.66666666667)</f>
        <v>43397.66667</v>
      </c>
      <c r="AB242" s="9">
        <f>IFERROR(__xludf.DUMMYFUNCTION("""COMPUTED_VALUE"""),1773.7)</f>
        <v>1773.7</v>
      </c>
      <c r="AC242" s="11">
        <f>IFERROR(__xludf.DUMMYFUNCTION("""COMPUTED_VALUE"""),43397.66666666667)</f>
        <v>43397.66667</v>
      </c>
      <c r="AD242" s="9">
        <f>IFERROR(__xludf.DUMMYFUNCTION("""COMPUTED_VALUE"""),1664.2)</f>
        <v>1664.2</v>
      </c>
    </row>
    <row r="243">
      <c r="B243" s="11">
        <f>IFERROR(__xludf.DUMMYFUNCTION("""COMPUTED_VALUE"""),43398.66666666667)</f>
        <v>43398.66667</v>
      </c>
      <c r="C243" s="9">
        <f>IFERROR(__xludf.DUMMYFUNCTION("""COMPUTED_VALUE"""),63.44)</f>
        <v>63.44</v>
      </c>
      <c r="D243" s="11">
        <f>IFERROR(__xludf.DUMMYFUNCTION("""COMPUTED_VALUE"""),43398.66666666667)</f>
        <v>43398.66667</v>
      </c>
      <c r="E243" s="9">
        <f>IFERROR(__xludf.DUMMYFUNCTION("""COMPUTED_VALUE"""),62.97)</f>
        <v>62.97</v>
      </c>
      <c r="G243" s="11">
        <f>IFERROR(__xludf.DUMMYFUNCTION("""COMPUTED_VALUE"""),43398.66666666667)</f>
        <v>43398.66667</v>
      </c>
      <c r="H243" s="9">
        <f>IFERROR(__xludf.DUMMYFUNCTION("""COMPUTED_VALUE"""),1071.79)</f>
        <v>1071.79</v>
      </c>
      <c r="I243" s="11">
        <f>IFERROR(__xludf.DUMMYFUNCTION("""COMPUTED_VALUE"""),43398.66666666667)</f>
        <v>43398.66667</v>
      </c>
      <c r="J243" s="9">
        <f>IFERROR(__xludf.DUMMYFUNCTION("""COMPUTED_VALUE"""),1095.57)</f>
        <v>1095.57</v>
      </c>
      <c r="L243" s="11">
        <f>IFERROR(__xludf.DUMMYFUNCTION("""COMPUTED_VALUE"""),43398.66666666667)</f>
        <v>43398.66667</v>
      </c>
      <c r="M243" s="9">
        <f>IFERROR(__xludf.DUMMYFUNCTION("""COMPUTED_VALUE"""),54.43)</f>
        <v>54.43</v>
      </c>
      <c r="N243" s="11">
        <f>IFERROR(__xludf.DUMMYFUNCTION("""COMPUTED_VALUE"""),43398.66666666667)</f>
        <v>43398.66667</v>
      </c>
      <c r="O243" s="9">
        <f>IFERROR(__xludf.DUMMYFUNCTION("""COMPUTED_VALUE"""),54.95)</f>
        <v>54.95</v>
      </c>
      <c r="Q243" s="11">
        <f>IFERROR(__xludf.DUMMYFUNCTION("""COMPUTED_VALUE"""),43398.66666666667)</f>
        <v>43398.66667</v>
      </c>
      <c r="R243" s="9">
        <f>IFERROR(__xludf.DUMMYFUNCTION("""COMPUTED_VALUE"""),147.73)</f>
        <v>147.73</v>
      </c>
      <c r="S243" s="11">
        <f>IFERROR(__xludf.DUMMYFUNCTION("""COMPUTED_VALUE"""),43398.66666666667)</f>
        <v>43398.66667</v>
      </c>
      <c r="T243" s="9">
        <f>IFERROR(__xludf.DUMMYFUNCTION("""COMPUTED_VALUE"""),150.95)</f>
        <v>150.95</v>
      </c>
      <c r="V243" s="11">
        <f>IFERROR(__xludf.DUMMYFUNCTION("""COMPUTED_VALUE"""),43398.66666666667)</f>
        <v>43398.66667</v>
      </c>
      <c r="W243" s="9">
        <f>IFERROR(__xludf.DUMMYFUNCTION("""COMPUTED_VALUE"""),307.12)</f>
        <v>307.12</v>
      </c>
      <c r="X243" s="11">
        <f>IFERROR(__xludf.DUMMYFUNCTION("""COMPUTED_VALUE"""),43398.66666666667)</f>
        <v>43398.66667</v>
      </c>
      <c r="Y243" s="9">
        <f>IFERROR(__xludf.DUMMYFUNCTION("""COMPUTED_VALUE"""),312.87)</f>
        <v>312.87</v>
      </c>
      <c r="AA243" s="11">
        <f>IFERROR(__xludf.DUMMYFUNCTION("""COMPUTED_VALUE"""),43398.66666666667)</f>
        <v>43398.66667</v>
      </c>
      <c r="AB243" s="9">
        <f>IFERROR(__xludf.DUMMYFUNCTION("""COMPUTED_VALUE"""),1703.34)</f>
        <v>1703.34</v>
      </c>
      <c r="AC243" s="11">
        <f>IFERROR(__xludf.DUMMYFUNCTION("""COMPUTED_VALUE"""),43398.66666666667)</f>
        <v>43398.66667</v>
      </c>
      <c r="AD243" s="9">
        <f>IFERROR(__xludf.DUMMYFUNCTION("""COMPUTED_VALUE"""),1782.17)</f>
        <v>1782.17</v>
      </c>
    </row>
    <row r="244">
      <c r="B244" s="11">
        <f>IFERROR(__xludf.DUMMYFUNCTION("""COMPUTED_VALUE"""),43399.66666666667)</f>
        <v>43399.66667</v>
      </c>
      <c r="C244" s="9">
        <f>IFERROR(__xludf.DUMMYFUNCTION("""COMPUTED_VALUE"""),61.65)</f>
        <v>61.65</v>
      </c>
      <c r="D244" s="11">
        <f>IFERROR(__xludf.DUMMYFUNCTION("""COMPUTED_VALUE"""),43399.66666666667)</f>
        <v>43399.66667</v>
      </c>
      <c r="E244" s="9">
        <f>IFERROR(__xludf.DUMMYFUNCTION("""COMPUTED_VALUE"""),66.18)</f>
        <v>66.18</v>
      </c>
      <c r="G244" s="11">
        <f>IFERROR(__xludf.DUMMYFUNCTION("""COMPUTED_VALUE"""),43399.66666666667)</f>
        <v>43399.66667</v>
      </c>
      <c r="H244" s="9">
        <f>IFERROR(__xludf.DUMMYFUNCTION("""COMPUTED_VALUE"""),1037.03)</f>
        <v>1037.03</v>
      </c>
      <c r="I244" s="11">
        <f>IFERROR(__xludf.DUMMYFUNCTION("""COMPUTED_VALUE"""),43399.66666666667)</f>
        <v>43399.66667</v>
      </c>
      <c r="J244" s="9">
        <f>IFERROR(__xludf.DUMMYFUNCTION("""COMPUTED_VALUE"""),1071.47)</f>
        <v>1071.47</v>
      </c>
      <c r="L244" s="11">
        <f>IFERROR(__xludf.DUMMYFUNCTION("""COMPUTED_VALUE"""),43399.66666666667)</f>
        <v>43399.66667</v>
      </c>
      <c r="M244" s="9">
        <f>IFERROR(__xludf.DUMMYFUNCTION("""COMPUTED_VALUE"""),53.98)</f>
        <v>53.98</v>
      </c>
      <c r="N244" s="11">
        <f>IFERROR(__xludf.DUMMYFUNCTION("""COMPUTED_VALUE"""),43399.66666666667)</f>
        <v>43399.66667</v>
      </c>
      <c r="O244" s="9">
        <f>IFERROR(__xludf.DUMMYFUNCTION("""COMPUTED_VALUE"""),54.08)</f>
        <v>54.08</v>
      </c>
      <c r="Q244" s="11">
        <f>IFERROR(__xludf.DUMMYFUNCTION("""COMPUTED_VALUE"""),43399.66666666667)</f>
        <v>43399.66667</v>
      </c>
      <c r="R244" s="9">
        <f>IFERROR(__xludf.DUMMYFUNCTION("""COMPUTED_VALUE"""),145.82)</f>
        <v>145.82</v>
      </c>
      <c r="S244" s="11">
        <f>IFERROR(__xludf.DUMMYFUNCTION("""COMPUTED_VALUE"""),43399.66666666667)</f>
        <v>43399.66667</v>
      </c>
      <c r="T244" s="9">
        <f>IFERROR(__xludf.DUMMYFUNCTION("""COMPUTED_VALUE"""),145.37)</f>
        <v>145.37</v>
      </c>
      <c r="V244" s="11">
        <f>IFERROR(__xludf.DUMMYFUNCTION("""COMPUTED_VALUE"""),43399.66666666667)</f>
        <v>43399.66667</v>
      </c>
      <c r="W244" s="9">
        <f>IFERROR(__xludf.DUMMYFUNCTION("""COMPUTED_VALUE"""),300.51)</f>
        <v>300.51</v>
      </c>
      <c r="X244" s="11">
        <f>IFERROR(__xludf.DUMMYFUNCTION("""COMPUTED_VALUE"""),43399.66666666667)</f>
        <v>43399.66667</v>
      </c>
      <c r="Y244" s="9">
        <f>IFERROR(__xludf.DUMMYFUNCTION("""COMPUTED_VALUE"""),299.83)</f>
        <v>299.83</v>
      </c>
      <c r="AA244" s="11">
        <f>IFERROR(__xludf.DUMMYFUNCTION("""COMPUTED_VALUE"""),43399.66666666667)</f>
        <v>43399.66667</v>
      </c>
      <c r="AB244" s="9">
        <f>IFERROR(__xludf.DUMMYFUNCTION("""COMPUTED_VALUE"""),1649.59)</f>
        <v>1649.59</v>
      </c>
      <c r="AC244" s="11">
        <f>IFERROR(__xludf.DUMMYFUNCTION("""COMPUTED_VALUE"""),43399.66666666667)</f>
        <v>43399.66667</v>
      </c>
      <c r="AD244" s="9">
        <f>IFERROR(__xludf.DUMMYFUNCTION("""COMPUTED_VALUE"""),1642.81)</f>
        <v>1642.81</v>
      </c>
    </row>
    <row r="245">
      <c r="B245" s="11">
        <f>IFERROR(__xludf.DUMMYFUNCTION("""COMPUTED_VALUE"""),43402.66666666667)</f>
        <v>43402.66667</v>
      </c>
      <c r="C245" s="9">
        <f>IFERROR(__xludf.DUMMYFUNCTION("""COMPUTED_VALUE"""),67.49)</f>
        <v>67.49</v>
      </c>
      <c r="D245" s="11">
        <f>IFERROR(__xludf.DUMMYFUNCTION("""COMPUTED_VALUE"""),43402.66666666667)</f>
        <v>43402.66667</v>
      </c>
      <c r="E245" s="9">
        <f>IFERROR(__xludf.DUMMYFUNCTION("""COMPUTED_VALUE"""),66.97)</f>
        <v>66.97</v>
      </c>
      <c r="G245" s="11">
        <f>IFERROR(__xludf.DUMMYFUNCTION("""COMPUTED_VALUE"""),43402.66666666667)</f>
        <v>43402.66667</v>
      </c>
      <c r="H245" s="9">
        <f>IFERROR(__xludf.DUMMYFUNCTION("""COMPUTED_VALUE"""),1082.47)</f>
        <v>1082.47</v>
      </c>
      <c r="I245" s="11">
        <f>IFERROR(__xludf.DUMMYFUNCTION("""COMPUTED_VALUE"""),43402.66666666667)</f>
        <v>43402.66667</v>
      </c>
      <c r="J245" s="9">
        <f>IFERROR(__xludf.DUMMYFUNCTION("""COMPUTED_VALUE"""),1020.08)</f>
        <v>1020.08</v>
      </c>
      <c r="L245" s="11">
        <f>IFERROR(__xludf.DUMMYFUNCTION("""COMPUTED_VALUE"""),43402.66666666667)</f>
        <v>43402.66667</v>
      </c>
      <c r="M245" s="9">
        <f>IFERROR(__xludf.DUMMYFUNCTION("""COMPUTED_VALUE"""),54.8)</f>
        <v>54.8</v>
      </c>
      <c r="N245" s="11">
        <f>IFERROR(__xludf.DUMMYFUNCTION("""COMPUTED_VALUE"""),43402.66666666667)</f>
        <v>43402.66667</v>
      </c>
      <c r="O245" s="9">
        <f>IFERROR(__xludf.DUMMYFUNCTION("""COMPUTED_VALUE"""),53.06)</f>
        <v>53.06</v>
      </c>
      <c r="Q245" s="11">
        <f>IFERROR(__xludf.DUMMYFUNCTION("""COMPUTED_VALUE"""),43402.66666666667)</f>
        <v>43402.66667</v>
      </c>
      <c r="R245" s="9">
        <f>IFERROR(__xludf.DUMMYFUNCTION("""COMPUTED_VALUE"""),148.5)</f>
        <v>148.5</v>
      </c>
      <c r="S245" s="11">
        <f>IFERROR(__xludf.DUMMYFUNCTION("""COMPUTED_VALUE"""),43402.66666666667)</f>
        <v>43402.66667</v>
      </c>
      <c r="T245" s="9">
        <f>IFERROR(__xludf.DUMMYFUNCTION("""COMPUTED_VALUE"""),142.09)</f>
        <v>142.09</v>
      </c>
      <c r="V245" s="11">
        <f>IFERROR(__xludf.DUMMYFUNCTION("""COMPUTED_VALUE"""),43402.66666666667)</f>
        <v>43402.66667</v>
      </c>
      <c r="W245" s="9">
        <f>IFERROR(__xludf.DUMMYFUNCTION("""COMPUTED_VALUE"""),305.26)</f>
        <v>305.26</v>
      </c>
      <c r="X245" s="11">
        <f>IFERROR(__xludf.DUMMYFUNCTION("""COMPUTED_VALUE"""),43402.66666666667)</f>
        <v>43402.66667</v>
      </c>
      <c r="Y245" s="9">
        <f>IFERROR(__xludf.DUMMYFUNCTION("""COMPUTED_VALUE"""),284.84)</f>
        <v>284.84</v>
      </c>
      <c r="AA245" s="11">
        <f>IFERROR(__xludf.DUMMYFUNCTION("""COMPUTED_VALUE"""),43402.66666666667)</f>
        <v>43402.66667</v>
      </c>
      <c r="AB245" s="9">
        <f>IFERROR(__xludf.DUMMYFUNCTION("""COMPUTED_VALUE"""),1660.0)</f>
        <v>1660</v>
      </c>
      <c r="AC245" s="11">
        <f>IFERROR(__xludf.DUMMYFUNCTION("""COMPUTED_VALUE"""),43402.66666666667)</f>
        <v>43402.66667</v>
      </c>
      <c r="AD245" s="9">
        <f>IFERROR(__xludf.DUMMYFUNCTION("""COMPUTED_VALUE"""),1538.88)</f>
        <v>1538.88</v>
      </c>
    </row>
    <row r="246">
      <c r="B246" s="11">
        <f>IFERROR(__xludf.DUMMYFUNCTION("""COMPUTED_VALUE"""),43403.66666666667)</f>
        <v>43403.66667</v>
      </c>
      <c r="C246" s="9">
        <f>IFERROR(__xludf.DUMMYFUNCTION("""COMPUTED_VALUE"""),65.68)</f>
        <v>65.68</v>
      </c>
      <c r="D246" s="11">
        <f>IFERROR(__xludf.DUMMYFUNCTION("""COMPUTED_VALUE"""),43403.66666666667)</f>
        <v>43403.66667</v>
      </c>
      <c r="E246" s="9">
        <f>IFERROR(__xludf.DUMMYFUNCTION("""COMPUTED_VALUE"""),65.98)</f>
        <v>65.98</v>
      </c>
      <c r="G246" s="11">
        <f>IFERROR(__xludf.DUMMYFUNCTION("""COMPUTED_VALUE"""),43403.66666666667)</f>
        <v>43403.66667</v>
      </c>
      <c r="H246" s="9">
        <f>IFERROR(__xludf.DUMMYFUNCTION("""COMPUTED_VALUE"""),1008.46)</f>
        <v>1008.46</v>
      </c>
      <c r="I246" s="11">
        <f>IFERROR(__xludf.DUMMYFUNCTION("""COMPUTED_VALUE"""),43403.66666666667)</f>
        <v>43403.66667</v>
      </c>
      <c r="J246" s="9">
        <f>IFERROR(__xludf.DUMMYFUNCTION("""COMPUTED_VALUE"""),1036.21)</f>
        <v>1036.21</v>
      </c>
      <c r="L246" s="11">
        <f>IFERROR(__xludf.DUMMYFUNCTION("""COMPUTED_VALUE"""),43403.66666666667)</f>
        <v>43403.66667</v>
      </c>
      <c r="M246" s="9">
        <f>IFERROR(__xludf.DUMMYFUNCTION("""COMPUTED_VALUE"""),52.79)</f>
        <v>52.79</v>
      </c>
      <c r="N246" s="11">
        <f>IFERROR(__xludf.DUMMYFUNCTION("""COMPUTED_VALUE"""),43403.66666666667)</f>
        <v>43403.66667</v>
      </c>
      <c r="O246" s="9">
        <f>IFERROR(__xludf.DUMMYFUNCTION("""COMPUTED_VALUE"""),53.33)</f>
        <v>53.33</v>
      </c>
      <c r="Q246" s="11">
        <f>IFERROR(__xludf.DUMMYFUNCTION("""COMPUTED_VALUE"""),43403.66666666667)</f>
        <v>43403.66667</v>
      </c>
      <c r="R246" s="9">
        <f>IFERROR(__xludf.DUMMYFUNCTION("""COMPUTED_VALUE"""),139.94)</f>
        <v>139.94</v>
      </c>
      <c r="S246" s="11">
        <f>IFERROR(__xludf.DUMMYFUNCTION("""COMPUTED_VALUE"""),43403.66666666667)</f>
        <v>43403.66667</v>
      </c>
      <c r="T246" s="9">
        <f>IFERROR(__xludf.DUMMYFUNCTION("""COMPUTED_VALUE"""),146.22)</f>
        <v>146.22</v>
      </c>
      <c r="V246" s="11">
        <f>IFERROR(__xludf.DUMMYFUNCTION("""COMPUTED_VALUE"""),43403.66666666667)</f>
        <v>43403.66667</v>
      </c>
      <c r="W246" s="9">
        <f>IFERROR(__xludf.DUMMYFUNCTION("""COMPUTED_VALUE"""),275.57)</f>
        <v>275.57</v>
      </c>
      <c r="X246" s="11">
        <f>IFERROR(__xludf.DUMMYFUNCTION("""COMPUTED_VALUE"""),43403.66666666667)</f>
        <v>43403.66667</v>
      </c>
      <c r="Y246" s="9">
        <f>IFERROR(__xludf.DUMMYFUNCTION("""COMPUTED_VALUE"""),285.81)</f>
        <v>285.81</v>
      </c>
      <c r="AA246" s="11">
        <f>IFERROR(__xludf.DUMMYFUNCTION("""COMPUTED_VALUE"""),43403.66666666667)</f>
        <v>43403.66667</v>
      </c>
      <c r="AB246" s="9">
        <f>IFERROR(__xludf.DUMMYFUNCTION("""COMPUTED_VALUE"""),1486.16)</f>
        <v>1486.16</v>
      </c>
      <c r="AC246" s="11">
        <f>IFERROR(__xludf.DUMMYFUNCTION("""COMPUTED_VALUE"""),43403.66666666667)</f>
        <v>43403.66667</v>
      </c>
      <c r="AD246" s="9">
        <f>IFERROR(__xludf.DUMMYFUNCTION("""COMPUTED_VALUE"""),1530.42)</f>
        <v>1530.42</v>
      </c>
    </row>
    <row r="247">
      <c r="B247" s="11">
        <f>IFERROR(__xludf.DUMMYFUNCTION("""COMPUTED_VALUE"""),43404.66666666667)</f>
        <v>43404.66667</v>
      </c>
      <c r="C247" s="9">
        <f>IFERROR(__xludf.DUMMYFUNCTION("""COMPUTED_VALUE"""),66.51)</f>
        <v>66.51</v>
      </c>
      <c r="D247" s="11">
        <f>IFERROR(__xludf.DUMMYFUNCTION("""COMPUTED_VALUE"""),43404.66666666667)</f>
        <v>43404.66667</v>
      </c>
      <c r="E247" s="9">
        <f>IFERROR(__xludf.DUMMYFUNCTION("""COMPUTED_VALUE"""),67.46)</f>
        <v>67.46</v>
      </c>
      <c r="G247" s="11">
        <f>IFERROR(__xludf.DUMMYFUNCTION("""COMPUTED_VALUE"""),43404.66666666667)</f>
        <v>43404.66667</v>
      </c>
      <c r="H247" s="9">
        <f>IFERROR(__xludf.DUMMYFUNCTION("""COMPUTED_VALUE"""),1059.81)</f>
        <v>1059.81</v>
      </c>
      <c r="I247" s="11">
        <f>IFERROR(__xludf.DUMMYFUNCTION("""COMPUTED_VALUE"""),43404.66666666667)</f>
        <v>43404.66667</v>
      </c>
      <c r="J247" s="9">
        <f>IFERROR(__xludf.DUMMYFUNCTION("""COMPUTED_VALUE"""),1076.77)</f>
        <v>1076.77</v>
      </c>
      <c r="L247" s="11">
        <f>IFERROR(__xludf.DUMMYFUNCTION("""COMPUTED_VALUE"""),43404.66666666667)</f>
        <v>43404.66667</v>
      </c>
      <c r="M247" s="9">
        <f>IFERROR(__xludf.DUMMYFUNCTION("""COMPUTED_VALUE"""),54.22)</f>
        <v>54.22</v>
      </c>
      <c r="N247" s="11">
        <f>IFERROR(__xludf.DUMMYFUNCTION("""COMPUTED_VALUE"""),43404.66666666667)</f>
        <v>43404.66667</v>
      </c>
      <c r="O247" s="9">
        <f>IFERROR(__xludf.DUMMYFUNCTION("""COMPUTED_VALUE"""),54.72)</f>
        <v>54.72</v>
      </c>
      <c r="Q247" s="11">
        <f>IFERROR(__xludf.DUMMYFUNCTION("""COMPUTED_VALUE"""),43404.66666666667)</f>
        <v>43404.66667</v>
      </c>
      <c r="R247" s="9">
        <f>IFERROR(__xludf.DUMMYFUNCTION("""COMPUTED_VALUE"""),155.0)</f>
        <v>155</v>
      </c>
      <c r="S247" s="11">
        <f>IFERROR(__xludf.DUMMYFUNCTION("""COMPUTED_VALUE"""),43404.66666666667)</f>
        <v>43404.66667</v>
      </c>
      <c r="T247" s="9">
        <f>IFERROR(__xludf.DUMMYFUNCTION("""COMPUTED_VALUE"""),151.79)</f>
        <v>151.79</v>
      </c>
      <c r="V247" s="11">
        <f>IFERROR(__xludf.DUMMYFUNCTION("""COMPUTED_VALUE"""),43404.66666666667)</f>
        <v>43404.66667</v>
      </c>
      <c r="W247" s="9">
        <f>IFERROR(__xludf.DUMMYFUNCTION("""COMPUTED_VALUE"""),297.77)</f>
        <v>297.77</v>
      </c>
      <c r="X247" s="11">
        <f>IFERROR(__xludf.DUMMYFUNCTION("""COMPUTED_VALUE"""),43404.66666666667)</f>
        <v>43404.66667</v>
      </c>
      <c r="Y247" s="9">
        <f>IFERROR(__xludf.DUMMYFUNCTION("""COMPUTED_VALUE"""),301.78)</f>
        <v>301.78</v>
      </c>
      <c r="AA247" s="11">
        <f>IFERROR(__xludf.DUMMYFUNCTION("""COMPUTED_VALUE"""),43404.66666666667)</f>
        <v>43404.66667</v>
      </c>
      <c r="AB247" s="9">
        <f>IFERROR(__xludf.DUMMYFUNCTION("""COMPUTED_VALUE"""),1569.99)</f>
        <v>1569.99</v>
      </c>
      <c r="AC247" s="11">
        <f>IFERROR(__xludf.DUMMYFUNCTION("""COMPUTED_VALUE"""),43404.66666666667)</f>
        <v>43404.66667</v>
      </c>
      <c r="AD247" s="9">
        <f>IFERROR(__xludf.DUMMYFUNCTION("""COMPUTED_VALUE"""),1598.01)</f>
        <v>1598.01</v>
      </c>
    </row>
    <row r="248">
      <c r="B248" s="11">
        <f>IFERROR(__xludf.DUMMYFUNCTION("""COMPUTED_VALUE"""),43405.66666666667)</f>
        <v>43405.66667</v>
      </c>
      <c r="C248" s="9">
        <f>IFERROR(__xludf.DUMMYFUNCTION("""COMPUTED_VALUE"""),67.65)</f>
        <v>67.65</v>
      </c>
      <c r="D248" s="11">
        <f>IFERROR(__xludf.DUMMYFUNCTION("""COMPUTED_VALUE"""),43405.66666666667)</f>
        <v>43405.66667</v>
      </c>
      <c r="E248" s="9">
        <f>IFERROR(__xludf.DUMMYFUNCTION("""COMPUTED_VALUE"""),68.86)</f>
        <v>68.86</v>
      </c>
      <c r="G248" s="11">
        <f>IFERROR(__xludf.DUMMYFUNCTION("""COMPUTED_VALUE"""),43405.66666666667)</f>
        <v>43405.66667</v>
      </c>
      <c r="H248" s="9">
        <f>IFERROR(__xludf.DUMMYFUNCTION("""COMPUTED_VALUE"""),1075.8)</f>
        <v>1075.8</v>
      </c>
      <c r="I248" s="11">
        <f>IFERROR(__xludf.DUMMYFUNCTION("""COMPUTED_VALUE"""),43405.66666666667)</f>
        <v>43405.66667</v>
      </c>
      <c r="J248" s="9">
        <f>IFERROR(__xludf.DUMMYFUNCTION("""COMPUTED_VALUE"""),1070.0)</f>
        <v>1070</v>
      </c>
      <c r="L248" s="11">
        <f>IFERROR(__xludf.DUMMYFUNCTION("""COMPUTED_VALUE"""),43405.66666666667)</f>
        <v>43405.66667</v>
      </c>
      <c r="M248" s="9">
        <f>IFERROR(__xludf.DUMMYFUNCTION("""COMPUTED_VALUE"""),54.76)</f>
        <v>54.76</v>
      </c>
      <c r="N248" s="11">
        <f>IFERROR(__xludf.DUMMYFUNCTION("""COMPUTED_VALUE"""),43405.66666666667)</f>
        <v>43405.66667</v>
      </c>
      <c r="O248" s="9">
        <f>IFERROR(__xludf.DUMMYFUNCTION("""COMPUTED_VALUE"""),55.56)</f>
        <v>55.56</v>
      </c>
      <c r="Q248" s="11">
        <f>IFERROR(__xludf.DUMMYFUNCTION("""COMPUTED_VALUE"""),43405.66666666667)</f>
        <v>43405.66667</v>
      </c>
      <c r="R248" s="9">
        <f>IFERROR(__xludf.DUMMYFUNCTION("""COMPUTED_VALUE"""),151.52)</f>
        <v>151.52</v>
      </c>
      <c r="S248" s="11">
        <f>IFERROR(__xludf.DUMMYFUNCTION("""COMPUTED_VALUE"""),43405.66666666667)</f>
        <v>43405.66667</v>
      </c>
      <c r="T248" s="9">
        <f>IFERROR(__xludf.DUMMYFUNCTION("""COMPUTED_VALUE"""),151.75)</f>
        <v>151.75</v>
      </c>
      <c r="V248" s="11">
        <f>IFERROR(__xludf.DUMMYFUNCTION("""COMPUTED_VALUE"""),43405.66666666667)</f>
        <v>43405.66667</v>
      </c>
      <c r="W248" s="9">
        <f>IFERROR(__xludf.DUMMYFUNCTION("""COMPUTED_VALUE"""),304.59)</f>
        <v>304.59</v>
      </c>
      <c r="X248" s="11">
        <f>IFERROR(__xludf.DUMMYFUNCTION("""COMPUTED_VALUE"""),43405.66666666667)</f>
        <v>43405.66667</v>
      </c>
      <c r="Y248" s="9">
        <f>IFERROR(__xludf.DUMMYFUNCTION("""COMPUTED_VALUE"""),317.38)</f>
        <v>317.38</v>
      </c>
      <c r="AA248" s="11">
        <f>IFERROR(__xludf.DUMMYFUNCTION("""COMPUTED_VALUE"""),43405.66666666667)</f>
        <v>43405.66667</v>
      </c>
      <c r="AB248" s="9">
        <f>IFERROR(__xludf.DUMMYFUNCTION("""COMPUTED_VALUE"""),1623.53)</f>
        <v>1623.53</v>
      </c>
      <c r="AC248" s="11">
        <f>IFERROR(__xludf.DUMMYFUNCTION("""COMPUTED_VALUE"""),43405.66666666667)</f>
        <v>43405.66667</v>
      </c>
      <c r="AD248" s="9">
        <f>IFERROR(__xludf.DUMMYFUNCTION("""COMPUTED_VALUE"""),1665.53)</f>
        <v>1665.53</v>
      </c>
    </row>
    <row r="249">
      <c r="B249" s="11">
        <f>IFERROR(__xludf.DUMMYFUNCTION("""COMPUTED_VALUE"""),43406.66666666667)</f>
        <v>43406.66667</v>
      </c>
      <c r="C249" s="9">
        <f>IFERROR(__xludf.DUMMYFUNCTION("""COMPUTED_VALUE"""),68.75)</f>
        <v>68.75</v>
      </c>
      <c r="D249" s="11">
        <f>IFERROR(__xludf.DUMMYFUNCTION("""COMPUTED_VALUE"""),43406.66666666667)</f>
        <v>43406.66667</v>
      </c>
      <c r="E249" s="9">
        <f>IFERROR(__xludf.DUMMYFUNCTION("""COMPUTED_VALUE"""),69.28)</f>
        <v>69.28</v>
      </c>
      <c r="G249" s="11">
        <f>IFERROR(__xludf.DUMMYFUNCTION("""COMPUTED_VALUE"""),43406.66666666667)</f>
        <v>43406.66667</v>
      </c>
      <c r="H249" s="9">
        <f>IFERROR(__xludf.DUMMYFUNCTION("""COMPUTED_VALUE"""),1073.73)</f>
        <v>1073.73</v>
      </c>
      <c r="I249" s="11">
        <f>IFERROR(__xludf.DUMMYFUNCTION("""COMPUTED_VALUE"""),43406.66666666667)</f>
        <v>43406.66667</v>
      </c>
      <c r="J249" s="9">
        <f>IFERROR(__xludf.DUMMYFUNCTION("""COMPUTED_VALUE"""),1057.79)</f>
        <v>1057.79</v>
      </c>
      <c r="L249" s="11">
        <f>IFERROR(__xludf.DUMMYFUNCTION("""COMPUTED_VALUE"""),43406.66666666667)</f>
        <v>43406.66667</v>
      </c>
      <c r="M249" s="9">
        <f>IFERROR(__xludf.DUMMYFUNCTION("""COMPUTED_VALUE"""),52.39)</f>
        <v>52.39</v>
      </c>
      <c r="N249" s="11">
        <f>IFERROR(__xludf.DUMMYFUNCTION("""COMPUTED_VALUE"""),43406.66666666667)</f>
        <v>43406.66667</v>
      </c>
      <c r="O249" s="9">
        <f>IFERROR(__xludf.DUMMYFUNCTION("""COMPUTED_VALUE"""),51.87)</f>
        <v>51.87</v>
      </c>
      <c r="Q249" s="11">
        <f>IFERROR(__xludf.DUMMYFUNCTION("""COMPUTED_VALUE"""),43406.66666666667)</f>
        <v>43406.66667</v>
      </c>
      <c r="R249" s="9">
        <f>IFERROR(__xludf.DUMMYFUNCTION("""COMPUTED_VALUE"""),151.8)</f>
        <v>151.8</v>
      </c>
      <c r="S249" s="11">
        <f>IFERROR(__xludf.DUMMYFUNCTION("""COMPUTED_VALUE"""),43406.66666666667)</f>
        <v>43406.66667</v>
      </c>
      <c r="T249" s="9">
        <f>IFERROR(__xludf.DUMMYFUNCTION("""COMPUTED_VALUE"""),150.35)</f>
        <v>150.35</v>
      </c>
      <c r="V249" s="11">
        <f>IFERROR(__xludf.DUMMYFUNCTION("""COMPUTED_VALUE"""),43406.66666666667)</f>
        <v>43406.66667</v>
      </c>
      <c r="W249" s="9">
        <f>IFERROR(__xludf.DUMMYFUNCTION("""COMPUTED_VALUE"""),318.0)</f>
        <v>318</v>
      </c>
      <c r="X249" s="11">
        <f>IFERROR(__xludf.DUMMYFUNCTION("""COMPUTED_VALUE"""),43406.66666666667)</f>
        <v>43406.66667</v>
      </c>
      <c r="Y249" s="9">
        <f>IFERROR(__xludf.DUMMYFUNCTION("""COMPUTED_VALUE"""),309.1)</f>
        <v>309.1</v>
      </c>
      <c r="AA249" s="11">
        <f>IFERROR(__xludf.DUMMYFUNCTION("""COMPUTED_VALUE"""),43406.66666666667)</f>
        <v>43406.66667</v>
      </c>
      <c r="AB249" s="9">
        <f>IFERROR(__xludf.DUMMYFUNCTION("""COMPUTED_VALUE"""),1678.59)</f>
        <v>1678.59</v>
      </c>
      <c r="AC249" s="11">
        <f>IFERROR(__xludf.DUMMYFUNCTION("""COMPUTED_VALUE"""),43406.66666666667)</f>
        <v>43406.66667</v>
      </c>
      <c r="AD249" s="9">
        <f>IFERROR(__xludf.DUMMYFUNCTION("""COMPUTED_VALUE"""),1665.53)</f>
        <v>1665.53</v>
      </c>
    </row>
    <row r="250">
      <c r="B250" s="11">
        <f>IFERROR(__xludf.DUMMYFUNCTION("""COMPUTED_VALUE"""),43409.66666666667)</f>
        <v>43409.66667</v>
      </c>
      <c r="C250" s="9">
        <f>IFERROR(__xludf.DUMMYFUNCTION("""COMPUTED_VALUE"""),68.1)</f>
        <v>68.1</v>
      </c>
      <c r="D250" s="11">
        <f>IFERROR(__xludf.DUMMYFUNCTION("""COMPUTED_VALUE"""),43409.66666666667)</f>
        <v>43409.66667</v>
      </c>
      <c r="E250" s="9">
        <f>IFERROR(__xludf.DUMMYFUNCTION("""COMPUTED_VALUE"""),68.28)</f>
        <v>68.28</v>
      </c>
      <c r="G250" s="11">
        <f>IFERROR(__xludf.DUMMYFUNCTION("""COMPUTED_VALUE"""),43409.66666666667)</f>
        <v>43409.66667</v>
      </c>
      <c r="H250" s="9">
        <f>IFERROR(__xludf.DUMMYFUNCTION("""COMPUTED_VALUE"""),1055.0)</f>
        <v>1055</v>
      </c>
      <c r="I250" s="11">
        <f>IFERROR(__xludf.DUMMYFUNCTION("""COMPUTED_VALUE"""),43409.66666666667)</f>
        <v>43409.66667</v>
      </c>
      <c r="J250" s="9">
        <f>IFERROR(__xludf.DUMMYFUNCTION("""COMPUTED_VALUE"""),1040.09)</f>
        <v>1040.09</v>
      </c>
      <c r="L250" s="11">
        <f>IFERROR(__xludf.DUMMYFUNCTION("""COMPUTED_VALUE"""),43409.66666666667)</f>
        <v>43409.66667</v>
      </c>
      <c r="M250" s="9">
        <f>IFERROR(__xludf.DUMMYFUNCTION("""COMPUTED_VALUE"""),51.08)</f>
        <v>51.08</v>
      </c>
      <c r="N250" s="11">
        <f>IFERROR(__xludf.DUMMYFUNCTION("""COMPUTED_VALUE"""),43409.66666666667)</f>
        <v>43409.66667</v>
      </c>
      <c r="O250" s="9">
        <f>IFERROR(__xludf.DUMMYFUNCTION("""COMPUTED_VALUE"""),50.4)</f>
        <v>50.4</v>
      </c>
      <c r="Q250" s="11">
        <f>IFERROR(__xludf.DUMMYFUNCTION("""COMPUTED_VALUE"""),43409.66666666667)</f>
        <v>43409.66667</v>
      </c>
      <c r="R250" s="9">
        <f>IFERROR(__xludf.DUMMYFUNCTION("""COMPUTED_VALUE"""),150.1)</f>
        <v>150.1</v>
      </c>
      <c r="S250" s="11">
        <f>IFERROR(__xludf.DUMMYFUNCTION("""COMPUTED_VALUE"""),43409.66666666667)</f>
        <v>43409.66667</v>
      </c>
      <c r="T250" s="9">
        <f>IFERROR(__xludf.DUMMYFUNCTION("""COMPUTED_VALUE"""),148.68)</f>
        <v>148.68</v>
      </c>
      <c r="V250" s="11">
        <f>IFERROR(__xludf.DUMMYFUNCTION("""COMPUTED_VALUE"""),43409.66666666667)</f>
        <v>43409.66667</v>
      </c>
      <c r="W250" s="9">
        <f>IFERROR(__xludf.DUMMYFUNCTION("""COMPUTED_VALUE"""),311.1)</f>
        <v>311.1</v>
      </c>
      <c r="X250" s="11">
        <f>IFERROR(__xludf.DUMMYFUNCTION("""COMPUTED_VALUE"""),43409.66666666667)</f>
        <v>43409.66667</v>
      </c>
      <c r="Y250" s="9">
        <f>IFERROR(__xludf.DUMMYFUNCTION("""COMPUTED_VALUE"""),315.44)</f>
        <v>315.44</v>
      </c>
      <c r="AA250" s="11">
        <f>IFERROR(__xludf.DUMMYFUNCTION("""COMPUTED_VALUE"""),43409.66666666667)</f>
        <v>43409.66667</v>
      </c>
      <c r="AB250" s="9">
        <f>IFERROR(__xludf.DUMMYFUNCTION("""COMPUTED_VALUE"""),1657.57)</f>
        <v>1657.57</v>
      </c>
      <c r="AC250" s="11">
        <f>IFERROR(__xludf.DUMMYFUNCTION("""COMPUTED_VALUE"""),43409.66666666667)</f>
        <v>43409.66667</v>
      </c>
      <c r="AD250" s="9">
        <f>IFERROR(__xludf.DUMMYFUNCTION("""COMPUTED_VALUE"""),1627.8)</f>
        <v>1627.8</v>
      </c>
    </row>
    <row r="251">
      <c r="B251" s="11">
        <f>IFERROR(__xludf.DUMMYFUNCTION("""COMPUTED_VALUE"""),43410.66666666667)</f>
        <v>43410.66667</v>
      </c>
      <c r="C251" s="9">
        <f>IFERROR(__xludf.DUMMYFUNCTION("""COMPUTED_VALUE"""),67.81)</f>
        <v>67.81</v>
      </c>
      <c r="D251" s="11">
        <f>IFERROR(__xludf.DUMMYFUNCTION("""COMPUTED_VALUE"""),43410.66666666667)</f>
        <v>43410.66667</v>
      </c>
      <c r="E251" s="9">
        <f>IFERROR(__xludf.DUMMYFUNCTION("""COMPUTED_VALUE"""),68.21)</f>
        <v>68.21</v>
      </c>
      <c r="G251" s="11">
        <f>IFERROR(__xludf.DUMMYFUNCTION("""COMPUTED_VALUE"""),43410.66666666667)</f>
        <v>43410.66667</v>
      </c>
      <c r="H251" s="9">
        <f>IFERROR(__xludf.DUMMYFUNCTION("""COMPUTED_VALUE"""),1039.48)</f>
        <v>1039.48</v>
      </c>
      <c r="I251" s="11">
        <f>IFERROR(__xludf.DUMMYFUNCTION("""COMPUTED_VALUE"""),43410.66666666667)</f>
        <v>43410.66667</v>
      </c>
      <c r="J251" s="9">
        <f>IFERROR(__xludf.DUMMYFUNCTION("""COMPUTED_VALUE"""),1055.81)</f>
        <v>1055.81</v>
      </c>
      <c r="L251" s="11">
        <f>IFERROR(__xludf.DUMMYFUNCTION("""COMPUTED_VALUE"""),43410.66666666667)</f>
        <v>43410.66667</v>
      </c>
      <c r="M251" s="9">
        <f>IFERROR(__xludf.DUMMYFUNCTION("""COMPUTED_VALUE"""),50.48)</f>
        <v>50.48</v>
      </c>
      <c r="N251" s="11">
        <f>IFERROR(__xludf.DUMMYFUNCTION("""COMPUTED_VALUE"""),43410.66666666667)</f>
        <v>43410.66667</v>
      </c>
      <c r="O251" s="9">
        <f>IFERROR(__xludf.DUMMYFUNCTION("""COMPUTED_VALUE"""),50.94)</f>
        <v>50.94</v>
      </c>
      <c r="Q251" s="11">
        <f>IFERROR(__xludf.DUMMYFUNCTION("""COMPUTED_VALUE"""),43410.66666666667)</f>
        <v>43410.66667</v>
      </c>
      <c r="R251" s="9">
        <f>IFERROR(__xludf.DUMMYFUNCTION("""COMPUTED_VALUE"""),149.31)</f>
        <v>149.31</v>
      </c>
      <c r="S251" s="11">
        <f>IFERROR(__xludf.DUMMYFUNCTION("""COMPUTED_VALUE"""),43410.66666666667)</f>
        <v>43410.66667</v>
      </c>
      <c r="T251" s="9">
        <f>IFERROR(__xludf.DUMMYFUNCTION("""COMPUTED_VALUE"""),149.94)</f>
        <v>149.94</v>
      </c>
      <c r="V251" s="11">
        <f>IFERROR(__xludf.DUMMYFUNCTION("""COMPUTED_VALUE"""),43410.66666666667)</f>
        <v>43410.66667</v>
      </c>
      <c r="W251" s="9">
        <f>IFERROR(__xludf.DUMMYFUNCTION("""COMPUTED_VALUE"""),314.76)</f>
        <v>314.76</v>
      </c>
      <c r="X251" s="11">
        <f>IFERROR(__xludf.DUMMYFUNCTION("""COMPUTED_VALUE"""),43410.66666666667)</f>
        <v>43410.66667</v>
      </c>
      <c r="Y251" s="9">
        <f>IFERROR(__xludf.DUMMYFUNCTION("""COMPUTED_VALUE"""),310.84)</f>
        <v>310.84</v>
      </c>
      <c r="AA251" s="11">
        <f>IFERROR(__xludf.DUMMYFUNCTION("""COMPUTED_VALUE"""),43410.66666666667)</f>
        <v>43410.66667</v>
      </c>
      <c r="AB251" s="9">
        <f>IFERROR(__xludf.DUMMYFUNCTION("""COMPUTED_VALUE"""),1618.35)</f>
        <v>1618.35</v>
      </c>
      <c r="AC251" s="11">
        <f>IFERROR(__xludf.DUMMYFUNCTION("""COMPUTED_VALUE"""),43410.66666666667)</f>
        <v>43410.66667</v>
      </c>
      <c r="AD251" s="9">
        <f>IFERROR(__xludf.DUMMYFUNCTION("""COMPUTED_VALUE"""),1642.81)</f>
        <v>1642.81</v>
      </c>
    </row>
    <row r="252">
      <c r="B252" s="11">
        <f>IFERROR(__xludf.DUMMYFUNCTION("""COMPUTED_VALUE"""),43411.66666666667)</f>
        <v>43411.66667</v>
      </c>
      <c r="C252" s="9">
        <f>IFERROR(__xludf.DUMMYFUNCTION("""COMPUTED_VALUE"""),68.67)</f>
        <v>68.67</v>
      </c>
      <c r="D252" s="11">
        <f>IFERROR(__xludf.DUMMYFUNCTION("""COMPUTED_VALUE"""),43411.66666666667)</f>
        <v>43411.66667</v>
      </c>
      <c r="E252" s="9">
        <f>IFERROR(__xludf.DUMMYFUNCTION("""COMPUTED_VALUE"""),69.63)</f>
        <v>69.63</v>
      </c>
      <c r="G252" s="11">
        <f>IFERROR(__xludf.DUMMYFUNCTION("""COMPUTED_VALUE"""),43411.66666666667)</f>
        <v>43411.66667</v>
      </c>
      <c r="H252" s="9">
        <f>IFERROR(__xludf.DUMMYFUNCTION("""COMPUTED_VALUE"""),1069.0)</f>
        <v>1069</v>
      </c>
      <c r="I252" s="11">
        <f>IFERROR(__xludf.DUMMYFUNCTION("""COMPUTED_VALUE"""),43411.66666666667)</f>
        <v>43411.66667</v>
      </c>
      <c r="J252" s="9">
        <f>IFERROR(__xludf.DUMMYFUNCTION("""COMPUTED_VALUE"""),1093.39)</f>
        <v>1093.39</v>
      </c>
      <c r="L252" s="11">
        <f>IFERROR(__xludf.DUMMYFUNCTION("""COMPUTED_VALUE"""),43411.66666666667)</f>
        <v>43411.66667</v>
      </c>
      <c r="M252" s="9">
        <f>IFERROR(__xludf.DUMMYFUNCTION("""COMPUTED_VALUE"""),51.49)</f>
        <v>51.49</v>
      </c>
      <c r="N252" s="11">
        <f>IFERROR(__xludf.DUMMYFUNCTION("""COMPUTED_VALUE"""),43411.66666666667)</f>
        <v>43411.66667</v>
      </c>
      <c r="O252" s="9">
        <f>IFERROR(__xludf.DUMMYFUNCTION("""COMPUTED_VALUE"""),52.49)</f>
        <v>52.49</v>
      </c>
      <c r="Q252" s="11">
        <f>IFERROR(__xludf.DUMMYFUNCTION("""COMPUTED_VALUE"""),43411.66666666667)</f>
        <v>43411.66667</v>
      </c>
      <c r="R252" s="9">
        <f>IFERROR(__xludf.DUMMYFUNCTION("""COMPUTED_VALUE"""),151.57)</f>
        <v>151.57</v>
      </c>
      <c r="S252" s="11">
        <f>IFERROR(__xludf.DUMMYFUNCTION("""COMPUTED_VALUE"""),43411.66666666667)</f>
        <v>43411.66667</v>
      </c>
      <c r="T252" s="9">
        <f>IFERROR(__xludf.DUMMYFUNCTION("""COMPUTED_VALUE"""),151.53)</f>
        <v>151.53</v>
      </c>
      <c r="V252" s="11">
        <f>IFERROR(__xludf.DUMMYFUNCTION("""COMPUTED_VALUE"""),43411.66666666667)</f>
        <v>43411.66667</v>
      </c>
      <c r="W252" s="9">
        <f>IFERROR(__xludf.DUMMYFUNCTION("""COMPUTED_VALUE"""),312.9)</f>
        <v>312.9</v>
      </c>
      <c r="X252" s="11">
        <f>IFERROR(__xludf.DUMMYFUNCTION("""COMPUTED_VALUE"""),43411.66666666667)</f>
        <v>43411.66667</v>
      </c>
      <c r="Y252" s="9">
        <f>IFERROR(__xludf.DUMMYFUNCTION("""COMPUTED_VALUE"""),327.5)</f>
        <v>327.5</v>
      </c>
      <c r="AA252" s="11">
        <f>IFERROR(__xludf.DUMMYFUNCTION("""COMPUTED_VALUE"""),43411.66666666667)</f>
        <v>43411.66667</v>
      </c>
      <c r="AB252" s="9">
        <f>IFERROR(__xludf.DUMMYFUNCTION("""COMPUTED_VALUE"""),1673.0)</f>
        <v>1673</v>
      </c>
      <c r="AC252" s="11">
        <f>IFERROR(__xludf.DUMMYFUNCTION("""COMPUTED_VALUE"""),43411.66666666667)</f>
        <v>43411.66667</v>
      </c>
      <c r="AD252" s="9">
        <f>IFERROR(__xludf.DUMMYFUNCTION("""COMPUTED_VALUE"""),1755.49)</f>
        <v>1755.49</v>
      </c>
    </row>
    <row r="253">
      <c r="B253" s="11">
        <f>IFERROR(__xludf.DUMMYFUNCTION("""COMPUTED_VALUE"""),43412.66666666667)</f>
        <v>43412.66667</v>
      </c>
      <c r="C253" s="9">
        <f>IFERROR(__xludf.DUMMYFUNCTION("""COMPUTED_VALUE"""),69.7)</f>
        <v>69.7</v>
      </c>
      <c r="D253" s="11">
        <f>IFERROR(__xludf.DUMMYFUNCTION("""COMPUTED_VALUE"""),43412.66666666667)</f>
        <v>43412.66667</v>
      </c>
      <c r="E253" s="9">
        <f>IFERROR(__xludf.DUMMYFUNCTION("""COMPUTED_VALUE"""),70.28)</f>
        <v>70.28</v>
      </c>
      <c r="G253" s="11">
        <f>IFERROR(__xludf.DUMMYFUNCTION("""COMPUTED_VALUE"""),43412.66666666667)</f>
        <v>43412.66667</v>
      </c>
      <c r="H253" s="9">
        <f>IFERROR(__xludf.DUMMYFUNCTION("""COMPUTED_VALUE"""),1091.38)</f>
        <v>1091.38</v>
      </c>
      <c r="I253" s="11">
        <f>IFERROR(__xludf.DUMMYFUNCTION("""COMPUTED_VALUE"""),43412.66666666667)</f>
        <v>43412.66667</v>
      </c>
      <c r="J253" s="9">
        <f>IFERROR(__xludf.DUMMYFUNCTION("""COMPUTED_VALUE"""),1082.4)</f>
        <v>1082.4</v>
      </c>
      <c r="L253" s="11">
        <f>IFERROR(__xludf.DUMMYFUNCTION("""COMPUTED_VALUE"""),43412.66666666667)</f>
        <v>43412.66667</v>
      </c>
      <c r="M253" s="9">
        <f>IFERROR(__xludf.DUMMYFUNCTION("""COMPUTED_VALUE"""),52.5)</f>
        <v>52.5</v>
      </c>
      <c r="N253" s="11">
        <f>IFERROR(__xludf.DUMMYFUNCTION("""COMPUTED_VALUE"""),43412.66666666667)</f>
        <v>43412.66667</v>
      </c>
      <c r="O253" s="9">
        <f>IFERROR(__xludf.DUMMYFUNCTION("""COMPUTED_VALUE"""),52.12)</f>
        <v>52.12</v>
      </c>
      <c r="Q253" s="11">
        <f>IFERROR(__xludf.DUMMYFUNCTION("""COMPUTED_VALUE"""),43412.66666666667)</f>
        <v>43412.66667</v>
      </c>
      <c r="R253" s="9">
        <f>IFERROR(__xludf.DUMMYFUNCTION("""COMPUTED_VALUE"""),150.49)</f>
        <v>150.49</v>
      </c>
      <c r="S253" s="11">
        <f>IFERROR(__xludf.DUMMYFUNCTION("""COMPUTED_VALUE"""),43412.66666666667)</f>
        <v>43412.66667</v>
      </c>
      <c r="T253" s="9">
        <f>IFERROR(__xludf.DUMMYFUNCTION("""COMPUTED_VALUE"""),147.87)</f>
        <v>147.87</v>
      </c>
      <c r="V253" s="11">
        <f>IFERROR(__xludf.DUMMYFUNCTION("""COMPUTED_VALUE"""),43412.66666666667)</f>
        <v>43412.66667</v>
      </c>
      <c r="W253" s="9">
        <f>IFERROR(__xludf.DUMMYFUNCTION("""COMPUTED_VALUE"""),328.0)</f>
        <v>328</v>
      </c>
      <c r="X253" s="11">
        <f>IFERROR(__xludf.DUMMYFUNCTION("""COMPUTED_VALUE"""),43412.66666666667)</f>
        <v>43412.66667</v>
      </c>
      <c r="Y253" s="9">
        <f>IFERROR(__xludf.DUMMYFUNCTION("""COMPUTED_VALUE"""),317.92)</f>
        <v>317.92</v>
      </c>
      <c r="AA253" s="11">
        <f>IFERROR(__xludf.DUMMYFUNCTION("""COMPUTED_VALUE"""),43412.66666666667)</f>
        <v>43412.66667</v>
      </c>
      <c r="AB253" s="9">
        <f>IFERROR(__xludf.DUMMYFUNCTION("""COMPUTED_VALUE"""),1755.0)</f>
        <v>1755</v>
      </c>
      <c r="AC253" s="11">
        <f>IFERROR(__xludf.DUMMYFUNCTION("""COMPUTED_VALUE"""),43412.66666666667)</f>
        <v>43412.66667</v>
      </c>
      <c r="AD253" s="9">
        <f>IFERROR(__xludf.DUMMYFUNCTION("""COMPUTED_VALUE"""),1754.91)</f>
        <v>1754.91</v>
      </c>
    </row>
    <row r="254">
      <c r="B254" s="11">
        <f>IFERROR(__xludf.DUMMYFUNCTION("""COMPUTED_VALUE"""),43413.66666666667)</f>
        <v>43413.66667</v>
      </c>
      <c r="C254" s="9">
        <f>IFERROR(__xludf.DUMMYFUNCTION("""COMPUTED_VALUE"""),69.8)</f>
        <v>69.8</v>
      </c>
      <c r="D254" s="11">
        <f>IFERROR(__xludf.DUMMYFUNCTION("""COMPUTED_VALUE"""),43413.66666666667)</f>
        <v>43413.66667</v>
      </c>
      <c r="E254" s="9">
        <f>IFERROR(__xludf.DUMMYFUNCTION("""COMPUTED_VALUE"""),70.1)</f>
        <v>70.1</v>
      </c>
      <c r="G254" s="11">
        <f>IFERROR(__xludf.DUMMYFUNCTION("""COMPUTED_VALUE"""),43413.66666666667)</f>
        <v>43413.66667</v>
      </c>
      <c r="H254" s="9">
        <f>IFERROR(__xludf.DUMMYFUNCTION("""COMPUTED_VALUE"""),1073.99)</f>
        <v>1073.99</v>
      </c>
      <c r="I254" s="11">
        <f>IFERROR(__xludf.DUMMYFUNCTION("""COMPUTED_VALUE"""),43413.66666666667)</f>
        <v>43413.66667</v>
      </c>
      <c r="J254" s="9">
        <f>IFERROR(__xludf.DUMMYFUNCTION("""COMPUTED_VALUE"""),1066.15)</f>
        <v>1066.15</v>
      </c>
      <c r="L254" s="11">
        <f>IFERROR(__xludf.DUMMYFUNCTION("""COMPUTED_VALUE"""),43413.66666666667)</f>
        <v>43413.66667</v>
      </c>
      <c r="M254" s="9">
        <f>IFERROR(__xludf.DUMMYFUNCTION("""COMPUTED_VALUE"""),51.39)</f>
        <v>51.39</v>
      </c>
      <c r="N254" s="11">
        <f>IFERROR(__xludf.DUMMYFUNCTION("""COMPUTED_VALUE"""),43413.66666666667)</f>
        <v>43413.66667</v>
      </c>
      <c r="O254" s="9">
        <f>IFERROR(__xludf.DUMMYFUNCTION("""COMPUTED_VALUE"""),51.12)</f>
        <v>51.12</v>
      </c>
      <c r="Q254" s="11">
        <f>IFERROR(__xludf.DUMMYFUNCTION("""COMPUTED_VALUE"""),43413.66666666667)</f>
        <v>43413.66667</v>
      </c>
      <c r="R254" s="9">
        <f>IFERROR(__xludf.DUMMYFUNCTION("""COMPUTED_VALUE"""),146.75)</f>
        <v>146.75</v>
      </c>
      <c r="S254" s="11">
        <f>IFERROR(__xludf.DUMMYFUNCTION("""COMPUTED_VALUE"""),43413.66666666667)</f>
        <v>43413.66667</v>
      </c>
      <c r="T254" s="9">
        <f>IFERROR(__xludf.DUMMYFUNCTION("""COMPUTED_VALUE"""),144.96)</f>
        <v>144.96</v>
      </c>
      <c r="V254" s="11">
        <f>IFERROR(__xludf.DUMMYFUNCTION("""COMPUTED_VALUE"""),43413.66666666667)</f>
        <v>43413.66667</v>
      </c>
      <c r="W254" s="9">
        <f>IFERROR(__xludf.DUMMYFUNCTION("""COMPUTED_VALUE"""),311.07)</f>
        <v>311.07</v>
      </c>
      <c r="X254" s="11">
        <f>IFERROR(__xludf.DUMMYFUNCTION("""COMPUTED_VALUE"""),43413.66666666667)</f>
        <v>43413.66667</v>
      </c>
      <c r="Y254" s="9">
        <f>IFERROR(__xludf.DUMMYFUNCTION("""COMPUTED_VALUE"""),303.47)</f>
        <v>303.47</v>
      </c>
      <c r="AA254" s="11">
        <f>IFERROR(__xludf.DUMMYFUNCTION("""COMPUTED_VALUE"""),43413.66666666667)</f>
        <v>43413.66667</v>
      </c>
      <c r="AB254" s="9">
        <f>IFERROR(__xludf.DUMMYFUNCTION("""COMPUTED_VALUE"""),1732.5)</f>
        <v>1732.5</v>
      </c>
      <c r="AC254" s="11">
        <f>IFERROR(__xludf.DUMMYFUNCTION("""COMPUTED_VALUE"""),43413.66666666667)</f>
        <v>43413.66667</v>
      </c>
      <c r="AD254" s="9">
        <f>IFERROR(__xludf.DUMMYFUNCTION("""COMPUTED_VALUE"""),1712.43)</f>
        <v>1712.43</v>
      </c>
    </row>
    <row r="255">
      <c r="B255" s="11">
        <f>IFERROR(__xludf.DUMMYFUNCTION("""COMPUTED_VALUE"""),43416.66666666667)</f>
        <v>43416.66667</v>
      </c>
      <c r="C255" s="9">
        <f>IFERROR(__xludf.DUMMYFUNCTION("""COMPUTED_VALUE"""),69.67)</f>
        <v>69.67</v>
      </c>
      <c r="D255" s="11">
        <f>IFERROR(__xludf.DUMMYFUNCTION("""COMPUTED_VALUE"""),43416.66666666667)</f>
        <v>43416.66667</v>
      </c>
      <c r="E255" s="9">
        <f>IFERROR(__xludf.DUMMYFUNCTION("""COMPUTED_VALUE"""),66.26)</f>
        <v>66.26</v>
      </c>
      <c r="G255" s="11">
        <f>IFERROR(__xludf.DUMMYFUNCTION("""COMPUTED_VALUE"""),43416.66666666667)</f>
        <v>43416.66667</v>
      </c>
      <c r="H255" s="9">
        <f>IFERROR(__xludf.DUMMYFUNCTION("""COMPUTED_VALUE"""),1061.39)</f>
        <v>1061.39</v>
      </c>
      <c r="I255" s="11">
        <f>IFERROR(__xludf.DUMMYFUNCTION("""COMPUTED_VALUE"""),43416.66666666667)</f>
        <v>43416.66667</v>
      </c>
      <c r="J255" s="9">
        <f>IFERROR(__xludf.DUMMYFUNCTION("""COMPUTED_VALUE"""),1038.63)</f>
        <v>1038.63</v>
      </c>
      <c r="L255" s="11">
        <f>IFERROR(__xludf.DUMMYFUNCTION("""COMPUTED_VALUE"""),43416.66666666667)</f>
        <v>43416.66667</v>
      </c>
      <c r="M255" s="9">
        <f>IFERROR(__xludf.DUMMYFUNCTION("""COMPUTED_VALUE"""),49.75)</f>
        <v>49.75</v>
      </c>
      <c r="N255" s="11">
        <f>IFERROR(__xludf.DUMMYFUNCTION("""COMPUTED_VALUE"""),43416.66666666667)</f>
        <v>43416.66667</v>
      </c>
      <c r="O255" s="9">
        <f>IFERROR(__xludf.DUMMYFUNCTION("""COMPUTED_VALUE"""),48.54)</f>
        <v>48.54</v>
      </c>
      <c r="Q255" s="11">
        <f>IFERROR(__xludf.DUMMYFUNCTION("""COMPUTED_VALUE"""),43416.66666666667)</f>
        <v>43416.66667</v>
      </c>
      <c r="R255" s="9">
        <f>IFERROR(__xludf.DUMMYFUNCTION("""COMPUTED_VALUE"""),144.48)</f>
        <v>144.48</v>
      </c>
      <c r="S255" s="11">
        <f>IFERROR(__xludf.DUMMYFUNCTION("""COMPUTED_VALUE"""),43416.66666666667)</f>
        <v>43416.66667</v>
      </c>
      <c r="T255" s="9">
        <f>IFERROR(__xludf.DUMMYFUNCTION("""COMPUTED_VALUE"""),141.55)</f>
        <v>141.55</v>
      </c>
      <c r="V255" s="11">
        <f>IFERROR(__xludf.DUMMYFUNCTION("""COMPUTED_VALUE"""),43416.66666666667)</f>
        <v>43416.66667</v>
      </c>
      <c r="W255" s="9">
        <f>IFERROR(__xludf.DUMMYFUNCTION("""COMPUTED_VALUE"""),300.0)</f>
        <v>300</v>
      </c>
      <c r="X255" s="11">
        <f>IFERROR(__xludf.DUMMYFUNCTION("""COMPUTED_VALUE"""),43416.66666666667)</f>
        <v>43416.66667</v>
      </c>
      <c r="Y255" s="9">
        <f>IFERROR(__xludf.DUMMYFUNCTION("""COMPUTED_VALUE"""),294.07)</f>
        <v>294.07</v>
      </c>
      <c r="AA255" s="11">
        <f>IFERROR(__xludf.DUMMYFUNCTION("""COMPUTED_VALUE"""),43416.66666666667)</f>
        <v>43416.66667</v>
      </c>
      <c r="AB255" s="9">
        <f>IFERROR(__xludf.DUMMYFUNCTION("""COMPUTED_VALUE"""),1698.24)</f>
        <v>1698.24</v>
      </c>
      <c r="AC255" s="11">
        <f>IFERROR(__xludf.DUMMYFUNCTION("""COMPUTED_VALUE"""),43416.66666666667)</f>
        <v>43416.66667</v>
      </c>
      <c r="AD255" s="9">
        <f>IFERROR(__xludf.DUMMYFUNCTION("""COMPUTED_VALUE"""),1636.85)</f>
        <v>1636.85</v>
      </c>
    </row>
    <row r="256">
      <c r="B256" s="11">
        <f>IFERROR(__xludf.DUMMYFUNCTION("""COMPUTED_VALUE"""),43417.66666666667)</f>
        <v>43417.66667</v>
      </c>
      <c r="C256" s="9">
        <f>IFERROR(__xludf.DUMMYFUNCTION("""COMPUTED_VALUE"""),66.63)</f>
        <v>66.63</v>
      </c>
      <c r="D256" s="11">
        <f>IFERROR(__xludf.DUMMYFUNCTION("""COMPUTED_VALUE"""),43417.66666666667)</f>
        <v>43417.66667</v>
      </c>
      <c r="E256" s="9">
        <f>IFERROR(__xludf.DUMMYFUNCTION("""COMPUTED_VALUE"""),67.75)</f>
        <v>67.75</v>
      </c>
      <c r="G256" s="11">
        <f>IFERROR(__xludf.DUMMYFUNCTION("""COMPUTED_VALUE"""),43417.66666666667)</f>
        <v>43417.66667</v>
      </c>
      <c r="H256" s="9">
        <f>IFERROR(__xludf.DUMMYFUNCTION("""COMPUTED_VALUE"""),1043.29)</f>
        <v>1043.29</v>
      </c>
      <c r="I256" s="11">
        <f>IFERROR(__xludf.DUMMYFUNCTION("""COMPUTED_VALUE"""),43417.66666666667)</f>
        <v>43417.66667</v>
      </c>
      <c r="J256" s="9">
        <f>IFERROR(__xludf.DUMMYFUNCTION("""COMPUTED_VALUE"""),1036.05)</f>
        <v>1036.05</v>
      </c>
      <c r="L256" s="11">
        <f>IFERROR(__xludf.DUMMYFUNCTION("""COMPUTED_VALUE"""),43417.66666666667)</f>
        <v>43417.66667</v>
      </c>
      <c r="M256" s="9">
        <f>IFERROR(__xludf.DUMMYFUNCTION("""COMPUTED_VALUE"""),47.91)</f>
        <v>47.91</v>
      </c>
      <c r="N256" s="11">
        <f>IFERROR(__xludf.DUMMYFUNCTION("""COMPUTED_VALUE"""),43417.66666666667)</f>
        <v>43417.66667</v>
      </c>
      <c r="O256" s="9">
        <f>IFERROR(__xludf.DUMMYFUNCTION("""COMPUTED_VALUE"""),48.06)</f>
        <v>48.06</v>
      </c>
      <c r="Q256" s="11">
        <f>IFERROR(__xludf.DUMMYFUNCTION("""COMPUTED_VALUE"""),43417.66666666667)</f>
        <v>43417.66667</v>
      </c>
      <c r="R256" s="9">
        <f>IFERROR(__xludf.DUMMYFUNCTION("""COMPUTED_VALUE"""),142.0)</f>
        <v>142</v>
      </c>
      <c r="S256" s="11">
        <f>IFERROR(__xludf.DUMMYFUNCTION("""COMPUTED_VALUE"""),43417.66666666667)</f>
        <v>43417.66667</v>
      </c>
      <c r="T256" s="9">
        <f>IFERROR(__xludf.DUMMYFUNCTION("""COMPUTED_VALUE"""),142.16)</f>
        <v>142.16</v>
      </c>
      <c r="V256" s="11">
        <f>IFERROR(__xludf.DUMMYFUNCTION("""COMPUTED_VALUE"""),43417.66666666667)</f>
        <v>43417.66667</v>
      </c>
      <c r="W256" s="9">
        <f>IFERROR(__xludf.DUMMYFUNCTION("""COMPUTED_VALUE"""),295.0)</f>
        <v>295</v>
      </c>
      <c r="X256" s="11">
        <f>IFERROR(__xludf.DUMMYFUNCTION("""COMPUTED_VALUE"""),43417.66666666667)</f>
        <v>43417.66667</v>
      </c>
      <c r="Y256" s="9">
        <f>IFERROR(__xludf.DUMMYFUNCTION("""COMPUTED_VALUE"""),294.4)</f>
        <v>294.4</v>
      </c>
      <c r="AA256" s="11">
        <f>IFERROR(__xludf.DUMMYFUNCTION("""COMPUTED_VALUE"""),43417.66666666667)</f>
        <v>43417.66667</v>
      </c>
      <c r="AB256" s="9">
        <f>IFERROR(__xludf.DUMMYFUNCTION("""COMPUTED_VALUE"""),1649.29)</f>
        <v>1649.29</v>
      </c>
      <c r="AC256" s="11">
        <f>IFERROR(__xludf.DUMMYFUNCTION("""COMPUTED_VALUE"""),43417.66666666667)</f>
        <v>43417.66667</v>
      </c>
      <c r="AD256" s="9">
        <f>IFERROR(__xludf.DUMMYFUNCTION("""COMPUTED_VALUE"""),1631.17)</f>
        <v>1631.17</v>
      </c>
    </row>
    <row r="257">
      <c r="B257" s="11">
        <f>IFERROR(__xludf.DUMMYFUNCTION("""COMPUTED_VALUE"""),43418.66666666667)</f>
        <v>43418.66667</v>
      </c>
      <c r="C257" s="9">
        <f>IFERROR(__xludf.DUMMYFUNCTION("""COMPUTED_VALUE"""),68.54)</f>
        <v>68.54</v>
      </c>
      <c r="D257" s="11">
        <f>IFERROR(__xludf.DUMMYFUNCTION("""COMPUTED_VALUE"""),43418.66666666667)</f>
        <v>43418.66667</v>
      </c>
      <c r="E257" s="9">
        <f>IFERROR(__xludf.DUMMYFUNCTION("""COMPUTED_VALUE"""),68.8)</f>
        <v>68.8</v>
      </c>
      <c r="G257" s="11">
        <f>IFERROR(__xludf.DUMMYFUNCTION("""COMPUTED_VALUE"""),43418.66666666667)</f>
        <v>43418.66667</v>
      </c>
      <c r="H257" s="9">
        <f>IFERROR(__xludf.DUMMYFUNCTION("""COMPUTED_VALUE"""),1050.0)</f>
        <v>1050</v>
      </c>
      <c r="I257" s="11">
        <f>IFERROR(__xludf.DUMMYFUNCTION("""COMPUTED_VALUE"""),43418.66666666667)</f>
        <v>43418.66667</v>
      </c>
      <c r="J257" s="9">
        <f>IFERROR(__xludf.DUMMYFUNCTION("""COMPUTED_VALUE"""),1043.66)</f>
        <v>1043.66</v>
      </c>
      <c r="L257" s="11">
        <f>IFERROR(__xludf.DUMMYFUNCTION("""COMPUTED_VALUE"""),43418.66666666667)</f>
        <v>43418.66667</v>
      </c>
      <c r="M257" s="9">
        <f>IFERROR(__xludf.DUMMYFUNCTION("""COMPUTED_VALUE"""),48.48)</f>
        <v>48.48</v>
      </c>
      <c r="N257" s="11">
        <f>IFERROR(__xludf.DUMMYFUNCTION("""COMPUTED_VALUE"""),43418.66666666667)</f>
        <v>43418.66667</v>
      </c>
      <c r="O257" s="9">
        <f>IFERROR(__xludf.DUMMYFUNCTION("""COMPUTED_VALUE"""),46.7)</f>
        <v>46.7</v>
      </c>
      <c r="Q257" s="11">
        <f>IFERROR(__xludf.DUMMYFUNCTION("""COMPUTED_VALUE"""),43418.66666666667)</f>
        <v>43418.66667</v>
      </c>
      <c r="R257" s="9">
        <f>IFERROR(__xludf.DUMMYFUNCTION("""COMPUTED_VALUE"""),143.7)</f>
        <v>143.7</v>
      </c>
      <c r="S257" s="11">
        <f>IFERROR(__xludf.DUMMYFUNCTION("""COMPUTED_VALUE"""),43418.66666666667)</f>
        <v>43418.66667</v>
      </c>
      <c r="T257" s="9">
        <f>IFERROR(__xludf.DUMMYFUNCTION("""COMPUTED_VALUE"""),144.22)</f>
        <v>144.22</v>
      </c>
      <c r="V257" s="11">
        <f>IFERROR(__xludf.DUMMYFUNCTION("""COMPUTED_VALUE"""),43418.66666666667)</f>
        <v>43418.66667</v>
      </c>
      <c r="W257" s="9">
        <f>IFERROR(__xludf.DUMMYFUNCTION("""COMPUTED_VALUE"""),300.4)</f>
        <v>300.4</v>
      </c>
      <c r="X257" s="11">
        <f>IFERROR(__xludf.DUMMYFUNCTION("""COMPUTED_VALUE"""),43418.66666666667)</f>
        <v>43418.66667</v>
      </c>
      <c r="Y257" s="9">
        <f>IFERROR(__xludf.DUMMYFUNCTION("""COMPUTED_VALUE"""),286.73)</f>
        <v>286.73</v>
      </c>
      <c r="AA257" s="11">
        <f>IFERROR(__xludf.DUMMYFUNCTION("""COMPUTED_VALUE"""),43418.66666666667)</f>
        <v>43418.66667</v>
      </c>
      <c r="AB257" s="9">
        <f>IFERROR(__xludf.DUMMYFUNCTION("""COMPUTED_VALUE"""),1656.32)</f>
        <v>1656.32</v>
      </c>
      <c r="AC257" s="11">
        <f>IFERROR(__xludf.DUMMYFUNCTION("""COMPUTED_VALUE"""),43418.66666666667)</f>
        <v>43418.66667</v>
      </c>
      <c r="AD257" s="9">
        <f>IFERROR(__xludf.DUMMYFUNCTION("""COMPUTED_VALUE"""),1599.01)</f>
        <v>1599.01</v>
      </c>
    </row>
    <row r="258">
      <c r="B258" s="11">
        <f>IFERROR(__xludf.DUMMYFUNCTION("""COMPUTED_VALUE"""),43419.66666666667)</f>
        <v>43419.66667</v>
      </c>
      <c r="C258" s="9">
        <f>IFERROR(__xludf.DUMMYFUNCTION("""COMPUTED_VALUE"""),68.47)</f>
        <v>68.47</v>
      </c>
      <c r="D258" s="11">
        <f>IFERROR(__xludf.DUMMYFUNCTION("""COMPUTED_VALUE"""),43419.66666666667)</f>
        <v>43419.66667</v>
      </c>
      <c r="E258" s="9">
        <f>IFERROR(__xludf.DUMMYFUNCTION("""COMPUTED_VALUE"""),69.69)</f>
        <v>69.69</v>
      </c>
      <c r="G258" s="11">
        <f>IFERROR(__xludf.DUMMYFUNCTION("""COMPUTED_VALUE"""),43419.66666666667)</f>
        <v>43419.66667</v>
      </c>
      <c r="H258" s="9">
        <f>IFERROR(__xludf.DUMMYFUNCTION("""COMPUTED_VALUE"""),1044.71)</f>
        <v>1044.71</v>
      </c>
      <c r="I258" s="11">
        <f>IFERROR(__xludf.DUMMYFUNCTION("""COMPUTED_VALUE"""),43419.66666666667)</f>
        <v>43419.66667</v>
      </c>
      <c r="J258" s="9">
        <f>IFERROR(__xludf.DUMMYFUNCTION("""COMPUTED_VALUE"""),1064.71)</f>
        <v>1064.71</v>
      </c>
      <c r="L258" s="11">
        <f>IFERROR(__xludf.DUMMYFUNCTION("""COMPUTED_VALUE"""),43419.66666666667)</f>
        <v>43419.66667</v>
      </c>
      <c r="M258" s="9">
        <f>IFERROR(__xludf.DUMMYFUNCTION("""COMPUTED_VALUE"""),47.1)</f>
        <v>47.1</v>
      </c>
      <c r="N258" s="11">
        <f>IFERROR(__xludf.DUMMYFUNCTION("""COMPUTED_VALUE"""),43419.66666666667)</f>
        <v>43419.66667</v>
      </c>
      <c r="O258" s="9">
        <f>IFERROR(__xludf.DUMMYFUNCTION("""COMPUTED_VALUE"""),47.85)</f>
        <v>47.85</v>
      </c>
      <c r="Q258" s="11">
        <f>IFERROR(__xludf.DUMMYFUNCTION("""COMPUTED_VALUE"""),43419.66666666667)</f>
        <v>43419.66667</v>
      </c>
      <c r="R258" s="9">
        <f>IFERROR(__xludf.DUMMYFUNCTION("""COMPUTED_VALUE"""),142.33)</f>
        <v>142.33</v>
      </c>
      <c r="S258" s="11">
        <f>IFERROR(__xludf.DUMMYFUNCTION("""COMPUTED_VALUE"""),43419.66666666667)</f>
        <v>43419.66667</v>
      </c>
      <c r="T258" s="9">
        <f>IFERROR(__xludf.DUMMYFUNCTION("""COMPUTED_VALUE"""),143.85)</f>
        <v>143.85</v>
      </c>
      <c r="V258" s="11">
        <f>IFERROR(__xludf.DUMMYFUNCTION("""COMPUTED_VALUE"""),43419.66666666667)</f>
        <v>43419.66667</v>
      </c>
      <c r="W258" s="9">
        <f>IFERROR(__xludf.DUMMYFUNCTION("""COMPUTED_VALUE"""),285.51)</f>
        <v>285.51</v>
      </c>
      <c r="X258" s="11">
        <f>IFERROR(__xludf.DUMMYFUNCTION("""COMPUTED_VALUE"""),43419.66666666667)</f>
        <v>43419.66667</v>
      </c>
      <c r="Y258" s="9">
        <f>IFERROR(__xludf.DUMMYFUNCTION("""COMPUTED_VALUE"""),290.06)</f>
        <v>290.06</v>
      </c>
      <c r="AA258" s="11">
        <f>IFERROR(__xludf.DUMMYFUNCTION("""COMPUTED_VALUE"""),43419.66666666667)</f>
        <v>43419.66667</v>
      </c>
      <c r="AB258" s="9">
        <f>IFERROR(__xludf.DUMMYFUNCTION("""COMPUTED_VALUE"""),1581.01)</f>
        <v>1581.01</v>
      </c>
      <c r="AC258" s="11">
        <f>IFERROR(__xludf.DUMMYFUNCTION("""COMPUTED_VALUE"""),43419.66666666667)</f>
        <v>43419.66667</v>
      </c>
      <c r="AD258" s="9">
        <f>IFERROR(__xludf.DUMMYFUNCTION("""COMPUTED_VALUE"""),1619.44)</f>
        <v>1619.44</v>
      </c>
    </row>
    <row r="259">
      <c r="B259" s="11">
        <f>IFERROR(__xludf.DUMMYFUNCTION("""COMPUTED_VALUE"""),43420.66666666667)</f>
        <v>43420.66667</v>
      </c>
      <c r="C259" s="9">
        <f>IFERROR(__xludf.DUMMYFUNCTION("""COMPUTED_VALUE"""),69.04)</f>
        <v>69.04</v>
      </c>
      <c r="D259" s="11">
        <f>IFERROR(__xludf.DUMMYFUNCTION("""COMPUTED_VALUE"""),43420.66666666667)</f>
        <v>43420.66667</v>
      </c>
      <c r="E259" s="9">
        <f>IFERROR(__xludf.DUMMYFUNCTION("""COMPUTED_VALUE"""),70.86)</f>
        <v>70.86</v>
      </c>
      <c r="G259" s="11">
        <f>IFERROR(__xludf.DUMMYFUNCTION("""COMPUTED_VALUE"""),43420.66666666667)</f>
        <v>43420.66667</v>
      </c>
      <c r="H259" s="9">
        <f>IFERROR(__xludf.DUMMYFUNCTION("""COMPUTED_VALUE"""),1059.41)</f>
        <v>1059.41</v>
      </c>
      <c r="I259" s="11">
        <f>IFERROR(__xludf.DUMMYFUNCTION("""COMPUTED_VALUE"""),43420.66666666667)</f>
        <v>43420.66667</v>
      </c>
      <c r="J259" s="9">
        <f>IFERROR(__xludf.DUMMYFUNCTION("""COMPUTED_VALUE"""),1061.49)</f>
        <v>1061.49</v>
      </c>
      <c r="L259" s="11">
        <f>IFERROR(__xludf.DUMMYFUNCTION("""COMPUTED_VALUE"""),43420.66666666667)</f>
        <v>43420.66667</v>
      </c>
      <c r="M259" s="9">
        <f>IFERROR(__xludf.DUMMYFUNCTION("""COMPUTED_VALUE"""),47.63)</f>
        <v>47.63</v>
      </c>
      <c r="N259" s="11">
        <f>IFERROR(__xludf.DUMMYFUNCTION("""COMPUTED_VALUE"""),43420.66666666667)</f>
        <v>43420.66667</v>
      </c>
      <c r="O259" s="9">
        <f>IFERROR(__xludf.DUMMYFUNCTION("""COMPUTED_VALUE"""),48.38)</f>
        <v>48.38</v>
      </c>
      <c r="Q259" s="11">
        <f>IFERROR(__xludf.DUMMYFUNCTION("""COMPUTED_VALUE"""),43420.66666666667)</f>
        <v>43420.66667</v>
      </c>
      <c r="R259" s="9">
        <f>IFERROR(__xludf.DUMMYFUNCTION("""COMPUTED_VALUE"""),141.07)</f>
        <v>141.07</v>
      </c>
      <c r="S259" s="11">
        <f>IFERROR(__xludf.DUMMYFUNCTION("""COMPUTED_VALUE"""),43420.66666666667)</f>
        <v>43420.66667</v>
      </c>
      <c r="T259" s="9">
        <f>IFERROR(__xludf.DUMMYFUNCTION("""COMPUTED_VALUE"""),139.53)</f>
        <v>139.53</v>
      </c>
      <c r="V259" s="11">
        <f>IFERROR(__xludf.DUMMYFUNCTION("""COMPUTED_VALUE"""),43420.66666666667)</f>
        <v>43420.66667</v>
      </c>
      <c r="W259" s="9">
        <f>IFERROR(__xludf.DUMMYFUNCTION("""COMPUTED_VALUE"""),287.14)</f>
        <v>287.14</v>
      </c>
      <c r="X259" s="11">
        <f>IFERROR(__xludf.DUMMYFUNCTION("""COMPUTED_VALUE"""),43420.66666666667)</f>
        <v>43420.66667</v>
      </c>
      <c r="Y259" s="9">
        <f>IFERROR(__xludf.DUMMYFUNCTION("""COMPUTED_VALUE"""),286.21)</f>
        <v>286.21</v>
      </c>
      <c r="AA259" s="11">
        <f>IFERROR(__xludf.DUMMYFUNCTION("""COMPUTED_VALUE"""),43420.66666666667)</f>
        <v>43420.66667</v>
      </c>
      <c r="AB259" s="9">
        <f>IFERROR(__xludf.DUMMYFUNCTION("""COMPUTED_VALUE"""),1587.5)</f>
        <v>1587.5</v>
      </c>
      <c r="AC259" s="11">
        <f>IFERROR(__xludf.DUMMYFUNCTION("""COMPUTED_VALUE"""),43420.66666666667)</f>
        <v>43420.66667</v>
      </c>
      <c r="AD259" s="9">
        <f>IFERROR(__xludf.DUMMYFUNCTION("""COMPUTED_VALUE"""),1593.41)</f>
        <v>1593.41</v>
      </c>
    </row>
    <row r="260">
      <c r="B260" s="11">
        <f>IFERROR(__xludf.DUMMYFUNCTION("""COMPUTED_VALUE"""),43423.66666666667)</f>
        <v>43423.66667</v>
      </c>
      <c r="C260" s="9">
        <f>IFERROR(__xludf.DUMMYFUNCTION("""COMPUTED_VALUE"""),71.27)</f>
        <v>71.27</v>
      </c>
      <c r="D260" s="11">
        <f>IFERROR(__xludf.DUMMYFUNCTION("""COMPUTED_VALUE"""),43423.66666666667)</f>
        <v>43423.66667</v>
      </c>
      <c r="E260" s="9">
        <f>IFERROR(__xludf.DUMMYFUNCTION("""COMPUTED_VALUE"""),70.69)</f>
        <v>70.69</v>
      </c>
      <c r="G260" s="11">
        <f>IFERROR(__xludf.DUMMYFUNCTION("""COMPUTED_VALUE"""),43423.66666666667)</f>
        <v>43423.66667</v>
      </c>
      <c r="H260" s="9">
        <f>IFERROR(__xludf.DUMMYFUNCTION("""COMPUTED_VALUE"""),1057.2)</f>
        <v>1057.2</v>
      </c>
      <c r="I260" s="11">
        <f>IFERROR(__xludf.DUMMYFUNCTION("""COMPUTED_VALUE"""),43423.66666666667)</f>
        <v>43423.66667</v>
      </c>
      <c r="J260" s="9">
        <f>IFERROR(__xludf.DUMMYFUNCTION("""COMPUTED_VALUE"""),1020.0)</f>
        <v>1020</v>
      </c>
      <c r="L260" s="11">
        <f>IFERROR(__xludf.DUMMYFUNCTION("""COMPUTED_VALUE"""),43423.66666666667)</f>
        <v>43423.66667</v>
      </c>
      <c r="M260" s="9">
        <f>IFERROR(__xludf.DUMMYFUNCTION("""COMPUTED_VALUE"""),47.5)</f>
        <v>47.5</v>
      </c>
      <c r="N260" s="11">
        <f>IFERROR(__xludf.DUMMYFUNCTION("""COMPUTED_VALUE"""),43423.66666666667)</f>
        <v>43423.66667</v>
      </c>
      <c r="O260" s="9">
        <f>IFERROR(__xludf.DUMMYFUNCTION("""COMPUTED_VALUE"""),46.47)</f>
        <v>46.47</v>
      </c>
      <c r="Q260" s="11">
        <f>IFERROR(__xludf.DUMMYFUNCTION("""COMPUTED_VALUE"""),43423.66666666667)</f>
        <v>43423.66667</v>
      </c>
      <c r="R260" s="9">
        <f>IFERROR(__xludf.DUMMYFUNCTION("""COMPUTED_VALUE"""),137.61)</f>
        <v>137.61</v>
      </c>
      <c r="S260" s="11">
        <f>IFERROR(__xludf.DUMMYFUNCTION("""COMPUTED_VALUE"""),43423.66666666667)</f>
        <v>43423.66667</v>
      </c>
      <c r="T260" s="9">
        <f>IFERROR(__xludf.DUMMYFUNCTION("""COMPUTED_VALUE"""),131.55)</f>
        <v>131.55</v>
      </c>
      <c r="V260" s="11">
        <f>IFERROR(__xludf.DUMMYFUNCTION("""COMPUTED_VALUE"""),43423.66666666667)</f>
        <v>43423.66667</v>
      </c>
      <c r="W260" s="9">
        <f>IFERROR(__xludf.DUMMYFUNCTION("""COMPUTED_VALUE"""),283.79)</f>
        <v>283.79</v>
      </c>
      <c r="X260" s="11">
        <f>IFERROR(__xludf.DUMMYFUNCTION("""COMPUTED_VALUE"""),43423.66666666667)</f>
        <v>43423.66667</v>
      </c>
      <c r="Y260" s="9">
        <f>IFERROR(__xludf.DUMMYFUNCTION("""COMPUTED_VALUE"""),270.6)</f>
        <v>270.6</v>
      </c>
      <c r="AA260" s="11">
        <f>IFERROR(__xludf.DUMMYFUNCTION("""COMPUTED_VALUE"""),43423.66666666667)</f>
        <v>43423.66667</v>
      </c>
      <c r="AB260" s="9">
        <f>IFERROR(__xludf.DUMMYFUNCTION("""COMPUTED_VALUE"""),1577.01)</f>
        <v>1577.01</v>
      </c>
      <c r="AC260" s="11">
        <f>IFERROR(__xludf.DUMMYFUNCTION("""COMPUTED_VALUE"""),43423.66666666667)</f>
        <v>43423.66667</v>
      </c>
      <c r="AD260" s="9">
        <f>IFERROR(__xludf.DUMMYFUNCTION("""COMPUTED_VALUE"""),1512.29)</f>
        <v>1512.29</v>
      </c>
    </row>
    <row r="261">
      <c r="B261" s="11">
        <f>IFERROR(__xludf.DUMMYFUNCTION("""COMPUTED_VALUE"""),43424.66666666667)</f>
        <v>43424.66667</v>
      </c>
      <c r="C261" s="9">
        <f>IFERROR(__xludf.DUMMYFUNCTION("""COMPUTED_VALUE"""),68.35)</f>
        <v>68.35</v>
      </c>
      <c r="D261" s="11">
        <f>IFERROR(__xludf.DUMMYFUNCTION("""COMPUTED_VALUE"""),43424.66666666667)</f>
        <v>43424.66667</v>
      </c>
      <c r="E261" s="9">
        <f>IFERROR(__xludf.DUMMYFUNCTION("""COMPUTED_VALUE"""),69.5)</f>
        <v>69.5</v>
      </c>
      <c r="G261" s="11">
        <f>IFERROR(__xludf.DUMMYFUNCTION("""COMPUTED_VALUE"""),43424.66666666667)</f>
        <v>43424.66667</v>
      </c>
      <c r="H261" s="9">
        <f>IFERROR(__xludf.DUMMYFUNCTION("""COMPUTED_VALUE"""),1000.0)</f>
        <v>1000</v>
      </c>
      <c r="I261" s="11">
        <f>IFERROR(__xludf.DUMMYFUNCTION("""COMPUTED_VALUE"""),43424.66666666667)</f>
        <v>43424.66667</v>
      </c>
      <c r="J261" s="9">
        <f>IFERROR(__xludf.DUMMYFUNCTION("""COMPUTED_VALUE"""),1025.76)</f>
        <v>1025.76</v>
      </c>
      <c r="L261" s="11">
        <f>IFERROR(__xludf.DUMMYFUNCTION("""COMPUTED_VALUE"""),43424.66666666667)</f>
        <v>43424.66667</v>
      </c>
      <c r="M261" s="9">
        <f>IFERROR(__xludf.DUMMYFUNCTION("""COMPUTED_VALUE"""),44.59)</f>
        <v>44.59</v>
      </c>
      <c r="N261" s="11">
        <f>IFERROR(__xludf.DUMMYFUNCTION("""COMPUTED_VALUE"""),43424.66666666667)</f>
        <v>43424.66667</v>
      </c>
      <c r="O261" s="9">
        <f>IFERROR(__xludf.DUMMYFUNCTION("""COMPUTED_VALUE"""),44.25)</f>
        <v>44.25</v>
      </c>
      <c r="Q261" s="11">
        <f>IFERROR(__xludf.DUMMYFUNCTION("""COMPUTED_VALUE"""),43424.66666666667)</f>
        <v>43424.66667</v>
      </c>
      <c r="R261" s="9">
        <f>IFERROR(__xludf.DUMMYFUNCTION("""COMPUTED_VALUE"""),127.03)</f>
        <v>127.03</v>
      </c>
      <c r="S261" s="11">
        <f>IFERROR(__xludf.DUMMYFUNCTION("""COMPUTED_VALUE"""),43424.66666666667)</f>
        <v>43424.66667</v>
      </c>
      <c r="T261" s="9">
        <f>IFERROR(__xludf.DUMMYFUNCTION("""COMPUTED_VALUE"""),132.43)</f>
        <v>132.43</v>
      </c>
      <c r="V261" s="11">
        <f>IFERROR(__xludf.DUMMYFUNCTION("""COMPUTED_VALUE"""),43424.66666666667)</f>
        <v>43424.66667</v>
      </c>
      <c r="W261" s="9">
        <f>IFERROR(__xludf.DUMMYFUNCTION("""COMPUTED_VALUE"""),254.63)</f>
        <v>254.63</v>
      </c>
      <c r="X261" s="11">
        <f>IFERROR(__xludf.DUMMYFUNCTION("""COMPUTED_VALUE"""),43424.66666666667)</f>
        <v>43424.66667</v>
      </c>
      <c r="Y261" s="9">
        <f>IFERROR(__xludf.DUMMYFUNCTION("""COMPUTED_VALUE"""),266.98)</f>
        <v>266.98</v>
      </c>
      <c r="AA261" s="11">
        <f>IFERROR(__xludf.DUMMYFUNCTION("""COMPUTED_VALUE"""),43424.66666666667)</f>
        <v>43424.66667</v>
      </c>
      <c r="AB261" s="9">
        <f>IFERROR(__xludf.DUMMYFUNCTION("""COMPUTED_VALUE"""),1437.5)</f>
        <v>1437.5</v>
      </c>
      <c r="AC261" s="11">
        <f>IFERROR(__xludf.DUMMYFUNCTION("""COMPUTED_VALUE"""),43424.66666666667)</f>
        <v>43424.66667</v>
      </c>
      <c r="AD261" s="9">
        <f>IFERROR(__xludf.DUMMYFUNCTION("""COMPUTED_VALUE"""),1495.46)</f>
        <v>1495.46</v>
      </c>
    </row>
    <row r="262">
      <c r="B262" s="11">
        <f>IFERROR(__xludf.DUMMYFUNCTION("""COMPUTED_VALUE"""),43425.66666666667)</f>
        <v>43425.66667</v>
      </c>
      <c r="C262" s="9">
        <f>IFERROR(__xludf.DUMMYFUNCTION("""COMPUTED_VALUE"""),70.4)</f>
        <v>70.4</v>
      </c>
      <c r="D262" s="11">
        <f>IFERROR(__xludf.DUMMYFUNCTION("""COMPUTED_VALUE"""),43425.66666666667)</f>
        <v>43425.66667</v>
      </c>
      <c r="E262" s="9">
        <f>IFERROR(__xludf.DUMMYFUNCTION("""COMPUTED_VALUE"""),67.64)</f>
        <v>67.64</v>
      </c>
      <c r="G262" s="11">
        <f>IFERROR(__xludf.DUMMYFUNCTION("""COMPUTED_VALUE"""),43425.66666666667)</f>
        <v>43425.66667</v>
      </c>
      <c r="H262" s="9">
        <f>IFERROR(__xludf.DUMMYFUNCTION("""COMPUTED_VALUE"""),1036.76)</f>
        <v>1036.76</v>
      </c>
      <c r="I262" s="11">
        <f>IFERROR(__xludf.DUMMYFUNCTION("""COMPUTED_VALUE"""),43425.66666666667)</f>
        <v>43425.66667</v>
      </c>
      <c r="J262" s="9">
        <f>IFERROR(__xludf.DUMMYFUNCTION("""COMPUTED_VALUE"""),1037.61)</f>
        <v>1037.61</v>
      </c>
      <c r="L262" s="11">
        <f>IFERROR(__xludf.DUMMYFUNCTION("""COMPUTED_VALUE"""),43425.66666666667)</f>
        <v>43425.66667</v>
      </c>
      <c r="M262" s="9">
        <f>IFERROR(__xludf.DUMMYFUNCTION("""COMPUTED_VALUE"""),44.93)</f>
        <v>44.93</v>
      </c>
      <c r="N262" s="11">
        <f>IFERROR(__xludf.DUMMYFUNCTION("""COMPUTED_VALUE"""),43425.66666666667)</f>
        <v>43425.66667</v>
      </c>
      <c r="O262" s="9">
        <f>IFERROR(__xludf.DUMMYFUNCTION("""COMPUTED_VALUE"""),44.2)</f>
        <v>44.2</v>
      </c>
      <c r="Q262" s="11">
        <f>IFERROR(__xludf.DUMMYFUNCTION("""COMPUTED_VALUE"""),43425.66666666667)</f>
        <v>43425.66667</v>
      </c>
      <c r="R262" s="9">
        <f>IFERROR(__xludf.DUMMYFUNCTION("""COMPUTED_VALUE"""),134.4)</f>
        <v>134.4</v>
      </c>
      <c r="S262" s="11">
        <f>IFERROR(__xludf.DUMMYFUNCTION("""COMPUTED_VALUE"""),43425.66666666667)</f>
        <v>43425.66667</v>
      </c>
      <c r="T262" s="9">
        <f>IFERROR(__xludf.DUMMYFUNCTION("""COMPUTED_VALUE"""),134.82)</f>
        <v>134.82</v>
      </c>
      <c r="V262" s="11">
        <f>IFERROR(__xludf.DUMMYFUNCTION("""COMPUTED_VALUE"""),43425.66666666667)</f>
        <v>43425.66667</v>
      </c>
      <c r="W262" s="9">
        <f>IFERROR(__xludf.DUMMYFUNCTION("""COMPUTED_VALUE"""),274.42)</f>
        <v>274.42</v>
      </c>
      <c r="X262" s="11">
        <f>IFERROR(__xludf.DUMMYFUNCTION("""COMPUTED_VALUE"""),43425.66666666667)</f>
        <v>43425.66667</v>
      </c>
      <c r="Y262" s="9">
        <f>IFERROR(__xludf.DUMMYFUNCTION("""COMPUTED_VALUE"""),262.13)</f>
        <v>262.13</v>
      </c>
      <c r="AA262" s="11">
        <f>IFERROR(__xludf.DUMMYFUNCTION("""COMPUTED_VALUE"""),43425.66666666667)</f>
        <v>43425.66667</v>
      </c>
      <c r="AB262" s="9">
        <f>IFERROR(__xludf.DUMMYFUNCTION("""COMPUTED_VALUE"""),1542.99)</f>
        <v>1542.99</v>
      </c>
      <c r="AC262" s="11">
        <f>IFERROR(__xludf.DUMMYFUNCTION("""COMPUTED_VALUE"""),43425.66666666667)</f>
        <v>43425.66667</v>
      </c>
      <c r="AD262" s="9">
        <f>IFERROR(__xludf.DUMMYFUNCTION("""COMPUTED_VALUE"""),1516.73)</f>
        <v>1516.73</v>
      </c>
    </row>
    <row r="263">
      <c r="B263" s="11">
        <f>IFERROR(__xludf.DUMMYFUNCTION("""COMPUTED_VALUE"""),43427.54166666667)</f>
        <v>43427.54167</v>
      </c>
      <c r="C263" s="9">
        <f>IFERROR(__xludf.DUMMYFUNCTION("""COMPUTED_VALUE"""),66.87)</f>
        <v>66.87</v>
      </c>
      <c r="D263" s="11">
        <f>IFERROR(__xludf.DUMMYFUNCTION("""COMPUTED_VALUE"""),43427.54166666667)</f>
        <v>43427.54167</v>
      </c>
      <c r="E263" s="9">
        <f>IFERROR(__xludf.DUMMYFUNCTION("""COMPUTED_VALUE"""),65.17)</f>
        <v>65.17</v>
      </c>
      <c r="G263" s="11">
        <f>IFERROR(__xludf.DUMMYFUNCTION("""COMPUTED_VALUE"""),43427.54166666667)</f>
        <v>43427.54167</v>
      </c>
      <c r="H263" s="9">
        <f>IFERROR(__xludf.DUMMYFUNCTION("""COMPUTED_VALUE"""),1030.0)</f>
        <v>1030</v>
      </c>
      <c r="I263" s="11">
        <f>IFERROR(__xludf.DUMMYFUNCTION("""COMPUTED_VALUE"""),43427.54166666667)</f>
        <v>43427.54167</v>
      </c>
      <c r="J263" s="9">
        <f>IFERROR(__xludf.DUMMYFUNCTION("""COMPUTED_VALUE"""),1023.88)</f>
        <v>1023.88</v>
      </c>
      <c r="L263" s="11">
        <f>IFERROR(__xludf.DUMMYFUNCTION("""COMPUTED_VALUE"""),43427.54166666667)</f>
        <v>43427.54167</v>
      </c>
      <c r="M263" s="9">
        <f>IFERROR(__xludf.DUMMYFUNCTION("""COMPUTED_VALUE"""),43.74)</f>
        <v>43.74</v>
      </c>
      <c r="N263" s="11">
        <f>IFERROR(__xludf.DUMMYFUNCTION("""COMPUTED_VALUE"""),43427.54166666667)</f>
        <v>43427.54167</v>
      </c>
      <c r="O263" s="9">
        <f>IFERROR(__xludf.DUMMYFUNCTION("""COMPUTED_VALUE"""),43.07)</f>
        <v>43.07</v>
      </c>
      <c r="Q263" s="11">
        <f>IFERROR(__xludf.DUMMYFUNCTION("""COMPUTED_VALUE"""),43427.54166666667)</f>
        <v>43427.54167</v>
      </c>
      <c r="R263" s="9">
        <f>IFERROR(__xludf.DUMMYFUNCTION("""COMPUTED_VALUE"""),133.65)</f>
        <v>133.65</v>
      </c>
      <c r="S263" s="11">
        <f>IFERROR(__xludf.DUMMYFUNCTION("""COMPUTED_VALUE"""),43427.54166666667)</f>
        <v>43427.54167</v>
      </c>
      <c r="T263" s="9">
        <f>IFERROR(__xludf.DUMMYFUNCTION("""COMPUTED_VALUE"""),131.73)</f>
        <v>131.73</v>
      </c>
      <c r="V263" s="11">
        <f>IFERROR(__xludf.DUMMYFUNCTION("""COMPUTED_VALUE"""),43427.54166666667)</f>
        <v>43427.54167</v>
      </c>
      <c r="W263" s="9">
        <f>IFERROR(__xludf.DUMMYFUNCTION("""COMPUTED_VALUE"""),260.11)</f>
        <v>260.11</v>
      </c>
      <c r="X263" s="11">
        <f>IFERROR(__xludf.DUMMYFUNCTION("""COMPUTED_VALUE"""),43427.54166666667)</f>
        <v>43427.54167</v>
      </c>
      <c r="Y263" s="9">
        <f>IFERROR(__xludf.DUMMYFUNCTION("""COMPUTED_VALUE"""),258.82)</f>
        <v>258.82</v>
      </c>
      <c r="AA263" s="11">
        <f>IFERROR(__xludf.DUMMYFUNCTION("""COMPUTED_VALUE"""),43427.54166666667)</f>
        <v>43427.54167</v>
      </c>
      <c r="AB263" s="9">
        <f>IFERROR(__xludf.DUMMYFUNCTION("""COMPUTED_VALUE"""),1517.0)</f>
        <v>1517</v>
      </c>
      <c r="AC263" s="11">
        <f>IFERROR(__xludf.DUMMYFUNCTION("""COMPUTED_VALUE"""),43427.54166666667)</f>
        <v>43427.54167</v>
      </c>
      <c r="AD263" s="9">
        <f>IFERROR(__xludf.DUMMYFUNCTION("""COMPUTED_VALUE"""),1502.06)</f>
        <v>1502.06</v>
      </c>
    </row>
    <row r="264">
      <c r="B264" s="11">
        <f>IFERROR(__xludf.DUMMYFUNCTION("""COMPUTED_VALUE"""),43430.66666666667)</f>
        <v>43430.66667</v>
      </c>
      <c r="C264" s="9">
        <f>IFERROR(__xludf.DUMMYFUNCTION("""COMPUTED_VALUE"""),65.0)</f>
        <v>65</v>
      </c>
      <c r="D264" s="11">
        <f>IFERROR(__xludf.DUMMYFUNCTION("""COMPUTED_VALUE"""),43430.66666666667)</f>
        <v>43430.66667</v>
      </c>
      <c r="E264" s="9">
        <f>IFERROR(__xludf.DUMMYFUNCTION("""COMPUTED_VALUE"""),69.2)</f>
        <v>69.2</v>
      </c>
      <c r="G264" s="11">
        <f>IFERROR(__xludf.DUMMYFUNCTION("""COMPUTED_VALUE"""),43430.66666666667)</f>
        <v>43430.66667</v>
      </c>
      <c r="H264" s="9">
        <f>IFERROR(__xludf.DUMMYFUNCTION("""COMPUTED_VALUE"""),1038.35)</f>
        <v>1038.35</v>
      </c>
      <c r="I264" s="11">
        <f>IFERROR(__xludf.DUMMYFUNCTION("""COMPUTED_VALUE"""),43430.66666666667)</f>
        <v>43430.66667</v>
      </c>
      <c r="J264" s="9">
        <f>IFERROR(__xludf.DUMMYFUNCTION("""COMPUTED_VALUE"""),1048.62)</f>
        <v>1048.62</v>
      </c>
      <c r="L264" s="11">
        <f>IFERROR(__xludf.DUMMYFUNCTION("""COMPUTED_VALUE"""),43430.66666666667)</f>
        <v>43430.66667</v>
      </c>
      <c r="M264" s="9">
        <f>IFERROR(__xludf.DUMMYFUNCTION("""COMPUTED_VALUE"""),43.56)</f>
        <v>43.56</v>
      </c>
      <c r="N264" s="11">
        <f>IFERROR(__xludf.DUMMYFUNCTION("""COMPUTED_VALUE"""),43430.66666666667)</f>
        <v>43430.66667</v>
      </c>
      <c r="O264" s="9">
        <f>IFERROR(__xludf.DUMMYFUNCTION("""COMPUTED_VALUE"""),43.66)</f>
        <v>43.66</v>
      </c>
      <c r="Q264" s="11">
        <f>IFERROR(__xludf.DUMMYFUNCTION("""COMPUTED_VALUE"""),43430.66666666667)</f>
        <v>43430.66667</v>
      </c>
      <c r="R264" s="9">
        <f>IFERROR(__xludf.DUMMYFUNCTION("""COMPUTED_VALUE"""),133.0)</f>
        <v>133</v>
      </c>
      <c r="S264" s="11">
        <f>IFERROR(__xludf.DUMMYFUNCTION("""COMPUTED_VALUE"""),43430.66666666667)</f>
        <v>43430.66667</v>
      </c>
      <c r="T264" s="9">
        <f>IFERROR(__xludf.DUMMYFUNCTION("""COMPUTED_VALUE"""),136.38)</f>
        <v>136.38</v>
      </c>
      <c r="V264" s="11">
        <f>IFERROR(__xludf.DUMMYFUNCTION("""COMPUTED_VALUE"""),43430.66666666667)</f>
        <v>43430.66667</v>
      </c>
      <c r="W264" s="9">
        <f>IFERROR(__xludf.DUMMYFUNCTION("""COMPUTED_VALUE"""),260.55)</f>
        <v>260.55</v>
      </c>
      <c r="X264" s="11">
        <f>IFERROR(__xludf.DUMMYFUNCTION("""COMPUTED_VALUE"""),43430.66666666667)</f>
        <v>43430.66667</v>
      </c>
      <c r="Y264" s="9">
        <f>IFERROR(__xludf.DUMMYFUNCTION("""COMPUTED_VALUE"""),261.43)</f>
        <v>261.43</v>
      </c>
      <c r="AA264" s="11">
        <f>IFERROR(__xludf.DUMMYFUNCTION("""COMPUTED_VALUE"""),43430.66666666667)</f>
        <v>43430.66667</v>
      </c>
      <c r="AB264" s="9">
        <f>IFERROR(__xludf.DUMMYFUNCTION("""COMPUTED_VALUE"""),1539.0)</f>
        <v>1539</v>
      </c>
      <c r="AC264" s="11">
        <f>IFERROR(__xludf.DUMMYFUNCTION("""COMPUTED_VALUE"""),43430.66666666667)</f>
        <v>43430.66667</v>
      </c>
      <c r="AD264" s="9">
        <f>IFERROR(__xludf.DUMMYFUNCTION("""COMPUTED_VALUE"""),1581.33)</f>
        <v>1581.33</v>
      </c>
    </row>
    <row r="265">
      <c r="B265" s="11">
        <f>IFERROR(__xludf.DUMMYFUNCTION("""COMPUTED_VALUE"""),43431.66666666667)</f>
        <v>43431.66667</v>
      </c>
      <c r="C265" s="9">
        <f>IFERROR(__xludf.DUMMYFUNCTION("""COMPUTED_VALUE"""),68.01)</f>
        <v>68.01</v>
      </c>
      <c r="D265" s="11">
        <f>IFERROR(__xludf.DUMMYFUNCTION("""COMPUTED_VALUE"""),43431.66666666667)</f>
        <v>43431.66667</v>
      </c>
      <c r="E265" s="9">
        <f>IFERROR(__xludf.DUMMYFUNCTION("""COMPUTED_VALUE"""),68.78)</f>
        <v>68.78</v>
      </c>
      <c r="G265" s="11">
        <f>IFERROR(__xludf.DUMMYFUNCTION("""COMPUTED_VALUE"""),43431.66666666667)</f>
        <v>43431.66667</v>
      </c>
      <c r="H265" s="9">
        <f>IFERROR(__xludf.DUMMYFUNCTION("""COMPUTED_VALUE"""),1041.0)</f>
        <v>1041</v>
      </c>
      <c r="I265" s="11">
        <f>IFERROR(__xludf.DUMMYFUNCTION("""COMPUTED_VALUE"""),43431.66666666667)</f>
        <v>43431.66667</v>
      </c>
      <c r="J265" s="9">
        <f>IFERROR(__xludf.DUMMYFUNCTION("""COMPUTED_VALUE"""),1044.41)</f>
        <v>1044.41</v>
      </c>
      <c r="L265" s="11">
        <f>IFERROR(__xludf.DUMMYFUNCTION("""COMPUTED_VALUE"""),43431.66666666667)</f>
        <v>43431.66667</v>
      </c>
      <c r="M265" s="9">
        <f>IFERROR(__xludf.DUMMYFUNCTION("""COMPUTED_VALUE"""),42.88)</f>
        <v>42.88</v>
      </c>
      <c r="N265" s="11">
        <f>IFERROR(__xludf.DUMMYFUNCTION("""COMPUTED_VALUE"""),43431.66666666667)</f>
        <v>43431.66667</v>
      </c>
      <c r="O265" s="9">
        <f>IFERROR(__xludf.DUMMYFUNCTION("""COMPUTED_VALUE"""),43.56)</f>
        <v>43.56</v>
      </c>
      <c r="Q265" s="11">
        <f>IFERROR(__xludf.DUMMYFUNCTION("""COMPUTED_VALUE"""),43431.66666666667)</f>
        <v>43431.66667</v>
      </c>
      <c r="R265" s="9">
        <f>IFERROR(__xludf.DUMMYFUNCTION("""COMPUTED_VALUE"""),135.75)</f>
        <v>135.75</v>
      </c>
      <c r="S265" s="11">
        <f>IFERROR(__xludf.DUMMYFUNCTION("""COMPUTED_VALUE"""),43431.66666666667)</f>
        <v>43431.66667</v>
      </c>
      <c r="T265" s="9">
        <f>IFERROR(__xludf.DUMMYFUNCTION("""COMPUTED_VALUE"""),135.0)</f>
        <v>135</v>
      </c>
      <c r="V265" s="11">
        <f>IFERROR(__xludf.DUMMYFUNCTION("""COMPUTED_VALUE"""),43431.66666666667)</f>
        <v>43431.66667</v>
      </c>
      <c r="W265" s="9">
        <f>IFERROR(__xludf.DUMMYFUNCTION("""COMPUTED_VALUE"""),259.24)</f>
        <v>259.24</v>
      </c>
      <c r="X265" s="11">
        <f>IFERROR(__xludf.DUMMYFUNCTION("""COMPUTED_VALUE"""),43431.66666666667)</f>
        <v>43431.66667</v>
      </c>
      <c r="Y265" s="9">
        <f>IFERROR(__xludf.DUMMYFUNCTION("""COMPUTED_VALUE"""),266.63)</f>
        <v>266.63</v>
      </c>
      <c r="AA265" s="11">
        <f>IFERROR(__xludf.DUMMYFUNCTION("""COMPUTED_VALUE"""),43431.66666666667)</f>
        <v>43431.66667</v>
      </c>
      <c r="AB265" s="9">
        <f>IFERROR(__xludf.DUMMYFUNCTION("""COMPUTED_VALUE"""),1575.99)</f>
        <v>1575.99</v>
      </c>
      <c r="AC265" s="11">
        <f>IFERROR(__xludf.DUMMYFUNCTION("""COMPUTED_VALUE"""),43431.66666666667)</f>
        <v>43431.66667</v>
      </c>
      <c r="AD265" s="9">
        <f>IFERROR(__xludf.DUMMYFUNCTION("""COMPUTED_VALUE"""),1581.42)</f>
        <v>1581.42</v>
      </c>
    </row>
    <row r="266">
      <c r="B266" s="11">
        <f>IFERROR(__xludf.DUMMYFUNCTION("""COMPUTED_VALUE"""),43432.66666666667)</f>
        <v>43432.66667</v>
      </c>
      <c r="C266" s="9">
        <f>IFERROR(__xludf.DUMMYFUNCTION("""COMPUTED_VALUE"""),69.2)</f>
        <v>69.2</v>
      </c>
      <c r="D266" s="11">
        <f>IFERROR(__xludf.DUMMYFUNCTION("""COMPUTED_VALUE"""),43432.66666666667)</f>
        <v>43432.66667</v>
      </c>
      <c r="E266" s="9">
        <f>IFERROR(__xludf.DUMMYFUNCTION("""COMPUTED_VALUE"""),69.57)</f>
        <v>69.57</v>
      </c>
      <c r="G266" s="11">
        <f>IFERROR(__xludf.DUMMYFUNCTION("""COMPUTED_VALUE"""),43432.66666666667)</f>
        <v>43432.66667</v>
      </c>
      <c r="H266" s="9">
        <f>IFERROR(__xludf.DUMMYFUNCTION("""COMPUTED_VALUE"""),1048.76)</f>
        <v>1048.76</v>
      </c>
      <c r="I266" s="11">
        <f>IFERROR(__xludf.DUMMYFUNCTION("""COMPUTED_VALUE"""),43432.66666666667)</f>
        <v>43432.66667</v>
      </c>
      <c r="J266" s="9">
        <f>IFERROR(__xludf.DUMMYFUNCTION("""COMPUTED_VALUE"""),1086.23)</f>
        <v>1086.23</v>
      </c>
      <c r="L266" s="11">
        <f>IFERROR(__xludf.DUMMYFUNCTION("""COMPUTED_VALUE"""),43432.66666666667)</f>
        <v>43432.66667</v>
      </c>
      <c r="M266" s="9">
        <f>IFERROR(__xludf.DUMMYFUNCTION("""COMPUTED_VALUE"""),44.18)</f>
        <v>44.18</v>
      </c>
      <c r="N266" s="11">
        <f>IFERROR(__xludf.DUMMYFUNCTION("""COMPUTED_VALUE"""),43432.66666666667)</f>
        <v>43432.66667</v>
      </c>
      <c r="O266" s="9">
        <f>IFERROR(__xludf.DUMMYFUNCTION("""COMPUTED_VALUE"""),45.24)</f>
        <v>45.24</v>
      </c>
      <c r="Q266" s="11">
        <f>IFERROR(__xludf.DUMMYFUNCTION("""COMPUTED_VALUE"""),43432.66666666667)</f>
        <v>43432.66667</v>
      </c>
      <c r="R266" s="9">
        <f>IFERROR(__xludf.DUMMYFUNCTION("""COMPUTED_VALUE"""),136.28)</f>
        <v>136.28</v>
      </c>
      <c r="S266" s="11">
        <f>IFERROR(__xludf.DUMMYFUNCTION("""COMPUTED_VALUE"""),43432.66666666667)</f>
        <v>43432.66667</v>
      </c>
      <c r="T266" s="9">
        <f>IFERROR(__xludf.DUMMYFUNCTION("""COMPUTED_VALUE"""),136.76)</f>
        <v>136.76</v>
      </c>
      <c r="V266" s="11">
        <f>IFERROR(__xludf.DUMMYFUNCTION("""COMPUTED_VALUE"""),43432.66666666667)</f>
        <v>43432.66667</v>
      </c>
      <c r="W266" s="9">
        <f>IFERROR(__xludf.DUMMYFUNCTION("""COMPUTED_VALUE"""),271.98)</f>
        <v>271.98</v>
      </c>
      <c r="X266" s="11">
        <f>IFERROR(__xludf.DUMMYFUNCTION("""COMPUTED_VALUE"""),43432.66666666667)</f>
        <v>43432.66667</v>
      </c>
      <c r="Y266" s="9">
        <f>IFERROR(__xludf.DUMMYFUNCTION("""COMPUTED_VALUE"""),282.65)</f>
        <v>282.65</v>
      </c>
      <c r="AA266" s="11">
        <f>IFERROR(__xludf.DUMMYFUNCTION("""COMPUTED_VALUE"""),43432.66666666667)</f>
        <v>43432.66667</v>
      </c>
      <c r="AB266" s="9">
        <f>IFERROR(__xludf.DUMMYFUNCTION("""COMPUTED_VALUE"""),1613.92)</f>
        <v>1613.92</v>
      </c>
      <c r="AC266" s="11">
        <f>IFERROR(__xludf.DUMMYFUNCTION("""COMPUTED_VALUE"""),43432.66666666667)</f>
        <v>43432.66667</v>
      </c>
      <c r="AD266" s="9">
        <f>IFERROR(__xludf.DUMMYFUNCTION("""COMPUTED_VALUE"""),1677.75)</f>
        <v>1677.75</v>
      </c>
    </row>
    <row r="267">
      <c r="B267" s="11">
        <f>IFERROR(__xludf.DUMMYFUNCTION("""COMPUTED_VALUE"""),43433.66666666667)</f>
        <v>43433.66667</v>
      </c>
      <c r="C267" s="9">
        <f>IFERROR(__xludf.DUMMYFUNCTION("""COMPUTED_VALUE"""),69.4)</f>
        <v>69.4</v>
      </c>
      <c r="D267" s="11">
        <f>IFERROR(__xludf.DUMMYFUNCTION("""COMPUTED_VALUE"""),43433.66666666667)</f>
        <v>43433.66667</v>
      </c>
      <c r="E267" s="9">
        <f>IFERROR(__xludf.DUMMYFUNCTION("""COMPUTED_VALUE"""),68.23)</f>
        <v>68.23</v>
      </c>
      <c r="G267" s="11">
        <f>IFERROR(__xludf.DUMMYFUNCTION("""COMPUTED_VALUE"""),43433.66666666667)</f>
        <v>43433.66667</v>
      </c>
      <c r="H267" s="9">
        <f>IFERROR(__xludf.DUMMYFUNCTION("""COMPUTED_VALUE"""),1076.08)</f>
        <v>1076.08</v>
      </c>
      <c r="I267" s="11">
        <f>IFERROR(__xludf.DUMMYFUNCTION("""COMPUTED_VALUE"""),43433.66666666667)</f>
        <v>43433.66667</v>
      </c>
      <c r="J267" s="9">
        <f>IFERROR(__xludf.DUMMYFUNCTION("""COMPUTED_VALUE"""),1088.3)</f>
        <v>1088.3</v>
      </c>
      <c r="L267" s="11">
        <f>IFERROR(__xludf.DUMMYFUNCTION("""COMPUTED_VALUE"""),43433.66666666667)</f>
        <v>43433.66667</v>
      </c>
      <c r="M267" s="9">
        <f>IFERROR(__xludf.DUMMYFUNCTION("""COMPUTED_VALUE"""),45.67)</f>
        <v>45.67</v>
      </c>
      <c r="N267" s="11">
        <f>IFERROR(__xludf.DUMMYFUNCTION("""COMPUTED_VALUE"""),43433.66666666667)</f>
        <v>43433.66667</v>
      </c>
      <c r="O267" s="9">
        <f>IFERROR(__xludf.DUMMYFUNCTION("""COMPUTED_VALUE"""),44.89)</f>
        <v>44.89</v>
      </c>
      <c r="Q267" s="11">
        <f>IFERROR(__xludf.DUMMYFUNCTION("""COMPUTED_VALUE"""),43433.66666666667)</f>
        <v>43433.66667</v>
      </c>
      <c r="R267" s="9">
        <f>IFERROR(__xludf.DUMMYFUNCTION("""COMPUTED_VALUE"""),135.92)</f>
        <v>135.92</v>
      </c>
      <c r="S267" s="11">
        <f>IFERROR(__xludf.DUMMYFUNCTION("""COMPUTED_VALUE"""),43433.66666666667)</f>
        <v>43433.66667</v>
      </c>
      <c r="T267" s="9">
        <f>IFERROR(__xludf.DUMMYFUNCTION("""COMPUTED_VALUE"""),138.68)</f>
        <v>138.68</v>
      </c>
      <c r="V267" s="11">
        <f>IFERROR(__xludf.DUMMYFUNCTION("""COMPUTED_VALUE"""),43433.66666666667)</f>
        <v>43433.66667</v>
      </c>
      <c r="W267" s="9">
        <f>IFERROR(__xludf.DUMMYFUNCTION("""COMPUTED_VALUE"""),282.32)</f>
        <v>282.32</v>
      </c>
      <c r="X267" s="11">
        <f>IFERROR(__xludf.DUMMYFUNCTION("""COMPUTED_VALUE"""),43433.66666666667)</f>
        <v>43433.66667</v>
      </c>
      <c r="Y267" s="9">
        <f>IFERROR(__xludf.DUMMYFUNCTION("""COMPUTED_VALUE"""),288.75)</f>
        <v>288.75</v>
      </c>
      <c r="AA267" s="11">
        <f>IFERROR(__xludf.DUMMYFUNCTION("""COMPUTED_VALUE"""),43433.66666666667)</f>
        <v>43433.66667</v>
      </c>
      <c r="AB267" s="9">
        <f>IFERROR(__xludf.DUMMYFUNCTION("""COMPUTED_VALUE"""),1674.99)</f>
        <v>1674.99</v>
      </c>
      <c r="AC267" s="11">
        <f>IFERROR(__xludf.DUMMYFUNCTION("""COMPUTED_VALUE"""),43433.66666666667)</f>
        <v>43433.66667</v>
      </c>
      <c r="AD267" s="9">
        <f>IFERROR(__xludf.DUMMYFUNCTION("""COMPUTED_VALUE"""),1673.57)</f>
        <v>1673.57</v>
      </c>
    </row>
    <row r="268">
      <c r="B268" s="11">
        <f>IFERROR(__xludf.DUMMYFUNCTION("""COMPUTED_VALUE"""),43434.66666666667)</f>
        <v>43434.66667</v>
      </c>
      <c r="C268" s="9">
        <f>IFERROR(__xludf.DUMMYFUNCTION("""COMPUTED_VALUE"""),68.37)</f>
        <v>68.37</v>
      </c>
      <c r="D268" s="11">
        <f>IFERROR(__xludf.DUMMYFUNCTION("""COMPUTED_VALUE"""),43434.66666666667)</f>
        <v>43434.66667</v>
      </c>
      <c r="E268" s="9">
        <f>IFERROR(__xludf.DUMMYFUNCTION("""COMPUTED_VALUE"""),70.1)</f>
        <v>70.1</v>
      </c>
      <c r="G268" s="11">
        <f>IFERROR(__xludf.DUMMYFUNCTION("""COMPUTED_VALUE"""),43434.66666666667)</f>
        <v>43434.66667</v>
      </c>
      <c r="H268" s="9">
        <f>IFERROR(__xludf.DUMMYFUNCTION("""COMPUTED_VALUE"""),1089.07)</f>
        <v>1089.07</v>
      </c>
      <c r="I268" s="11">
        <f>IFERROR(__xludf.DUMMYFUNCTION("""COMPUTED_VALUE"""),43434.66666666667)</f>
        <v>43434.66667</v>
      </c>
      <c r="J268" s="9">
        <f>IFERROR(__xludf.DUMMYFUNCTION("""COMPUTED_VALUE"""),1094.43)</f>
        <v>1094.43</v>
      </c>
      <c r="L268" s="11">
        <f>IFERROR(__xludf.DUMMYFUNCTION("""COMPUTED_VALUE"""),43434.66666666667)</f>
        <v>43434.66667</v>
      </c>
      <c r="M268" s="9">
        <f>IFERROR(__xludf.DUMMYFUNCTION("""COMPUTED_VALUE"""),45.07)</f>
        <v>45.07</v>
      </c>
      <c r="N268" s="11">
        <f>IFERROR(__xludf.DUMMYFUNCTION("""COMPUTED_VALUE"""),43434.66666666667)</f>
        <v>43434.66667</v>
      </c>
      <c r="O268" s="9">
        <f>IFERROR(__xludf.DUMMYFUNCTION("""COMPUTED_VALUE"""),44.65)</f>
        <v>44.65</v>
      </c>
      <c r="Q268" s="11">
        <f>IFERROR(__xludf.DUMMYFUNCTION("""COMPUTED_VALUE"""),43434.66666666667)</f>
        <v>43434.66667</v>
      </c>
      <c r="R268" s="9">
        <f>IFERROR(__xludf.DUMMYFUNCTION("""COMPUTED_VALUE"""),138.26)</f>
        <v>138.26</v>
      </c>
      <c r="S268" s="11">
        <f>IFERROR(__xludf.DUMMYFUNCTION("""COMPUTED_VALUE"""),43434.66666666667)</f>
        <v>43434.66667</v>
      </c>
      <c r="T268" s="9">
        <f>IFERROR(__xludf.DUMMYFUNCTION("""COMPUTED_VALUE"""),140.61)</f>
        <v>140.61</v>
      </c>
      <c r="V268" s="11">
        <f>IFERROR(__xludf.DUMMYFUNCTION("""COMPUTED_VALUE"""),43434.66666666667)</f>
        <v>43434.66667</v>
      </c>
      <c r="W268" s="9">
        <f>IFERROR(__xludf.DUMMYFUNCTION("""COMPUTED_VALUE"""),288.0)</f>
        <v>288</v>
      </c>
      <c r="X268" s="11">
        <f>IFERROR(__xludf.DUMMYFUNCTION("""COMPUTED_VALUE"""),43434.66666666667)</f>
        <v>43434.66667</v>
      </c>
      <c r="Y268" s="9">
        <f>IFERROR(__xludf.DUMMYFUNCTION("""COMPUTED_VALUE"""),286.13)</f>
        <v>286.13</v>
      </c>
      <c r="AA268" s="11">
        <f>IFERROR(__xludf.DUMMYFUNCTION("""COMPUTED_VALUE"""),43434.66666666667)</f>
        <v>43434.66667</v>
      </c>
      <c r="AB268" s="9">
        <f>IFERROR(__xludf.DUMMYFUNCTION("""COMPUTED_VALUE"""),1679.5)</f>
        <v>1679.5</v>
      </c>
      <c r="AC268" s="11">
        <f>IFERROR(__xludf.DUMMYFUNCTION("""COMPUTED_VALUE"""),43434.66666666667)</f>
        <v>43434.66667</v>
      </c>
      <c r="AD268" s="9">
        <f>IFERROR(__xludf.DUMMYFUNCTION("""COMPUTED_VALUE"""),1690.17)</f>
        <v>1690.17</v>
      </c>
    </row>
    <row r="269">
      <c r="B269" s="11">
        <f>IFERROR(__xludf.DUMMYFUNCTION("""COMPUTED_VALUE"""),43437.66666666667)</f>
        <v>43437.66667</v>
      </c>
      <c r="C269" s="9">
        <f>IFERROR(__xludf.DUMMYFUNCTION("""COMPUTED_VALUE"""),72.0)</f>
        <v>72</v>
      </c>
      <c r="D269" s="11">
        <f>IFERROR(__xludf.DUMMYFUNCTION("""COMPUTED_VALUE"""),43437.66666666667)</f>
        <v>43437.66667</v>
      </c>
      <c r="E269" s="9">
        <f>IFERROR(__xludf.DUMMYFUNCTION("""COMPUTED_VALUE"""),71.7)</f>
        <v>71.7</v>
      </c>
      <c r="G269" s="11">
        <f>IFERROR(__xludf.DUMMYFUNCTION("""COMPUTED_VALUE"""),43437.66666666667)</f>
        <v>43437.66667</v>
      </c>
      <c r="H269" s="9">
        <f>IFERROR(__xludf.DUMMYFUNCTION("""COMPUTED_VALUE"""),1123.14)</f>
        <v>1123.14</v>
      </c>
      <c r="I269" s="11">
        <f>IFERROR(__xludf.DUMMYFUNCTION("""COMPUTED_VALUE"""),43437.66666666667)</f>
        <v>43437.66667</v>
      </c>
      <c r="J269" s="9">
        <f>IFERROR(__xludf.DUMMYFUNCTION("""COMPUTED_VALUE"""),1106.43)</f>
        <v>1106.43</v>
      </c>
      <c r="L269" s="11">
        <f>IFERROR(__xludf.DUMMYFUNCTION("""COMPUTED_VALUE"""),43437.66666666667)</f>
        <v>43437.66667</v>
      </c>
      <c r="M269" s="9">
        <f>IFERROR(__xludf.DUMMYFUNCTION("""COMPUTED_VALUE"""),46.12)</f>
        <v>46.12</v>
      </c>
      <c r="N269" s="11">
        <f>IFERROR(__xludf.DUMMYFUNCTION("""COMPUTED_VALUE"""),43437.66666666667)</f>
        <v>43437.66667</v>
      </c>
      <c r="O269" s="9">
        <f>IFERROR(__xludf.DUMMYFUNCTION("""COMPUTED_VALUE"""),46.21)</f>
        <v>46.21</v>
      </c>
      <c r="Q269" s="11">
        <f>IFERROR(__xludf.DUMMYFUNCTION("""COMPUTED_VALUE"""),43437.66666666667)</f>
        <v>43437.66667</v>
      </c>
      <c r="R269" s="9">
        <f>IFERROR(__xludf.DUMMYFUNCTION("""COMPUTED_VALUE"""),143.0)</f>
        <v>143</v>
      </c>
      <c r="S269" s="11">
        <f>IFERROR(__xludf.DUMMYFUNCTION("""COMPUTED_VALUE"""),43437.66666666667)</f>
        <v>43437.66667</v>
      </c>
      <c r="T269" s="9">
        <f>IFERROR(__xludf.DUMMYFUNCTION("""COMPUTED_VALUE"""),141.09)</f>
        <v>141.09</v>
      </c>
      <c r="V269" s="11">
        <f>IFERROR(__xludf.DUMMYFUNCTION("""COMPUTED_VALUE"""),43437.66666666667)</f>
        <v>43437.66667</v>
      </c>
      <c r="W269" s="9">
        <f>IFERROR(__xludf.DUMMYFUNCTION("""COMPUTED_VALUE"""),293.19)</f>
        <v>293.19</v>
      </c>
      <c r="X269" s="11">
        <f>IFERROR(__xludf.DUMMYFUNCTION("""COMPUTED_VALUE"""),43437.66666666667)</f>
        <v>43437.66667</v>
      </c>
      <c r="Y269" s="9">
        <f>IFERROR(__xludf.DUMMYFUNCTION("""COMPUTED_VALUE"""),290.3)</f>
        <v>290.3</v>
      </c>
      <c r="AA269" s="11">
        <f>IFERROR(__xludf.DUMMYFUNCTION("""COMPUTED_VALUE"""),43437.66666666667)</f>
        <v>43437.66667</v>
      </c>
      <c r="AB269" s="9">
        <f>IFERROR(__xludf.DUMMYFUNCTION("""COMPUTED_VALUE"""),1769.46)</f>
        <v>1769.46</v>
      </c>
      <c r="AC269" s="11">
        <f>IFERROR(__xludf.DUMMYFUNCTION("""COMPUTED_VALUE"""),43437.66666666667)</f>
        <v>43437.66667</v>
      </c>
      <c r="AD269" s="9">
        <f>IFERROR(__xludf.DUMMYFUNCTION("""COMPUTED_VALUE"""),1772.36)</f>
        <v>1772.36</v>
      </c>
    </row>
    <row r="270">
      <c r="B270" s="11">
        <f>IFERROR(__xludf.DUMMYFUNCTION("""COMPUTED_VALUE"""),43438.66666666667)</f>
        <v>43438.66667</v>
      </c>
      <c r="C270" s="9">
        <f>IFERROR(__xludf.DUMMYFUNCTION("""COMPUTED_VALUE"""),71.21)</f>
        <v>71.21</v>
      </c>
      <c r="D270" s="11">
        <f>IFERROR(__xludf.DUMMYFUNCTION("""COMPUTED_VALUE"""),43438.66666666667)</f>
        <v>43438.66667</v>
      </c>
      <c r="E270" s="9">
        <f>IFERROR(__xludf.DUMMYFUNCTION("""COMPUTED_VALUE"""),71.94)</f>
        <v>71.94</v>
      </c>
      <c r="G270" s="11">
        <f>IFERROR(__xludf.DUMMYFUNCTION("""COMPUTED_VALUE"""),43438.66666666667)</f>
        <v>43438.66667</v>
      </c>
      <c r="H270" s="9">
        <f>IFERROR(__xludf.DUMMYFUNCTION("""COMPUTED_VALUE"""),1103.12)</f>
        <v>1103.12</v>
      </c>
      <c r="I270" s="11">
        <f>IFERROR(__xludf.DUMMYFUNCTION("""COMPUTED_VALUE"""),43438.66666666667)</f>
        <v>43438.66667</v>
      </c>
      <c r="J270" s="9">
        <f>IFERROR(__xludf.DUMMYFUNCTION("""COMPUTED_VALUE"""),1050.82)</f>
        <v>1050.82</v>
      </c>
      <c r="L270" s="11">
        <f>IFERROR(__xludf.DUMMYFUNCTION("""COMPUTED_VALUE"""),43438.66666666667)</f>
        <v>43438.66667</v>
      </c>
      <c r="M270" s="9">
        <f>IFERROR(__xludf.DUMMYFUNCTION("""COMPUTED_VALUE"""),45.24)</f>
        <v>45.24</v>
      </c>
      <c r="N270" s="11">
        <f>IFERROR(__xludf.DUMMYFUNCTION("""COMPUTED_VALUE"""),43438.66666666667)</f>
        <v>43438.66667</v>
      </c>
      <c r="O270" s="9">
        <f>IFERROR(__xludf.DUMMYFUNCTION("""COMPUTED_VALUE"""),44.17)</f>
        <v>44.17</v>
      </c>
      <c r="Q270" s="11">
        <f>IFERROR(__xludf.DUMMYFUNCTION("""COMPUTED_VALUE"""),43438.66666666667)</f>
        <v>43438.66667</v>
      </c>
      <c r="R270" s="9">
        <f>IFERROR(__xludf.DUMMYFUNCTION("""COMPUTED_VALUE"""),140.73)</f>
        <v>140.73</v>
      </c>
      <c r="S270" s="11">
        <f>IFERROR(__xludf.DUMMYFUNCTION("""COMPUTED_VALUE"""),43438.66666666667)</f>
        <v>43438.66667</v>
      </c>
      <c r="T270" s="9">
        <f>IFERROR(__xludf.DUMMYFUNCTION("""COMPUTED_VALUE"""),137.93)</f>
        <v>137.93</v>
      </c>
      <c r="V270" s="11">
        <f>IFERROR(__xludf.DUMMYFUNCTION("""COMPUTED_VALUE"""),43438.66666666667)</f>
        <v>43438.66667</v>
      </c>
      <c r="W270" s="9">
        <f>IFERROR(__xludf.DUMMYFUNCTION("""COMPUTED_VALUE"""),288.13)</f>
        <v>288.13</v>
      </c>
      <c r="X270" s="11">
        <f>IFERROR(__xludf.DUMMYFUNCTION("""COMPUTED_VALUE"""),43438.66666666667)</f>
        <v>43438.66667</v>
      </c>
      <c r="Y270" s="9">
        <f>IFERROR(__xludf.DUMMYFUNCTION("""COMPUTED_VALUE"""),275.33)</f>
        <v>275.33</v>
      </c>
      <c r="AA270" s="11">
        <f>IFERROR(__xludf.DUMMYFUNCTION("""COMPUTED_VALUE"""),43438.66666666667)</f>
        <v>43438.66667</v>
      </c>
      <c r="AB270" s="9">
        <f>IFERROR(__xludf.DUMMYFUNCTION("""COMPUTED_VALUE"""),1756.0)</f>
        <v>1756</v>
      </c>
      <c r="AC270" s="11">
        <f>IFERROR(__xludf.DUMMYFUNCTION("""COMPUTED_VALUE"""),43438.66666666667)</f>
        <v>43438.66667</v>
      </c>
      <c r="AD270" s="9">
        <f>IFERROR(__xludf.DUMMYFUNCTION("""COMPUTED_VALUE"""),1668.4)</f>
        <v>1668.4</v>
      </c>
    </row>
    <row r="271">
      <c r="B271" s="11">
        <f>IFERROR(__xludf.DUMMYFUNCTION("""COMPUTED_VALUE"""),43440.66666666667)</f>
        <v>43440.66667</v>
      </c>
      <c r="C271" s="9">
        <f>IFERROR(__xludf.DUMMYFUNCTION("""COMPUTED_VALUE"""),71.2)</f>
        <v>71.2</v>
      </c>
      <c r="D271" s="11">
        <f>IFERROR(__xludf.DUMMYFUNCTION("""COMPUTED_VALUE"""),43440.66666666667)</f>
        <v>43440.66667</v>
      </c>
      <c r="E271" s="9">
        <f>IFERROR(__xludf.DUMMYFUNCTION("""COMPUTED_VALUE"""),72.61)</f>
        <v>72.61</v>
      </c>
      <c r="G271" s="11">
        <f>IFERROR(__xludf.DUMMYFUNCTION("""COMPUTED_VALUE"""),43440.66666666667)</f>
        <v>43440.66667</v>
      </c>
      <c r="H271" s="9">
        <f>IFERROR(__xludf.DUMMYFUNCTION("""COMPUTED_VALUE"""),1034.26)</f>
        <v>1034.26</v>
      </c>
      <c r="I271" s="11">
        <f>IFERROR(__xludf.DUMMYFUNCTION("""COMPUTED_VALUE"""),43440.66666666667)</f>
        <v>43440.66667</v>
      </c>
      <c r="J271" s="9">
        <f>IFERROR(__xludf.DUMMYFUNCTION("""COMPUTED_VALUE"""),1068.73)</f>
        <v>1068.73</v>
      </c>
      <c r="L271" s="11">
        <f>IFERROR(__xludf.DUMMYFUNCTION("""COMPUTED_VALUE"""),43440.66666666667)</f>
        <v>43440.66667</v>
      </c>
      <c r="M271" s="9">
        <f>IFERROR(__xludf.DUMMYFUNCTION("""COMPUTED_VALUE"""),42.94)</f>
        <v>42.94</v>
      </c>
      <c r="N271" s="11">
        <f>IFERROR(__xludf.DUMMYFUNCTION("""COMPUTED_VALUE"""),43440.66666666667)</f>
        <v>43440.66667</v>
      </c>
      <c r="O271" s="9">
        <f>IFERROR(__xludf.DUMMYFUNCTION("""COMPUTED_VALUE"""),43.68)</f>
        <v>43.68</v>
      </c>
      <c r="Q271" s="11">
        <f>IFERROR(__xludf.DUMMYFUNCTION("""COMPUTED_VALUE"""),43440.66666666667)</f>
        <v>43440.66667</v>
      </c>
      <c r="R271" s="9">
        <f>IFERROR(__xludf.DUMMYFUNCTION("""COMPUTED_VALUE"""),133.82)</f>
        <v>133.82</v>
      </c>
      <c r="S271" s="11">
        <f>IFERROR(__xludf.DUMMYFUNCTION("""COMPUTED_VALUE"""),43440.66666666667)</f>
        <v>43440.66667</v>
      </c>
      <c r="T271" s="9">
        <f>IFERROR(__xludf.DUMMYFUNCTION("""COMPUTED_VALUE"""),139.63)</f>
        <v>139.63</v>
      </c>
      <c r="V271" s="11">
        <f>IFERROR(__xludf.DUMMYFUNCTION("""COMPUTED_VALUE"""),43440.66666666667)</f>
        <v>43440.66667</v>
      </c>
      <c r="W271" s="9">
        <f>IFERROR(__xludf.DUMMYFUNCTION("""COMPUTED_VALUE"""),268.33)</f>
        <v>268.33</v>
      </c>
      <c r="X271" s="11">
        <f>IFERROR(__xludf.DUMMYFUNCTION("""COMPUTED_VALUE"""),43440.66666666667)</f>
        <v>43440.66667</v>
      </c>
      <c r="Y271" s="9">
        <f>IFERROR(__xludf.DUMMYFUNCTION("""COMPUTED_VALUE"""),282.88)</f>
        <v>282.88</v>
      </c>
      <c r="AA271" s="11">
        <f>IFERROR(__xludf.DUMMYFUNCTION("""COMPUTED_VALUE"""),43440.66666666667)</f>
        <v>43440.66667</v>
      </c>
      <c r="AB271" s="9">
        <f>IFERROR(__xludf.DUMMYFUNCTION("""COMPUTED_VALUE"""),1614.87)</f>
        <v>1614.87</v>
      </c>
      <c r="AC271" s="11">
        <f>IFERROR(__xludf.DUMMYFUNCTION("""COMPUTED_VALUE"""),43440.66666666667)</f>
        <v>43440.66667</v>
      </c>
      <c r="AD271" s="9">
        <f>IFERROR(__xludf.DUMMYFUNCTION("""COMPUTED_VALUE"""),1699.19)</f>
        <v>1699.19</v>
      </c>
    </row>
    <row r="272">
      <c r="B272" s="11">
        <f>IFERROR(__xludf.DUMMYFUNCTION("""COMPUTED_VALUE"""),43441.66666666667)</f>
        <v>43441.66667</v>
      </c>
      <c r="C272" s="9">
        <f>IFERROR(__xludf.DUMMYFUNCTION("""COMPUTED_VALUE"""),73.8)</f>
        <v>73.8</v>
      </c>
      <c r="D272" s="11">
        <f>IFERROR(__xludf.DUMMYFUNCTION("""COMPUTED_VALUE"""),43441.66666666667)</f>
        <v>43441.66667</v>
      </c>
      <c r="E272" s="9">
        <f>IFERROR(__xludf.DUMMYFUNCTION("""COMPUTED_VALUE"""),71.59)</f>
        <v>71.59</v>
      </c>
      <c r="G272" s="11">
        <f>IFERROR(__xludf.DUMMYFUNCTION("""COMPUTED_VALUE"""),43441.66666666667)</f>
        <v>43441.66667</v>
      </c>
      <c r="H272" s="9">
        <f>IFERROR(__xludf.DUMMYFUNCTION("""COMPUTED_VALUE"""),1060.01)</f>
        <v>1060.01</v>
      </c>
      <c r="I272" s="11">
        <f>IFERROR(__xludf.DUMMYFUNCTION("""COMPUTED_VALUE"""),43441.66666666667)</f>
        <v>43441.66667</v>
      </c>
      <c r="J272" s="9">
        <f>IFERROR(__xludf.DUMMYFUNCTION("""COMPUTED_VALUE"""),1036.58)</f>
        <v>1036.58</v>
      </c>
      <c r="L272" s="11">
        <f>IFERROR(__xludf.DUMMYFUNCTION("""COMPUTED_VALUE"""),43441.66666666667)</f>
        <v>43441.66667</v>
      </c>
      <c r="M272" s="9">
        <f>IFERROR(__xludf.DUMMYFUNCTION("""COMPUTED_VALUE"""),43.37)</f>
        <v>43.37</v>
      </c>
      <c r="N272" s="11">
        <f>IFERROR(__xludf.DUMMYFUNCTION("""COMPUTED_VALUE"""),43441.66666666667)</f>
        <v>43441.66667</v>
      </c>
      <c r="O272" s="9">
        <f>IFERROR(__xludf.DUMMYFUNCTION("""COMPUTED_VALUE"""),42.12)</f>
        <v>42.12</v>
      </c>
      <c r="Q272" s="11">
        <f>IFERROR(__xludf.DUMMYFUNCTION("""COMPUTED_VALUE"""),43441.66666666667)</f>
        <v>43441.66667</v>
      </c>
      <c r="R272" s="9">
        <f>IFERROR(__xludf.DUMMYFUNCTION("""COMPUTED_VALUE"""),139.25)</f>
        <v>139.25</v>
      </c>
      <c r="S272" s="11">
        <f>IFERROR(__xludf.DUMMYFUNCTION("""COMPUTED_VALUE"""),43441.66666666667)</f>
        <v>43441.66667</v>
      </c>
      <c r="T272" s="9">
        <f>IFERROR(__xludf.DUMMYFUNCTION("""COMPUTED_VALUE"""),137.42)</f>
        <v>137.42</v>
      </c>
      <c r="V272" s="11">
        <f>IFERROR(__xludf.DUMMYFUNCTION("""COMPUTED_VALUE"""),43441.66666666667)</f>
        <v>43441.66667</v>
      </c>
      <c r="W272" s="9">
        <f>IFERROR(__xludf.DUMMYFUNCTION("""COMPUTED_VALUE"""),282.48)</f>
        <v>282.48</v>
      </c>
      <c r="X272" s="11">
        <f>IFERROR(__xludf.DUMMYFUNCTION("""COMPUTED_VALUE"""),43441.66666666667)</f>
        <v>43441.66667</v>
      </c>
      <c r="Y272" s="9">
        <f>IFERROR(__xludf.DUMMYFUNCTION("""COMPUTED_VALUE"""),265.14)</f>
        <v>265.14</v>
      </c>
      <c r="AA272" s="11">
        <f>IFERROR(__xludf.DUMMYFUNCTION("""COMPUTED_VALUE"""),43441.66666666667)</f>
        <v>43441.66667</v>
      </c>
      <c r="AB272" s="9">
        <f>IFERROR(__xludf.DUMMYFUNCTION("""COMPUTED_VALUE"""),1705.07)</f>
        <v>1705.07</v>
      </c>
      <c r="AC272" s="11">
        <f>IFERROR(__xludf.DUMMYFUNCTION("""COMPUTED_VALUE"""),43441.66666666667)</f>
        <v>43441.66667</v>
      </c>
      <c r="AD272" s="9">
        <f>IFERROR(__xludf.DUMMYFUNCTION("""COMPUTED_VALUE"""),1629.13)</f>
        <v>1629.13</v>
      </c>
    </row>
    <row r="273">
      <c r="B273" s="11">
        <f>IFERROR(__xludf.DUMMYFUNCTION("""COMPUTED_VALUE"""),43444.66666666667)</f>
        <v>43444.66667</v>
      </c>
      <c r="C273" s="9">
        <f>IFERROR(__xludf.DUMMYFUNCTION("""COMPUTED_VALUE"""),72.0)</f>
        <v>72</v>
      </c>
      <c r="D273" s="11">
        <f>IFERROR(__xludf.DUMMYFUNCTION("""COMPUTED_VALUE"""),43444.66666666667)</f>
        <v>43444.66667</v>
      </c>
      <c r="E273" s="9">
        <f>IFERROR(__xludf.DUMMYFUNCTION("""COMPUTED_VALUE"""),73.03)</f>
        <v>73.03</v>
      </c>
      <c r="G273" s="11">
        <f>IFERROR(__xludf.DUMMYFUNCTION("""COMPUTED_VALUE"""),43444.66666666667)</f>
        <v>43444.66667</v>
      </c>
      <c r="H273" s="9">
        <f>IFERROR(__xludf.DUMMYFUNCTION("""COMPUTED_VALUE"""),1035.05)</f>
        <v>1035.05</v>
      </c>
      <c r="I273" s="11">
        <f>IFERROR(__xludf.DUMMYFUNCTION("""COMPUTED_VALUE"""),43444.66666666667)</f>
        <v>43444.66667</v>
      </c>
      <c r="J273" s="9">
        <f>IFERROR(__xludf.DUMMYFUNCTION("""COMPUTED_VALUE"""),1039.55)</f>
        <v>1039.55</v>
      </c>
      <c r="L273" s="11">
        <f>IFERROR(__xludf.DUMMYFUNCTION("""COMPUTED_VALUE"""),43444.66666666667)</f>
        <v>43444.66667</v>
      </c>
      <c r="M273" s="9">
        <f>IFERROR(__xludf.DUMMYFUNCTION("""COMPUTED_VALUE"""),41.25)</f>
        <v>41.25</v>
      </c>
      <c r="N273" s="11">
        <f>IFERROR(__xludf.DUMMYFUNCTION("""COMPUTED_VALUE"""),43444.66666666667)</f>
        <v>43444.66667</v>
      </c>
      <c r="O273" s="9">
        <f>IFERROR(__xludf.DUMMYFUNCTION("""COMPUTED_VALUE"""),42.4)</f>
        <v>42.4</v>
      </c>
      <c r="Q273" s="11">
        <f>IFERROR(__xludf.DUMMYFUNCTION("""COMPUTED_VALUE"""),43444.66666666667)</f>
        <v>43444.66667</v>
      </c>
      <c r="R273" s="9">
        <f>IFERROR(__xludf.DUMMYFUNCTION("""COMPUTED_VALUE"""),139.6)</f>
        <v>139.6</v>
      </c>
      <c r="S273" s="11">
        <f>IFERROR(__xludf.DUMMYFUNCTION("""COMPUTED_VALUE"""),43444.66666666667)</f>
        <v>43444.66667</v>
      </c>
      <c r="T273" s="9">
        <f>IFERROR(__xludf.DUMMYFUNCTION("""COMPUTED_VALUE"""),141.85)</f>
        <v>141.85</v>
      </c>
      <c r="V273" s="11">
        <f>IFERROR(__xludf.DUMMYFUNCTION("""COMPUTED_VALUE"""),43444.66666666667)</f>
        <v>43444.66667</v>
      </c>
      <c r="W273" s="9">
        <f>IFERROR(__xludf.DUMMYFUNCTION("""COMPUTED_VALUE"""),264.19)</f>
        <v>264.19</v>
      </c>
      <c r="X273" s="11">
        <f>IFERROR(__xludf.DUMMYFUNCTION("""COMPUTED_VALUE"""),43444.66666666667)</f>
        <v>43444.66667</v>
      </c>
      <c r="Y273" s="9">
        <f>IFERROR(__xludf.DUMMYFUNCTION("""COMPUTED_VALUE"""),269.7)</f>
        <v>269.7</v>
      </c>
      <c r="AA273" s="11">
        <f>IFERROR(__xludf.DUMMYFUNCTION("""COMPUTED_VALUE"""),43444.66666666667)</f>
        <v>43444.66667</v>
      </c>
      <c r="AB273" s="9">
        <f>IFERROR(__xludf.DUMMYFUNCTION("""COMPUTED_VALUE"""),1623.84)</f>
        <v>1623.84</v>
      </c>
      <c r="AC273" s="11">
        <f>IFERROR(__xludf.DUMMYFUNCTION("""COMPUTED_VALUE"""),43444.66666666667)</f>
        <v>43444.66667</v>
      </c>
      <c r="AD273" s="9">
        <f>IFERROR(__xludf.DUMMYFUNCTION("""COMPUTED_VALUE"""),1641.03)</f>
        <v>1641.03</v>
      </c>
    </row>
    <row r="274">
      <c r="B274" s="11">
        <f>IFERROR(__xludf.DUMMYFUNCTION("""COMPUTED_VALUE"""),43445.66666666667)</f>
        <v>43445.66667</v>
      </c>
      <c r="C274" s="9">
        <f>IFERROR(__xludf.DUMMYFUNCTION("""COMPUTED_VALUE"""),73.98)</f>
        <v>73.98</v>
      </c>
      <c r="D274" s="11">
        <f>IFERROR(__xludf.DUMMYFUNCTION("""COMPUTED_VALUE"""),43445.66666666667)</f>
        <v>43445.66667</v>
      </c>
      <c r="E274" s="9">
        <f>IFERROR(__xludf.DUMMYFUNCTION("""COMPUTED_VALUE"""),73.35)</f>
        <v>73.35</v>
      </c>
      <c r="G274" s="11">
        <f>IFERROR(__xludf.DUMMYFUNCTION("""COMPUTED_VALUE"""),43445.66666666667)</f>
        <v>43445.66667</v>
      </c>
      <c r="H274" s="9">
        <f>IFERROR(__xludf.DUMMYFUNCTION("""COMPUTED_VALUE"""),1056.49)</f>
        <v>1056.49</v>
      </c>
      <c r="I274" s="11">
        <f>IFERROR(__xludf.DUMMYFUNCTION("""COMPUTED_VALUE"""),43445.66666666667)</f>
        <v>43445.66667</v>
      </c>
      <c r="J274" s="9">
        <f>IFERROR(__xludf.DUMMYFUNCTION("""COMPUTED_VALUE"""),1051.75)</f>
        <v>1051.75</v>
      </c>
      <c r="L274" s="11">
        <f>IFERROR(__xludf.DUMMYFUNCTION("""COMPUTED_VALUE"""),43445.66666666667)</f>
        <v>43445.66667</v>
      </c>
      <c r="M274" s="9">
        <f>IFERROR(__xludf.DUMMYFUNCTION("""COMPUTED_VALUE"""),42.92)</f>
        <v>42.92</v>
      </c>
      <c r="N274" s="11">
        <f>IFERROR(__xludf.DUMMYFUNCTION("""COMPUTED_VALUE"""),43445.66666666667)</f>
        <v>43445.66667</v>
      </c>
      <c r="O274" s="9">
        <f>IFERROR(__xludf.DUMMYFUNCTION("""COMPUTED_VALUE"""),42.16)</f>
        <v>42.16</v>
      </c>
      <c r="Q274" s="11">
        <f>IFERROR(__xludf.DUMMYFUNCTION("""COMPUTED_VALUE"""),43445.66666666667)</f>
        <v>43445.66667</v>
      </c>
      <c r="R274" s="9">
        <f>IFERROR(__xludf.DUMMYFUNCTION("""COMPUTED_VALUE"""),143.88)</f>
        <v>143.88</v>
      </c>
      <c r="S274" s="11">
        <f>IFERROR(__xludf.DUMMYFUNCTION("""COMPUTED_VALUE"""),43445.66666666667)</f>
        <v>43445.66667</v>
      </c>
      <c r="T274" s="9">
        <f>IFERROR(__xludf.DUMMYFUNCTION("""COMPUTED_VALUE"""),142.08)</f>
        <v>142.08</v>
      </c>
      <c r="V274" s="11">
        <f>IFERROR(__xludf.DUMMYFUNCTION("""COMPUTED_VALUE"""),43445.66666666667)</f>
        <v>43445.66667</v>
      </c>
      <c r="W274" s="9">
        <f>IFERROR(__xludf.DUMMYFUNCTION("""COMPUTED_VALUE"""),274.08)</f>
        <v>274.08</v>
      </c>
      <c r="X274" s="11">
        <f>IFERROR(__xludf.DUMMYFUNCTION("""COMPUTED_VALUE"""),43445.66666666667)</f>
        <v>43445.66667</v>
      </c>
      <c r="Y274" s="9">
        <f>IFERROR(__xludf.DUMMYFUNCTION("""COMPUTED_VALUE"""),265.32)</f>
        <v>265.32</v>
      </c>
      <c r="AA274" s="11">
        <f>IFERROR(__xludf.DUMMYFUNCTION("""COMPUTED_VALUE"""),43445.66666666667)</f>
        <v>43445.66667</v>
      </c>
      <c r="AB274" s="9">
        <f>IFERROR(__xludf.DUMMYFUNCTION("""COMPUTED_VALUE"""),1678.0)</f>
        <v>1678</v>
      </c>
      <c r="AC274" s="11">
        <f>IFERROR(__xludf.DUMMYFUNCTION("""COMPUTED_VALUE"""),43445.66666666667)</f>
        <v>43445.66667</v>
      </c>
      <c r="AD274" s="9">
        <f>IFERROR(__xludf.DUMMYFUNCTION("""COMPUTED_VALUE"""),1643.24)</f>
        <v>1643.24</v>
      </c>
    </row>
    <row r="275">
      <c r="B275" s="11">
        <f>IFERROR(__xludf.DUMMYFUNCTION("""COMPUTED_VALUE"""),43446.66666666667)</f>
        <v>43446.66667</v>
      </c>
      <c r="C275" s="9">
        <f>IFERROR(__xludf.DUMMYFUNCTION("""COMPUTED_VALUE"""),73.88)</f>
        <v>73.88</v>
      </c>
      <c r="D275" s="11">
        <f>IFERROR(__xludf.DUMMYFUNCTION("""COMPUTED_VALUE"""),43446.66666666667)</f>
        <v>43446.66667</v>
      </c>
      <c r="E275" s="9">
        <f>IFERROR(__xludf.DUMMYFUNCTION("""COMPUTED_VALUE"""),73.32)</f>
        <v>73.32</v>
      </c>
      <c r="G275" s="11">
        <f>IFERROR(__xludf.DUMMYFUNCTION("""COMPUTED_VALUE"""),43446.66666666667)</f>
        <v>43446.66667</v>
      </c>
      <c r="H275" s="9">
        <f>IFERROR(__xludf.DUMMYFUNCTION("""COMPUTED_VALUE"""),1068.0)</f>
        <v>1068</v>
      </c>
      <c r="I275" s="11">
        <f>IFERROR(__xludf.DUMMYFUNCTION("""COMPUTED_VALUE"""),43446.66666666667)</f>
        <v>43446.66667</v>
      </c>
      <c r="J275" s="9">
        <f>IFERROR(__xludf.DUMMYFUNCTION("""COMPUTED_VALUE"""),1063.68)</f>
        <v>1063.68</v>
      </c>
      <c r="L275" s="11">
        <f>IFERROR(__xludf.DUMMYFUNCTION("""COMPUTED_VALUE"""),43446.66666666667)</f>
        <v>43446.66667</v>
      </c>
      <c r="M275" s="9">
        <f>IFERROR(__xludf.DUMMYFUNCTION("""COMPUTED_VALUE"""),42.6)</f>
        <v>42.6</v>
      </c>
      <c r="N275" s="11">
        <f>IFERROR(__xludf.DUMMYFUNCTION("""COMPUTED_VALUE"""),43446.66666666667)</f>
        <v>43446.66667</v>
      </c>
      <c r="O275" s="9">
        <f>IFERROR(__xludf.DUMMYFUNCTION("""COMPUTED_VALUE"""),42.28)</f>
        <v>42.28</v>
      </c>
      <c r="Q275" s="11">
        <f>IFERROR(__xludf.DUMMYFUNCTION("""COMPUTED_VALUE"""),43446.66666666667)</f>
        <v>43446.66667</v>
      </c>
      <c r="R275" s="9">
        <f>IFERROR(__xludf.DUMMYFUNCTION("""COMPUTED_VALUE"""),143.08)</f>
        <v>143.08</v>
      </c>
      <c r="S275" s="11">
        <f>IFERROR(__xludf.DUMMYFUNCTION("""COMPUTED_VALUE"""),43446.66666666667)</f>
        <v>43446.66667</v>
      </c>
      <c r="T275" s="9">
        <f>IFERROR(__xludf.DUMMYFUNCTION("""COMPUTED_VALUE"""),144.5)</f>
        <v>144.5</v>
      </c>
      <c r="V275" s="11">
        <f>IFERROR(__xludf.DUMMYFUNCTION("""COMPUTED_VALUE"""),43446.66666666667)</f>
        <v>43446.66667</v>
      </c>
      <c r="W275" s="9">
        <f>IFERROR(__xludf.DUMMYFUNCTION("""COMPUTED_VALUE"""),267.66)</f>
        <v>267.66</v>
      </c>
      <c r="X275" s="11">
        <f>IFERROR(__xludf.DUMMYFUNCTION("""COMPUTED_VALUE"""),43446.66666666667)</f>
        <v>43446.66667</v>
      </c>
      <c r="Y275" s="9">
        <f>IFERROR(__xludf.DUMMYFUNCTION("""COMPUTED_VALUE"""),274.88)</f>
        <v>274.88</v>
      </c>
      <c r="AA275" s="11">
        <f>IFERROR(__xludf.DUMMYFUNCTION("""COMPUTED_VALUE"""),43446.66666666667)</f>
        <v>43446.66667</v>
      </c>
      <c r="AB275" s="9">
        <f>IFERROR(__xludf.DUMMYFUNCTION("""COMPUTED_VALUE"""),1669.0)</f>
        <v>1669</v>
      </c>
      <c r="AC275" s="11">
        <f>IFERROR(__xludf.DUMMYFUNCTION("""COMPUTED_VALUE"""),43446.66666666667)</f>
        <v>43446.66667</v>
      </c>
      <c r="AD275" s="9">
        <f>IFERROR(__xludf.DUMMYFUNCTION("""COMPUTED_VALUE"""),1663.54)</f>
        <v>1663.54</v>
      </c>
    </row>
    <row r="276">
      <c r="B276" s="11">
        <f>IFERROR(__xludf.DUMMYFUNCTION("""COMPUTED_VALUE"""),43447.66666666667)</f>
        <v>43447.66667</v>
      </c>
      <c r="C276" s="9">
        <f>IFERROR(__xludf.DUMMYFUNCTION("""COMPUTED_VALUE"""),74.03)</f>
        <v>74.03</v>
      </c>
      <c r="D276" s="11">
        <f>IFERROR(__xludf.DUMMYFUNCTION("""COMPUTED_VALUE"""),43447.66666666667)</f>
        <v>43447.66667</v>
      </c>
      <c r="E276" s="9">
        <f>IFERROR(__xludf.DUMMYFUNCTION("""COMPUTED_VALUE"""),75.36)</f>
        <v>75.36</v>
      </c>
      <c r="G276" s="11">
        <f>IFERROR(__xludf.DUMMYFUNCTION("""COMPUTED_VALUE"""),43447.66666666667)</f>
        <v>43447.66667</v>
      </c>
      <c r="H276" s="9">
        <f>IFERROR(__xludf.DUMMYFUNCTION("""COMPUTED_VALUE"""),1068.07)</f>
        <v>1068.07</v>
      </c>
      <c r="I276" s="11">
        <f>IFERROR(__xludf.DUMMYFUNCTION("""COMPUTED_VALUE"""),43447.66666666667)</f>
        <v>43447.66667</v>
      </c>
      <c r="J276" s="9">
        <f>IFERROR(__xludf.DUMMYFUNCTION("""COMPUTED_VALUE"""),1061.9)</f>
        <v>1061.9</v>
      </c>
      <c r="L276" s="11">
        <f>IFERROR(__xludf.DUMMYFUNCTION("""COMPUTED_VALUE"""),43447.66666666667)</f>
        <v>43447.66667</v>
      </c>
      <c r="M276" s="9">
        <f>IFERROR(__xludf.DUMMYFUNCTION("""COMPUTED_VALUE"""),42.62)</f>
        <v>42.62</v>
      </c>
      <c r="N276" s="11">
        <f>IFERROR(__xludf.DUMMYFUNCTION("""COMPUTED_VALUE"""),43447.66666666667)</f>
        <v>43447.66667</v>
      </c>
      <c r="O276" s="9">
        <f>IFERROR(__xludf.DUMMYFUNCTION("""COMPUTED_VALUE"""),42.74)</f>
        <v>42.74</v>
      </c>
      <c r="Q276" s="11">
        <f>IFERROR(__xludf.DUMMYFUNCTION("""COMPUTED_VALUE"""),43447.66666666667)</f>
        <v>43447.66667</v>
      </c>
      <c r="R276" s="9">
        <f>IFERROR(__xludf.DUMMYFUNCTION("""COMPUTED_VALUE"""),145.57)</f>
        <v>145.57</v>
      </c>
      <c r="S276" s="11">
        <f>IFERROR(__xludf.DUMMYFUNCTION("""COMPUTED_VALUE"""),43447.66666666667)</f>
        <v>43447.66667</v>
      </c>
      <c r="T276" s="9">
        <f>IFERROR(__xludf.DUMMYFUNCTION("""COMPUTED_VALUE"""),145.01)</f>
        <v>145.01</v>
      </c>
      <c r="V276" s="11">
        <f>IFERROR(__xludf.DUMMYFUNCTION("""COMPUTED_VALUE"""),43447.66666666667)</f>
        <v>43447.66667</v>
      </c>
      <c r="W276" s="9">
        <f>IFERROR(__xludf.DUMMYFUNCTION("""COMPUTED_VALUE"""),277.64)</f>
        <v>277.64</v>
      </c>
      <c r="X276" s="11">
        <f>IFERROR(__xludf.DUMMYFUNCTION("""COMPUTED_VALUE"""),43447.66666666667)</f>
        <v>43447.66667</v>
      </c>
      <c r="Y276" s="9">
        <f>IFERROR(__xludf.DUMMYFUNCTION("""COMPUTED_VALUE"""),276.02)</f>
        <v>276.02</v>
      </c>
      <c r="AA276" s="11">
        <f>IFERROR(__xludf.DUMMYFUNCTION("""COMPUTED_VALUE"""),43447.66666666667)</f>
        <v>43447.66667</v>
      </c>
      <c r="AB276" s="9">
        <f>IFERROR(__xludf.DUMMYFUNCTION("""COMPUTED_VALUE"""),1680.0)</f>
        <v>1680</v>
      </c>
      <c r="AC276" s="11">
        <f>IFERROR(__xludf.DUMMYFUNCTION("""COMPUTED_VALUE"""),43447.66666666667)</f>
        <v>43447.66667</v>
      </c>
      <c r="AD276" s="9">
        <f>IFERROR(__xludf.DUMMYFUNCTION("""COMPUTED_VALUE"""),1658.38)</f>
        <v>1658.38</v>
      </c>
    </row>
    <row r="277">
      <c r="B277" s="11">
        <f>IFERROR(__xludf.DUMMYFUNCTION("""COMPUTED_VALUE"""),43448.66666666667)</f>
        <v>43448.66667</v>
      </c>
      <c r="C277" s="9">
        <f>IFERROR(__xludf.DUMMYFUNCTION("""COMPUTED_VALUE"""),75.0)</f>
        <v>75</v>
      </c>
      <c r="D277" s="11">
        <f>IFERROR(__xludf.DUMMYFUNCTION("""COMPUTED_VALUE"""),43448.66666666667)</f>
        <v>43448.66667</v>
      </c>
      <c r="E277" s="9">
        <f>IFERROR(__xludf.DUMMYFUNCTION("""COMPUTED_VALUE"""),73.14)</f>
        <v>73.14</v>
      </c>
      <c r="G277" s="11">
        <f>IFERROR(__xludf.DUMMYFUNCTION("""COMPUTED_VALUE"""),43448.66666666667)</f>
        <v>43448.66667</v>
      </c>
      <c r="H277" s="9">
        <f>IFERROR(__xludf.DUMMYFUNCTION("""COMPUTED_VALUE"""),1049.98)</f>
        <v>1049.98</v>
      </c>
      <c r="I277" s="11">
        <f>IFERROR(__xludf.DUMMYFUNCTION("""COMPUTED_VALUE"""),43448.66666666667)</f>
        <v>43448.66667</v>
      </c>
      <c r="J277" s="9">
        <f>IFERROR(__xludf.DUMMYFUNCTION("""COMPUTED_VALUE"""),1042.1)</f>
        <v>1042.1</v>
      </c>
      <c r="L277" s="11">
        <f>IFERROR(__xludf.DUMMYFUNCTION("""COMPUTED_VALUE"""),43448.66666666667)</f>
        <v>43448.66667</v>
      </c>
      <c r="M277" s="9">
        <f>IFERROR(__xludf.DUMMYFUNCTION("""COMPUTED_VALUE"""),42.25)</f>
        <v>42.25</v>
      </c>
      <c r="N277" s="11">
        <f>IFERROR(__xludf.DUMMYFUNCTION("""COMPUTED_VALUE"""),43448.66666666667)</f>
        <v>43448.66667</v>
      </c>
      <c r="O277" s="9">
        <f>IFERROR(__xludf.DUMMYFUNCTION("""COMPUTED_VALUE"""),41.37)</f>
        <v>41.37</v>
      </c>
      <c r="Q277" s="11">
        <f>IFERROR(__xludf.DUMMYFUNCTION("""COMPUTED_VALUE"""),43448.66666666667)</f>
        <v>43448.66667</v>
      </c>
      <c r="R277" s="9">
        <f>IFERROR(__xludf.DUMMYFUNCTION("""COMPUTED_VALUE"""),143.34)</f>
        <v>143.34</v>
      </c>
      <c r="S277" s="11">
        <f>IFERROR(__xludf.DUMMYFUNCTION("""COMPUTED_VALUE"""),43448.66666666667)</f>
        <v>43448.66667</v>
      </c>
      <c r="T277" s="9">
        <f>IFERROR(__xludf.DUMMYFUNCTION("""COMPUTED_VALUE"""),144.06)</f>
        <v>144.06</v>
      </c>
      <c r="V277" s="11">
        <f>IFERROR(__xludf.DUMMYFUNCTION("""COMPUTED_VALUE"""),43448.66666666667)</f>
        <v>43448.66667</v>
      </c>
      <c r="W277" s="9">
        <f>IFERROR(__xludf.DUMMYFUNCTION("""COMPUTED_VALUE"""),271.81)</f>
        <v>271.81</v>
      </c>
      <c r="X277" s="11">
        <f>IFERROR(__xludf.DUMMYFUNCTION("""COMPUTED_VALUE"""),43448.66666666667)</f>
        <v>43448.66667</v>
      </c>
      <c r="Y277" s="9">
        <f>IFERROR(__xludf.DUMMYFUNCTION("""COMPUTED_VALUE"""),266.84)</f>
        <v>266.84</v>
      </c>
      <c r="AA277" s="11">
        <f>IFERROR(__xludf.DUMMYFUNCTION("""COMPUTED_VALUE"""),43448.66666666667)</f>
        <v>43448.66667</v>
      </c>
      <c r="AB277" s="9">
        <f>IFERROR(__xludf.DUMMYFUNCTION("""COMPUTED_VALUE"""),1638.0)</f>
        <v>1638</v>
      </c>
      <c r="AC277" s="11">
        <f>IFERROR(__xludf.DUMMYFUNCTION("""COMPUTED_VALUE"""),43448.66666666667)</f>
        <v>43448.66667</v>
      </c>
      <c r="AD277" s="9">
        <f>IFERROR(__xludf.DUMMYFUNCTION("""COMPUTED_VALUE"""),1591.91)</f>
        <v>1591.91</v>
      </c>
    </row>
    <row r="278">
      <c r="B278" s="11">
        <f>IFERROR(__xludf.DUMMYFUNCTION("""COMPUTED_VALUE"""),43451.66666666667)</f>
        <v>43451.66667</v>
      </c>
      <c r="C278" s="9">
        <f>IFERROR(__xludf.DUMMYFUNCTION("""COMPUTED_VALUE"""),72.4)</f>
        <v>72.4</v>
      </c>
      <c r="D278" s="11">
        <f>IFERROR(__xludf.DUMMYFUNCTION("""COMPUTED_VALUE"""),43451.66666666667)</f>
        <v>43451.66667</v>
      </c>
      <c r="E278" s="9">
        <f>IFERROR(__xludf.DUMMYFUNCTION("""COMPUTED_VALUE"""),69.68)</f>
        <v>69.68</v>
      </c>
      <c r="G278" s="11">
        <f>IFERROR(__xludf.DUMMYFUNCTION("""COMPUTED_VALUE"""),43451.66666666667)</f>
        <v>43451.66667</v>
      </c>
      <c r="H278" s="9">
        <f>IFERROR(__xludf.DUMMYFUNCTION("""COMPUTED_VALUE"""),1037.51)</f>
        <v>1037.51</v>
      </c>
      <c r="I278" s="11">
        <f>IFERROR(__xludf.DUMMYFUNCTION("""COMPUTED_VALUE"""),43451.66666666667)</f>
        <v>43451.66667</v>
      </c>
      <c r="J278" s="9">
        <f>IFERROR(__xludf.DUMMYFUNCTION("""COMPUTED_VALUE"""),1016.53)</f>
        <v>1016.53</v>
      </c>
      <c r="L278" s="11">
        <f>IFERROR(__xludf.DUMMYFUNCTION("""COMPUTED_VALUE"""),43451.66666666667)</f>
        <v>43451.66667</v>
      </c>
      <c r="M278" s="9">
        <f>IFERROR(__xludf.DUMMYFUNCTION("""COMPUTED_VALUE"""),41.36)</f>
        <v>41.36</v>
      </c>
      <c r="N278" s="11">
        <f>IFERROR(__xludf.DUMMYFUNCTION("""COMPUTED_VALUE"""),43451.66666666667)</f>
        <v>43451.66667</v>
      </c>
      <c r="O278" s="9">
        <f>IFERROR(__xludf.DUMMYFUNCTION("""COMPUTED_VALUE"""),40.99)</f>
        <v>40.99</v>
      </c>
      <c r="Q278" s="11">
        <f>IFERROR(__xludf.DUMMYFUNCTION("""COMPUTED_VALUE"""),43451.66666666667)</f>
        <v>43451.66667</v>
      </c>
      <c r="R278" s="9">
        <f>IFERROR(__xludf.DUMMYFUNCTION("""COMPUTED_VALUE"""),143.08)</f>
        <v>143.08</v>
      </c>
      <c r="S278" s="11">
        <f>IFERROR(__xludf.DUMMYFUNCTION("""COMPUTED_VALUE"""),43451.66666666667)</f>
        <v>43451.66667</v>
      </c>
      <c r="T278" s="9">
        <f>IFERROR(__xludf.DUMMYFUNCTION("""COMPUTED_VALUE"""),140.19)</f>
        <v>140.19</v>
      </c>
      <c r="V278" s="11">
        <f>IFERROR(__xludf.DUMMYFUNCTION("""COMPUTED_VALUE"""),43451.66666666667)</f>
        <v>43451.66667</v>
      </c>
      <c r="W278" s="9">
        <f>IFERROR(__xludf.DUMMYFUNCTION("""COMPUTED_VALUE"""),266.51)</f>
        <v>266.51</v>
      </c>
      <c r="X278" s="11">
        <f>IFERROR(__xludf.DUMMYFUNCTION("""COMPUTED_VALUE"""),43451.66666666667)</f>
        <v>43451.66667</v>
      </c>
      <c r="Y278" s="9">
        <f>IFERROR(__xludf.DUMMYFUNCTION("""COMPUTED_VALUE"""),262.8)</f>
        <v>262.8</v>
      </c>
      <c r="AA278" s="11">
        <f>IFERROR(__xludf.DUMMYFUNCTION("""COMPUTED_VALUE"""),43451.66666666667)</f>
        <v>43451.66667</v>
      </c>
      <c r="AB278" s="9">
        <f>IFERROR(__xludf.DUMMYFUNCTION("""COMPUTED_VALUE"""),1566.0)</f>
        <v>1566</v>
      </c>
      <c r="AC278" s="11">
        <f>IFERROR(__xludf.DUMMYFUNCTION("""COMPUTED_VALUE"""),43451.66666666667)</f>
        <v>43451.66667</v>
      </c>
      <c r="AD278" s="9">
        <f>IFERROR(__xludf.DUMMYFUNCTION("""COMPUTED_VALUE"""),1520.91)</f>
        <v>1520.91</v>
      </c>
    </row>
    <row r="279">
      <c r="B279" s="11">
        <f>IFERROR(__xludf.DUMMYFUNCTION("""COMPUTED_VALUE"""),43452.66666666667)</f>
        <v>43452.66667</v>
      </c>
      <c r="C279" s="9">
        <f>IFERROR(__xludf.DUMMYFUNCTION("""COMPUTED_VALUE"""),70.11)</f>
        <v>70.11</v>
      </c>
      <c r="D279" s="11">
        <f>IFERROR(__xludf.DUMMYFUNCTION("""COMPUTED_VALUE"""),43452.66666666667)</f>
        <v>43452.66667</v>
      </c>
      <c r="E279" s="9">
        <f>IFERROR(__xludf.DUMMYFUNCTION("""COMPUTED_VALUE"""),67.41)</f>
        <v>67.41</v>
      </c>
      <c r="G279" s="11">
        <f>IFERROR(__xludf.DUMMYFUNCTION("""COMPUTED_VALUE"""),43452.66666666667)</f>
        <v>43452.66667</v>
      </c>
      <c r="H279" s="9">
        <f>IFERROR(__xludf.DUMMYFUNCTION("""COMPUTED_VALUE"""),1026.09)</f>
        <v>1026.09</v>
      </c>
      <c r="I279" s="11">
        <f>IFERROR(__xludf.DUMMYFUNCTION("""COMPUTED_VALUE"""),43452.66666666667)</f>
        <v>43452.66667</v>
      </c>
      <c r="J279" s="9">
        <f>IFERROR(__xludf.DUMMYFUNCTION("""COMPUTED_VALUE"""),1028.71)</f>
        <v>1028.71</v>
      </c>
      <c r="L279" s="11">
        <f>IFERROR(__xludf.DUMMYFUNCTION("""COMPUTED_VALUE"""),43452.66666666667)</f>
        <v>43452.66667</v>
      </c>
      <c r="M279" s="9">
        <f>IFERROR(__xludf.DUMMYFUNCTION("""COMPUTED_VALUE"""),41.35)</f>
        <v>41.35</v>
      </c>
      <c r="N279" s="11">
        <f>IFERROR(__xludf.DUMMYFUNCTION("""COMPUTED_VALUE"""),43452.66666666667)</f>
        <v>43452.66667</v>
      </c>
      <c r="O279" s="9">
        <f>IFERROR(__xludf.DUMMYFUNCTION("""COMPUTED_VALUE"""),41.52)</f>
        <v>41.52</v>
      </c>
      <c r="Q279" s="11">
        <f>IFERROR(__xludf.DUMMYFUNCTION("""COMPUTED_VALUE"""),43452.66666666667)</f>
        <v>43452.66667</v>
      </c>
      <c r="R279" s="9">
        <f>IFERROR(__xludf.DUMMYFUNCTION("""COMPUTED_VALUE"""),141.08)</f>
        <v>141.08</v>
      </c>
      <c r="S279" s="11">
        <f>IFERROR(__xludf.DUMMYFUNCTION("""COMPUTED_VALUE"""),43452.66666666667)</f>
        <v>43452.66667</v>
      </c>
      <c r="T279" s="9">
        <f>IFERROR(__xludf.DUMMYFUNCTION("""COMPUTED_VALUE"""),143.66)</f>
        <v>143.66</v>
      </c>
      <c r="V279" s="11">
        <f>IFERROR(__xludf.DUMMYFUNCTION("""COMPUTED_VALUE"""),43452.66666666667)</f>
        <v>43452.66667</v>
      </c>
      <c r="W279" s="9">
        <f>IFERROR(__xludf.DUMMYFUNCTION("""COMPUTED_VALUE"""),263.3)</f>
        <v>263.3</v>
      </c>
      <c r="X279" s="11">
        <f>IFERROR(__xludf.DUMMYFUNCTION("""COMPUTED_VALUE"""),43452.66666666667)</f>
        <v>43452.66667</v>
      </c>
      <c r="Y279" s="9">
        <f>IFERROR(__xludf.DUMMYFUNCTION("""COMPUTED_VALUE"""),270.94)</f>
        <v>270.94</v>
      </c>
      <c r="AA279" s="11">
        <f>IFERROR(__xludf.DUMMYFUNCTION("""COMPUTED_VALUE"""),43452.66666666667)</f>
        <v>43452.66667</v>
      </c>
      <c r="AB279" s="9">
        <f>IFERROR(__xludf.DUMMYFUNCTION("""COMPUTED_VALUE"""),1540.0)</f>
        <v>1540</v>
      </c>
      <c r="AC279" s="11">
        <f>IFERROR(__xludf.DUMMYFUNCTION("""COMPUTED_VALUE"""),43452.66666666667)</f>
        <v>43452.66667</v>
      </c>
      <c r="AD279" s="9">
        <f>IFERROR(__xludf.DUMMYFUNCTION("""COMPUTED_VALUE"""),1551.48)</f>
        <v>1551.48</v>
      </c>
    </row>
    <row r="280">
      <c r="B280" s="11">
        <f>IFERROR(__xludf.DUMMYFUNCTION("""COMPUTED_VALUE"""),43453.66666666667)</f>
        <v>43453.66667</v>
      </c>
      <c r="C280" s="9">
        <f>IFERROR(__xludf.DUMMYFUNCTION("""COMPUTED_VALUE"""),67.52)</f>
        <v>67.52</v>
      </c>
      <c r="D280" s="11">
        <f>IFERROR(__xludf.DUMMYFUNCTION("""COMPUTED_VALUE"""),43453.66666666667)</f>
        <v>43453.66667</v>
      </c>
      <c r="E280" s="9">
        <f>IFERROR(__xludf.DUMMYFUNCTION("""COMPUTED_VALUE"""),66.59)</f>
        <v>66.59</v>
      </c>
      <c r="G280" s="11">
        <f>IFERROR(__xludf.DUMMYFUNCTION("""COMPUTED_VALUE"""),43453.66666666667)</f>
        <v>43453.66667</v>
      </c>
      <c r="H280" s="9">
        <f>IFERROR(__xludf.DUMMYFUNCTION("""COMPUTED_VALUE"""),1033.99)</f>
        <v>1033.99</v>
      </c>
      <c r="I280" s="11">
        <f>IFERROR(__xludf.DUMMYFUNCTION("""COMPUTED_VALUE"""),43453.66666666667)</f>
        <v>43453.66667</v>
      </c>
      <c r="J280" s="9">
        <f>IFERROR(__xludf.DUMMYFUNCTION("""COMPUTED_VALUE"""),1023.01)</f>
        <v>1023.01</v>
      </c>
      <c r="L280" s="11">
        <f>IFERROR(__xludf.DUMMYFUNCTION("""COMPUTED_VALUE"""),43453.66666666667)</f>
        <v>43453.66667</v>
      </c>
      <c r="M280" s="9">
        <f>IFERROR(__xludf.DUMMYFUNCTION("""COMPUTED_VALUE"""),41.5)</f>
        <v>41.5</v>
      </c>
      <c r="N280" s="11">
        <f>IFERROR(__xludf.DUMMYFUNCTION("""COMPUTED_VALUE"""),43453.66666666667)</f>
        <v>43453.66667</v>
      </c>
      <c r="O280" s="9">
        <f>IFERROR(__xludf.DUMMYFUNCTION("""COMPUTED_VALUE"""),40.22)</f>
        <v>40.22</v>
      </c>
      <c r="Q280" s="11">
        <f>IFERROR(__xludf.DUMMYFUNCTION("""COMPUTED_VALUE"""),43453.66666666667)</f>
        <v>43453.66667</v>
      </c>
      <c r="R280" s="9">
        <f>IFERROR(__xludf.DUMMYFUNCTION("""COMPUTED_VALUE"""),141.21)</f>
        <v>141.21</v>
      </c>
      <c r="S280" s="11">
        <f>IFERROR(__xludf.DUMMYFUNCTION("""COMPUTED_VALUE"""),43453.66666666667)</f>
        <v>43453.66667</v>
      </c>
      <c r="T280" s="9">
        <f>IFERROR(__xludf.DUMMYFUNCTION("""COMPUTED_VALUE"""),133.24)</f>
        <v>133.24</v>
      </c>
      <c r="V280" s="11">
        <f>IFERROR(__xludf.DUMMYFUNCTION("""COMPUTED_VALUE"""),43453.66666666667)</f>
        <v>43453.66667</v>
      </c>
      <c r="W280" s="9">
        <f>IFERROR(__xludf.DUMMYFUNCTION("""COMPUTED_VALUE"""),269.96)</f>
        <v>269.96</v>
      </c>
      <c r="X280" s="11">
        <f>IFERROR(__xludf.DUMMYFUNCTION("""COMPUTED_VALUE"""),43453.66666666667)</f>
        <v>43453.66667</v>
      </c>
      <c r="Y280" s="9">
        <f>IFERROR(__xludf.DUMMYFUNCTION("""COMPUTED_VALUE"""),266.77)</f>
        <v>266.77</v>
      </c>
      <c r="AA280" s="11">
        <f>IFERROR(__xludf.DUMMYFUNCTION("""COMPUTED_VALUE"""),43453.66666666667)</f>
        <v>43453.66667</v>
      </c>
      <c r="AB280" s="9">
        <f>IFERROR(__xludf.DUMMYFUNCTION("""COMPUTED_VALUE"""),1543.05)</f>
        <v>1543.05</v>
      </c>
      <c r="AC280" s="11">
        <f>IFERROR(__xludf.DUMMYFUNCTION("""COMPUTED_VALUE"""),43453.66666666667)</f>
        <v>43453.66667</v>
      </c>
      <c r="AD280" s="9">
        <f>IFERROR(__xludf.DUMMYFUNCTION("""COMPUTED_VALUE"""),1495.08)</f>
        <v>1495.08</v>
      </c>
    </row>
    <row r="281">
      <c r="B281" s="11">
        <f>IFERROR(__xludf.DUMMYFUNCTION("""COMPUTED_VALUE"""),43454.66666666667)</f>
        <v>43454.66667</v>
      </c>
      <c r="C281" s="9">
        <f>IFERROR(__xludf.DUMMYFUNCTION("""COMPUTED_VALUE"""),65.41)</f>
        <v>65.41</v>
      </c>
      <c r="D281" s="11">
        <f>IFERROR(__xludf.DUMMYFUNCTION("""COMPUTED_VALUE"""),43454.66666666667)</f>
        <v>43454.66667</v>
      </c>
      <c r="E281" s="9">
        <f>IFERROR(__xludf.DUMMYFUNCTION("""COMPUTED_VALUE"""),63.08)</f>
        <v>63.08</v>
      </c>
      <c r="G281" s="11">
        <f>IFERROR(__xludf.DUMMYFUNCTION("""COMPUTED_VALUE"""),43454.66666666667)</f>
        <v>43454.66667</v>
      </c>
      <c r="H281" s="9">
        <f>IFERROR(__xludf.DUMMYFUNCTION("""COMPUTED_VALUE"""),1018.13)</f>
        <v>1018.13</v>
      </c>
      <c r="I281" s="11">
        <f>IFERROR(__xludf.DUMMYFUNCTION("""COMPUTED_VALUE"""),43454.66666666667)</f>
        <v>43454.66667</v>
      </c>
      <c r="J281" s="9">
        <f>IFERROR(__xludf.DUMMYFUNCTION("""COMPUTED_VALUE"""),1009.41)</f>
        <v>1009.41</v>
      </c>
      <c r="L281" s="11">
        <f>IFERROR(__xludf.DUMMYFUNCTION("""COMPUTED_VALUE"""),43454.66666666667)</f>
        <v>43454.66667</v>
      </c>
      <c r="M281" s="9">
        <f>IFERROR(__xludf.DUMMYFUNCTION("""COMPUTED_VALUE"""),40.1)</f>
        <v>40.1</v>
      </c>
      <c r="N281" s="11">
        <f>IFERROR(__xludf.DUMMYFUNCTION("""COMPUTED_VALUE"""),43454.66666666667)</f>
        <v>43454.66667</v>
      </c>
      <c r="O281" s="9">
        <f>IFERROR(__xludf.DUMMYFUNCTION("""COMPUTED_VALUE"""),39.21)</f>
        <v>39.21</v>
      </c>
      <c r="Q281" s="11">
        <f>IFERROR(__xludf.DUMMYFUNCTION("""COMPUTED_VALUE"""),43454.66666666667)</f>
        <v>43454.66667</v>
      </c>
      <c r="R281" s="9">
        <f>IFERROR(__xludf.DUMMYFUNCTION("""COMPUTED_VALUE"""),130.7)</f>
        <v>130.7</v>
      </c>
      <c r="S281" s="11">
        <f>IFERROR(__xludf.DUMMYFUNCTION("""COMPUTED_VALUE"""),43454.66666666667)</f>
        <v>43454.66667</v>
      </c>
      <c r="T281" s="9">
        <f>IFERROR(__xludf.DUMMYFUNCTION("""COMPUTED_VALUE"""),133.4)</f>
        <v>133.4</v>
      </c>
      <c r="V281" s="11">
        <f>IFERROR(__xludf.DUMMYFUNCTION("""COMPUTED_VALUE"""),43454.66666666667)</f>
        <v>43454.66667</v>
      </c>
      <c r="W281" s="9">
        <f>IFERROR(__xludf.DUMMYFUNCTION("""COMPUTED_VALUE"""),264.64)</f>
        <v>264.64</v>
      </c>
      <c r="X281" s="11">
        <f>IFERROR(__xludf.DUMMYFUNCTION("""COMPUTED_VALUE"""),43454.66666666667)</f>
        <v>43454.66667</v>
      </c>
      <c r="Y281" s="9">
        <f>IFERROR(__xludf.DUMMYFUNCTION("""COMPUTED_VALUE"""),260.58)</f>
        <v>260.58</v>
      </c>
      <c r="AA281" s="11">
        <f>IFERROR(__xludf.DUMMYFUNCTION("""COMPUTED_VALUE"""),43454.66666666667)</f>
        <v>43454.66667</v>
      </c>
      <c r="AB281" s="9">
        <f>IFERROR(__xludf.DUMMYFUNCTION("""COMPUTED_VALUE"""),1484.0)</f>
        <v>1484</v>
      </c>
      <c r="AC281" s="11">
        <f>IFERROR(__xludf.DUMMYFUNCTION("""COMPUTED_VALUE"""),43454.66666666667)</f>
        <v>43454.66667</v>
      </c>
      <c r="AD281" s="9">
        <f>IFERROR(__xludf.DUMMYFUNCTION("""COMPUTED_VALUE"""),1460.83)</f>
        <v>1460.83</v>
      </c>
    </row>
    <row r="282">
      <c r="B282" s="11">
        <f>IFERROR(__xludf.DUMMYFUNCTION("""COMPUTED_VALUE"""),43455.66666666667)</f>
        <v>43455.66667</v>
      </c>
      <c r="C282" s="9">
        <f>IFERROR(__xludf.DUMMYFUNCTION("""COMPUTED_VALUE"""),63.48)</f>
        <v>63.48</v>
      </c>
      <c r="D282" s="11">
        <f>IFERROR(__xludf.DUMMYFUNCTION("""COMPUTED_VALUE"""),43455.66666666667)</f>
        <v>43455.66667</v>
      </c>
      <c r="E282" s="9">
        <f>IFERROR(__xludf.DUMMYFUNCTION("""COMPUTED_VALUE"""),63.95)</f>
        <v>63.95</v>
      </c>
      <c r="G282" s="11">
        <f>IFERROR(__xludf.DUMMYFUNCTION("""COMPUTED_VALUE"""),43455.66666666667)</f>
        <v>43455.66667</v>
      </c>
      <c r="H282" s="9">
        <f>IFERROR(__xludf.DUMMYFUNCTION("""COMPUTED_VALUE"""),1015.3)</f>
        <v>1015.3</v>
      </c>
      <c r="I282" s="11">
        <f>IFERROR(__xludf.DUMMYFUNCTION("""COMPUTED_VALUE"""),43455.66666666667)</f>
        <v>43455.66667</v>
      </c>
      <c r="J282" s="9">
        <f>IFERROR(__xludf.DUMMYFUNCTION("""COMPUTED_VALUE"""),979.54)</f>
        <v>979.54</v>
      </c>
      <c r="L282" s="11">
        <f>IFERROR(__xludf.DUMMYFUNCTION("""COMPUTED_VALUE"""),43455.66666666667)</f>
        <v>43455.66667</v>
      </c>
      <c r="M282" s="9">
        <f>IFERROR(__xludf.DUMMYFUNCTION("""COMPUTED_VALUE"""),39.22)</f>
        <v>39.22</v>
      </c>
      <c r="N282" s="11">
        <f>IFERROR(__xludf.DUMMYFUNCTION("""COMPUTED_VALUE"""),43455.66666666667)</f>
        <v>43455.66667</v>
      </c>
      <c r="O282" s="9">
        <f>IFERROR(__xludf.DUMMYFUNCTION("""COMPUTED_VALUE"""),37.68)</f>
        <v>37.68</v>
      </c>
      <c r="Q282" s="11">
        <f>IFERROR(__xludf.DUMMYFUNCTION("""COMPUTED_VALUE"""),43455.66666666667)</f>
        <v>43455.66667</v>
      </c>
      <c r="R282" s="9">
        <f>IFERROR(__xludf.DUMMYFUNCTION("""COMPUTED_VALUE"""),133.39)</f>
        <v>133.39</v>
      </c>
      <c r="S282" s="11">
        <f>IFERROR(__xludf.DUMMYFUNCTION("""COMPUTED_VALUE"""),43455.66666666667)</f>
        <v>43455.66667</v>
      </c>
      <c r="T282" s="9">
        <f>IFERROR(__xludf.DUMMYFUNCTION("""COMPUTED_VALUE"""),124.95)</f>
        <v>124.95</v>
      </c>
      <c r="V282" s="11">
        <f>IFERROR(__xludf.DUMMYFUNCTION("""COMPUTED_VALUE"""),43455.66666666667)</f>
        <v>43455.66667</v>
      </c>
      <c r="W282" s="9">
        <f>IFERROR(__xludf.DUMMYFUNCTION("""COMPUTED_VALUE"""),263.83)</f>
        <v>263.83</v>
      </c>
      <c r="X282" s="11">
        <f>IFERROR(__xludf.DUMMYFUNCTION("""COMPUTED_VALUE"""),43455.66666666667)</f>
        <v>43455.66667</v>
      </c>
      <c r="Y282" s="9">
        <f>IFERROR(__xludf.DUMMYFUNCTION("""COMPUTED_VALUE"""),246.39)</f>
        <v>246.39</v>
      </c>
      <c r="AA282" s="11">
        <f>IFERROR(__xludf.DUMMYFUNCTION("""COMPUTED_VALUE"""),43455.66666666667)</f>
        <v>43455.66667</v>
      </c>
      <c r="AB282" s="9">
        <f>IFERROR(__xludf.DUMMYFUNCTION("""COMPUTED_VALUE"""),1464.99)</f>
        <v>1464.99</v>
      </c>
      <c r="AC282" s="11">
        <f>IFERROR(__xludf.DUMMYFUNCTION("""COMPUTED_VALUE"""),43455.66666666667)</f>
        <v>43455.66667</v>
      </c>
      <c r="AD282" s="9">
        <f>IFERROR(__xludf.DUMMYFUNCTION("""COMPUTED_VALUE"""),1377.45)</f>
        <v>1377.45</v>
      </c>
    </row>
    <row r="283">
      <c r="B283" s="11">
        <f>IFERROR(__xludf.DUMMYFUNCTION("""COMPUTED_VALUE"""),43458.54166666667)</f>
        <v>43458.54167</v>
      </c>
      <c r="C283" s="9">
        <f>IFERROR(__xludf.DUMMYFUNCTION("""COMPUTED_VALUE"""),62.7)</f>
        <v>62.7</v>
      </c>
      <c r="D283" s="11">
        <f>IFERROR(__xludf.DUMMYFUNCTION("""COMPUTED_VALUE"""),43458.54166666667)</f>
        <v>43458.54167</v>
      </c>
      <c r="E283" s="9">
        <f>IFERROR(__xludf.DUMMYFUNCTION("""COMPUTED_VALUE"""),59.08)</f>
        <v>59.08</v>
      </c>
      <c r="G283" s="11">
        <f>IFERROR(__xludf.DUMMYFUNCTION("""COMPUTED_VALUE"""),43458.54166666667)</f>
        <v>43458.54167</v>
      </c>
      <c r="H283" s="9">
        <f>IFERROR(__xludf.DUMMYFUNCTION("""COMPUTED_VALUE"""),973.9)</f>
        <v>973.9</v>
      </c>
      <c r="I283" s="11">
        <f>IFERROR(__xludf.DUMMYFUNCTION("""COMPUTED_VALUE"""),43458.54166666667)</f>
        <v>43458.54167</v>
      </c>
      <c r="J283" s="9">
        <f>IFERROR(__xludf.DUMMYFUNCTION("""COMPUTED_VALUE"""),976.22)</f>
        <v>976.22</v>
      </c>
      <c r="L283" s="11">
        <f>IFERROR(__xludf.DUMMYFUNCTION("""COMPUTED_VALUE"""),43458.54166666667)</f>
        <v>43458.54167</v>
      </c>
      <c r="M283" s="9">
        <f>IFERROR(__xludf.DUMMYFUNCTION("""COMPUTED_VALUE"""),37.04)</f>
        <v>37.04</v>
      </c>
      <c r="N283" s="11">
        <f>IFERROR(__xludf.DUMMYFUNCTION("""COMPUTED_VALUE"""),43458.54166666667)</f>
        <v>43458.54167</v>
      </c>
      <c r="O283" s="9">
        <f>IFERROR(__xludf.DUMMYFUNCTION("""COMPUTED_VALUE"""),36.71)</f>
        <v>36.71</v>
      </c>
      <c r="Q283" s="11">
        <f>IFERROR(__xludf.DUMMYFUNCTION("""COMPUTED_VALUE"""),43458.54166666667)</f>
        <v>43458.54167</v>
      </c>
      <c r="R283" s="9">
        <f>IFERROR(__xludf.DUMMYFUNCTION("""COMPUTED_VALUE"""),123.1)</f>
        <v>123.1</v>
      </c>
      <c r="S283" s="11">
        <f>IFERROR(__xludf.DUMMYFUNCTION("""COMPUTED_VALUE"""),43458.54166666667)</f>
        <v>43458.54167</v>
      </c>
      <c r="T283" s="9">
        <f>IFERROR(__xludf.DUMMYFUNCTION("""COMPUTED_VALUE"""),124.06)</f>
        <v>124.06</v>
      </c>
      <c r="V283" s="11">
        <f>IFERROR(__xludf.DUMMYFUNCTION("""COMPUTED_VALUE"""),43458.54166666667)</f>
        <v>43458.54167</v>
      </c>
      <c r="W283" s="9">
        <f>IFERROR(__xludf.DUMMYFUNCTION("""COMPUTED_VALUE"""),242.0)</f>
        <v>242</v>
      </c>
      <c r="X283" s="11">
        <f>IFERROR(__xludf.DUMMYFUNCTION("""COMPUTED_VALUE"""),43458.54166666667)</f>
        <v>43458.54167</v>
      </c>
      <c r="Y283" s="9">
        <f>IFERROR(__xludf.DUMMYFUNCTION("""COMPUTED_VALUE"""),233.88)</f>
        <v>233.88</v>
      </c>
      <c r="AA283" s="11">
        <f>IFERROR(__xludf.DUMMYFUNCTION("""COMPUTED_VALUE"""),43458.54166666667)</f>
        <v>43458.54167</v>
      </c>
      <c r="AB283" s="9">
        <f>IFERROR(__xludf.DUMMYFUNCTION("""COMPUTED_VALUE"""),1346.0)</f>
        <v>1346</v>
      </c>
      <c r="AC283" s="11">
        <f>IFERROR(__xludf.DUMMYFUNCTION("""COMPUTED_VALUE"""),43458.54166666667)</f>
        <v>43458.54167</v>
      </c>
      <c r="AD283" s="9">
        <f>IFERROR(__xludf.DUMMYFUNCTION("""COMPUTED_VALUE"""),1343.96)</f>
        <v>1343.96</v>
      </c>
    </row>
    <row r="284">
      <c r="B284" s="11">
        <f>IFERROR(__xludf.DUMMYFUNCTION("""COMPUTED_VALUE"""),43460.66666666667)</f>
        <v>43460.66667</v>
      </c>
      <c r="C284" s="9">
        <f>IFERROR(__xludf.DUMMYFUNCTION("""COMPUTED_VALUE"""),60.0)</f>
        <v>60</v>
      </c>
      <c r="D284" s="11">
        <f>IFERROR(__xludf.DUMMYFUNCTION("""COMPUTED_VALUE"""),43460.66666666667)</f>
        <v>43460.66667</v>
      </c>
      <c r="E284" s="9">
        <f>IFERROR(__xludf.DUMMYFUNCTION("""COMPUTED_VALUE"""),65.22)</f>
        <v>65.22</v>
      </c>
      <c r="G284" s="11">
        <f>IFERROR(__xludf.DUMMYFUNCTION("""COMPUTED_VALUE"""),43460.66666666667)</f>
        <v>43460.66667</v>
      </c>
      <c r="H284" s="9">
        <f>IFERROR(__xludf.DUMMYFUNCTION("""COMPUTED_VALUE"""),989.01)</f>
        <v>989.01</v>
      </c>
      <c r="I284" s="11">
        <f>IFERROR(__xludf.DUMMYFUNCTION("""COMPUTED_VALUE"""),43460.66666666667)</f>
        <v>43460.66667</v>
      </c>
      <c r="J284" s="9">
        <f>IFERROR(__xludf.DUMMYFUNCTION("""COMPUTED_VALUE"""),1039.46)</f>
        <v>1039.46</v>
      </c>
      <c r="L284" s="11">
        <f>IFERROR(__xludf.DUMMYFUNCTION("""COMPUTED_VALUE"""),43460.66666666667)</f>
        <v>43460.66667</v>
      </c>
      <c r="M284" s="9">
        <f>IFERROR(__xludf.DUMMYFUNCTION("""COMPUTED_VALUE"""),37.08)</f>
        <v>37.08</v>
      </c>
      <c r="N284" s="11">
        <f>IFERROR(__xludf.DUMMYFUNCTION("""COMPUTED_VALUE"""),43460.66666666667)</f>
        <v>43460.66667</v>
      </c>
      <c r="O284" s="9">
        <f>IFERROR(__xludf.DUMMYFUNCTION("""COMPUTED_VALUE"""),39.29)</f>
        <v>39.29</v>
      </c>
      <c r="Q284" s="11">
        <f>IFERROR(__xludf.DUMMYFUNCTION("""COMPUTED_VALUE"""),43460.66666666667)</f>
        <v>43460.66667</v>
      </c>
      <c r="R284" s="9">
        <f>IFERROR(__xludf.DUMMYFUNCTION("""COMPUTED_VALUE"""),126.0)</f>
        <v>126</v>
      </c>
      <c r="S284" s="11">
        <f>IFERROR(__xludf.DUMMYFUNCTION("""COMPUTED_VALUE"""),43460.66666666667)</f>
        <v>43460.66667</v>
      </c>
      <c r="T284" s="9">
        <f>IFERROR(__xludf.DUMMYFUNCTION("""COMPUTED_VALUE"""),134.18)</f>
        <v>134.18</v>
      </c>
      <c r="V284" s="11">
        <f>IFERROR(__xludf.DUMMYFUNCTION("""COMPUTED_VALUE"""),43460.66666666667)</f>
        <v>43460.66667</v>
      </c>
      <c r="W284" s="9">
        <f>IFERROR(__xludf.DUMMYFUNCTION("""COMPUTED_VALUE"""),233.92)</f>
        <v>233.92</v>
      </c>
      <c r="X284" s="11">
        <f>IFERROR(__xludf.DUMMYFUNCTION("""COMPUTED_VALUE"""),43460.66666666667)</f>
        <v>43460.66667</v>
      </c>
      <c r="Y284" s="9">
        <f>IFERROR(__xludf.DUMMYFUNCTION("""COMPUTED_VALUE"""),253.67)</f>
        <v>253.67</v>
      </c>
      <c r="AA284" s="11">
        <f>IFERROR(__xludf.DUMMYFUNCTION("""COMPUTED_VALUE"""),43460.66666666667)</f>
        <v>43460.66667</v>
      </c>
      <c r="AB284" s="9">
        <f>IFERROR(__xludf.DUMMYFUNCTION("""COMPUTED_VALUE"""),1368.89)</f>
        <v>1368.89</v>
      </c>
      <c r="AC284" s="11">
        <f>IFERROR(__xludf.DUMMYFUNCTION("""COMPUTED_VALUE"""),43460.66666666667)</f>
        <v>43460.66667</v>
      </c>
      <c r="AD284" s="9">
        <f>IFERROR(__xludf.DUMMYFUNCTION("""COMPUTED_VALUE"""),1470.9)</f>
        <v>1470.9</v>
      </c>
    </row>
    <row r="285">
      <c r="B285" s="11">
        <f>IFERROR(__xludf.DUMMYFUNCTION("""COMPUTED_VALUE"""),43461.66666666667)</f>
        <v>43461.66667</v>
      </c>
      <c r="C285" s="9">
        <f>IFERROR(__xludf.DUMMYFUNCTION("""COMPUTED_VALUE"""),63.97)</f>
        <v>63.97</v>
      </c>
      <c r="D285" s="11">
        <f>IFERROR(__xludf.DUMMYFUNCTION("""COMPUTED_VALUE"""),43461.66666666667)</f>
        <v>43461.66667</v>
      </c>
      <c r="E285" s="9">
        <f>IFERROR(__xludf.DUMMYFUNCTION("""COMPUTED_VALUE"""),63.23)</f>
        <v>63.23</v>
      </c>
      <c r="G285" s="11">
        <f>IFERROR(__xludf.DUMMYFUNCTION("""COMPUTED_VALUE"""),43461.66666666667)</f>
        <v>43461.66667</v>
      </c>
      <c r="H285" s="9">
        <f>IFERROR(__xludf.DUMMYFUNCTION("""COMPUTED_VALUE"""),1017.15)</f>
        <v>1017.15</v>
      </c>
      <c r="I285" s="11">
        <f>IFERROR(__xludf.DUMMYFUNCTION("""COMPUTED_VALUE"""),43461.66666666667)</f>
        <v>43461.66667</v>
      </c>
      <c r="J285" s="9">
        <f>IFERROR(__xludf.DUMMYFUNCTION("""COMPUTED_VALUE"""),1043.88)</f>
        <v>1043.88</v>
      </c>
      <c r="L285" s="11">
        <f>IFERROR(__xludf.DUMMYFUNCTION("""COMPUTED_VALUE"""),43461.66666666667)</f>
        <v>43461.66667</v>
      </c>
      <c r="M285" s="9">
        <f>IFERROR(__xludf.DUMMYFUNCTION("""COMPUTED_VALUE"""),38.96)</f>
        <v>38.96</v>
      </c>
      <c r="N285" s="11">
        <f>IFERROR(__xludf.DUMMYFUNCTION("""COMPUTED_VALUE"""),43461.66666666667)</f>
        <v>43461.66667</v>
      </c>
      <c r="O285" s="9">
        <f>IFERROR(__xludf.DUMMYFUNCTION("""COMPUTED_VALUE"""),39.04)</f>
        <v>39.04</v>
      </c>
      <c r="Q285" s="11">
        <f>IFERROR(__xludf.DUMMYFUNCTION("""COMPUTED_VALUE"""),43461.66666666667)</f>
        <v>43461.66667</v>
      </c>
      <c r="R285" s="9">
        <f>IFERROR(__xludf.DUMMYFUNCTION("""COMPUTED_VALUE"""),132.44)</f>
        <v>132.44</v>
      </c>
      <c r="S285" s="11">
        <f>IFERROR(__xludf.DUMMYFUNCTION("""COMPUTED_VALUE"""),43461.66666666667)</f>
        <v>43461.66667</v>
      </c>
      <c r="T285" s="9">
        <f>IFERROR(__xludf.DUMMYFUNCTION("""COMPUTED_VALUE"""),134.52)</f>
        <v>134.52</v>
      </c>
      <c r="V285" s="11">
        <f>IFERROR(__xludf.DUMMYFUNCTION("""COMPUTED_VALUE"""),43461.66666666667)</f>
        <v>43461.66667</v>
      </c>
      <c r="W285" s="9">
        <f>IFERROR(__xludf.DUMMYFUNCTION("""COMPUTED_VALUE"""),250.11)</f>
        <v>250.11</v>
      </c>
      <c r="X285" s="11">
        <f>IFERROR(__xludf.DUMMYFUNCTION("""COMPUTED_VALUE"""),43461.66666666667)</f>
        <v>43461.66667</v>
      </c>
      <c r="Y285" s="9">
        <f>IFERROR(__xludf.DUMMYFUNCTION("""COMPUTED_VALUE"""),255.57)</f>
        <v>255.57</v>
      </c>
      <c r="AA285" s="11">
        <f>IFERROR(__xludf.DUMMYFUNCTION("""COMPUTED_VALUE"""),43461.66666666667)</f>
        <v>43461.66667</v>
      </c>
      <c r="AB285" s="9">
        <f>IFERROR(__xludf.DUMMYFUNCTION("""COMPUTED_VALUE"""),1454.2)</f>
        <v>1454.2</v>
      </c>
      <c r="AC285" s="11">
        <f>IFERROR(__xludf.DUMMYFUNCTION("""COMPUTED_VALUE"""),43461.66666666667)</f>
        <v>43461.66667</v>
      </c>
      <c r="AD285" s="9">
        <f>IFERROR(__xludf.DUMMYFUNCTION("""COMPUTED_VALUE"""),1461.64)</f>
        <v>1461.64</v>
      </c>
    </row>
    <row r="286">
      <c r="B286" s="11">
        <f>IFERROR(__xludf.DUMMYFUNCTION("""COMPUTED_VALUE"""),43462.66666666667)</f>
        <v>43462.66667</v>
      </c>
      <c r="C286" s="9">
        <f>IFERROR(__xludf.DUMMYFUNCTION("""COMPUTED_VALUE"""),64.62)</f>
        <v>64.62</v>
      </c>
      <c r="D286" s="11">
        <f>IFERROR(__xludf.DUMMYFUNCTION("""COMPUTED_VALUE"""),43462.66666666667)</f>
        <v>43462.66667</v>
      </c>
      <c r="E286" s="9">
        <f>IFERROR(__xludf.DUMMYFUNCTION("""COMPUTED_VALUE"""),66.77)</f>
        <v>66.77</v>
      </c>
      <c r="G286" s="11">
        <f>IFERROR(__xludf.DUMMYFUNCTION("""COMPUTED_VALUE"""),43462.66666666667)</f>
        <v>43462.66667</v>
      </c>
      <c r="H286" s="9">
        <f>IFERROR(__xludf.DUMMYFUNCTION("""COMPUTED_VALUE"""),1049.62)</f>
        <v>1049.62</v>
      </c>
      <c r="I286" s="11">
        <f>IFERROR(__xludf.DUMMYFUNCTION("""COMPUTED_VALUE"""),43462.66666666667)</f>
        <v>43462.66667</v>
      </c>
      <c r="J286" s="9">
        <f>IFERROR(__xludf.DUMMYFUNCTION("""COMPUTED_VALUE"""),1037.08)</f>
        <v>1037.08</v>
      </c>
      <c r="L286" s="11">
        <f>IFERROR(__xludf.DUMMYFUNCTION("""COMPUTED_VALUE"""),43462.66666666667)</f>
        <v>43462.66667</v>
      </c>
      <c r="M286" s="9">
        <f>IFERROR(__xludf.DUMMYFUNCTION("""COMPUTED_VALUE"""),39.38)</f>
        <v>39.38</v>
      </c>
      <c r="N286" s="11">
        <f>IFERROR(__xludf.DUMMYFUNCTION("""COMPUTED_VALUE"""),43462.66666666667)</f>
        <v>43462.66667</v>
      </c>
      <c r="O286" s="9">
        <f>IFERROR(__xludf.DUMMYFUNCTION("""COMPUTED_VALUE"""),39.06)</f>
        <v>39.06</v>
      </c>
      <c r="Q286" s="11">
        <f>IFERROR(__xludf.DUMMYFUNCTION("""COMPUTED_VALUE"""),43462.66666666667)</f>
        <v>43462.66667</v>
      </c>
      <c r="R286" s="9">
        <f>IFERROR(__xludf.DUMMYFUNCTION("""COMPUTED_VALUE"""),135.34)</f>
        <v>135.34</v>
      </c>
      <c r="S286" s="11">
        <f>IFERROR(__xludf.DUMMYFUNCTION("""COMPUTED_VALUE"""),43462.66666666667)</f>
        <v>43462.66667</v>
      </c>
      <c r="T286" s="9">
        <f>IFERROR(__xludf.DUMMYFUNCTION("""COMPUTED_VALUE"""),133.2)</f>
        <v>133.2</v>
      </c>
      <c r="V286" s="11">
        <f>IFERROR(__xludf.DUMMYFUNCTION("""COMPUTED_VALUE"""),43462.66666666667)</f>
        <v>43462.66667</v>
      </c>
      <c r="W286" s="9">
        <f>IFERROR(__xludf.DUMMYFUNCTION("""COMPUTED_VALUE"""),257.94)</f>
        <v>257.94</v>
      </c>
      <c r="X286" s="11">
        <f>IFERROR(__xludf.DUMMYFUNCTION("""COMPUTED_VALUE"""),43462.66666666667)</f>
        <v>43462.66667</v>
      </c>
      <c r="Y286" s="9">
        <f>IFERROR(__xludf.DUMMYFUNCTION("""COMPUTED_VALUE"""),256.08)</f>
        <v>256.08</v>
      </c>
      <c r="AA286" s="11">
        <f>IFERROR(__xludf.DUMMYFUNCTION("""COMPUTED_VALUE"""),43462.66666666667)</f>
        <v>43462.66667</v>
      </c>
      <c r="AB286" s="9">
        <f>IFERROR(__xludf.DUMMYFUNCTION("""COMPUTED_VALUE"""),1473.35)</f>
        <v>1473.35</v>
      </c>
      <c r="AC286" s="11">
        <f>IFERROR(__xludf.DUMMYFUNCTION("""COMPUTED_VALUE"""),43462.66666666667)</f>
        <v>43462.66667</v>
      </c>
      <c r="AD286" s="9">
        <f>IFERROR(__xludf.DUMMYFUNCTION("""COMPUTED_VALUE"""),1478.02)</f>
        <v>1478.02</v>
      </c>
    </row>
    <row r="287">
      <c r="B287" s="11">
        <f>IFERROR(__xludf.DUMMYFUNCTION("""COMPUTED_VALUE"""),43465.66666666667)</f>
        <v>43465.66667</v>
      </c>
      <c r="C287" s="9">
        <f>IFERROR(__xludf.DUMMYFUNCTION("""COMPUTED_VALUE"""),67.56)</f>
        <v>67.56</v>
      </c>
      <c r="D287" s="11">
        <f>IFERROR(__xludf.DUMMYFUNCTION("""COMPUTED_VALUE"""),43465.66666666667)</f>
        <v>43465.66667</v>
      </c>
      <c r="E287" s="9">
        <f>IFERROR(__xludf.DUMMYFUNCTION("""COMPUTED_VALUE"""),66.56)</f>
        <v>66.56</v>
      </c>
      <c r="G287" s="11">
        <f>IFERROR(__xludf.DUMMYFUNCTION("""COMPUTED_VALUE"""),43465.66666666667)</f>
        <v>43465.66667</v>
      </c>
      <c r="H287" s="9">
        <f>IFERROR(__xludf.DUMMYFUNCTION("""COMPUTED_VALUE"""),1050.96)</f>
        <v>1050.96</v>
      </c>
      <c r="I287" s="11">
        <f>IFERROR(__xludf.DUMMYFUNCTION("""COMPUTED_VALUE"""),43465.66666666667)</f>
        <v>43465.66667</v>
      </c>
      <c r="J287" s="9">
        <f>IFERROR(__xludf.DUMMYFUNCTION("""COMPUTED_VALUE"""),1035.61)</f>
        <v>1035.61</v>
      </c>
      <c r="L287" s="11">
        <f>IFERROR(__xludf.DUMMYFUNCTION("""COMPUTED_VALUE"""),43465.66666666667)</f>
        <v>43465.66667</v>
      </c>
      <c r="M287" s="9">
        <f>IFERROR(__xludf.DUMMYFUNCTION("""COMPUTED_VALUE"""),39.63)</f>
        <v>39.63</v>
      </c>
      <c r="N287" s="11">
        <f>IFERROR(__xludf.DUMMYFUNCTION("""COMPUTED_VALUE"""),43465.66666666667)</f>
        <v>43465.66667</v>
      </c>
      <c r="O287" s="9">
        <f>IFERROR(__xludf.DUMMYFUNCTION("""COMPUTED_VALUE"""),39.44)</f>
        <v>39.44</v>
      </c>
      <c r="Q287" s="11">
        <f>IFERROR(__xludf.DUMMYFUNCTION("""COMPUTED_VALUE"""),43465.66666666667)</f>
        <v>43465.66667</v>
      </c>
      <c r="R287" s="9">
        <f>IFERROR(__xludf.DUMMYFUNCTION("""COMPUTED_VALUE"""),134.45)</f>
        <v>134.45</v>
      </c>
      <c r="S287" s="11">
        <f>IFERROR(__xludf.DUMMYFUNCTION("""COMPUTED_VALUE"""),43465.66666666667)</f>
        <v>43465.66667</v>
      </c>
      <c r="T287" s="9">
        <f>IFERROR(__xludf.DUMMYFUNCTION("""COMPUTED_VALUE"""),131.09)</f>
        <v>131.09</v>
      </c>
      <c r="V287" s="11">
        <f>IFERROR(__xludf.DUMMYFUNCTION("""COMPUTED_VALUE"""),43465.66666666667)</f>
        <v>43465.66667</v>
      </c>
      <c r="W287" s="9">
        <f>IFERROR(__xludf.DUMMYFUNCTION("""COMPUTED_VALUE"""),260.16)</f>
        <v>260.16</v>
      </c>
      <c r="X287" s="11">
        <f>IFERROR(__xludf.DUMMYFUNCTION("""COMPUTED_VALUE"""),43465.66666666667)</f>
        <v>43465.66667</v>
      </c>
      <c r="Y287" s="9">
        <f>IFERROR(__xludf.DUMMYFUNCTION("""COMPUTED_VALUE"""),267.66)</f>
        <v>267.66</v>
      </c>
      <c r="AA287" s="11">
        <f>IFERROR(__xludf.DUMMYFUNCTION("""COMPUTED_VALUE"""),43465.66666666667)</f>
        <v>43465.66667</v>
      </c>
      <c r="AB287" s="9">
        <f>IFERROR(__xludf.DUMMYFUNCTION("""COMPUTED_VALUE"""),1510.8)</f>
        <v>1510.8</v>
      </c>
      <c r="AC287" s="11">
        <f>IFERROR(__xludf.DUMMYFUNCTION("""COMPUTED_VALUE"""),43465.66666666667)</f>
        <v>43465.66667</v>
      </c>
      <c r="AD287" s="9">
        <f>IFERROR(__xludf.DUMMYFUNCTION("""COMPUTED_VALUE"""),1501.97)</f>
        <v>1501.97</v>
      </c>
    </row>
    <row r="288">
      <c r="B288" s="11">
        <f>IFERROR(__xludf.DUMMYFUNCTION("""COMPUTED_VALUE"""),43467.66666666667)</f>
        <v>43467.66667</v>
      </c>
      <c r="C288" s="9">
        <f>IFERROR(__xludf.DUMMYFUNCTION("""COMPUTED_VALUE"""),61.22)</f>
        <v>61.22</v>
      </c>
      <c r="D288" s="11">
        <f>IFERROR(__xludf.DUMMYFUNCTION("""COMPUTED_VALUE"""),43467.66666666667)</f>
        <v>43467.66667</v>
      </c>
      <c r="E288" s="9">
        <f>IFERROR(__xludf.DUMMYFUNCTION("""COMPUTED_VALUE"""),62.02)</f>
        <v>62.02</v>
      </c>
      <c r="G288" s="11">
        <f>IFERROR(__xludf.DUMMYFUNCTION("""COMPUTED_VALUE"""),43467.66666666667)</f>
        <v>43467.66667</v>
      </c>
      <c r="H288" s="9">
        <f>IFERROR(__xludf.DUMMYFUNCTION("""COMPUTED_VALUE"""),1016.57)</f>
        <v>1016.57</v>
      </c>
      <c r="I288" s="11">
        <f>IFERROR(__xludf.DUMMYFUNCTION("""COMPUTED_VALUE"""),43467.66666666667)</f>
        <v>43467.66667</v>
      </c>
      <c r="J288" s="9">
        <f>IFERROR(__xludf.DUMMYFUNCTION("""COMPUTED_VALUE"""),1045.85)</f>
        <v>1045.85</v>
      </c>
      <c r="L288" s="11">
        <f>IFERROR(__xludf.DUMMYFUNCTION("""COMPUTED_VALUE"""),43467.66666666667)</f>
        <v>43467.66667</v>
      </c>
      <c r="M288" s="9">
        <f>IFERROR(__xludf.DUMMYFUNCTION("""COMPUTED_VALUE"""),38.72)</f>
        <v>38.72</v>
      </c>
      <c r="N288" s="11">
        <f>IFERROR(__xludf.DUMMYFUNCTION("""COMPUTED_VALUE"""),43467.66666666667)</f>
        <v>43467.66667</v>
      </c>
      <c r="O288" s="9">
        <f>IFERROR(__xludf.DUMMYFUNCTION("""COMPUTED_VALUE"""),39.48)</f>
        <v>39.48</v>
      </c>
      <c r="Q288" s="11">
        <f>IFERROR(__xludf.DUMMYFUNCTION("""COMPUTED_VALUE"""),43467.66666666667)</f>
        <v>43467.66667</v>
      </c>
      <c r="R288" s="9">
        <f>IFERROR(__xludf.DUMMYFUNCTION("""COMPUTED_VALUE"""),128.99)</f>
        <v>128.99</v>
      </c>
      <c r="S288" s="11">
        <f>IFERROR(__xludf.DUMMYFUNCTION("""COMPUTED_VALUE"""),43467.66666666667)</f>
        <v>43467.66667</v>
      </c>
      <c r="T288" s="9">
        <f>IFERROR(__xludf.DUMMYFUNCTION("""COMPUTED_VALUE"""),135.68)</f>
        <v>135.68</v>
      </c>
      <c r="V288" s="11">
        <f>IFERROR(__xludf.DUMMYFUNCTION("""COMPUTED_VALUE"""),43467.66666666667)</f>
        <v>43467.66667</v>
      </c>
      <c r="W288" s="9">
        <f>IFERROR(__xludf.DUMMYFUNCTION("""COMPUTED_VALUE"""),259.28)</f>
        <v>259.28</v>
      </c>
      <c r="X288" s="11">
        <f>IFERROR(__xludf.DUMMYFUNCTION("""COMPUTED_VALUE"""),43467.66666666667)</f>
        <v>43467.66667</v>
      </c>
      <c r="Y288" s="9">
        <f>IFERROR(__xludf.DUMMYFUNCTION("""COMPUTED_VALUE"""),267.66)</f>
        <v>267.66</v>
      </c>
      <c r="AA288" s="11">
        <f>IFERROR(__xludf.DUMMYFUNCTION("""COMPUTED_VALUE"""),43467.66666666667)</f>
        <v>43467.66667</v>
      </c>
      <c r="AB288" s="9">
        <f>IFERROR(__xludf.DUMMYFUNCTION("""COMPUTED_VALUE"""),1465.2)</f>
        <v>1465.2</v>
      </c>
      <c r="AC288" s="11">
        <f>IFERROR(__xludf.DUMMYFUNCTION("""COMPUTED_VALUE"""),43467.66666666667)</f>
        <v>43467.66667</v>
      </c>
      <c r="AD288" s="9">
        <f>IFERROR(__xludf.DUMMYFUNCTION("""COMPUTED_VALUE"""),1539.13)</f>
        <v>1539.13</v>
      </c>
    </row>
    <row r="289">
      <c r="B289" s="11">
        <f>IFERROR(__xludf.DUMMYFUNCTION("""COMPUTED_VALUE"""),43468.66666666667)</f>
        <v>43468.66667</v>
      </c>
      <c r="C289" s="9">
        <f>IFERROR(__xludf.DUMMYFUNCTION("""COMPUTED_VALUE"""),61.4)</f>
        <v>61.4</v>
      </c>
      <c r="D289" s="11">
        <f>IFERROR(__xludf.DUMMYFUNCTION("""COMPUTED_VALUE"""),43468.66666666667)</f>
        <v>43468.66667</v>
      </c>
      <c r="E289" s="9">
        <f>IFERROR(__xludf.DUMMYFUNCTION("""COMPUTED_VALUE"""),60.07)</f>
        <v>60.07</v>
      </c>
      <c r="G289" s="11">
        <f>IFERROR(__xludf.DUMMYFUNCTION("""COMPUTED_VALUE"""),43468.66666666667)</f>
        <v>43468.66667</v>
      </c>
      <c r="H289" s="9">
        <f>IFERROR(__xludf.DUMMYFUNCTION("""COMPUTED_VALUE"""),1041.0)</f>
        <v>1041</v>
      </c>
      <c r="I289" s="11">
        <f>IFERROR(__xludf.DUMMYFUNCTION("""COMPUTED_VALUE"""),43468.66666666667)</f>
        <v>43468.66667</v>
      </c>
      <c r="J289" s="9">
        <f>IFERROR(__xludf.DUMMYFUNCTION("""COMPUTED_VALUE"""),1016.06)</f>
        <v>1016.06</v>
      </c>
      <c r="L289" s="11">
        <f>IFERROR(__xludf.DUMMYFUNCTION("""COMPUTED_VALUE"""),43468.66666666667)</f>
        <v>43468.66667</v>
      </c>
      <c r="M289" s="9">
        <f>IFERROR(__xludf.DUMMYFUNCTION("""COMPUTED_VALUE"""),35.99)</f>
        <v>35.99</v>
      </c>
      <c r="N289" s="11">
        <f>IFERROR(__xludf.DUMMYFUNCTION("""COMPUTED_VALUE"""),43468.66666666667)</f>
        <v>43468.66667</v>
      </c>
      <c r="O289" s="9">
        <f>IFERROR(__xludf.DUMMYFUNCTION("""COMPUTED_VALUE"""),35.55)</f>
        <v>35.55</v>
      </c>
      <c r="Q289" s="11">
        <f>IFERROR(__xludf.DUMMYFUNCTION("""COMPUTED_VALUE"""),43468.66666666667)</f>
        <v>43468.66667</v>
      </c>
      <c r="R289" s="9">
        <f>IFERROR(__xludf.DUMMYFUNCTION("""COMPUTED_VALUE"""),134.69)</f>
        <v>134.69</v>
      </c>
      <c r="S289" s="11">
        <f>IFERROR(__xludf.DUMMYFUNCTION("""COMPUTED_VALUE"""),43468.66666666667)</f>
        <v>43468.66667</v>
      </c>
      <c r="T289" s="9">
        <f>IFERROR(__xludf.DUMMYFUNCTION("""COMPUTED_VALUE"""),131.74)</f>
        <v>131.74</v>
      </c>
      <c r="V289" s="11">
        <f>IFERROR(__xludf.DUMMYFUNCTION("""COMPUTED_VALUE"""),43468.66666666667)</f>
        <v>43468.66667</v>
      </c>
      <c r="W289" s="9">
        <f>IFERROR(__xludf.DUMMYFUNCTION("""COMPUTED_VALUE"""),270.2)</f>
        <v>270.2</v>
      </c>
      <c r="X289" s="11">
        <f>IFERROR(__xludf.DUMMYFUNCTION("""COMPUTED_VALUE"""),43468.66666666667)</f>
        <v>43468.66667</v>
      </c>
      <c r="Y289" s="9">
        <f>IFERROR(__xludf.DUMMYFUNCTION("""COMPUTED_VALUE"""),271.2)</f>
        <v>271.2</v>
      </c>
      <c r="AA289" s="11">
        <f>IFERROR(__xludf.DUMMYFUNCTION("""COMPUTED_VALUE"""),43468.66666666667)</f>
        <v>43468.66667</v>
      </c>
      <c r="AB289" s="9">
        <f>IFERROR(__xludf.DUMMYFUNCTION("""COMPUTED_VALUE"""),1520.01)</f>
        <v>1520.01</v>
      </c>
      <c r="AC289" s="11">
        <f>IFERROR(__xludf.DUMMYFUNCTION("""COMPUTED_VALUE"""),43468.66666666667)</f>
        <v>43468.66667</v>
      </c>
      <c r="AD289" s="9">
        <f>IFERROR(__xludf.DUMMYFUNCTION("""COMPUTED_VALUE"""),1500.28)</f>
        <v>1500.28</v>
      </c>
    </row>
    <row r="290">
      <c r="B290" s="11">
        <f>IFERROR(__xludf.DUMMYFUNCTION("""COMPUTED_VALUE"""),43469.66666666667)</f>
        <v>43469.66667</v>
      </c>
      <c r="C290" s="9">
        <f>IFERROR(__xludf.DUMMYFUNCTION("""COMPUTED_VALUE"""),61.2)</f>
        <v>61.2</v>
      </c>
      <c r="D290" s="11">
        <f>IFERROR(__xludf.DUMMYFUNCTION("""COMPUTED_VALUE"""),43469.66666666667)</f>
        <v>43469.66667</v>
      </c>
      <c r="E290" s="9">
        <f>IFERROR(__xludf.DUMMYFUNCTION("""COMPUTED_VALUE"""),63.54)</f>
        <v>63.54</v>
      </c>
      <c r="G290" s="11">
        <f>IFERROR(__xludf.DUMMYFUNCTION("""COMPUTED_VALUE"""),43469.66666666667)</f>
        <v>43469.66667</v>
      </c>
      <c r="H290" s="9">
        <f>IFERROR(__xludf.DUMMYFUNCTION("""COMPUTED_VALUE"""),1032.59)</f>
        <v>1032.59</v>
      </c>
      <c r="I290" s="11">
        <f>IFERROR(__xludf.DUMMYFUNCTION("""COMPUTED_VALUE"""),43469.66666666667)</f>
        <v>43469.66667</v>
      </c>
      <c r="J290" s="9">
        <f>IFERROR(__xludf.DUMMYFUNCTION("""COMPUTED_VALUE"""),1070.71)</f>
        <v>1070.71</v>
      </c>
      <c r="L290" s="11">
        <f>IFERROR(__xludf.DUMMYFUNCTION("""COMPUTED_VALUE"""),43469.66666666667)</f>
        <v>43469.66667</v>
      </c>
      <c r="M290" s="9">
        <f>IFERROR(__xludf.DUMMYFUNCTION("""COMPUTED_VALUE"""),36.13)</f>
        <v>36.13</v>
      </c>
      <c r="N290" s="11">
        <f>IFERROR(__xludf.DUMMYFUNCTION("""COMPUTED_VALUE"""),43469.66666666667)</f>
        <v>43469.66667</v>
      </c>
      <c r="O290" s="9">
        <f>IFERROR(__xludf.DUMMYFUNCTION("""COMPUTED_VALUE"""),37.07)</f>
        <v>37.07</v>
      </c>
      <c r="Q290" s="11">
        <f>IFERROR(__xludf.DUMMYFUNCTION("""COMPUTED_VALUE"""),43469.66666666667)</f>
        <v>43469.66667</v>
      </c>
      <c r="R290" s="9">
        <f>IFERROR(__xludf.DUMMYFUNCTION("""COMPUTED_VALUE"""),134.01)</f>
        <v>134.01</v>
      </c>
      <c r="S290" s="11">
        <f>IFERROR(__xludf.DUMMYFUNCTION("""COMPUTED_VALUE"""),43469.66666666667)</f>
        <v>43469.66667</v>
      </c>
      <c r="T290" s="9">
        <f>IFERROR(__xludf.DUMMYFUNCTION("""COMPUTED_VALUE"""),137.95)</f>
        <v>137.95</v>
      </c>
      <c r="V290" s="11">
        <f>IFERROR(__xludf.DUMMYFUNCTION("""COMPUTED_VALUE"""),43469.66666666667)</f>
        <v>43469.66667</v>
      </c>
      <c r="W290" s="9">
        <f>IFERROR(__xludf.DUMMYFUNCTION("""COMPUTED_VALUE"""),281.88)</f>
        <v>281.88</v>
      </c>
      <c r="X290" s="11">
        <f>IFERROR(__xludf.DUMMYFUNCTION("""COMPUTED_VALUE"""),43469.66666666667)</f>
        <v>43469.66667</v>
      </c>
      <c r="Y290" s="9">
        <f>IFERROR(__xludf.DUMMYFUNCTION("""COMPUTED_VALUE"""),297.57)</f>
        <v>297.57</v>
      </c>
      <c r="AA290" s="11">
        <f>IFERROR(__xludf.DUMMYFUNCTION("""COMPUTED_VALUE"""),43469.66666666667)</f>
        <v>43469.66667</v>
      </c>
      <c r="AB290" s="9">
        <f>IFERROR(__xludf.DUMMYFUNCTION("""COMPUTED_VALUE"""),1530.0)</f>
        <v>1530</v>
      </c>
      <c r="AC290" s="11">
        <f>IFERROR(__xludf.DUMMYFUNCTION("""COMPUTED_VALUE"""),43469.66666666667)</f>
        <v>43469.66667</v>
      </c>
      <c r="AD290" s="9">
        <f>IFERROR(__xludf.DUMMYFUNCTION("""COMPUTED_VALUE"""),1575.39)</f>
        <v>1575.39</v>
      </c>
    </row>
    <row r="291">
      <c r="B291" s="11">
        <f>IFERROR(__xludf.DUMMYFUNCTION("""COMPUTED_VALUE"""),43472.66666666667)</f>
        <v>43472.66667</v>
      </c>
      <c r="C291" s="9">
        <f>IFERROR(__xludf.DUMMYFUNCTION("""COMPUTED_VALUE"""),64.34)</f>
        <v>64.34</v>
      </c>
      <c r="D291" s="11">
        <f>IFERROR(__xludf.DUMMYFUNCTION("""COMPUTED_VALUE"""),43472.66666666667)</f>
        <v>43472.66667</v>
      </c>
      <c r="E291" s="9">
        <f>IFERROR(__xludf.DUMMYFUNCTION("""COMPUTED_VALUE"""),66.99)</f>
        <v>66.99</v>
      </c>
      <c r="G291" s="11">
        <f>IFERROR(__xludf.DUMMYFUNCTION("""COMPUTED_VALUE"""),43472.66666666667)</f>
        <v>43472.66667</v>
      </c>
      <c r="H291" s="9">
        <f>IFERROR(__xludf.DUMMYFUNCTION("""COMPUTED_VALUE"""),1071.5)</f>
        <v>1071.5</v>
      </c>
      <c r="I291" s="11">
        <f>IFERROR(__xludf.DUMMYFUNCTION("""COMPUTED_VALUE"""),43472.66666666667)</f>
        <v>43472.66667</v>
      </c>
      <c r="J291" s="9">
        <f>IFERROR(__xludf.DUMMYFUNCTION("""COMPUTED_VALUE"""),1068.39)</f>
        <v>1068.39</v>
      </c>
      <c r="L291" s="11">
        <f>IFERROR(__xludf.DUMMYFUNCTION("""COMPUTED_VALUE"""),43472.66666666667)</f>
        <v>43472.66667</v>
      </c>
      <c r="M291" s="9">
        <f>IFERROR(__xludf.DUMMYFUNCTION("""COMPUTED_VALUE"""),37.17)</f>
        <v>37.17</v>
      </c>
      <c r="N291" s="11">
        <f>IFERROR(__xludf.DUMMYFUNCTION("""COMPUTED_VALUE"""),43472.66666666667)</f>
        <v>43472.66667</v>
      </c>
      <c r="O291" s="9">
        <f>IFERROR(__xludf.DUMMYFUNCTION("""COMPUTED_VALUE"""),36.98)</f>
        <v>36.98</v>
      </c>
      <c r="Q291" s="11">
        <f>IFERROR(__xludf.DUMMYFUNCTION("""COMPUTED_VALUE"""),43472.66666666667)</f>
        <v>43472.66667</v>
      </c>
      <c r="R291" s="9">
        <f>IFERROR(__xludf.DUMMYFUNCTION("""COMPUTED_VALUE"""),137.56)</f>
        <v>137.56</v>
      </c>
      <c r="S291" s="11">
        <f>IFERROR(__xludf.DUMMYFUNCTION("""COMPUTED_VALUE"""),43472.66666666667)</f>
        <v>43472.66667</v>
      </c>
      <c r="T291" s="9">
        <f>IFERROR(__xludf.DUMMYFUNCTION("""COMPUTED_VALUE"""),138.05)</f>
        <v>138.05</v>
      </c>
      <c r="V291" s="11">
        <f>IFERROR(__xludf.DUMMYFUNCTION("""COMPUTED_VALUE"""),43472.66666666667)</f>
        <v>43472.66667</v>
      </c>
      <c r="W291" s="9">
        <f>IFERROR(__xludf.DUMMYFUNCTION("""COMPUTED_VALUE"""),302.1)</f>
        <v>302.1</v>
      </c>
      <c r="X291" s="11">
        <f>IFERROR(__xludf.DUMMYFUNCTION("""COMPUTED_VALUE"""),43472.66666666667)</f>
        <v>43472.66667</v>
      </c>
      <c r="Y291" s="9">
        <f>IFERROR(__xludf.DUMMYFUNCTION("""COMPUTED_VALUE"""),315.34)</f>
        <v>315.34</v>
      </c>
      <c r="AA291" s="11">
        <f>IFERROR(__xludf.DUMMYFUNCTION("""COMPUTED_VALUE"""),43472.66666666667)</f>
        <v>43472.66667</v>
      </c>
      <c r="AB291" s="9">
        <f>IFERROR(__xludf.DUMMYFUNCTION("""COMPUTED_VALUE"""),1602.31)</f>
        <v>1602.31</v>
      </c>
      <c r="AC291" s="11">
        <f>IFERROR(__xludf.DUMMYFUNCTION("""COMPUTED_VALUE"""),43472.66666666667)</f>
        <v>43472.66667</v>
      </c>
      <c r="AD291" s="9">
        <f>IFERROR(__xludf.DUMMYFUNCTION("""COMPUTED_VALUE"""),1629.51)</f>
        <v>1629.51</v>
      </c>
    </row>
    <row r="292">
      <c r="B292" s="11">
        <f>IFERROR(__xludf.DUMMYFUNCTION("""COMPUTED_VALUE"""),43473.66666666667)</f>
        <v>43473.66667</v>
      </c>
      <c r="C292" s="9">
        <f>IFERROR(__xludf.DUMMYFUNCTION("""COMPUTED_VALUE"""),68.39)</f>
        <v>68.39</v>
      </c>
      <c r="D292" s="11">
        <f>IFERROR(__xludf.DUMMYFUNCTION("""COMPUTED_VALUE"""),43473.66666666667)</f>
        <v>43473.66667</v>
      </c>
      <c r="E292" s="9">
        <f>IFERROR(__xludf.DUMMYFUNCTION("""COMPUTED_VALUE"""),67.07)</f>
        <v>67.07</v>
      </c>
      <c r="G292" s="11">
        <f>IFERROR(__xludf.DUMMYFUNCTION("""COMPUTED_VALUE"""),43473.66666666667)</f>
        <v>43473.66667</v>
      </c>
      <c r="H292" s="9">
        <f>IFERROR(__xludf.DUMMYFUNCTION("""COMPUTED_VALUE"""),1076.11)</f>
        <v>1076.11</v>
      </c>
      <c r="I292" s="11">
        <f>IFERROR(__xludf.DUMMYFUNCTION("""COMPUTED_VALUE"""),43473.66666666667)</f>
        <v>43473.66667</v>
      </c>
      <c r="J292" s="9">
        <f>IFERROR(__xludf.DUMMYFUNCTION("""COMPUTED_VALUE"""),1076.28)</f>
        <v>1076.28</v>
      </c>
      <c r="L292" s="11">
        <f>IFERROR(__xludf.DUMMYFUNCTION("""COMPUTED_VALUE"""),43473.66666666667)</f>
        <v>43473.66667</v>
      </c>
      <c r="M292" s="9">
        <f>IFERROR(__xludf.DUMMYFUNCTION("""COMPUTED_VALUE"""),37.39)</f>
        <v>37.39</v>
      </c>
      <c r="N292" s="11">
        <f>IFERROR(__xludf.DUMMYFUNCTION("""COMPUTED_VALUE"""),43473.66666666667)</f>
        <v>43473.66667</v>
      </c>
      <c r="O292" s="9">
        <f>IFERROR(__xludf.DUMMYFUNCTION("""COMPUTED_VALUE"""),37.69)</f>
        <v>37.69</v>
      </c>
      <c r="Q292" s="11">
        <f>IFERROR(__xludf.DUMMYFUNCTION("""COMPUTED_VALUE"""),43473.66666666667)</f>
        <v>43473.66667</v>
      </c>
      <c r="R292" s="9">
        <f>IFERROR(__xludf.DUMMYFUNCTION("""COMPUTED_VALUE"""),139.89)</f>
        <v>139.89</v>
      </c>
      <c r="S292" s="11">
        <f>IFERROR(__xludf.DUMMYFUNCTION("""COMPUTED_VALUE"""),43473.66666666667)</f>
        <v>43473.66667</v>
      </c>
      <c r="T292" s="9">
        <f>IFERROR(__xludf.DUMMYFUNCTION("""COMPUTED_VALUE"""),142.53)</f>
        <v>142.53</v>
      </c>
      <c r="V292" s="11">
        <f>IFERROR(__xludf.DUMMYFUNCTION("""COMPUTED_VALUE"""),43473.66666666667)</f>
        <v>43473.66667</v>
      </c>
      <c r="W292" s="9">
        <f>IFERROR(__xludf.DUMMYFUNCTION("""COMPUTED_VALUE"""),319.98)</f>
        <v>319.98</v>
      </c>
      <c r="X292" s="11">
        <f>IFERROR(__xludf.DUMMYFUNCTION("""COMPUTED_VALUE"""),43473.66666666667)</f>
        <v>43473.66667</v>
      </c>
      <c r="Y292" s="9">
        <f>IFERROR(__xludf.DUMMYFUNCTION("""COMPUTED_VALUE"""),320.27)</f>
        <v>320.27</v>
      </c>
      <c r="AA292" s="11">
        <f>IFERROR(__xludf.DUMMYFUNCTION("""COMPUTED_VALUE"""),43473.66666666667)</f>
        <v>43473.66667</v>
      </c>
      <c r="AB292" s="9">
        <f>IFERROR(__xludf.DUMMYFUNCTION("""COMPUTED_VALUE"""),1664.69)</f>
        <v>1664.69</v>
      </c>
      <c r="AC292" s="11">
        <f>IFERROR(__xludf.DUMMYFUNCTION("""COMPUTED_VALUE"""),43473.66666666667)</f>
        <v>43473.66667</v>
      </c>
      <c r="AD292" s="9">
        <f>IFERROR(__xludf.DUMMYFUNCTION("""COMPUTED_VALUE"""),1656.58)</f>
        <v>1656.58</v>
      </c>
    </row>
    <row r="293">
      <c r="B293" s="11">
        <f>IFERROR(__xludf.DUMMYFUNCTION("""COMPUTED_VALUE"""),43474.66666666667)</f>
        <v>43474.66667</v>
      </c>
      <c r="C293" s="9">
        <f>IFERROR(__xludf.DUMMYFUNCTION("""COMPUTED_VALUE"""),67.1)</f>
        <v>67.1</v>
      </c>
      <c r="D293" s="11">
        <f>IFERROR(__xludf.DUMMYFUNCTION("""COMPUTED_VALUE"""),43474.66666666667)</f>
        <v>43474.66667</v>
      </c>
      <c r="E293" s="9">
        <f>IFERROR(__xludf.DUMMYFUNCTION("""COMPUTED_VALUE"""),67.71)</f>
        <v>67.71</v>
      </c>
      <c r="G293" s="11">
        <f>IFERROR(__xludf.DUMMYFUNCTION("""COMPUTED_VALUE"""),43474.66666666667)</f>
        <v>43474.66667</v>
      </c>
      <c r="H293" s="9">
        <f>IFERROR(__xludf.DUMMYFUNCTION("""COMPUTED_VALUE"""),1081.65)</f>
        <v>1081.65</v>
      </c>
      <c r="I293" s="11">
        <f>IFERROR(__xludf.DUMMYFUNCTION("""COMPUTED_VALUE"""),43474.66666666667)</f>
        <v>43474.66667</v>
      </c>
      <c r="J293" s="9">
        <f>IFERROR(__xludf.DUMMYFUNCTION("""COMPUTED_VALUE"""),1074.66)</f>
        <v>1074.66</v>
      </c>
      <c r="L293" s="11">
        <f>IFERROR(__xludf.DUMMYFUNCTION("""COMPUTED_VALUE"""),43474.66666666667)</f>
        <v>43474.66667</v>
      </c>
      <c r="M293" s="9">
        <f>IFERROR(__xludf.DUMMYFUNCTION("""COMPUTED_VALUE"""),37.82)</f>
        <v>37.82</v>
      </c>
      <c r="N293" s="11">
        <f>IFERROR(__xludf.DUMMYFUNCTION("""COMPUTED_VALUE"""),43474.66666666667)</f>
        <v>43474.66667</v>
      </c>
      <c r="O293" s="9">
        <f>IFERROR(__xludf.DUMMYFUNCTION("""COMPUTED_VALUE"""),38.33)</f>
        <v>38.33</v>
      </c>
      <c r="Q293" s="11">
        <f>IFERROR(__xludf.DUMMYFUNCTION("""COMPUTED_VALUE"""),43474.66666666667)</f>
        <v>43474.66667</v>
      </c>
      <c r="R293" s="9">
        <f>IFERROR(__xludf.DUMMYFUNCTION("""COMPUTED_VALUE"""),142.95)</f>
        <v>142.95</v>
      </c>
      <c r="S293" s="11">
        <f>IFERROR(__xludf.DUMMYFUNCTION("""COMPUTED_VALUE"""),43474.66666666667)</f>
        <v>43474.66667</v>
      </c>
      <c r="T293" s="9">
        <f>IFERROR(__xludf.DUMMYFUNCTION("""COMPUTED_VALUE"""),144.23)</f>
        <v>144.23</v>
      </c>
      <c r="V293" s="11">
        <f>IFERROR(__xludf.DUMMYFUNCTION("""COMPUTED_VALUE"""),43474.66666666667)</f>
        <v>43474.66667</v>
      </c>
      <c r="W293" s="9">
        <f>IFERROR(__xludf.DUMMYFUNCTION("""COMPUTED_VALUE"""),317.71)</f>
        <v>317.71</v>
      </c>
      <c r="X293" s="11">
        <f>IFERROR(__xludf.DUMMYFUNCTION("""COMPUTED_VALUE"""),43474.66666666667)</f>
        <v>43474.66667</v>
      </c>
      <c r="Y293" s="9">
        <f>IFERROR(__xludf.DUMMYFUNCTION("""COMPUTED_VALUE"""),319.96)</f>
        <v>319.96</v>
      </c>
      <c r="AA293" s="11">
        <f>IFERROR(__xludf.DUMMYFUNCTION("""COMPUTED_VALUE"""),43474.66666666667)</f>
        <v>43474.66667</v>
      </c>
      <c r="AB293" s="9">
        <f>IFERROR(__xludf.DUMMYFUNCTION("""COMPUTED_VALUE"""),1652.98)</f>
        <v>1652.98</v>
      </c>
      <c r="AC293" s="11">
        <f>IFERROR(__xludf.DUMMYFUNCTION("""COMPUTED_VALUE"""),43474.66666666667)</f>
        <v>43474.66667</v>
      </c>
      <c r="AD293" s="9">
        <f>IFERROR(__xludf.DUMMYFUNCTION("""COMPUTED_VALUE"""),1659.42)</f>
        <v>1659.42</v>
      </c>
    </row>
    <row r="294">
      <c r="B294" s="11">
        <f>IFERROR(__xludf.DUMMYFUNCTION("""COMPUTED_VALUE"""),43475.66666666667)</f>
        <v>43475.66667</v>
      </c>
      <c r="C294" s="9">
        <f>IFERROR(__xludf.DUMMYFUNCTION("""COMPUTED_VALUE"""),66.88)</f>
        <v>66.88</v>
      </c>
      <c r="D294" s="11">
        <f>IFERROR(__xludf.DUMMYFUNCTION("""COMPUTED_VALUE"""),43475.66666666667)</f>
        <v>43475.66667</v>
      </c>
      <c r="E294" s="9">
        <f>IFERROR(__xludf.DUMMYFUNCTION("""COMPUTED_VALUE"""),68.99)</f>
        <v>68.99</v>
      </c>
      <c r="G294" s="11">
        <f>IFERROR(__xludf.DUMMYFUNCTION("""COMPUTED_VALUE"""),43475.66666666667)</f>
        <v>43475.66667</v>
      </c>
      <c r="H294" s="9">
        <f>IFERROR(__xludf.DUMMYFUNCTION("""COMPUTED_VALUE"""),1067.66)</f>
        <v>1067.66</v>
      </c>
      <c r="I294" s="11">
        <f>IFERROR(__xludf.DUMMYFUNCTION("""COMPUTED_VALUE"""),43475.66666666667)</f>
        <v>43475.66667</v>
      </c>
      <c r="J294" s="9">
        <f>IFERROR(__xludf.DUMMYFUNCTION("""COMPUTED_VALUE"""),1070.33)</f>
        <v>1070.33</v>
      </c>
      <c r="L294" s="11">
        <f>IFERROR(__xludf.DUMMYFUNCTION("""COMPUTED_VALUE"""),43475.66666666667)</f>
        <v>43475.66667</v>
      </c>
      <c r="M294" s="9">
        <f>IFERROR(__xludf.DUMMYFUNCTION("""COMPUTED_VALUE"""),38.13)</f>
        <v>38.13</v>
      </c>
      <c r="N294" s="11">
        <f>IFERROR(__xludf.DUMMYFUNCTION("""COMPUTED_VALUE"""),43475.66666666667)</f>
        <v>43475.66667</v>
      </c>
      <c r="O294" s="9">
        <f>IFERROR(__xludf.DUMMYFUNCTION("""COMPUTED_VALUE"""),38.45)</f>
        <v>38.45</v>
      </c>
      <c r="Q294" s="11">
        <f>IFERROR(__xludf.DUMMYFUNCTION("""COMPUTED_VALUE"""),43475.66666666667)</f>
        <v>43475.66667</v>
      </c>
      <c r="R294" s="9">
        <f>IFERROR(__xludf.DUMMYFUNCTION("""COMPUTED_VALUE"""),143.08)</f>
        <v>143.08</v>
      </c>
      <c r="S294" s="11">
        <f>IFERROR(__xludf.DUMMYFUNCTION("""COMPUTED_VALUE"""),43475.66666666667)</f>
        <v>43475.66667</v>
      </c>
      <c r="T294" s="9">
        <f>IFERROR(__xludf.DUMMYFUNCTION("""COMPUTED_VALUE"""),144.2)</f>
        <v>144.2</v>
      </c>
      <c r="V294" s="11">
        <f>IFERROR(__xludf.DUMMYFUNCTION("""COMPUTED_VALUE"""),43475.66666666667)</f>
        <v>43475.66667</v>
      </c>
      <c r="W294" s="9">
        <f>IFERROR(__xludf.DUMMYFUNCTION("""COMPUTED_VALUE"""),314.57)</f>
        <v>314.57</v>
      </c>
      <c r="X294" s="11">
        <f>IFERROR(__xludf.DUMMYFUNCTION("""COMPUTED_VALUE"""),43475.66666666667)</f>
        <v>43475.66667</v>
      </c>
      <c r="Y294" s="9">
        <f>IFERROR(__xludf.DUMMYFUNCTION("""COMPUTED_VALUE"""),324.66)</f>
        <v>324.66</v>
      </c>
      <c r="AA294" s="11">
        <f>IFERROR(__xludf.DUMMYFUNCTION("""COMPUTED_VALUE"""),43475.66666666667)</f>
        <v>43475.66667</v>
      </c>
      <c r="AB294" s="9">
        <f>IFERROR(__xludf.DUMMYFUNCTION("""COMPUTED_VALUE"""),1641.01)</f>
        <v>1641.01</v>
      </c>
      <c r="AC294" s="11">
        <f>IFERROR(__xludf.DUMMYFUNCTION("""COMPUTED_VALUE"""),43475.66666666667)</f>
        <v>43475.66667</v>
      </c>
      <c r="AD294" s="9">
        <f>IFERROR(__xludf.DUMMYFUNCTION("""COMPUTED_VALUE"""),1656.22)</f>
        <v>1656.22</v>
      </c>
    </row>
    <row r="295">
      <c r="B295" s="11">
        <f>IFERROR(__xludf.DUMMYFUNCTION("""COMPUTED_VALUE"""),43476.66666666667)</f>
        <v>43476.66667</v>
      </c>
      <c r="C295" s="9">
        <f>IFERROR(__xludf.DUMMYFUNCTION("""COMPUTED_VALUE"""),68.42)</f>
        <v>68.42</v>
      </c>
      <c r="D295" s="11">
        <f>IFERROR(__xludf.DUMMYFUNCTION("""COMPUTED_VALUE"""),43476.66666666667)</f>
        <v>43476.66667</v>
      </c>
      <c r="E295" s="9">
        <f>IFERROR(__xludf.DUMMYFUNCTION("""COMPUTED_VALUE"""),69.45)</f>
        <v>69.45</v>
      </c>
      <c r="G295" s="11">
        <f>IFERROR(__xludf.DUMMYFUNCTION("""COMPUTED_VALUE"""),43476.66666666667)</f>
        <v>43476.66667</v>
      </c>
      <c r="H295" s="9">
        <f>IFERROR(__xludf.DUMMYFUNCTION("""COMPUTED_VALUE"""),1063.18)</f>
        <v>1063.18</v>
      </c>
      <c r="I295" s="11">
        <f>IFERROR(__xludf.DUMMYFUNCTION("""COMPUTED_VALUE"""),43476.66666666667)</f>
        <v>43476.66667</v>
      </c>
      <c r="J295" s="9">
        <f>IFERROR(__xludf.DUMMYFUNCTION("""COMPUTED_VALUE"""),1057.19)</f>
        <v>1057.19</v>
      </c>
      <c r="L295" s="11">
        <f>IFERROR(__xludf.DUMMYFUNCTION("""COMPUTED_VALUE"""),43476.66666666667)</f>
        <v>43476.66667</v>
      </c>
      <c r="M295" s="9">
        <f>IFERROR(__xludf.DUMMYFUNCTION("""COMPUTED_VALUE"""),38.22)</f>
        <v>38.22</v>
      </c>
      <c r="N295" s="11">
        <f>IFERROR(__xludf.DUMMYFUNCTION("""COMPUTED_VALUE"""),43476.66666666667)</f>
        <v>43476.66667</v>
      </c>
      <c r="O295" s="9">
        <f>IFERROR(__xludf.DUMMYFUNCTION("""COMPUTED_VALUE"""),38.07)</f>
        <v>38.07</v>
      </c>
      <c r="Q295" s="11">
        <f>IFERROR(__xludf.DUMMYFUNCTION("""COMPUTED_VALUE"""),43476.66666666667)</f>
        <v>43476.66667</v>
      </c>
      <c r="R295" s="9">
        <f>IFERROR(__xludf.DUMMYFUNCTION("""COMPUTED_VALUE"""),143.15)</f>
        <v>143.15</v>
      </c>
      <c r="S295" s="11">
        <f>IFERROR(__xludf.DUMMYFUNCTION("""COMPUTED_VALUE"""),43476.66666666667)</f>
        <v>43476.66667</v>
      </c>
      <c r="T295" s="9">
        <f>IFERROR(__xludf.DUMMYFUNCTION("""COMPUTED_VALUE"""),143.8)</f>
        <v>143.8</v>
      </c>
      <c r="V295" s="11">
        <f>IFERROR(__xludf.DUMMYFUNCTION("""COMPUTED_VALUE"""),43476.66666666667)</f>
        <v>43476.66667</v>
      </c>
      <c r="W295" s="9">
        <f>IFERROR(__xludf.DUMMYFUNCTION("""COMPUTED_VALUE"""),330.96)</f>
        <v>330.96</v>
      </c>
      <c r="X295" s="11">
        <f>IFERROR(__xludf.DUMMYFUNCTION("""COMPUTED_VALUE"""),43476.66666666667)</f>
        <v>43476.66667</v>
      </c>
      <c r="Y295" s="9">
        <f>IFERROR(__xludf.DUMMYFUNCTION("""COMPUTED_VALUE"""),337.59)</f>
        <v>337.59</v>
      </c>
      <c r="AA295" s="11">
        <f>IFERROR(__xludf.DUMMYFUNCTION("""COMPUTED_VALUE"""),43476.66666666667)</f>
        <v>43476.66667</v>
      </c>
      <c r="AB295" s="9">
        <f>IFERROR(__xludf.DUMMYFUNCTION("""COMPUTED_VALUE"""),1640.55)</f>
        <v>1640.55</v>
      </c>
      <c r="AC295" s="11">
        <f>IFERROR(__xludf.DUMMYFUNCTION("""COMPUTED_VALUE"""),43476.66666666667)</f>
        <v>43476.66667</v>
      </c>
      <c r="AD295" s="9">
        <f>IFERROR(__xludf.DUMMYFUNCTION("""COMPUTED_VALUE"""),1640.56)</f>
        <v>1640.56</v>
      </c>
    </row>
    <row r="296">
      <c r="B296" s="11">
        <f>IFERROR(__xludf.DUMMYFUNCTION("""COMPUTED_VALUE"""),43479.66666666667)</f>
        <v>43479.66667</v>
      </c>
      <c r="C296" s="9">
        <f>IFERROR(__xludf.DUMMYFUNCTION("""COMPUTED_VALUE"""),68.48)</f>
        <v>68.48</v>
      </c>
      <c r="D296" s="11">
        <f>IFERROR(__xludf.DUMMYFUNCTION("""COMPUTED_VALUE"""),43479.66666666667)</f>
        <v>43479.66667</v>
      </c>
      <c r="E296" s="9">
        <f>IFERROR(__xludf.DUMMYFUNCTION("""COMPUTED_VALUE"""),66.88)</f>
        <v>66.88</v>
      </c>
      <c r="G296" s="11">
        <f>IFERROR(__xludf.DUMMYFUNCTION("""COMPUTED_VALUE"""),43479.66666666667)</f>
        <v>43479.66667</v>
      </c>
      <c r="H296" s="9">
        <f>IFERROR(__xludf.DUMMYFUNCTION("""COMPUTED_VALUE"""),1046.92)</f>
        <v>1046.92</v>
      </c>
      <c r="I296" s="11">
        <f>IFERROR(__xludf.DUMMYFUNCTION("""COMPUTED_VALUE"""),43479.66666666667)</f>
        <v>43479.66667</v>
      </c>
      <c r="J296" s="9">
        <f>IFERROR(__xludf.DUMMYFUNCTION("""COMPUTED_VALUE"""),1044.69)</f>
        <v>1044.69</v>
      </c>
      <c r="L296" s="11">
        <f>IFERROR(__xludf.DUMMYFUNCTION("""COMPUTED_VALUE"""),43479.66666666667)</f>
        <v>43479.66667</v>
      </c>
      <c r="M296" s="9">
        <f>IFERROR(__xludf.DUMMYFUNCTION("""COMPUTED_VALUE"""),37.71)</f>
        <v>37.71</v>
      </c>
      <c r="N296" s="11">
        <f>IFERROR(__xludf.DUMMYFUNCTION("""COMPUTED_VALUE"""),43479.66666666667)</f>
        <v>43479.66667</v>
      </c>
      <c r="O296" s="9">
        <f>IFERROR(__xludf.DUMMYFUNCTION("""COMPUTED_VALUE"""),37.5)</f>
        <v>37.5</v>
      </c>
      <c r="Q296" s="11">
        <f>IFERROR(__xludf.DUMMYFUNCTION("""COMPUTED_VALUE"""),43479.66666666667)</f>
        <v>43479.66667</v>
      </c>
      <c r="R296" s="9">
        <f>IFERROR(__xludf.DUMMYFUNCTION("""COMPUTED_VALUE"""),142.0)</f>
        <v>142</v>
      </c>
      <c r="S296" s="11">
        <f>IFERROR(__xludf.DUMMYFUNCTION("""COMPUTED_VALUE"""),43479.66666666667)</f>
        <v>43479.66667</v>
      </c>
      <c r="T296" s="9">
        <f>IFERROR(__xludf.DUMMYFUNCTION("""COMPUTED_VALUE"""),145.39)</f>
        <v>145.39</v>
      </c>
      <c r="V296" s="11">
        <f>IFERROR(__xludf.DUMMYFUNCTION("""COMPUTED_VALUE"""),43479.66666666667)</f>
        <v>43479.66667</v>
      </c>
      <c r="W296" s="9">
        <f>IFERROR(__xludf.DUMMYFUNCTION("""COMPUTED_VALUE"""),334.24)</f>
        <v>334.24</v>
      </c>
      <c r="X296" s="11">
        <f>IFERROR(__xludf.DUMMYFUNCTION("""COMPUTED_VALUE"""),43479.66666666667)</f>
        <v>43479.66667</v>
      </c>
      <c r="Y296" s="9">
        <f>IFERROR(__xludf.DUMMYFUNCTION("""COMPUTED_VALUE"""),332.94)</f>
        <v>332.94</v>
      </c>
      <c r="AA296" s="11">
        <f>IFERROR(__xludf.DUMMYFUNCTION("""COMPUTED_VALUE"""),43479.66666666667)</f>
        <v>43479.66667</v>
      </c>
      <c r="AB296" s="9">
        <f>IFERROR(__xludf.DUMMYFUNCTION("""COMPUTED_VALUE"""),1615.0)</f>
        <v>1615</v>
      </c>
      <c r="AC296" s="11">
        <f>IFERROR(__xludf.DUMMYFUNCTION("""COMPUTED_VALUE"""),43479.66666666667)</f>
        <v>43479.66667</v>
      </c>
      <c r="AD296" s="9">
        <f>IFERROR(__xludf.DUMMYFUNCTION("""COMPUTED_VALUE"""),1617.21)</f>
        <v>1617.21</v>
      </c>
    </row>
    <row r="297">
      <c r="B297" s="11">
        <f>IFERROR(__xludf.DUMMYFUNCTION("""COMPUTED_VALUE"""),43480.66666666667)</f>
        <v>43480.66667</v>
      </c>
      <c r="C297" s="9">
        <f>IFERROR(__xludf.DUMMYFUNCTION("""COMPUTED_VALUE"""),67.0)</f>
        <v>67</v>
      </c>
      <c r="D297" s="11">
        <f>IFERROR(__xludf.DUMMYFUNCTION("""COMPUTED_VALUE"""),43480.66666666667)</f>
        <v>43480.66667</v>
      </c>
      <c r="E297" s="9">
        <f>IFERROR(__xludf.DUMMYFUNCTION("""COMPUTED_VALUE"""),68.89)</f>
        <v>68.89</v>
      </c>
      <c r="G297" s="11">
        <f>IFERROR(__xludf.DUMMYFUNCTION("""COMPUTED_VALUE"""),43480.66666666667)</f>
        <v>43480.66667</v>
      </c>
      <c r="H297" s="9">
        <f>IFERROR(__xludf.DUMMYFUNCTION("""COMPUTED_VALUE"""),1050.17)</f>
        <v>1050.17</v>
      </c>
      <c r="I297" s="11">
        <f>IFERROR(__xludf.DUMMYFUNCTION("""COMPUTED_VALUE"""),43480.66666666667)</f>
        <v>43480.66667</v>
      </c>
      <c r="J297" s="9">
        <f>IFERROR(__xludf.DUMMYFUNCTION("""COMPUTED_VALUE"""),1077.15)</f>
        <v>1077.15</v>
      </c>
      <c r="L297" s="11">
        <f>IFERROR(__xludf.DUMMYFUNCTION("""COMPUTED_VALUE"""),43480.66666666667)</f>
        <v>43480.66667</v>
      </c>
      <c r="M297" s="9">
        <f>IFERROR(__xludf.DUMMYFUNCTION("""COMPUTED_VALUE"""),37.57)</f>
        <v>37.57</v>
      </c>
      <c r="N297" s="11">
        <f>IFERROR(__xludf.DUMMYFUNCTION("""COMPUTED_VALUE"""),43480.66666666667)</f>
        <v>43480.66667</v>
      </c>
      <c r="O297" s="9">
        <f>IFERROR(__xludf.DUMMYFUNCTION("""COMPUTED_VALUE"""),38.27)</f>
        <v>38.27</v>
      </c>
      <c r="Q297" s="11">
        <f>IFERROR(__xludf.DUMMYFUNCTION("""COMPUTED_VALUE"""),43480.66666666667)</f>
        <v>43480.66667</v>
      </c>
      <c r="R297" s="9">
        <f>IFERROR(__xludf.DUMMYFUNCTION("""COMPUTED_VALUE"""),146.01)</f>
        <v>146.01</v>
      </c>
      <c r="S297" s="11">
        <f>IFERROR(__xludf.DUMMYFUNCTION("""COMPUTED_VALUE"""),43480.66666666667)</f>
        <v>43480.66667</v>
      </c>
      <c r="T297" s="9">
        <f>IFERROR(__xludf.DUMMYFUNCTION("""COMPUTED_VALUE"""),148.95)</f>
        <v>148.95</v>
      </c>
      <c r="V297" s="11">
        <f>IFERROR(__xludf.DUMMYFUNCTION("""COMPUTED_VALUE"""),43480.66666666667)</f>
        <v>43480.66667</v>
      </c>
      <c r="W297" s="9">
        <f>IFERROR(__xludf.DUMMYFUNCTION("""COMPUTED_VALUE"""),349.6)</f>
        <v>349.6</v>
      </c>
      <c r="X297" s="11">
        <f>IFERROR(__xludf.DUMMYFUNCTION("""COMPUTED_VALUE"""),43480.66666666667)</f>
        <v>43480.66667</v>
      </c>
      <c r="Y297" s="9">
        <f>IFERROR(__xludf.DUMMYFUNCTION("""COMPUTED_VALUE"""),354.64)</f>
        <v>354.64</v>
      </c>
      <c r="AA297" s="11">
        <f>IFERROR(__xludf.DUMMYFUNCTION("""COMPUTED_VALUE"""),43480.66666666667)</f>
        <v>43480.66667</v>
      </c>
      <c r="AB297" s="9">
        <f>IFERROR(__xludf.DUMMYFUNCTION("""COMPUTED_VALUE"""),1632.0)</f>
        <v>1632</v>
      </c>
      <c r="AC297" s="11">
        <f>IFERROR(__xludf.DUMMYFUNCTION("""COMPUTED_VALUE"""),43480.66666666667)</f>
        <v>43480.66667</v>
      </c>
      <c r="AD297" s="9">
        <f>IFERROR(__xludf.DUMMYFUNCTION("""COMPUTED_VALUE"""),1674.56)</f>
        <v>1674.56</v>
      </c>
    </row>
    <row r="298">
      <c r="B298" s="11">
        <f>IFERROR(__xludf.DUMMYFUNCTION("""COMPUTED_VALUE"""),43481.66666666667)</f>
        <v>43481.66667</v>
      </c>
      <c r="C298" s="9">
        <f>IFERROR(__xludf.DUMMYFUNCTION("""COMPUTED_VALUE"""),68.96)</f>
        <v>68.96</v>
      </c>
      <c r="D298" s="11">
        <f>IFERROR(__xludf.DUMMYFUNCTION("""COMPUTED_VALUE"""),43481.66666666667)</f>
        <v>43481.66667</v>
      </c>
      <c r="E298" s="9">
        <f>IFERROR(__xludf.DUMMYFUNCTION("""COMPUTED_VALUE"""),69.21)</f>
        <v>69.21</v>
      </c>
      <c r="G298" s="11">
        <f>IFERROR(__xludf.DUMMYFUNCTION("""COMPUTED_VALUE"""),43481.66666666667)</f>
        <v>43481.66667</v>
      </c>
      <c r="H298" s="9">
        <f>IFERROR(__xludf.DUMMYFUNCTION("""COMPUTED_VALUE"""),1080.0)</f>
        <v>1080</v>
      </c>
      <c r="I298" s="11">
        <f>IFERROR(__xludf.DUMMYFUNCTION("""COMPUTED_VALUE"""),43481.66666666667)</f>
        <v>43481.66667</v>
      </c>
      <c r="J298" s="9">
        <f>IFERROR(__xludf.DUMMYFUNCTION("""COMPUTED_VALUE"""),1080.97)</f>
        <v>1080.97</v>
      </c>
      <c r="L298" s="11">
        <f>IFERROR(__xludf.DUMMYFUNCTION("""COMPUTED_VALUE"""),43481.66666666667)</f>
        <v>43481.66667</v>
      </c>
      <c r="M298" s="9">
        <f>IFERROR(__xludf.DUMMYFUNCTION("""COMPUTED_VALUE"""),38.27)</f>
        <v>38.27</v>
      </c>
      <c r="N298" s="11">
        <f>IFERROR(__xludf.DUMMYFUNCTION("""COMPUTED_VALUE"""),43481.66666666667)</f>
        <v>43481.66667</v>
      </c>
      <c r="O298" s="9">
        <f>IFERROR(__xludf.DUMMYFUNCTION("""COMPUTED_VALUE"""),38.74)</f>
        <v>38.74</v>
      </c>
      <c r="Q298" s="11">
        <f>IFERROR(__xludf.DUMMYFUNCTION("""COMPUTED_VALUE"""),43481.66666666667)</f>
        <v>43481.66667</v>
      </c>
      <c r="R298" s="9">
        <f>IFERROR(__xludf.DUMMYFUNCTION("""COMPUTED_VALUE"""),149.0)</f>
        <v>149</v>
      </c>
      <c r="S298" s="11">
        <f>IFERROR(__xludf.DUMMYFUNCTION("""COMPUTED_VALUE"""),43481.66666666667)</f>
        <v>43481.66667</v>
      </c>
      <c r="T298" s="9">
        <f>IFERROR(__xludf.DUMMYFUNCTION("""COMPUTED_VALUE"""),147.54)</f>
        <v>147.54</v>
      </c>
      <c r="V298" s="11">
        <f>IFERROR(__xludf.DUMMYFUNCTION("""COMPUTED_VALUE"""),43481.66666666667)</f>
        <v>43481.66667</v>
      </c>
      <c r="W298" s="9">
        <f>IFERROR(__xludf.DUMMYFUNCTION("""COMPUTED_VALUE"""),354.0)</f>
        <v>354</v>
      </c>
      <c r="X298" s="11">
        <f>IFERROR(__xludf.DUMMYFUNCTION("""COMPUTED_VALUE"""),43481.66666666667)</f>
        <v>43481.66667</v>
      </c>
      <c r="Y298" s="9">
        <f>IFERROR(__xludf.DUMMYFUNCTION("""COMPUTED_VALUE"""),351.39)</f>
        <v>351.39</v>
      </c>
      <c r="AA298" s="11">
        <f>IFERROR(__xludf.DUMMYFUNCTION("""COMPUTED_VALUE"""),43481.66666666667)</f>
        <v>43481.66667</v>
      </c>
      <c r="AB298" s="9">
        <f>IFERROR(__xludf.DUMMYFUNCTION("""COMPUTED_VALUE"""),1684.22)</f>
        <v>1684.22</v>
      </c>
      <c r="AC298" s="11">
        <f>IFERROR(__xludf.DUMMYFUNCTION("""COMPUTED_VALUE"""),43481.66666666667)</f>
        <v>43481.66667</v>
      </c>
      <c r="AD298" s="9">
        <f>IFERROR(__xludf.DUMMYFUNCTION("""COMPUTED_VALUE"""),1683.78)</f>
        <v>1683.78</v>
      </c>
    </row>
    <row r="299">
      <c r="B299" s="11">
        <f>IFERROR(__xludf.DUMMYFUNCTION("""COMPUTED_VALUE"""),43482.66666666667)</f>
        <v>43482.66667</v>
      </c>
      <c r="C299" s="9">
        <f>IFERROR(__xludf.DUMMYFUNCTION("""COMPUTED_VALUE"""),69.24)</f>
        <v>69.24</v>
      </c>
      <c r="D299" s="11">
        <f>IFERROR(__xludf.DUMMYFUNCTION("""COMPUTED_VALUE"""),43482.66666666667)</f>
        <v>43482.66667</v>
      </c>
      <c r="E299" s="9">
        <f>IFERROR(__xludf.DUMMYFUNCTION("""COMPUTED_VALUE"""),69.46)</f>
        <v>69.46</v>
      </c>
      <c r="G299" s="11">
        <f>IFERROR(__xludf.DUMMYFUNCTION("""COMPUTED_VALUE"""),43482.66666666667)</f>
        <v>43482.66667</v>
      </c>
      <c r="H299" s="9">
        <f>IFERROR(__xludf.DUMMYFUNCTION("""COMPUTED_VALUE"""),1079.47)</f>
        <v>1079.47</v>
      </c>
      <c r="I299" s="11">
        <f>IFERROR(__xludf.DUMMYFUNCTION("""COMPUTED_VALUE"""),43482.66666666667)</f>
        <v>43482.66667</v>
      </c>
      <c r="J299" s="9">
        <f>IFERROR(__xludf.DUMMYFUNCTION("""COMPUTED_VALUE"""),1089.9)</f>
        <v>1089.9</v>
      </c>
      <c r="L299" s="11">
        <f>IFERROR(__xludf.DUMMYFUNCTION("""COMPUTED_VALUE"""),43482.66666666667)</f>
        <v>43482.66667</v>
      </c>
      <c r="M299" s="9">
        <f>IFERROR(__xludf.DUMMYFUNCTION("""COMPUTED_VALUE"""),38.55)</f>
        <v>38.55</v>
      </c>
      <c r="N299" s="11">
        <f>IFERROR(__xludf.DUMMYFUNCTION("""COMPUTED_VALUE"""),43482.66666666667)</f>
        <v>43482.66667</v>
      </c>
      <c r="O299" s="9">
        <f>IFERROR(__xludf.DUMMYFUNCTION("""COMPUTED_VALUE"""),38.97)</f>
        <v>38.97</v>
      </c>
      <c r="Q299" s="11">
        <f>IFERROR(__xludf.DUMMYFUNCTION("""COMPUTED_VALUE"""),43482.66666666667)</f>
        <v>43482.66667</v>
      </c>
      <c r="R299" s="9">
        <f>IFERROR(__xludf.DUMMYFUNCTION("""COMPUTED_VALUE"""),146.95)</f>
        <v>146.95</v>
      </c>
      <c r="S299" s="11">
        <f>IFERROR(__xludf.DUMMYFUNCTION("""COMPUTED_VALUE"""),43482.66666666667)</f>
        <v>43482.66667</v>
      </c>
      <c r="T299" s="9">
        <f>IFERROR(__xludf.DUMMYFUNCTION("""COMPUTED_VALUE"""),148.3)</f>
        <v>148.3</v>
      </c>
      <c r="V299" s="11">
        <f>IFERROR(__xludf.DUMMYFUNCTION("""COMPUTED_VALUE"""),43482.66666666667)</f>
        <v>43482.66667</v>
      </c>
      <c r="W299" s="9">
        <f>IFERROR(__xludf.DUMMYFUNCTION("""COMPUTED_VALUE"""),349.5)</f>
        <v>349.5</v>
      </c>
      <c r="X299" s="11">
        <f>IFERROR(__xludf.DUMMYFUNCTION("""COMPUTED_VALUE"""),43482.66666666667)</f>
        <v>43482.66667</v>
      </c>
      <c r="Y299" s="9">
        <f>IFERROR(__xludf.DUMMYFUNCTION("""COMPUTED_VALUE"""),353.19)</f>
        <v>353.19</v>
      </c>
      <c r="AA299" s="11">
        <f>IFERROR(__xludf.DUMMYFUNCTION("""COMPUTED_VALUE"""),43482.66666666667)</f>
        <v>43482.66667</v>
      </c>
      <c r="AB299" s="9">
        <f>IFERROR(__xludf.DUMMYFUNCTION("""COMPUTED_VALUE"""),1680.0)</f>
        <v>1680</v>
      </c>
      <c r="AC299" s="11">
        <f>IFERROR(__xludf.DUMMYFUNCTION("""COMPUTED_VALUE"""),43482.66666666667)</f>
        <v>43482.66667</v>
      </c>
      <c r="AD299" s="9">
        <f>IFERROR(__xludf.DUMMYFUNCTION("""COMPUTED_VALUE"""),1693.22)</f>
        <v>1693.22</v>
      </c>
    </row>
    <row r="300">
      <c r="B300" s="11">
        <f>IFERROR(__xludf.DUMMYFUNCTION("""COMPUTED_VALUE"""),43483.66666666667)</f>
        <v>43483.66667</v>
      </c>
      <c r="C300" s="9">
        <f>IFERROR(__xludf.DUMMYFUNCTION("""COMPUTED_VALUE"""),64.6)</f>
        <v>64.6</v>
      </c>
      <c r="D300" s="11">
        <f>IFERROR(__xludf.DUMMYFUNCTION("""COMPUTED_VALUE"""),43483.66666666667)</f>
        <v>43483.66667</v>
      </c>
      <c r="E300" s="9">
        <f>IFERROR(__xludf.DUMMYFUNCTION("""COMPUTED_VALUE"""),60.45)</f>
        <v>60.45</v>
      </c>
      <c r="G300" s="11">
        <f>IFERROR(__xludf.DUMMYFUNCTION("""COMPUTED_VALUE"""),43483.66666666667)</f>
        <v>43483.66667</v>
      </c>
      <c r="H300" s="9">
        <f>IFERROR(__xludf.DUMMYFUNCTION("""COMPUTED_VALUE"""),1100.0)</f>
        <v>1100</v>
      </c>
      <c r="I300" s="11">
        <f>IFERROR(__xludf.DUMMYFUNCTION("""COMPUTED_VALUE"""),43483.66666666667)</f>
        <v>43483.66667</v>
      </c>
      <c r="J300" s="9">
        <f>IFERROR(__xludf.DUMMYFUNCTION("""COMPUTED_VALUE"""),1098.26)</f>
        <v>1098.26</v>
      </c>
      <c r="L300" s="11">
        <f>IFERROR(__xludf.DUMMYFUNCTION("""COMPUTED_VALUE"""),43483.66666666667)</f>
        <v>43483.66667</v>
      </c>
      <c r="M300" s="9">
        <f>IFERROR(__xludf.DUMMYFUNCTION("""COMPUTED_VALUE"""),39.38)</f>
        <v>39.38</v>
      </c>
      <c r="N300" s="11">
        <f>IFERROR(__xludf.DUMMYFUNCTION("""COMPUTED_VALUE"""),43483.66666666667)</f>
        <v>43483.66667</v>
      </c>
      <c r="O300" s="9">
        <f>IFERROR(__xludf.DUMMYFUNCTION("""COMPUTED_VALUE"""),39.21)</f>
        <v>39.21</v>
      </c>
      <c r="Q300" s="11">
        <f>IFERROR(__xludf.DUMMYFUNCTION("""COMPUTED_VALUE"""),43483.66666666667)</f>
        <v>43483.66667</v>
      </c>
      <c r="R300" s="9">
        <f>IFERROR(__xludf.DUMMYFUNCTION("""COMPUTED_VALUE"""),149.75)</f>
        <v>149.75</v>
      </c>
      <c r="S300" s="11">
        <f>IFERROR(__xludf.DUMMYFUNCTION("""COMPUTED_VALUE"""),43483.66666666667)</f>
        <v>43483.66667</v>
      </c>
      <c r="T300" s="9">
        <f>IFERROR(__xludf.DUMMYFUNCTION("""COMPUTED_VALUE"""),150.04)</f>
        <v>150.04</v>
      </c>
      <c r="V300" s="11">
        <f>IFERROR(__xludf.DUMMYFUNCTION("""COMPUTED_VALUE"""),43483.66666666667)</f>
        <v>43483.66667</v>
      </c>
      <c r="W300" s="9">
        <f>IFERROR(__xludf.DUMMYFUNCTION("""COMPUTED_VALUE"""),351.97)</f>
        <v>351.97</v>
      </c>
      <c r="X300" s="11">
        <f>IFERROR(__xludf.DUMMYFUNCTION("""COMPUTED_VALUE"""),43483.66666666667)</f>
        <v>43483.66667</v>
      </c>
      <c r="Y300" s="9">
        <f>IFERROR(__xludf.DUMMYFUNCTION("""COMPUTED_VALUE"""),339.1)</f>
        <v>339.1</v>
      </c>
      <c r="AA300" s="11">
        <f>IFERROR(__xludf.DUMMYFUNCTION("""COMPUTED_VALUE"""),43483.66666666667)</f>
        <v>43483.66667</v>
      </c>
      <c r="AB300" s="9">
        <f>IFERROR(__xludf.DUMMYFUNCTION("""COMPUTED_VALUE"""),1712.0)</f>
        <v>1712</v>
      </c>
      <c r="AC300" s="11">
        <f>IFERROR(__xludf.DUMMYFUNCTION("""COMPUTED_VALUE"""),43483.66666666667)</f>
        <v>43483.66667</v>
      </c>
      <c r="AD300" s="9">
        <f>IFERROR(__xludf.DUMMYFUNCTION("""COMPUTED_VALUE"""),1696.2)</f>
        <v>1696.2</v>
      </c>
    </row>
    <row r="301">
      <c r="B301" s="11">
        <f>IFERROR(__xludf.DUMMYFUNCTION("""COMPUTED_VALUE"""),43487.66666666667)</f>
        <v>43487.66667</v>
      </c>
      <c r="C301" s="9">
        <f>IFERROR(__xludf.DUMMYFUNCTION("""COMPUTED_VALUE"""),60.96)</f>
        <v>60.96</v>
      </c>
      <c r="D301" s="11">
        <f>IFERROR(__xludf.DUMMYFUNCTION("""COMPUTED_VALUE"""),43487.66666666667)</f>
        <v>43487.66667</v>
      </c>
      <c r="E301" s="9">
        <f>IFERROR(__xludf.DUMMYFUNCTION("""COMPUTED_VALUE"""),59.78)</f>
        <v>59.78</v>
      </c>
      <c r="G301" s="11">
        <f>IFERROR(__xludf.DUMMYFUNCTION("""COMPUTED_VALUE"""),43487.66666666667)</f>
        <v>43487.66667</v>
      </c>
      <c r="H301" s="9">
        <f>IFERROR(__xludf.DUMMYFUNCTION("""COMPUTED_VALUE"""),1088.0)</f>
        <v>1088</v>
      </c>
      <c r="I301" s="11">
        <f>IFERROR(__xludf.DUMMYFUNCTION("""COMPUTED_VALUE"""),43487.66666666667)</f>
        <v>43487.66667</v>
      </c>
      <c r="J301" s="9">
        <f>IFERROR(__xludf.DUMMYFUNCTION("""COMPUTED_VALUE"""),1070.52)</f>
        <v>1070.52</v>
      </c>
      <c r="L301" s="11">
        <f>IFERROR(__xludf.DUMMYFUNCTION("""COMPUTED_VALUE"""),43487.66666666667)</f>
        <v>43487.66667</v>
      </c>
      <c r="M301" s="9">
        <f>IFERROR(__xludf.DUMMYFUNCTION("""COMPUTED_VALUE"""),39.1)</f>
        <v>39.1</v>
      </c>
      <c r="N301" s="11">
        <f>IFERROR(__xludf.DUMMYFUNCTION("""COMPUTED_VALUE"""),43487.66666666667)</f>
        <v>43487.66667</v>
      </c>
      <c r="O301" s="9">
        <f>IFERROR(__xludf.DUMMYFUNCTION("""COMPUTED_VALUE"""),38.33)</f>
        <v>38.33</v>
      </c>
      <c r="Q301" s="11">
        <f>IFERROR(__xludf.DUMMYFUNCTION("""COMPUTED_VALUE"""),43487.66666666667)</f>
        <v>43487.66667</v>
      </c>
      <c r="R301" s="9">
        <f>IFERROR(__xludf.DUMMYFUNCTION("""COMPUTED_VALUE"""),149.2)</f>
        <v>149.2</v>
      </c>
      <c r="S301" s="11">
        <f>IFERROR(__xludf.DUMMYFUNCTION("""COMPUTED_VALUE"""),43487.66666666667)</f>
        <v>43487.66667</v>
      </c>
      <c r="T301" s="9">
        <f>IFERROR(__xludf.DUMMYFUNCTION("""COMPUTED_VALUE"""),147.57)</f>
        <v>147.57</v>
      </c>
      <c r="V301" s="11">
        <f>IFERROR(__xludf.DUMMYFUNCTION("""COMPUTED_VALUE"""),43487.66666666667)</f>
        <v>43487.66667</v>
      </c>
      <c r="W301" s="9">
        <f>IFERROR(__xludf.DUMMYFUNCTION("""COMPUTED_VALUE"""),334.89)</f>
        <v>334.89</v>
      </c>
      <c r="X301" s="11">
        <f>IFERROR(__xludf.DUMMYFUNCTION("""COMPUTED_VALUE"""),43487.66666666667)</f>
        <v>43487.66667</v>
      </c>
      <c r="Y301" s="9">
        <f>IFERROR(__xludf.DUMMYFUNCTION("""COMPUTED_VALUE"""),325.16)</f>
        <v>325.16</v>
      </c>
      <c r="AA301" s="11">
        <f>IFERROR(__xludf.DUMMYFUNCTION("""COMPUTED_VALUE"""),43487.66666666667)</f>
        <v>43487.66667</v>
      </c>
      <c r="AB301" s="9">
        <f>IFERROR(__xludf.DUMMYFUNCTION("""COMPUTED_VALUE"""),1681.0)</f>
        <v>1681</v>
      </c>
      <c r="AC301" s="11">
        <f>IFERROR(__xludf.DUMMYFUNCTION("""COMPUTED_VALUE"""),43487.66666666667)</f>
        <v>43487.66667</v>
      </c>
      <c r="AD301" s="9">
        <f>IFERROR(__xludf.DUMMYFUNCTION("""COMPUTED_VALUE"""),1632.17)</f>
        <v>1632.17</v>
      </c>
    </row>
    <row r="302">
      <c r="B302" s="11">
        <f>IFERROR(__xludf.DUMMYFUNCTION("""COMPUTED_VALUE"""),43488.66666666667)</f>
        <v>43488.66667</v>
      </c>
      <c r="C302" s="9">
        <f>IFERROR(__xludf.DUMMYFUNCTION("""COMPUTED_VALUE"""),58.5)</f>
        <v>58.5</v>
      </c>
      <c r="D302" s="11">
        <f>IFERROR(__xludf.DUMMYFUNCTION("""COMPUTED_VALUE"""),43488.66666666667)</f>
        <v>43488.66667</v>
      </c>
      <c r="E302" s="9">
        <f>IFERROR(__xludf.DUMMYFUNCTION("""COMPUTED_VALUE"""),57.52)</f>
        <v>57.52</v>
      </c>
      <c r="G302" s="11">
        <f>IFERROR(__xludf.DUMMYFUNCTION("""COMPUTED_VALUE"""),43488.66666666667)</f>
        <v>43488.66667</v>
      </c>
      <c r="H302" s="9">
        <f>IFERROR(__xludf.DUMMYFUNCTION("""COMPUTED_VALUE"""),1077.35)</f>
        <v>1077.35</v>
      </c>
      <c r="I302" s="11">
        <f>IFERROR(__xludf.DUMMYFUNCTION("""COMPUTED_VALUE"""),43488.66666666667)</f>
        <v>43488.66667</v>
      </c>
      <c r="J302" s="9">
        <f>IFERROR(__xludf.DUMMYFUNCTION("""COMPUTED_VALUE"""),1075.57)</f>
        <v>1075.57</v>
      </c>
      <c r="L302" s="11">
        <f>IFERROR(__xludf.DUMMYFUNCTION("""COMPUTED_VALUE"""),43488.66666666667)</f>
        <v>43488.66667</v>
      </c>
      <c r="M302" s="9">
        <f>IFERROR(__xludf.DUMMYFUNCTION("""COMPUTED_VALUE"""),38.54)</f>
        <v>38.54</v>
      </c>
      <c r="N302" s="11">
        <f>IFERROR(__xludf.DUMMYFUNCTION("""COMPUTED_VALUE"""),43488.66666666667)</f>
        <v>43488.66667</v>
      </c>
      <c r="O302" s="9">
        <f>IFERROR(__xludf.DUMMYFUNCTION("""COMPUTED_VALUE"""),38.48)</f>
        <v>38.48</v>
      </c>
      <c r="Q302" s="11">
        <f>IFERROR(__xludf.DUMMYFUNCTION("""COMPUTED_VALUE"""),43488.66666666667)</f>
        <v>43488.66667</v>
      </c>
      <c r="R302" s="9">
        <f>IFERROR(__xludf.DUMMYFUNCTION("""COMPUTED_VALUE"""),148.28)</f>
        <v>148.28</v>
      </c>
      <c r="S302" s="11">
        <f>IFERROR(__xludf.DUMMYFUNCTION("""COMPUTED_VALUE"""),43488.66666666667)</f>
        <v>43488.66667</v>
      </c>
      <c r="T302" s="9">
        <f>IFERROR(__xludf.DUMMYFUNCTION("""COMPUTED_VALUE"""),144.3)</f>
        <v>144.3</v>
      </c>
      <c r="V302" s="11">
        <f>IFERROR(__xludf.DUMMYFUNCTION("""COMPUTED_VALUE"""),43488.66666666667)</f>
        <v>43488.66667</v>
      </c>
      <c r="W302" s="9">
        <f>IFERROR(__xludf.DUMMYFUNCTION("""COMPUTED_VALUE"""),328.25)</f>
        <v>328.25</v>
      </c>
      <c r="X302" s="11">
        <f>IFERROR(__xludf.DUMMYFUNCTION("""COMPUTED_VALUE"""),43488.66666666667)</f>
        <v>43488.66667</v>
      </c>
      <c r="Y302" s="9">
        <f>IFERROR(__xludf.DUMMYFUNCTION("""COMPUTED_VALUE"""),321.99)</f>
        <v>321.99</v>
      </c>
      <c r="AA302" s="11">
        <f>IFERROR(__xludf.DUMMYFUNCTION("""COMPUTED_VALUE"""),43488.66666666667)</f>
        <v>43488.66667</v>
      </c>
      <c r="AB302" s="9">
        <f>IFERROR(__xludf.DUMMYFUNCTION("""COMPUTED_VALUE"""),1656.0)</f>
        <v>1656</v>
      </c>
      <c r="AC302" s="11">
        <f>IFERROR(__xludf.DUMMYFUNCTION("""COMPUTED_VALUE"""),43488.66666666667)</f>
        <v>43488.66667</v>
      </c>
      <c r="AD302" s="9">
        <f>IFERROR(__xludf.DUMMYFUNCTION("""COMPUTED_VALUE"""),1640.02)</f>
        <v>1640.02</v>
      </c>
    </row>
    <row r="303">
      <c r="B303" s="11">
        <f>IFERROR(__xludf.DUMMYFUNCTION("""COMPUTED_VALUE"""),43489.66666666667)</f>
        <v>43489.66667</v>
      </c>
      <c r="C303" s="9">
        <f>IFERROR(__xludf.DUMMYFUNCTION("""COMPUTED_VALUE"""),56.61)</f>
        <v>56.61</v>
      </c>
      <c r="D303" s="11">
        <f>IFERROR(__xludf.DUMMYFUNCTION("""COMPUTED_VALUE"""),43489.66666666667)</f>
        <v>43489.66667</v>
      </c>
      <c r="E303" s="9">
        <f>IFERROR(__xludf.DUMMYFUNCTION("""COMPUTED_VALUE"""),58.3)</f>
        <v>58.3</v>
      </c>
      <c r="G303" s="11">
        <f>IFERROR(__xludf.DUMMYFUNCTION("""COMPUTED_VALUE"""),43489.66666666667)</f>
        <v>43489.66667</v>
      </c>
      <c r="H303" s="9">
        <f>IFERROR(__xludf.DUMMYFUNCTION("""COMPUTED_VALUE"""),1076.48)</f>
        <v>1076.48</v>
      </c>
      <c r="I303" s="11">
        <f>IFERROR(__xludf.DUMMYFUNCTION("""COMPUTED_VALUE"""),43489.66666666667)</f>
        <v>43489.66667</v>
      </c>
      <c r="J303" s="9">
        <f>IFERROR(__xludf.DUMMYFUNCTION("""COMPUTED_VALUE"""),1073.9)</f>
        <v>1073.9</v>
      </c>
      <c r="L303" s="11">
        <f>IFERROR(__xludf.DUMMYFUNCTION("""COMPUTED_VALUE"""),43489.66666666667)</f>
        <v>43489.66667</v>
      </c>
      <c r="M303" s="9">
        <f>IFERROR(__xludf.DUMMYFUNCTION("""COMPUTED_VALUE"""),38.53)</f>
        <v>38.53</v>
      </c>
      <c r="N303" s="11">
        <f>IFERROR(__xludf.DUMMYFUNCTION("""COMPUTED_VALUE"""),43489.66666666667)</f>
        <v>43489.66667</v>
      </c>
      <c r="O303" s="9">
        <f>IFERROR(__xludf.DUMMYFUNCTION("""COMPUTED_VALUE"""),38.17)</f>
        <v>38.17</v>
      </c>
      <c r="Q303" s="11">
        <f>IFERROR(__xludf.DUMMYFUNCTION("""COMPUTED_VALUE"""),43489.66666666667)</f>
        <v>43489.66667</v>
      </c>
      <c r="R303" s="9">
        <f>IFERROR(__xludf.DUMMYFUNCTION("""COMPUTED_VALUE"""),144.64)</f>
        <v>144.64</v>
      </c>
      <c r="S303" s="11">
        <f>IFERROR(__xludf.DUMMYFUNCTION("""COMPUTED_VALUE"""),43489.66666666667)</f>
        <v>43489.66667</v>
      </c>
      <c r="T303" s="9">
        <f>IFERROR(__xludf.DUMMYFUNCTION("""COMPUTED_VALUE"""),145.83)</f>
        <v>145.83</v>
      </c>
      <c r="V303" s="11">
        <f>IFERROR(__xludf.DUMMYFUNCTION("""COMPUTED_VALUE"""),43489.66666666667)</f>
        <v>43489.66667</v>
      </c>
      <c r="W303" s="9">
        <f>IFERROR(__xludf.DUMMYFUNCTION("""COMPUTED_VALUE"""),320.6)</f>
        <v>320.6</v>
      </c>
      <c r="X303" s="11">
        <f>IFERROR(__xludf.DUMMYFUNCTION("""COMPUTED_VALUE"""),43489.66666666667)</f>
        <v>43489.66667</v>
      </c>
      <c r="Y303" s="9">
        <f>IFERROR(__xludf.DUMMYFUNCTION("""COMPUTED_VALUE"""),326.67)</f>
        <v>326.67</v>
      </c>
      <c r="AA303" s="11">
        <f>IFERROR(__xludf.DUMMYFUNCTION("""COMPUTED_VALUE"""),43489.66666666667)</f>
        <v>43489.66667</v>
      </c>
      <c r="AB303" s="9">
        <f>IFERROR(__xludf.DUMMYFUNCTION("""COMPUTED_VALUE"""),1641.07)</f>
        <v>1641.07</v>
      </c>
      <c r="AC303" s="11">
        <f>IFERROR(__xludf.DUMMYFUNCTION("""COMPUTED_VALUE"""),43489.66666666667)</f>
        <v>43489.66667</v>
      </c>
      <c r="AD303" s="9">
        <f>IFERROR(__xludf.DUMMYFUNCTION("""COMPUTED_VALUE"""),1654.93)</f>
        <v>1654.93</v>
      </c>
    </row>
    <row r="304">
      <c r="B304" s="11">
        <f>IFERROR(__xludf.DUMMYFUNCTION("""COMPUTED_VALUE"""),43490.66666666667)</f>
        <v>43490.66667</v>
      </c>
      <c r="C304" s="9">
        <f>IFERROR(__xludf.DUMMYFUNCTION("""COMPUTED_VALUE"""),58.88)</f>
        <v>58.88</v>
      </c>
      <c r="D304" s="11">
        <f>IFERROR(__xludf.DUMMYFUNCTION("""COMPUTED_VALUE"""),43490.66666666667)</f>
        <v>43490.66667</v>
      </c>
      <c r="E304" s="9">
        <f>IFERROR(__xludf.DUMMYFUNCTION("""COMPUTED_VALUE"""),59.41)</f>
        <v>59.41</v>
      </c>
      <c r="G304" s="11">
        <f>IFERROR(__xludf.DUMMYFUNCTION("""COMPUTED_VALUE"""),43490.66666666667)</f>
        <v>43490.66667</v>
      </c>
      <c r="H304" s="9">
        <f>IFERROR(__xludf.DUMMYFUNCTION("""COMPUTED_VALUE"""),1085.0)</f>
        <v>1085</v>
      </c>
      <c r="I304" s="11">
        <f>IFERROR(__xludf.DUMMYFUNCTION("""COMPUTED_VALUE"""),43490.66666666667)</f>
        <v>43490.66667</v>
      </c>
      <c r="J304" s="9">
        <f>IFERROR(__xludf.DUMMYFUNCTION("""COMPUTED_VALUE"""),1090.99)</f>
        <v>1090.99</v>
      </c>
      <c r="L304" s="11">
        <f>IFERROR(__xludf.DUMMYFUNCTION("""COMPUTED_VALUE"""),43490.66666666667)</f>
        <v>43490.66667</v>
      </c>
      <c r="M304" s="9">
        <f>IFERROR(__xludf.DUMMYFUNCTION("""COMPUTED_VALUE"""),38.87)</f>
        <v>38.87</v>
      </c>
      <c r="N304" s="11">
        <f>IFERROR(__xludf.DUMMYFUNCTION("""COMPUTED_VALUE"""),43490.66666666667)</f>
        <v>43490.66667</v>
      </c>
      <c r="O304" s="9">
        <f>IFERROR(__xludf.DUMMYFUNCTION("""COMPUTED_VALUE"""),39.44)</f>
        <v>39.44</v>
      </c>
      <c r="Q304" s="11">
        <f>IFERROR(__xludf.DUMMYFUNCTION("""COMPUTED_VALUE"""),43490.66666666667)</f>
        <v>43490.66667</v>
      </c>
      <c r="R304" s="9">
        <f>IFERROR(__xludf.DUMMYFUNCTION("""COMPUTED_VALUE"""),147.48)</f>
        <v>147.48</v>
      </c>
      <c r="S304" s="11">
        <f>IFERROR(__xludf.DUMMYFUNCTION("""COMPUTED_VALUE"""),43490.66666666667)</f>
        <v>43490.66667</v>
      </c>
      <c r="T304" s="9">
        <f>IFERROR(__xludf.DUMMYFUNCTION("""COMPUTED_VALUE"""),149.01)</f>
        <v>149.01</v>
      </c>
      <c r="V304" s="11">
        <f>IFERROR(__xludf.DUMMYFUNCTION("""COMPUTED_VALUE"""),43490.66666666667)</f>
        <v>43490.66667</v>
      </c>
      <c r="W304" s="9">
        <f>IFERROR(__xludf.DUMMYFUNCTION("""COMPUTED_VALUE"""),328.72)</f>
        <v>328.72</v>
      </c>
      <c r="X304" s="11">
        <f>IFERROR(__xludf.DUMMYFUNCTION("""COMPUTED_VALUE"""),43490.66666666667)</f>
        <v>43490.66667</v>
      </c>
      <c r="Y304" s="9">
        <f>IFERROR(__xludf.DUMMYFUNCTION("""COMPUTED_VALUE"""),338.05)</f>
        <v>338.05</v>
      </c>
      <c r="AA304" s="11">
        <f>IFERROR(__xludf.DUMMYFUNCTION("""COMPUTED_VALUE"""),43490.66666666667)</f>
        <v>43490.66667</v>
      </c>
      <c r="AB304" s="9">
        <f>IFERROR(__xludf.DUMMYFUNCTION("""COMPUTED_VALUE"""),1670.5)</f>
        <v>1670.5</v>
      </c>
      <c r="AC304" s="11">
        <f>IFERROR(__xludf.DUMMYFUNCTION("""COMPUTED_VALUE"""),43490.66666666667)</f>
        <v>43490.66667</v>
      </c>
      <c r="AD304" s="9">
        <f>IFERROR(__xludf.DUMMYFUNCTION("""COMPUTED_VALUE"""),1670.57)</f>
        <v>1670.57</v>
      </c>
    </row>
    <row r="305">
      <c r="B305" s="11">
        <f>IFERROR(__xludf.DUMMYFUNCTION("""COMPUTED_VALUE"""),43493.66666666667)</f>
        <v>43493.66667</v>
      </c>
      <c r="C305" s="9">
        <f>IFERROR(__xludf.DUMMYFUNCTION("""COMPUTED_VALUE"""),58.58)</f>
        <v>58.58</v>
      </c>
      <c r="D305" s="11">
        <f>IFERROR(__xludf.DUMMYFUNCTION("""COMPUTED_VALUE"""),43493.66666666667)</f>
        <v>43493.66667</v>
      </c>
      <c r="E305" s="9">
        <f>IFERROR(__xludf.DUMMYFUNCTION("""COMPUTED_VALUE"""),59.28)</f>
        <v>59.28</v>
      </c>
      <c r="G305" s="11">
        <f>IFERROR(__xludf.DUMMYFUNCTION("""COMPUTED_VALUE"""),43493.66666666667)</f>
        <v>43493.66667</v>
      </c>
      <c r="H305" s="9">
        <f>IFERROR(__xludf.DUMMYFUNCTION("""COMPUTED_VALUE"""),1080.11)</f>
        <v>1080.11</v>
      </c>
      <c r="I305" s="11">
        <f>IFERROR(__xludf.DUMMYFUNCTION("""COMPUTED_VALUE"""),43493.66666666667)</f>
        <v>43493.66667</v>
      </c>
      <c r="J305" s="9">
        <f>IFERROR(__xludf.DUMMYFUNCTION("""COMPUTED_VALUE"""),1070.08)</f>
        <v>1070.08</v>
      </c>
      <c r="L305" s="11">
        <f>IFERROR(__xludf.DUMMYFUNCTION("""COMPUTED_VALUE"""),43493.66666666667)</f>
        <v>43493.66667</v>
      </c>
      <c r="M305" s="9">
        <f>IFERROR(__xludf.DUMMYFUNCTION("""COMPUTED_VALUE"""),38.95)</f>
        <v>38.95</v>
      </c>
      <c r="N305" s="11">
        <f>IFERROR(__xludf.DUMMYFUNCTION("""COMPUTED_VALUE"""),43493.66666666667)</f>
        <v>43493.66667</v>
      </c>
      <c r="O305" s="9">
        <f>IFERROR(__xludf.DUMMYFUNCTION("""COMPUTED_VALUE"""),39.08)</f>
        <v>39.08</v>
      </c>
      <c r="Q305" s="11">
        <f>IFERROR(__xludf.DUMMYFUNCTION("""COMPUTED_VALUE"""),43493.66666666667)</f>
        <v>43493.66667</v>
      </c>
      <c r="R305" s="9">
        <f>IFERROR(__xludf.DUMMYFUNCTION("""COMPUTED_VALUE"""),148.05)</f>
        <v>148.05</v>
      </c>
      <c r="S305" s="11">
        <f>IFERROR(__xludf.DUMMYFUNCTION("""COMPUTED_VALUE"""),43493.66666666667)</f>
        <v>43493.66667</v>
      </c>
      <c r="T305" s="9">
        <f>IFERROR(__xludf.DUMMYFUNCTION("""COMPUTED_VALUE"""),147.47)</f>
        <v>147.47</v>
      </c>
      <c r="V305" s="11">
        <f>IFERROR(__xludf.DUMMYFUNCTION("""COMPUTED_VALUE"""),43493.66666666667)</f>
        <v>43493.66667</v>
      </c>
      <c r="W305" s="9">
        <f>IFERROR(__xludf.DUMMYFUNCTION("""COMPUTED_VALUE"""),334.7)</f>
        <v>334.7</v>
      </c>
      <c r="X305" s="11">
        <f>IFERROR(__xludf.DUMMYFUNCTION("""COMPUTED_VALUE"""),43493.66666666667)</f>
        <v>43493.66667</v>
      </c>
      <c r="Y305" s="9">
        <f>IFERROR(__xludf.DUMMYFUNCTION("""COMPUTED_VALUE"""),335.66)</f>
        <v>335.66</v>
      </c>
      <c r="AA305" s="11">
        <f>IFERROR(__xludf.DUMMYFUNCTION("""COMPUTED_VALUE"""),43493.66666666667)</f>
        <v>43493.66667</v>
      </c>
      <c r="AB305" s="9">
        <f>IFERROR(__xludf.DUMMYFUNCTION("""COMPUTED_VALUE"""),1643.59)</f>
        <v>1643.59</v>
      </c>
      <c r="AC305" s="11">
        <f>IFERROR(__xludf.DUMMYFUNCTION("""COMPUTED_VALUE"""),43493.66666666667)</f>
        <v>43493.66667</v>
      </c>
      <c r="AD305" s="9">
        <f>IFERROR(__xludf.DUMMYFUNCTION("""COMPUTED_VALUE"""),1637.89)</f>
        <v>1637.89</v>
      </c>
    </row>
    <row r="306">
      <c r="B306" s="11">
        <f>IFERROR(__xludf.DUMMYFUNCTION("""COMPUTED_VALUE"""),43494.66666666667)</f>
        <v>43494.66667</v>
      </c>
      <c r="C306" s="9">
        <f>IFERROR(__xludf.DUMMYFUNCTION("""COMPUTED_VALUE"""),59.05)</f>
        <v>59.05</v>
      </c>
      <c r="D306" s="11">
        <f>IFERROR(__xludf.DUMMYFUNCTION("""COMPUTED_VALUE"""),43494.66666666667)</f>
        <v>43494.66667</v>
      </c>
      <c r="E306" s="9">
        <f>IFERROR(__xludf.DUMMYFUNCTION("""COMPUTED_VALUE"""),59.49)</f>
        <v>59.49</v>
      </c>
      <c r="G306" s="11">
        <f>IFERROR(__xludf.DUMMYFUNCTION("""COMPUTED_VALUE"""),43494.66666666667)</f>
        <v>43494.66667</v>
      </c>
      <c r="H306" s="9">
        <f>IFERROR(__xludf.DUMMYFUNCTION("""COMPUTED_VALUE"""),1072.68)</f>
        <v>1072.68</v>
      </c>
      <c r="I306" s="11">
        <f>IFERROR(__xludf.DUMMYFUNCTION("""COMPUTED_VALUE"""),43494.66666666667)</f>
        <v>43494.66667</v>
      </c>
      <c r="J306" s="9">
        <f>IFERROR(__xludf.DUMMYFUNCTION("""COMPUTED_VALUE"""),1060.62)</f>
        <v>1060.62</v>
      </c>
      <c r="L306" s="11">
        <f>IFERROR(__xludf.DUMMYFUNCTION("""COMPUTED_VALUE"""),43494.66666666667)</f>
        <v>43494.66667</v>
      </c>
      <c r="M306" s="9">
        <f>IFERROR(__xludf.DUMMYFUNCTION("""COMPUTED_VALUE"""),39.06)</f>
        <v>39.06</v>
      </c>
      <c r="N306" s="11">
        <f>IFERROR(__xludf.DUMMYFUNCTION("""COMPUTED_VALUE"""),43494.66666666667)</f>
        <v>43494.66667</v>
      </c>
      <c r="O306" s="9">
        <f>IFERROR(__xludf.DUMMYFUNCTION("""COMPUTED_VALUE"""),38.67)</f>
        <v>38.67</v>
      </c>
      <c r="Q306" s="11">
        <f>IFERROR(__xludf.DUMMYFUNCTION("""COMPUTED_VALUE"""),43494.66666666667)</f>
        <v>43494.66667</v>
      </c>
      <c r="R306" s="9">
        <f>IFERROR(__xludf.DUMMYFUNCTION("""COMPUTED_VALUE"""),148.09)</f>
        <v>148.09</v>
      </c>
      <c r="S306" s="11">
        <f>IFERROR(__xludf.DUMMYFUNCTION("""COMPUTED_VALUE"""),43494.66666666667)</f>
        <v>43494.66667</v>
      </c>
      <c r="T306" s="9">
        <f>IFERROR(__xludf.DUMMYFUNCTION("""COMPUTED_VALUE"""),144.19)</f>
        <v>144.19</v>
      </c>
      <c r="V306" s="11">
        <f>IFERROR(__xludf.DUMMYFUNCTION("""COMPUTED_VALUE"""),43494.66666666667)</f>
        <v>43494.66667</v>
      </c>
      <c r="W306" s="9">
        <f>IFERROR(__xludf.DUMMYFUNCTION("""COMPUTED_VALUE"""),335.87)</f>
        <v>335.87</v>
      </c>
      <c r="X306" s="11">
        <f>IFERROR(__xludf.DUMMYFUNCTION("""COMPUTED_VALUE"""),43494.66666666667)</f>
        <v>43494.66667</v>
      </c>
      <c r="Y306" s="9">
        <f>IFERROR(__xludf.DUMMYFUNCTION("""COMPUTED_VALUE"""),328.9)</f>
        <v>328.9</v>
      </c>
      <c r="AA306" s="11">
        <f>IFERROR(__xludf.DUMMYFUNCTION("""COMPUTED_VALUE"""),43494.66666666667)</f>
        <v>43494.66667</v>
      </c>
      <c r="AB306" s="9">
        <f>IFERROR(__xludf.DUMMYFUNCTION("""COMPUTED_VALUE"""),1631.27)</f>
        <v>1631.27</v>
      </c>
      <c r="AC306" s="11">
        <f>IFERROR(__xludf.DUMMYFUNCTION("""COMPUTED_VALUE"""),43494.66666666667)</f>
        <v>43494.66667</v>
      </c>
      <c r="AD306" s="9">
        <f>IFERROR(__xludf.DUMMYFUNCTION("""COMPUTED_VALUE"""),1593.88)</f>
        <v>1593.88</v>
      </c>
    </row>
    <row r="307">
      <c r="B307" s="11">
        <f>IFERROR(__xludf.DUMMYFUNCTION("""COMPUTED_VALUE"""),43495.66666666667)</f>
        <v>43495.66667</v>
      </c>
      <c r="C307" s="9">
        <f>IFERROR(__xludf.DUMMYFUNCTION("""COMPUTED_VALUE"""),60.09)</f>
        <v>60.09</v>
      </c>
      <c r="D307" s="11">
        <f>IFERROR(__xludf.DUMMYFUNCTION("""COMPUTED_VALUE"""),43495.66666666667)</f>
        <v>43495.66667</v>
      </c>
      <c r="E307" s="9">
        <f>IFERROR(__xludf.DUMMYFUNCTION("""COMPUTED_VALUE"""),61.75)</f>
        <v>61.75</v>
      </c>
      <c r="G307" s="11">
        <f>IFERROR(__xludf.DUMMYFUNCTION("""COMPUTED_VALUE"""),43495.66666666667)</f>
        <v>43495.66667</v>
      </c>
      <c r="H307" s="9">
        <f>IFERROR(__xludf.DUMMYFUNCTION("""COMPUTED_VALUE"""),1068.43)</f>
        <v>1068.43</v>
      </c>
      <c r="I307" s="11">
        <f>IFERROR(__xludf.DUMMYFUNCTION("""COMPUTED_VALUE"""),43495.66666666667)</f>
        <v>43495.66667</v>
      </c>
      <c r="J307" s="9">
        <f>IFERROR(__xludf.DUMMYFUNCTION("""COMPUTED_VALUE"""),1089.06)</f>
        <v>1089.06</v>
      </c>
      <c r="L307" s="11">
        <f>IFERROR(__xludf.DUMMYFUNCTION("""COMPUTED_VALUE"""),43495.66666666667)</f>
        <v>43495.66667</v>
      </c>
      <c r="M307" s="9">
        <f>IFERROR(__xludf.DUMMYFUNCTION("""COMPUTED_VALUE"""),40.81)</f>
        <v>40.81</v>
      </c>
      <c r="N307" s="11">
        <f>IFERROR(__xludf.DUMMYFUNCTION("""COMPUTED_VALUE"""),43495.66666666667)</f>
        <v>43495.66667</v>
      </c>
      <c r="O307" s="9">
        <f>IFERROR(__xludf.DUMMYFUNCTION("""COMPUTED_VALUE"""),41.31)</f>
        <v>41.31</v>
      </c>
      <c r="Q307" s="11">
        <f>IFERROR(__xludf.DUMMYFUNCTION("""COMPUTED_VALUE"""),43495.66666666667)</f>
        <v>43495.66667</v>
      </c>
      <c r="R307" s="9">
        <f>IFERROR(__xludf.DUMMYFUNCTION("""COMPUTED_VALUE"""),146.22)</f>
        <v>146.22</v>
      </c>
      <c r="S307" s="11">
        <f>IFERROR(__xludf.DUMMYFUNCTION("""COMPUTED_VALUE"""),43495.66666666667)</f>
        <v>43495.66667</v>
      </c>
      <c r="T307" s="9">
        <f>IFERROR(__xludf.DUMMYFUNCTION("""COMPUTED_VALUE"""),150.42)</f>
        <v>150.42</v>
      </c>
      <c r="V307" s="11">
        <f>IFERROR(__xludf.DUMMYFUNCTION("""COMPUTED_VALUE"""),43495.66666666667)</f>
        <v>43495.66667</v>
      </c>
      <c r="W307" s="9">
        <f>IFERROR(__xludf.DUMMYFUNCTION("""COMPUTED_VALUE"""),332.75)</f>
        <v>332.75</v>
      </c>
      <c r="X307" s="11">
        <f>IFERROR(__xludf.DUMMYFUNCTION("""COMPUTED_VALUE"""),43495.66666666667)</f>
        <v>43495.66667</v>
      </c>
      <c r="Y307" s="9">
        <f>IFERROR(__xludf.DUMMYFUNCTION("""COMPUTED_VALUE"""),340.66)</f>
        <v>340.66</v>
      </c>
      <c r="AA307" s="11">
        <f>IFERROR(__xludf.DUMMYFUNCTION("""COMPUTED_VALUE"""),43495.66666666667)</f>
        <v>43495.66667</v>
      </c>
      <c r="AB307" s="9">
        <f>IFERROR(__xludf.DUMMYFUNCTION("""COMPUTED_VALUE"""),1623.0)</f>
        <v>1623</v>
      </c>
      <c r="AC307" s="11">
        <f>IFERROR(__xludf.DUMMYFUNCTION("""COMPUTED_VALUE"""),43495.66666666667)</f>
        <v>43495.66667</v>
      </c>
      <c r="AD307" s="9">
        <f>IFERROR(__xludf.DUMMYFUNCTION("""COMPUTED_VALUE"""),1670.43)</f>
        <v>1670.43</v>
      </c>
    </row>
    <row r="308">
      <c r="B308" s="11">
        <f>IFERROR(__xludf.DUMMYFUNCTION("""COMPUTED_VALUE"""),43496.66666666667)</f>
        <v>43496.66667</v>
      </c>
      <c r="C308" s="9">
        <f>IFERROR(__xludf.DUMMYFUNCTION("""COMPUTED_VALUE"""),60.2)</f>
        <v>60.2</v>
      </c>
      <c r="D308" s="11">
        <f>IFERROR(__xludf.DUMMYFUNCTION("""COMPUTED_VALUE"""),43496.66666666667)</f>
        <v>43496.66667</v>
      </c>
      <c r="E308" s="9">
        <f>IFERROR(__xludf.DUMMYFUNCTION("""COMPUTED_VALUE"""),61.4)</f>
        <v>61.4</v>
      </c>
      <c r="G308" s="11">
        <f>IFERROR(__xludf.DUMMYFUNCTION("""COMPUTED_VALUE"""),43496.66666666667)</f>
        <v>43496.66667</v>
      </c>
      <c r="H308" s="9">
        <f>IFERROR(__xludf.DUMMYFUNCTION("""COMPUTED_VALUE"""),1103.0)</f>
        <v>1103</v>
      </c>
      <c r="I308" s="11">
        <f>IFERROR(__xludf.DUMMYFUNCTION("""COMPUTED_VALUE"""),43496.66666666667)</f>
        <v>43496.66667</v>
      </c>
      <c r="J308" s="9">
        <f>IFERROR(__xludf.DUMMYFUNCTION("""COMPUTED_VALUE"""),1116.37)</f>
        <v>1116.37</v>
      </c>
      <c r="L308" s="11">
        <f>IFERROR(__xludf.DUMMYFUNCTION("""COMPUTED_VALUE"""),43496.66666666667)</f>
        <v>43496.66667</v>
      </c>
      <c r="M308" s="9">
        <f>IFERROR(__xludf.DUMMYFUNCTION("""COMPUTED_VALUE"""),41.53)</f>
        <v>41.53</v>
      </c>
      <c r="N308" s="11">
        <f>IFERROR(__xludf.DUMMYFUNCTION("""COMPUTED_VALUE"""),43496.66666666667)</f>
        <v>43496.66667</v>
      </c>
      <c r="O308" s="9">
        <f>IFERROR(__xludf.DUMMYFUNCTION("""COMPUTED_VALUE"""),41.61)</f>
        <v>41.61</v>
      </c>
      <c r="Q308" s="11">
        <f>IFERROR(__xludf.DUMMYFUNCTION("""COMPUTED_VALUE"""),43496.66666666667)</f>
        <v>43496.66667</v>
      </c>
      <c r="R308" s="9">
        <f>IFERROR(__xludf.DUMMYFUNCTION("""COMPUTED_VALUE"""),165.6)</f>
        <v>165.6</v>
      </c>
      <c r="S308" s="11">
        <f>IFERROR(__xludf.DUMMYFUNCTION("""COMPUTED_VALUE"""),43496.66666666667)</f>
        <v>43496.66667</v>
      </c>
      <c r="T308" s="9">
        <f>IFERROR(__xludf.DUMMYFUNCTION("""COMPUTED_VALUE"""),166.69)</f>
        <v>166.69</v>
      </c>
      <c r="V308" s="11">
        <f>IFERROR(__xludf.DUMMYFUNCTION("""COMPUTED_VALUE"""),43496.66666666667)</f>
        <v>43496.66667</v>
      </c>
      <c r="W308" s="9">
        <f>IFERROR(__xludf.DUMMYFUNCTION("""COMPUTED_VALUE"""),339.68)</f>
        <v>339.68</v>
      </c>
      <c r="X308" s="11">
        <f>IFERROR(__xludf.DUMMYFUNCTION("""COMPUTED_VALUE"""),43496.66666666667)</f>
        <v>43496.66667</v>
      </c>
      <c r="Y308" s="9">
        <f>IFERROR(__xludf.DUMMYFUNCTION("""COMPUTED_VALUE"""),339.5)</f>
        <v>339.5</v>
      </c>
      <c r="AA308" s="11">
        <f>IFERROR(__xludf.DUMMYFUNCTION("""COMPUTED_VALUE"""),43496.66666666667)</f>
        <v>43496.66667</v>
      </c>
      <c r="AB308" s="9">
        <f>IFERROR(__xludf.DUMMYFUNCTION("""COMPUTED_VALUE"""),1692.85)</f>
        <v>1692.85</v>
      </c>
      <c r="AC308" s="11">
        <f>IFERROR(__xludf.DUMMYFUNCTION("""COMPUTED_VALUE"""),43496.66666666667)</f>
        <v>43496.66667</v>
      </c>
      <c r="AD308" s="9">
        <f>IFERROR(__xludf.DUMMYFUNCTION("""COMPUTED_VALUE"""),1718.73)</f>
        <v>1718.73</v>
      </c>
    </row>
    <row r="309">
      <c r="B309" s="11">
        <f>IFERROR(__xludf.DUMMYFUNCTION("""COMPUTED_VALUE"""),43497.66666666667)</f>
        <v>43497.66667</v>
      </c>
      <c r="C309" s="9">
        <f>IFERROR(__xludf.DUMMYFUNCTION("""COMPUTED_VALUE"""),61.08)</f>
        <v>61.08</v>
      </c>
      <c r="D309" s="11">
        <f>IFERROR(__xludf.DUMMYFUNCTION("""COMPUTED_VALUE"""),43497.66666666667)</f>
        <v>43497.66667</v>
      </c>
      <c r="E309" s="9">
        <f>IFERROR(__xludf.DUMMYFUNCTION("""COMPUTED_VALUE"""),62.44)</f>
        <v>62.44</v>
      </c>
      <c r="G309" s="11">
        <f>IFERROR(__xludf.DUMMYFUNCTION("""COMPUTED_VALUE"""),43497.66666666667)</f>
        <v>43497.66667</v>
      </c>
      <c r="H309" s="9">
        <f>IFERROR(__xludf.DUMMYFUNCTION("""COMPUTED_VALUE"""),1112.4)</f>
        <v>1112.4</v>
      </c>
      <c r="I309" s="11">
        <f>IFERROR(__xludf.DUMMYFUNCTION("""COMPUTED_VALUE"""),43497.66666666667)</f>
        <v>43497.66667</v>
      </c>
      <c r="J309" s="9">
        <f>IFERROR(__xludf.DUMMYFUNCTION("""COMPUTED_VALUE"""),1110.75)</f>
        <v>1110.75</v>
      </c>
      <c r="L309" s="11">
        <f>IFERROR(__xludf.DUMMYFUNCTION("""COMPUTED_VALUE"""),43497.66666666667)</f>
        <v>43497.66667</v>
      </c>
      <c r="M309" s="9">
        <f>IFERROR(__xludf.DUMMYFUNCTION("""COMPUTED_VALUE"""),41.74)</f>
        <v>41.74</v>
      </c>
      <c r="N309" s="11">
        <f>IFERROR(__xludf.DUMMYFUNCTION("""COMPUTED_VALUE"""),43497.66666666667)</f>
        <v>43497.66667</v>
      </c>
      <c r="O309" s="9">
        <f>IFERROR(__xludf.DUMMYFUNCTION("""COMPUTED_VALUE"""),41.63)</f>
        <v>41.63</v>
      </c>
      <c r="Q309" s="11">
        <f>IFERROR(__xludf.DUMMYFUNCTION("""COMPUTED_VALUE"""),43497.66666666667)</f>
        <v>43497.66667</v>
      </c>
      <c r="R309" s="9">
        <f>IFERROR(__xludf.DUMMYFUNCTION("""COMPUTED_VALUE"""),165.84)</f>
        <v>165.84</v>
      </c>
      <c r="S309" s="11">
        <f>IFERROR(__xludf.DUMMYFUNCTION("""COMPUTED_VALUE"""),43497.66666666667)</f>
        <v>43497.66667</v>
      </c>
      <c r="T309" s="9">
        <f>IFERROR(__xludf.DUMMYFUNCTION("""COMPUTED_VALUE"""),165.71)</f>
        <v>165.71</v>
      </c>
      <c r="V309" s="11">
        <f>IFERROR(__xludf.DUMMYFUNCTION("""COMPUTED_VALUE"""),43497.66666666667)</f>
        <v>43497.66667</v>
      </c>
      <c r="W309" s="9">
        <f>IFERROR(__xludf.DUMMYFUNCTION("""COMPUTED_VALUE"""),337.18)</f>
        <v>337.18</v>
      </c>
      <c r="X309" s="11">
        <f>IFERROR(__xludf.DUMMYFUNCTION("""COMPUTED_VALUE"""),43497.66666666667)</f>
        <v>43497.66667</v>
      </c>
      <c r="Y309" s="9">
        <f>IFERROR(__xludf.DUMMYFUNCTION("""COMPUTED_VALUE"""),339.85)</f>
        <v>339.85</v>
      </c>
      <c r="AA309" s="11">
        <f>IFERROR(__xludf.DUMMYFUNCTION("""COMPUTED_VALUE"""),43497.66666666667)</f>
        <v>43497.66667</v>
      </c>
      <c r="AB309" s="9">
        <f>IFERROR(__xludf.DUMMYFUNCTION("""COMPUTED_VALUE"""),1638.88)</f>
        <v>1638.88</v>
      </c>
      <c r="AC309" s="11">
        <f>IFERROR(__xludf.DUMMYFUNCTION("""COMPUTED_VALUE"""),43497.66666666667)</f>
        <v>43497.66667</v>
      </c>
      <c r="AD309" s="9">
        <f>IFERROR(__xludf.DUMMYFUNCTION("""COMPUTED_VALUE"""),1626.23)</f>
        <v>1626.23</v>
      </c>
    </row>
    <row r="310">
      <c r="B310" s="11">
        <f>IFERROR(__xludf.DUMMYFUNCTION("""COMPUTED_VALUE"""),43500.66666666667)</f>
        <v>43500.66667</v>
      </c>
      <c r="C310" s="9">
        <f>IFERROR(__xludf.DUMMYFUNCTION("""COMPUTED_VALUE"""),62.6)</f>
        <v>62.6</v>
      </c>
      <c r="D310" s="11">
        <f>IFERROR(__xludf.DUMMYFUNCTION("""COMPUTED_VALUE"""),43500.66666666667)</f>
        <v>43500.66667</v>
      </c>
      <c r="E310" s="9">
        <f>IFERROR(__xludf.DUMMYFUNCTION("""COMPUTED_VALUE"""),62.58)</f>
        <v>62.58</v>
      </c>
      <c r="G310" s="11">
        <f>IFERROR(__xludf.DUMMYFUNCTION("""COMPUTED_VALUE"""),43500.66666666667)</f>
        <v>43500.66667</v>
      </c>
      <c r="H310" s="9">
        <f>IFERROR(__xludf.DUMMYFUNCTION("""COMPUTED_VALUE"""),1112.66)</f>
        <v>1112.66</v>
      </c>
      <c r="I310" s="11">
        <f>IFERROR(__xludf.DUMMYFUNCTION("""COMPUTED_VALUE"""),43500.66666666667)</f>
        <v>43500.66667</v>
      </c>
      <c r="J310" s="9">
        <f>IFERROR(__xludf.DUMMYFUNCTION("""COMPUTED_VALUE"""),1132.8)</f>
        <v>1132.8</v>
      </c>
      <c r="L310" s="11">
        <f>IFERROR(__xludf.DUMMYFUNCTION("""COMPUTED_VALUE"""),43500.66666666667)</f>
        <v>43500.66667</v>
      </c>
      <c r="M310" s="9">
        <f>IFERROR(__xludf.DUMMYFUNCTION("""COMPUTED_VALUE"""),41.85)</f>
        <v>41.85</v>
      </c>
      <c r="N310" s="11">
        <f>IFERROR(__xludf.DUMMYFUNCTION("""COMPUTED_VALUE"""),43500.66666666667)</f>
        <v>43500.66667</v>
      </c>
      <c r="O310" s="9">
        <f>IFERROR(__xludf.DUMMYFUNCTION("""COMPUTED_VALUE"""),42.81)</f>
        <v>42.81</v>
      </c>
      <c r="Q310" s="11">
        <f>IFERROR(__xludf.DUMMYFUNCTION("""COMPUTED_VALUE"""),43500.66666666667)</f>
        <v>43500.66667</v>
      </c>
      <c r="R310" s="9">
        <f>IFERROR(__xludf.DUMMYFUNCTION("""COMPUTED_VALUE"""),165.7)</f>
        <v>165.7</v>
      </c>
      <c r="S310" s="11">
        <f>IFERROR(__xludf.DUMMYFUNCTION("""COMPUTED_VALUE"""),43500.66666666667)</f>
        <v>43500.66667</v>
      </c>
      <c r="T310" s="9">
        <f>IFERROR(__xludf.DUMMYFUNCTION("""COMPUTED_VALUE"""),169.25)</f>
        <v>169.25</v>
      </c>
      <c r="V310" s="11">
        <f>IFERROR(__xludf.DUMMYFUNCTION("""COMPUTED_VALUE"""),43500.66666666667)</f>
        <v>43500.66667</v>
      </c>
      <c r="W310" s="9">
        <f>IFERROR(__xludf.DUMMYFUNCTION("""COMPUTED_VALUE"""),342.6)</f>
        <v>342.6</v>
      </c>
      <c r="X310" s="11">
        <f>IFERROR(__xludf.DUMMYFUNCTION("""COMPUTED_VALUE"""),43500.66666666667)</f>
        <v>43500.66667</v>
      </c>
      <c r="Y310" s="9">
        <f>IFERROR(__xludf.DUMMYFUNCTION("""COMPUTED_VALUE"""),351.34)</f>
        <v>351.34</v>
      </c>
      <c r="AA310" s="11">
        <f>IFERROR(__xludf.DUMMYFUNCTION("""COMPUTED_VALUE"""),43500.66666666667)</f>
        <v>43500.66667</v>
      </c>
      <c r="AB310" s="9">
        <f>IFERROR(__xludf.DUMMYFUNCTION("""COMPUTED_VALUE"""),1623.0)</f>
        <v>1623</v>
      </c>
      <c r="AC310" s="11">
        <f>IFERROR(__xludf.DUMMYFUNCTION("""COMPUTED_VALUE"""),43500.66666666667)</f>
        <v>43500.66667</v>
      </c>
      <c r="AD310" s="9">
        <f>IFERROR(__xludf.DUMMYFUNCTION("""COMPUTED_VALUE"""),1633.31)</f>
        <v>1633.31</v>
      </c>
    </row>
    <row r="311">
      <c r="B311" s="11">
        <f>IFERROR(__xludf.DUMMYFUNCTION("""COMPUTED_VALUE"""),43501.66666666667)</f>
        <v>43501.66667</v>
      </c>
      <c r="C311" s="9">
        <f>IFERROR(__xludf.DUMMYFUNCTION("""COMPUTED_VALUE"""),62.5)</f>
        <v>62.5</v>
      </c>
      <c r="D311" s="11">
        <f>IFERROR(__xludf.DUMMYFUNCTION("""COMPUTED_VALUE"""),43501.66666666667)</f>
        <v>43501.66667</v>
      </c>
      <c r="E311" s="9">
        <f>IFERROR(__xludf.DUMMYFUNCTION("""COMPUTED_VALUE"""),64.27)</f>
        <v>64.27</v>
      </c>
      <c r="G311" s="11">
        <f>IFERROR(__xludf.DUMMYFUNCTION("""COMPUTED_VALUE"""),43501.66666666667)</f>
        <v>43501.66667</v>
      </c>
      <c r="H311" s="9">
        <f>IFERROR(__xludf.DUMMYFUNCTION("""COMPUTED_VALUE"""),1124.84)</f>
        <v>1124.84</v>
      </c>
      <c r="I311" s="11">
        <f>IFERROR(__xludf.DUMMYFUNCTION("""COMPUTED_VALUE"""),43501.66666666667)</f>
        <v>43501.66667</v>
      </c>
      <c r="J311" s="9">
        <f>IFERROR(__xludf.DUMMYFUNCTION("""COMPUTED_VALUE"""),1145.99)</f>
        <v>1145.99</v>
      </c>
      <c r="L311" s="11">
        <f>IFERROR(__xludf.DUMMYFUNCTION("""COMPUTED_VALUE"""),43501.66666666667)</f>
        <v>43501.66667</v>
      </c>
      <c r="M311" s="9">
        <f>IFERROR(__xludf.DUMMYFUNCTION("""COMPUTED_VALUE"""),43.22)</f>
        <v>43.22</v>
      </c>
      <c r="N311" s="11">
        <f>IFERROR(__xludf.DUMMYFUNCTION("""COMPUTED_VALUE"""),43501.66666666667)</f>
        <v>43501.66667</v>
      </c>
      <c r="O311" s="9">
        <f>IFERROR(__xludf.DUMMYFUNCTION("""COMPUTED_VALUE"""),43.55)</f>
        <v>43.55</v>
      </c>
      <c r="Q311" s="11">
        <f>IFERROR(__xludf.DUMMYFUNCTION("""COMPUTED_VALUE"""),43501.66666666667)</f>
        <v>43501.66667</v>
      </c>
      <c r="R311" s="9">
        <f>IFERROR(__xludf.DUMMYFUNCTION("""COMPUTED_VALUE"""),169.15)</f>
        <v>169.15</v>
      </c>
      <c r="S311" s="11">
        <f>IFERROR(__xludf.DUMMYFUNCTION("""COMPUTED_VALUE"""),43501.66666666667)</f>
        <v>43501.66667</v>
      </c>
      <c r="T311" s="9">
        <f>IFERROR(__xludf.DUMMYFUNCTION("""COMPUTED_VALUE"""),171.16)</f>
        <v>171.16</v>
      </c>
      <c r="V311" s="11">
        <f>IFERROR(__xludf.DUMMYFUNCTION("""COMPUTED_VALUE"""),43501.66666666667)</f>
        <v>43501.66667</v>
      </c>
      <c r="W311" s="9">
        <f>IFERROR(__xludf.DUMMYFUNCTION("""COMPUTED_VALUE"""),353.2)</f>
        <v>353.2</v>
      </c>
      <c r="X311" s="11">
        <f>IFERROR(__xludf.DUMMYFUNCTION("""COMPUTED_VALUE"""),43501.66666666667)</f>
        <v>43501.66667</v>
      </c>
      <c r="Y311" s="9">
        <f>IFERROR(__xludf.DUMMYFUNCTION("""COMPUTED_VALUE"""),355.81)</f>
        <v>355.81</v>
      </c>
      <c r="AA311" s="11">
        <f>IFERROR(__xludf.DUMMYFUNCTION("""COMPUTED_VALUE"""),43501.66666666667)</f>
        <v>43501.66667</v>
      </c>
      <c r="AB311" s="9">
        <f>IFERROR(__xludf.DUMMYFUNCTION("""COMPUTED_VALUE"""),1643.34)</f>
        <v>1643.34</v>
      </c>
      <c r="AC311" s="11">
        <f>IFERROR(__xludf.DUMMYFUNCTION("""COMPUTED_VALUE"""),43501.66666666667)</f>
        <v>43501.66667</v>
      </c>
      <c r="AD311" s="9">
        <f>IFERROR(__xludf.DUMMYFUNCTION("""COMPUTED_VALUE"""),1658.81)</f>
        <v>1658.81</v>
      </c>
    </row>
    <row r="312">
      <c r="B312" s="11">
        <f>IFERROR(__xludf.DUMMYFUNCTION("""COMPUTED_VALUE"""),43502.66666666667)</f>
        <v>43502.66667</v>
      </c>
      <c r="C312" s="9">
        <f>IFERROR(__xludf.DUMMYFUNCTION("""COMPUTED_VALUE"""),63.92)</f>
        <v>63.92</v>
      </c>
      <c r="D312" s="11">
        <f>IFERROR(__xludf.DUMMYFUNCTION("""COMPUTED_VALUE"""),43502.66666666667)</f>
        <v>43502.66667</v>
      </c>
      <c r="E312" s="9">
        <f>IFERROR(__xludf.DUMMYFUNCTION("""COMPUTED_VALUE"""),63.44)</f>
        <v>63.44</v>
      </c>
      <c r="G312" s="11">
        <f>IFERROR(__xludf.DUMMYFUNCTION("""COMPUTED_VALUE"""),43502.66666666667)</f>
        <v>43502.66667</v>
      </c>
      <c r="H312" s="9">
        <f>IFERROR(__xludf.DUMMYFUNCTION("""COMPUTED_VALUE"""),1139.57)</f>
        <v>1139.57</v>
      </c>
      <c r="I312" s="11">
        <f>IFERROR(__xludf.DUMMYFUNCTION("""COMPUTED_VALUE"""),43502.66666666667)</f>
        <v>43502.66667</v>
      </c>
      <c r="J312" s="9">
        <f>IFERROR(__xludf.DUMMYFUNCTION("""COMPUTED_VALUE"""),1115.23)</f>
        <v>1115.23</v>
      </c>
      <c r="L312" s="11">
        <f>IFERROR(__xludf.DUMMYFUNCTION("""COMPUTED_VALUE"""),43502.66666666667)</f>
        <v>43502.66667</v>
      </c>
      <c r="M312" s="9">
        <f>IFERROR(__xludf.DUMMYFUNCTION("""COMPUTED_VALUE"""),43.66)</f>
        <v>43.66</v>
      </c>
      <c r="N312" s="11">
        <f>IFERROR(__xludf.DUMMYFUNCTION("""COMPUTED_VALUE"""),43502.66666666667)</f>
        <v>43502.66667</v>
      </c>
      <c r="O312" s="9">
        <f>IFERROR(__xludf.DUMMYFUNCTION("""COMPUTED_VALUE"""),43.56)</f>
        <v>43.56</v>
      </c>
      <c r="Q312" s="11">
        <f>IFERROR(__xludf.DUMMYFUNCTION("""COMPUTED_VALUE"""),43502.66666666667)</f>
        <v>43502.66667</v>
      </c>
      <c r="R312" s="9">
        <f>IFERROR(__xludf.DUMMYFUNCTION("""COMPUTED_VALUE"""),171.2)</f>
        <v>171.2</v>
      </c>
      <c r="S312" s="11">
        <f>IFERROR(__xludf.DUMMYFUNCTION("""COMPUTED_VALUE"""),43502.66666666667)</f>
        <v>43502.66667</v>
      </c>
      <c r="T312" s="9">
        <f>IFERROR(__xludf.DUMMYFUNCTION("""COMPUTED_VALUE"""),170.49)</f>
        <v>170.49</v>
      </c>
      <c r="V312" s="11">
        <f>IFERROR(__xludf.DUMMYFUNCTION("""COMPUTED_VALUE"""),43502.66666666667)</f>
        <v>43502.66667</v>
      </c>
      <c r="W312" s="9">
        <f>IFERROR(__xludf.DUMMYFUNCTION("""COMPUTED_VALUE"""),357.0)</f>
        <v>357</v>
      </c>
      <c r="X312" s="11">
        <f>IFERROR(__xludf.DUMMYFUNCTION("""COMPUTED_VALUE"""),43502.66666666667)</f>
        <v>43502.66667</v>
      </c>
      <c r="Y312" s="9">
        <f>IFERROR(__xludf.DUMMYFUNCTION("""COMPUTED_VALUE"""),352.19)</f>
        <v>352.19</v>
      </c>
      <c r="AA312" s="11">
        <f>IFERROR(__xludf.DUMMYFUNCTION("""COMPUTED_VALUE"""),43502.66666666667)</f>
        <v>43502.66667</v>
      </c>
      <c r="AB312" s="9">
        <f>IFERROR(__xludf.DUMMYFUNCTION("""COMPUTED_VALUE"""),1670.75)</f>
        <v>1670.75</v>
      </c>
      <c r="AC312" s="11">
        <f>IFERROR(__xludf.DUMMYFUNCTION("""COMPUTED_VALUE"""),43502.66666666667)</f>
        <v>43502.66667</v>
      </c>
      <c r="AD312" s="9">
        <f>IFERROR(__xludf.DUMMYFUNCTION("""COMPUTED_VALUE"""),1640.26)</f>
        <v>1640.26</v>
      </c>
    </row>
    <row r="313">
      <c r="B313" s="11">
        <f>IFERROR(__xludf.DUMMYFUNCTION("""COMPUTED_VALUE"""),43503.66666666667)</f>
        <v>43503.66667</v>
      </c>
      <c r="C313" s="9">
        <f>IFERROR(__xludf.DUMMYFUNCTION("""COMPUTED_VALUE"""),62.66)</f>
        <v>62.66</v>
      </c>
      <c r="D313" s="11">
        <f>IFERROR(__xludf.DUMMYFUNCTION("""COMPUTED_VALUE"""),43503.66666666667)</f>
        <v>43503.66667</v>
      </c>
      <c r="E313" s="9">
        <f>IFERROR(__xludf.DUMMYFUNCTION("""COMPUTED_VALUE"""),61.5)</f>
        <v>61.5</v>
      </c>
      <c r="G313" s="11">
        <f>IFERROR(__xludf.DUMMYFUNCTION("""COMPUTED_VALUE"""),43503.66666666667)</f>
        <v>43503.66667</v>
      </c>
      <c r="H313" s="9">
        <f>IFERROR(__xludf.DUMMYFUNCTION("""COMPUTED_VALUE"""),1104.16)</f>
        <v>1104.16</v>
      </c>
      <c r="I313" s="11">
        <f>IFERROR(__xludf.DUMMYFUNCTION("""COMPUTED_VALUE"""),43503.66666666667)</f>
        <v>43503.66667</v>
      </c>
      <c r="J313" s="9">
        <f>IFERROR(__xludf.DUMMYFUNCTION("""COMPUTED_VALUE"""),1098.71)</f>
        <v>1098.71</v>
      </c>
      <c r="L313" s="11">
        <f>IFERROR(__xludf.DUMMYFUNCTION("""COMPUTED_VALUE"""),43503.66666666667)</f>
        <v>43503.66667</v>
      </c>
      <c r="M313" s="9">
        <f>IFERROR(__xludf.DUMMYFUNCTION("""COMPUTED_VALUE"""),43.1)</f>
        <v>43.1</v>
      </c>
      <c r="N313" s="11">
        <f>IFERROR(__xludf.DUMMYFUNCTION("""COMPUTED_VALUE"""),43503.66666666667)</f>
        <v>43503.66667</v>
      </c>
      <c r="O313" s="9">
        <f>IFERROR(__xludf.DUMMYFUNCTION("""COMPUTED_VALUE"""),42.74)</f>
        <v>42.74</v>
      </c>
      <c r="Q313" s="11">
        <f>IFERROR(__xludf.DUMMYFUNCTION("""COMPUTED_VALUE"""),43503.66666666667)</f>
        <v>43503.66667</v>
      </c>
      <c r="R313" s="9">
        <f>IFERROR(__xludf.DUMMYFUNCTION("""COMPUTED_VALUE"""),168.2)</f>
        <v>168.2</v>
      </c>
      <c r="S313" s="11">
        <f>IFERROR(__xludf.DUMMYFUNCTION("""COMPUTED_VALUE"""),43503.66666666667)</f>
        <v>43503.66667</v>
      </c>
      <c r="T313" s="9">
        <f>IFERROR(__xludf.DUMMYFUNCTION("""COMPUTED_VALUE"""),166.38)</f>
        <v>166.38</v>
      </c>
      <c r="V313" s="11">
        <f>IFERROR(__xludf.DUMMYFUNCTION("""COMPUTED_VALUE"""),43503.66666666667)</f>
        <v>43503.66667</v>
      </c>
      <c r="W313" s="9">
        <f>IFERROR(__xludf.DUMMYFUNCTION("""COMPUTED_VALUE"""),347.9)</f>
        <v>347.9</v>
      </c>
      <c r="X313" s="11">
        <f>IFERROR(__xludf.DUMMYFUNCTION("""COMPUTED_VALUE"""),43503.66666666667)</f>
        <v>43503.66667</v>
      </c>
      <c r="Y313" s="9">
        <f>IFERROR(__xludf.DUMMYFUNCTION("""COMPUTED_VALUE"""),344.71)</f>
        <v>344.71</v>
      </c>
      <c r="AA313" s="11">
        <f>IFERROR(__xludf.DUMMYFUNCTION("""COMPUTED_VALUE"""),43503.66666666667)</f>
        <v>43503.66667</v>
      </c>
      <c r="AB313" s="9">
        <f>IFERROR(__xludf.DUMMYFUNCTION("""COMPUTED_VALUE"""),1625.0)</f>
        <v>1625</v>
      </c>
      <c r="AC313" s="11">
        <f>IFERROR(__xludf.DUMMYFUNCTION("""COMPUTED_VALUE"""),43503.66666666667)</f>
        <v>43503.66667</v>
      </c>
      <c r="AD313" s="9">
        <f>IFERROR(__xludf.DUMMYFUNCTION("""COMPUTED_VALUE"""),1614.37)</f>
        <v>1614.37</v>
      </c>
    </row>
    <row r="314">
      <c r="B314" s="11">
        <f>IFERROR(__xludf.DUMMYFUNCTION("""COMPUTED_VALUE"""),43504.66666666667)</f>
        <v>43504.66667</v>
      </c>
      <c r="C314" s="9">
        <f>IFERROR(__xludf.DUMMYFUNCTION("""COMPUTED_VALUE"""),61.37)</f>
        <v>61.37</v>
      </c>
      <c r="D314" s="11">
        <f>IFERROR(__xludf.DUMMYFUNCTION("""COMPUTED_VALUE"""),43504.66666666667)</f>
        <v>43504.66667</v>
      </c>
      <c r="E314" s="9">
        <f>IFERROR(__xludf.DUMMYFUNCTION("""COMPUTED_VALUE"""),61.16)</f>
        <v>61.16</v>
      </c>
      <c r="G314" s="11">
        <f>IFERROR(__xludf.DUMMYFUNCTION("""COMPUTED_VALUE"""),43504.66666666667)</f>
        <v>43504.66667</v>
      </c>
      <c r="H314" s="9">
        <f>IFERROR(__xludf.DUMMYFUNCTION("""COMPUTED_VALUE"""),1087.0)</f>
        <v>1087</v>
      </c>
      <c r="I314" s="11">
        <f>IFERROR(__xludf.DUMMYFUNCTION("""COMPUTED_VALUE"""),43504.66666666667)</f>
        <v>43504.66667</v>
      </c>
      <c r="J314" s="9">
        <f>IFERROR(__xludf.DUMMYFUNCTION("""COMPUTED_VALUE"""),1095.06)</f>
        <v>1095.06</v>
      </c>
      <c r="L314" s="11">
        <f>IFERROR(__xludf.DUMMYFUNCTION("""COMPUTED_VALUE"""),43504.66666666667)</f>
        <v>43504.66667</v>
      </c>
      <c r="M314" s="9">
        <f>IFERROR(__xludf.DUMMYFUNCTION("""COMPUTED_VALUE"""),42.25)</f>
        <v>42.25</v>
      </c>
      <c r="N314" s="11">
        <f>IFERROR(__xludf.DUMMYFUNCTION("""COMPUTED_VALUE"""),43504.66666666667)</f>
        <v>43504.66667</v>
      </c>
      <c r="O314" s="9">
        <f>IFERROR(__xludf.DUMMYFUNCTION("""COMPUTED_VALUE"""),42.6)</f>
        <v>42.6</v>
      </c>
      <c r="Q314" s="11">
        <f>IFERROR(__xludf.DUMMYFUNCTION("""COMPUTED_VALUE"""),43504.66666666667)</f>
        <v>43504.66667</v>
      </c>
      <c r="R314" s="9">
        <f>IFERROR(__xludf.DUMMYFUNCTION("""COMPUTED_VALUE"""),164.47)</f>
        <v>164.47</v>
      </c>
      <c r="S314" s="11">
        <f>IFERROR(__xludf.DUMMYFUNCTION("""COMPUTED_VALUE"""),43504.66666666667)</f>
        <v>43504.66667</v>
      </c>
      <c r="T314" s="9">
        <f>IFERROR(__xludf.DUMMYFUNCTION("""COMPUTED_VALUE"""),167.33)</f>
        <v>167.33</v>
      </c>
      <c r="V314" s="11">
        <f>IFERROR(__xludf.DUMMYFUNCTION("""COMPUTED_VALUE"""),43504.66666666667)</f>
        <v>43504.66667</v>
      </c>
      <c r="W314" s="9">
        <f>IFERROR(__xludf.DUMMYFUNCTION("""COMPUTED_VALUE"""),338.0)</f>
        <v>338</v>
      </c>
      <c r="X314" s="11">
        <f>IFERROR(__xludf.DUMMYFUNCTION("""COMPUTED_VALUE"""),43504.66666666667)</f>
        <v>43504.66667</v>
      </c>
      <c r="Y314" s="9">
        <f>IFERROR(__xludf.DUMMYFUNCTION("""COMPUTED_VALUE"""),347.57)</f>
        <v>347.57</v>
      </c>
      <c r="AA314" s="11">
        <f>IFERROR(__xludf.DUMMYFUNCTION("""COMPUTED_VALUE"""),43504.66666666667)</f>
        <v>43504.66667</v>
      </c>
      <c r="AB314" s="9">
        <f>IFERROR(__xludf.DUMMYFUNCTION("""COMPUTED_VALUE"""),1586.0)</f>
        <v>1586</v>
      </c>
      <c r="AC314" s="11">
        <f>IFERROR(__xludf.DUMMYFUNCTION("""COMPUTED_VALUE"""),43504.66666666667)</f>
        <v>43504.66667</v>
      </c>
      <c r="AD314" s="9">
        <f>IFERROR(__xludf.DUMMYFUNCTION("""COMPUTED_VALUE"""),1588.22)</f>
        <v>1588.22</v>
      </c>
    </row>
    <row r="315">
      <c r="B315" s="11">
        <f>IFERROR(__xludf.DUMMYFUNCTION("""COMPUTED_VALUE"""),43507.66666666667)</f>
        <v>43507.66667</v>
      </c>
      <c r="C315" s="9">
        <f>IFERROR(__xludf.DUMMYFUNCTION("""COMPUTED_VALUE"""),62.32)</f>
        <v>62.32</v>
      </c>
      <c r="D315" s="11">
        <f>IFERROR(__xludf.DUMMYFUNCTION("""COMPUTED_VALUE"""),43507.66666666667)</f>
        <v>43507.66667</v>
      </c>
      <c r="E315" s="9">
        <f>IFERROR(__xludf.DUMMYFUNCTION("""COMPUTED_VALUE"""),62.57)</f>
        <v>62.57</v>
      </c>
      <c r="G315" s="11">
        <f>IFERROR(__xludf.DUMMYFUNCTION("""COMPUTED_VALUE"""),43507.66666666667)</f>
        <v>43507.66667</v>
      </c>
      <c r="H315" s="9">
        <f>IFERROR(__xludf.DUMMYFUNCTION("""COMPUTED_VALUE"""),1096.95)</f>
        <v>1096.95</v>
      </c>
      <c r="I315" s="11">
        <f>IFERROR(__xludf.DUMMYFUNCTION("""COMPUTED_VALUE"""),43507.66666666667)</f>
        <v>43507.66667</v>
      </c>
      <c r="J315" s="9">
        <f>IFERROR(__xludf.DUMMYFUNCTION("""COMPUTED_VALUE"""),1095.01)</f>
        <v>1095.01</v>
      </c>
      <c r="L315" s="11">
        <f>IFERROR(__xludf.DUMMYFUNCTION("""COMPUTED_VALUE"""),43507.66666666667)</f>
        <v>43507.66667</v>
      </c>
      <c r="M315" s="9">
        <f>IFERROR(__xludf.DUMMYFUNCTION("""COMPUTED_VALUE"""),42.76)</f>
        <v>42.76</v>
      </c>
      <c r="N315" s="11">
        <f>IFERROR(__xludf.DUMMYFUNCTION("""COMPUTED_VALUE"""),43507.66666666667)</f>
        <v>43507.66667</v>
      </c>
      <c r="O315" s="9">
        <f>IFERROR(__xludf.DUMMYFUNCTION("""COMPUTED_VALUE"""),42.36)</f>
        <v>42.36</v>
      </c>
      <c r="Q315" s="11">
        <f>IFERROR(__xludf.DUMMYFUNCTION("""COMPUTED_VALUE"""),43507.66666666667)</f>
        <v>43507.66667</v>
      </c>
      <c r="R315" s="9">
        <f>IFERROR(__xludf.DUMMYFUNCTION("""COMPUTED_VALUE"""),167.9)</f>
        <v>167.9</v>
      </c>
      <c r="S315" s="11">
        <f>IFERROR(__xludf.DUMMYFUNCTION("""COMPUTED_VALUE"""),43507.66666666667)</f>
        <v>43507.66667</v>
      </c>
      <c r="T315" s="9">
        <f>IFERROR(__xludf.DUMMYFUNCTION("""COMPUTED_VALUE"""),165.79)</f>
        <v>165.79</v>
      </c>
      <c r="V315" s="11">
        <f>IFERROR(__xludf.DUMMYFUNCTION("""COMPUTED_VALUE"""),43507.66666666667)</f>
        <v>43507.66667</v>
      </c>
      <c r="W315" s="9">
        <f>IFERROR(__xludf.DUMMYFUNCTION("""COMPUTED_VALUE"""),350.0)</f>
        <v>350</v>
      </c>
      <c r="X315" s="11">
        <f>IFERROR(__xludf.DUMMYFUNCTION("""COMPUTED_VALUE"""),43507.66666666667)</f>
        <v>43507.66667</v>
      </c>
      <c r="Y315" s="9">
        <f>IFERROR(__xludf.DUMMYFUNCTION("""COMPUTED_VALUE"""),345.73)</f>
        <v>345.73</v>
      </c>
      <c r="AA315" s="11">
        <f>IFERROR(__xludf.DUMMYFUNCTION("""COMPUTED_VALUE"""),43507.66666666667)</f>
        <v>43507.66667</v>
      </c>
      <c r="AB315" s="9">
        <f>IFERROR(__xludf.DUMMYFUNCTION("""COMPUTED_VALUE"""),1600.98)</f>
        <v>1600.98</v>
      </c>
      <c r="AC315" s="11">
        <f>IFERROR(__xludf.DUMMYFUNCTION("""COMPUTED_VALUE"""),43507.66666666667)</f>
        <v>43507.66667</v>
      </c>
      <c r="AD315" s="9">
        <f>IFERROR(__xludf.DUMMYFUNCTION("""COMPUTED_VALUE"""),1591.0)</f>
        <v>1591</v>
      </c>
    </row>
    <row r="316">
      <c r="B316" s="11">
        <f>IFERROR(__xludf.DUMMYFUNCTION("""COMPUTED_VALUE"""),43508.66666666667)</f>
        <v>43508.66667</v>
      </c>
      <c r="C316" s="9">
        <f>IFERROR(__xludf.DUMMYFUNCTION("""COMPUTED_VALUE"""),63.24)</f>
        <v>63.24</v>
      </c>
      <c r="D316" s="11">
        <f>IFERROR(__xludf.DUMMYFUNCTION("""COMPUTED_VALUE"""),43508.66666666667)</f>
        <v>43508.66667</v>
      </c>
      <c r="E316" s="9">
        <f>IFERROR(__xludf.DUMMYFUNCTION("""COMPUTED_VALUE"""),62.36)</f>
        <v>62.36</v>
      </c>
      <c r="G316" s="11">
        <f>IFERROR(__xludf.DUMMYFUNCTION("""COMPUTED_VALUE"""),43508.66666666667)</f>
        <v>43508.66667</v>
      </c>
      <c r="H316" s="9">
        <f>IFERROR(__xludf.DUMMYFUNCTION("""COMPUTED_VALUE"""),1106.8)</f>
        <v>1106.8</v>
      </c>
      <c r="I316" s="11">
        <f>IFERROR(__xludf.DUMMYFUNCTION("""COMPUTED_VALUE"""),43508.66666666667)</f>
        <v>43508.66667</v>
      </c>
      <c r="J316" s="9">
        <f>IFERROR(__xludf.DUMMYFUNCTION("""COMPUTED_VALUE"""),1121.37)</f>
        <v>1121.37</v>
      </c>
      <c r="L316" s="11">
        <f>IFERROR(__xludf.DUMMYFUNCTION("""COMPUTED_VALUE"""),43508.66666666667)</f>
        <v>43508.66667</v>
      </c>
      <c r="M316" s="9">
        <f>IFERROR(__xludf.DUMMYFUNCTION("""COMPUTED_VALUE"""),42.53)</f>
        <v>42.53</v>
      </c>
      <c r="N316" s="11">
        <f>IFERROR(__xludf.DUMMYFUNCTION("""COMPUTED_VALUE"""),43508.66666666667)</f>
        <v>43508.66667</v>
      </c>
      <c r="O316" s="9">
        <f>IFERROR(__xludf.DUMMYFUNCTION("""COMPUTED_VALUE"""),42.72)</f>
        <v>42.72</v>
      </c>
      <c r="Q316" s="11">
        <f>IFERROR(__xludf.DUMMYFUNCTION("""COMPUTED_VALUE"""),43508.66666666667)</f>
        <v>43508.66667</v>
      </c>
      <c r="R316" s="9">
        <f>IFERROR(__xludf.DUMMYFUNCTION("""COMPUTED_VALUE"""),166.86)</f>
        <v>166.86</v>
      </c>
      <c r="S316" s="11">
        <f>IFERROR(__xludf.DUMMYFUNCTION("""COMPUTED_VALUE"""),43508.66666666667)</f>
        <v>43508.66667</v>
      </c>
      <c r="T316" s="9">
        <f>IFERROR(__xludf.DUMMYFUNCTION("""COMPUTED_VALUE"""),165.04)</f>
        <v>165.04</v>
      </c>
      <c r="V316" s="11">
        <f>IFERROR(__xludf.DUMMYFUNCTION("""COMPUTED_VALUE"""),43508.66666666667)</f>
        <v>43508.66667</v>
      </c>
      <c r="W316" s="9">
        <f>IFERROR(__xludf.DUMMYFUNCTION("""COMPUTED_VALUE"""),348.09)</f>
        <v>348.09</v>
      </c>
      <c r="X316" s="11">
        <f>IFERROR(__xludf.DUMMYFUNCTION("""COMPUTED_VALUE"""),43508.66666666667)</f>
        <v>43508.66667</v>
      </c>
      <c r="Y316" s="9">
        <f>IFERROR(__xludf.DUMMYFUNCTION("""COMPUTED_VALUE"""),359.97)</f>
        <v>359.97</v>
      </c>
      <c r="AA316" s="11">
        <f>IFERROR(__xludf.DUMMYFUNCTION("""COMPUTED_VALUE"""),43508.66666666667)</f>
        <v>43508.66667</v>
      </c>
      <c r="AB316" s="9">
        <f>IFERROR(__xludf.DUMMYFUNCTION("""COMPUTED_VALUE"""),1604.0)</f>
        <v>1604</v>
      </c>
      <c r="AC316" s="11">
        <f>IFERROR(__xludf.DUMMYFUNCTION("""COMPUTED_VALUE"""),43508.66666666667)</f>
        <v>43508.66667</v>
      </c>
      <c r="AD316" s="9">
        <f>IFERROR(__xludf.DUMMYFUNCTION("""COMPUTED_VALUE"""),1638.01)</f>
        <v>1638.01</v>
      </c>
    </row>
    <row r="317">
      <c r="B317" s="11">
        <f>IFERROR(__xludf.DUMMYFUNCTION("""COMPUTED_VALUE"""),43509.66666666667)</f>
        <v>43509.66667</v>
      </c>
      <c r="C317" s="9">
        <f>IFERROR(__xludf.DUMMYFUNCTION("""COMPUTED_VALUE"""),62.47)</f>
        <v>62.47</v>
      </c>
      <c r="D317" s="11">
        <f>IFERROR(__xludf.DUMMYFUNCTION("""COMPUTED_VALUE"""),43509.66666666667)</f>
        <v>43509.66667</v>
      </c>
      <c r="E317" s="9">
        <f>IFERROR(__xludf.DUMMYFUNCTION("""COMPUTED_VALUE"""),61.63)</f>
        <v>61.63</v>
      </c>
      <c r="G317" s="11">
        <f>IFERROR(__xludf.DUMMYFUNCTION("""COMPUTED_VALUE"""),43509.66666666667)</f>
        <v>43509.66667</v>
      </c>
      <c r="H317" s="9">
        <f>IFERROR(__xludf.DUMMYFUNCTION("""COMPUTED_VALUE"""),1124.99)</f>
        <v>1124.99</v>
      </c>
      <c r="I317" s="11">
        <f>IFERROR(__xludf.DUMMYFUNCTION("""COMPUTED_VALUE"""),43509.66666666667)</f>
        <v>43509.66667</v>
      </c>
      <c r="J317" s="9">
        <f>IFERROR(__xludf.DUMMYFUNCTION("""COMPUTED_VALUE"""),1120.16)</f>
        <v>1120.16</v>
      </c>
      <c r="L317" s="11">
        <f>IFERROR(__xludf.DUMMYFUNCTION("""COMPUTED_VALUE"""),43509.66666666667)</f>
        <v>43509.66667</v>
      </c>
      <c r="M317" s="9">
        <f>IFERROR(__xludf.DUMMYFUNCTION("""COMPUTED_VALUE"""),42.85)</f>
        <v>42.85</v>
      </c>
      <c r="N317" s="11">
        <f>IFERROR(__xludf.DUMMYFUNCTION("""COMPUTED_VALUE"""),43509.66666666667)</f>
        <v>43509.66667</v>
      </c>
      <c r="O317" s="9">
        <f>IFERROR(__xludf.DUMMYFUNCTION("""COMPUTED_VALUE"""),42.55)</f>
        <v>42.55</v>
      </c>
      <c r="Q317" s="11">
        <f>IFERROR(__xludf.DUMMYFUNCTION("""COMPUTED_VALUE"""),43509.66666666667)</f>
        <v>43509.66667</v>
      </c>
      <c r="R317" s="9">
        <f>IFERROR(__xludf.DUMMYFUNCTION("""COMPUTED_VALUE"""),165.38)</f>
        <v>165.38</v>
      </c>
      <c r="S317" s="11">
        <f>IFERROR(__xludf.DUMMYFUNCTION("""COMPUTED_VALUE"""),43509.66666666667)</f>
        <v>43509.66667</v>
      </c>
      <c r="T317" s="9">
        <f>IFERROR(__xludf.DUMMYFUNCTION("""COMPUTED_VALUE"""),164.07)</f>
        <v>164.07</v>
      </c>
      <c r="V317" s="11">
        <f>IFERROR(__xludf.DUMMYFUNCTION("""COMPUTED_VALUE"""),43509.66666666667)</f>
        <v>43509.66667</v>
      </c>
      <c r="W317" s="9">
        <f>IFERROR(__xludf.DUMMYFUNCTION("""COMPUTED_VALUE"""),357.3)</f>
        <v>357.3</v>
      </c>
      <c r="X317" s="11">
        <f>IFERROR(__xludf.DUMMYFUNCTION("""COMPUTED_VALUE"""),43509.66666666667)</f>
        <v>43509.66667</v>
      </c>
      <c r="Y317" s="9">
        <f>IFERROR(__xludf.DUMMYFUNCTION("""COMPUTED_VALUE"""),351.77)</f>
        <v>351.77</v>
      </c>
      <c r="AA317" s="11">
        <f>IFERROR(__xludf.DUMMYFUNCTION("""COMPUTED_VALUE"""),43509.66666666667)</f>
        <v>43509.66667</v>
      </c>
      <c r="AB317" s="9">
        <f>IFERROR(__xludf.DUMMYFUNCTION("""COMPUTED_VALUE"""),1647.0)</f>
        <v>1647</v>
      </c>
      <c r="AC317" s="11">
        <f>IFERROR(__xludf.DUMMYFUNCTION("""COMPUTED_VALUE"""),43509.66666666667)</f>
        <v>43509.66667</v>
      </c>
      <c r="AD317" s="9">
        <f>IFERROR(__xludf.DUMMYFUNCTION("""COMPUTED_VALUE"""),1640.0)</f>
        <v>1640</v>
      </c>
    </row>
    <row r="318">
      <c r="B318" s="11">
        <f>IFERROR(__xludf.DUMMYFUNCTION("""COMPUTED_VALUE"""),43510.66666666667)</f>
        <v>43510.66667</v>
      </c>
      <c r="C318" s="9">
        <f>IFERROR(__xludf.DUMMYFUNCTION("""COMPUTED_VALUE"""),60.68)</f>
        <v>60.68</v>
      </c>
      <c r="D318" s="11">
        <f>IFERROR(__xludf.DUMMYFUNCTION("""COMPUTED_VALUE"""),43510.66666666667)</f>
        <v>43510.66667</v>
      </c>
      <c r="E318" s="9">
        <f>IFERROR(__xludf.DUMMYFUNCTION("""COMPUTED_VALUE"""),60.75)</f>
        <v>60.75</v>
      </c>
      <c r="G318" s="11">
        <f>IFERROR(__xludf.DUMMYFUNCTION("""COMPUTED_VALUE"""),43510.66666666667)</f>
        <v>43510.66667</v>
      </c>
      <c r="H318" s="9">
        <f>IFERROR(__xludf.DUMMYFUNCTION("""COMPUTED_VALUE"""),1118.05)</f>
        <v>1118.05</v>
      </c>
      <c r="I318" s="11">
        <f>IFERROR(__xludf.DUMMYFUNCTION("""COMPUTED_VALUE"""),43510.66666666667)</f>
        <v>43510.66667</v>
      </c>
      <c r="J318" s="9">
        <f>IFERROR(__xludf.DUMMYFUNCTION("""COMPUTED_VALUE"""),1121.67)</f>
        <v>1121.67</v>
      </c>
      <c r="L318" s="11">
        <f>IFERROR(__xludf.DUMMYFUNCTION("""COMPUTED_VALUE"""),43510.66666666667)</f>
        <v>43510.66667</v>
      </c>
      <c r="M318" s="9">
        <f>IFERROR(__xludf.DUMMYFUNCTION("""COMPUTED_VALUE"""),42.43)</f>
        <v>42.43</v>
      </c>
      <c r="N318" s="11">
        <f>IFERROR(__xludf.DUMMYFUNCTION("""COMPUTED_VALUE"""),43510.66666666667)</f>
        <v>43510.66667</v>
      </c>
      <c r="O318" s="9">
        <f>IFERROR(__xludf.DUMMYFUNCTION("""COMPUTED_VALUE"""),42.7)</f>
        <v>42.7</v>
      </c>
      <c r="Q318" s="11">
        <f>IFERROR(__xludf.DUMMYFUNCTION("""COMPUTED_VALUE"""),43510.66666666667)</f>
        <v>43510.66667</v>
      </c>
      <c r="R318" s="9">
        <f>IFERROR(__xludf.DUMMYFUNCTION("""COMPUTED_VALUE"""),163.19)</f>
        <v>163.19</v>
      </c>
      <c r="S318" s="11">
        <f>IFERROR(__xludf.DUMMYFUNCTION("""COMPUTED_VALUE"""),43510.66666666667)</f>
        <v>43510.66667</v>
      </c>
      <c r="T318" s="9">
        <f>IFERROR(__xludf.DUMMYFUNCTION("""COMPUTED_VALUE"""),163.95)</f>
        <v>163.95</v>
      </c>
      <c r="V318" s="11">
        <f>IFERROR(__xludf.DUMMYFUNCTION("""COMPUTED_VALUE"""),43510.66666666667)</f>
        <v>43510.66667</v>
      </c>
      <c r="W318" s="9">
        <f>IFERROR(__xludf.DUMMYFUNCTION("""COMPUTED_VALUE"""),351.75)</f>
        <v>351.75</v>
      </c>
      <c r="X318" s="11">
        <f>IFERROR(__xludf.DUMMYFUNCTION("""COMPUTED_VALUE"""),43510.66666666667)</f>
        <v>43510.66667</v>
      </c>
      <c r="Y318" s="9">
        <f>IFERROR(__xludf.DUMMYFUNCTION("""COMPUTED_VALUE"""),359.07)</f>
        <v>359.07</v>
      </c>
      <c r="AA318" s="11">
        <f>IFERROR(__xludf.DUMMYFUNCTION("""COMPUTED_VALUE"""),43510.66666666667)</f>
        <v>43510.66667</v>
      </c>
      <c r="AB318" s="9">
        <f>IFERROR(__xludf.DUMMYFUNCTION("""COMPUTED_VALUE"""),1624.5)</f>
        <v>1624.5</v>
      </c>
      <c r="AC318" s="11">
        <f>IFERROR(__xludf.DUMMYFUNCTION("""COMPUTED_VALUE"""),43510.66666666667)</f>
        <v>43510.66667</v>
      </c>
      <c r="AD318" s="9">
        <f>IFERROR(__xludf.DUMMYFUNCTION("""COMPUTED_VALUE"""),1622.65)</f>
        <v>1622.65</v>
      </c>
    </row>
    <row r="319">
      <c r="B319" s="11">
        <f>IFERROR(__xludf.DUMMYFUNCTION("""COMPUTED_VALUE"""),43511.66666666667)</f>
        <v>43511.66667</v>
      </c>
      <c r="C319" s="9">
        <f>IFERROR(__xludf.DUMMYFUNCTION("""COMPUTED_VALUE"""),60.9)</f>
        <v>60.9</v>
      </c>
      <c r="D319" s="11">
        <f>IFERROR(__xludf.DUMMYFUNCTION("""COMPUTED_VALUE"""),43511.66666666667)</f>
        <v>43511.66667</v>
      </c>
      <c r="E319" s="9">
        <f>IFERROR(__xludf.DUMMYFUNCTION("""COMPUTED_VALUE"""),61.58)</f>
        <v>61.58</v>
      </c>
      <c r="G319" s="11">
        <f>IFERROR(__xludf.DUMMYFUNCTION("""COMPUTED_VALUE"""),43511.66666666667)</f>
        <v>43511.66667</v>
      </c>
      <c r="H319" s="9">
        <f>IFERROR(__xludf.DUMMYFUNCTION("""COMPUTED_VALUE"""),1130.08)</f>
        <v>1130.08</v>
      </c>
      <c r="I319" s="11">
        <f>IFERROR(__xludf.DUMMYFUNCTION("""COMPUTED_VALUE"""),43511.66666666667)</f>
        <v>43511.66667</v>
      </c>
      <c r="J319" s="9">
        <f>IFERROR(__xludf.DUMMYFUNCTION("""COMPUTED_VALUE"""),1113.65)</f>
        <v>1113.65</v>
      </c>
      <c r="L319" s="11">
        <f>IFERROR(__xludf.DUMMYFUNCTION("""COMPUTED_VALUE"""),43511.66666666667)</f>
        <v>43511.66667</v>
      </c>
      <c r="M319" s="9">
        <f>IFERROR(__xludf.DUMMYFUNCTION("""COMPUTED_VALUE"""),42.81)</f>
        <v>42.81</v>
      </c>
      <c r="N319" s="11">
        <f>IFERROR(__xludf.DUMMYFUNCTION("""COMPUTED_VALUE"""),43511.66666666667)</f>
        <v>43511.66667</v>
      </c>
      <c r="O319" s="9">
        <f>IFERROR(__xludf.DUMMYFUNCTION("""COMPUTED_VALUE"""),42.61)</f>
        <v>42.61</v>
      </c>
      <c r="Q319" s="11">
        <f>IFERROR(__xludf.DUMMYFUNCTION("""COMPUTED_VALUE"""),43511.66666666667)</f>
        <v>43511.66667</v>
      </c>
      <c r="R319" s="9">
        <f>IFERROR(__xludf.DUMMYFUNCTION("""COMPUTED_VALUE"""),164.51)</f>
        <v>164.51</v>
      </c>
      <c r="S319" s="11">
        <f>IFERROR(__xludf.DUMMYFUNCTION("""COMPUTED_VALUE"""),43511.66666666667)</f>
        <v>43511.66667</v>
      </c>
      <c r="T319" s="9">
        <f>IFERROR(__xludf.DUMMYFUNCTION("""COMPUTED_VALUE"""),162.5)</f>
        <v>162.5</v>
      </c>
      <c r="V319" s="11">
        <f>IFERROR(__xludf.DUMMYFUNCTION("""COMPUTED_VALUE"""),43511.66666666667)</f>
        <v>43511.66667</v>
      </c>
      <c r="W319" s="9">
        <f>IFERROR(__xludf.DUMMYFUNCTION("""COMPUTED_VALUE"""),358.47)</f>
        <v>358.47</v>
      </c>
      <c r="X319" s="11">
        <f>IFERROR(__xludf.DUMMYFUNCTION("""COMPUTED_VALUE"""),43511.66666666667)</f>
        <v>43511.66667</v>
      </c>
      <c r="Y319" s="9">
        <f>IFERROR(__xludf.DUMMYFUNCTION("""COMPUTED_VALUE"""),356.87)</f>
        <v>356.87</v>
      </c>
      <c r="AA319" s="11">
        <f>IFERROR(__xludf.DUMMYFUNCTION("""COMPUTED_VALUE"""),43511.66666666667)</f>
        <v>43511.66667</v>
      </c>
      <c r="AB319" s="9">
        <f>IFERROR(__xludf.DUMMYFUNCTION("""COMPUTED_VALUE"""),1627.86)</f>
        <v>1627.86</v>
      </c>
      <c r="AC319" s="11">
        <f>IFERROR(__xludf.DUMMYFUNCTION("""COMPUTED_VALUE"""),43511.66666666667)</f>
        <v>43511.66667</v>
      </c>
      <c r="AD319" s="9">
        <f>IFERROR(__xludf.DUMMYFUNCTION("""COMPUTED_VALUE"""),1607.95)</f>
        <v>1607.95</v>
      </c>
    </row>
    <row r="320">
      <c r="B320" s="11">
        <f>IFERROR(__xludf.DUMMYFUNCTION("""COMPUTED_VALUE"""),43515.66666666667)</f>
        <v>43515.66667</v>
      </c>
      <c r="C320" s="9">
        <f>IFERROR(__xludf.DUMMYFUNCTION("""COMPUTED_VALUE"""),61.31)</f>
        <v>61.31</v>
      </c>
      <c r="D320" s="11">
        <f>IFERROR(__xludf.DUMMYFUNCTION("""COMPUTED_VALUE"""),43515.66666666667)</f>
        <v>43515.66667</v>
      </c>
      <c r="E320" s="9">
        <f>IFERROR(__xludf.DUMMYFUNCTION("""COMPUTED_VALUE"""),61.13)</f>
        <v>61.13</v>
      </c>
      <c r="G320" s="11">
        <f>IFERROR(__xludf.DUMMYFUNCTION("""COMPUTED_VALUE"""),43515.66666666667)</f>
        <v>43515.66667</v>
      </c>
      <c r="H320" s="9">
        <f>IFERROR(__xludf.DUMMYFUNCTION("""COMPUTED_VALUE"""),1110.0)</f>
        <v>1110</v>
      </c>
      <c r="I320" s="11">
        <f>IFERROR(__xludf.DUMMYFUNCTION("""COMPUTED_VALUE"""),43515.66666666667)</f>
        <v>43515.66667</v>
      </c>
      <c r="J320" s="9">
        <f>IFERROR(__xludf.DUMMYFUNCTION("""COMPUTED_VALUE"""),1118.56)</f>
        <v>1118.56</v>
      </c>
      <c r="L320" s="11">
        <f>IFERROR(__xludf.DUMMYFUNCTION("""COMPUTED_VALUE"""),43515.66666666667)</f>
        <v>43515.66667</v>
      </c>
      <c r="M320" s="9">
        <f>IFERROR(__xludf.DUMMYFUNCTION("""COMPUTED_VALUE"""),42.43)</f>
        <v>42.43</v>
      </c>
      <c r="N320" s="11">
        <f>IFERROR(__xludf.DUMMYFUNCTION("""COMPUTED_VALUE"""),43515.66666666667)</f>
        <v>43515.66667</v>
      </c>
      <c r="O320" s="9">
        <f>IFERROR(__xludf.DUMMYFUNCTION("""COMPUTED_VALUE"""),42.73)</f>
        <v>42.73</v>
      </c>
      <c r="Q320" s="11">
        <f>IFERROR(__xludf.DUMMYFUNCTION("""COMPUTED_VALUE"""),43515.66666666667)</f>
        <v>43515.66667</v>
      </c>
      <c r="R320" s="9">
        <f>IFERROR(__xludf.DUMMYFUNCTION("""COMPUTED_VALUE"""),160.5)</f>
        <v>160.5</v>
      </c>
      <c r="S320" s="11">
        <f>IFERROR(__xludf.DUMMYFUNCTION("""COMPUTED_VALUE"""),43515.66666666667)</f>
        <v>43515.66667</v>
      </c>
      <c r="T320" s="9">
        <f>IFERROR(__xludf.DUMMYFUNCTION("""COMPUTED_VALUE"""),162.29)</f>
        <v>162.29</v>
      </c>
      <c r="V320" s="11">
        <f>IFERROR(__xludf.DUMMYFUNCTION("""COMPUTED_VALUE"""),43515.66666666667)</f>
        <v>43515.66667</v>
      </c>
      <c r="W320" s="9">
        <f>IFERROR(__xludf.DUMMYFUNCTION("""COMPUTED_VALUE"""),355.8)</f>
        <v>355.8</v>
      </c>
      <c r="X320" s="11">
        <f>IFERROR(__xludf.DUMMYFUNCTION("""COMPUTED_VALUE"""),43515.66666666667)</f>
        <v>43515.66667</v>
      </c>
      <c r="Y320" s="9">
        <f>IFERROR(__xludf.DUMMYFUNCTION("""COMPUTED_VALUE"""),361.92)</f>
        <v>361.92</v>
      </c>
      <c r="AA320" s="11">
        <f>IFERROR(__xludf.DUMMYFUNCTION("""COMPUTED_VALUE"""),43515.66666666667)</f>
        <v>43515.66667</v>
      </c>
      <c r="AB320" s="9">
        <f>IFERROR(__xludf.DUMMYFUNCTION("""COMPUTED_VALUE"""),1601.0)</f>
        <v>1601</v>
      </c>
      <c r="AC320" s="11">
        <f>IFERROR(__xludf.DUMMYFUNCTION("""COMPUTED_VALUE"""),43515.66666666667)</f>
        <v>43515.66667</v>
      </c>
      <c r="AD320" s="9">
        <f>IFERROR(__xludf.DUMMYFUNCTION("""COMPUTED_VALUE"""),1627.58)</f>
        <v>1627.58</v>
      </c>
    </row>
    <row r="321">
      <c r="B321" s="11">
        <f>IFERROR(__xludf.DUMMYFUNCTION("""COMPUTED_VALUE"""),43516.66666666667)</f>
        <v>43516.66667</v>
      </c>
      <c r="C321" s="9">
        <f>IFERROR(__xludf.DUMMYFUNCTION("""COMPUTED_VALUE"""),60.88)</f>
        <v>60.88</v>
      </c>
      <c r="D321" s="11">
        <f>IFERROR(__xludf.DUMMYFUNCTION("""COMPUTED_VALUE"""),43516.66666666667)</f>
        <v>43516.66667</v>
      </c>
      <c r="E321" s="9">
        <f>IFERROR(__xludf.DUMMYFUNCTION("""COMPUTED_VALUE"""),60.51)</f>
        <v>60.51</v>
      </c>
      <c r="G321" s="11">
        <f>IFERROR(__xludf.DUMMYFUNCTION("""COMPUTED_VALUE"""),43516.66666666667)</f>
        <v>43516.66667</v>
      </c>
      <c r="H321" s="9">
        <f>IFERROR(__xludf.DUMMYFUNCTION("""COMPUTED_VALUE"""),1119.99)</f>
        <v>1119.99</v>
      </c>
      <c r="I321" s="11">
        <f>IFERROR(__xludf.DUMMYFUNCTION("""COMPUTED_VALUE"""),43516.66666666667)</f>
        <v>43516.66667</v>
      </c>
      <c r="J321" s="9">
        <f>IFERROR(__xludf.DUMMYFUNCTION("""COMPUTED_VALUE"""),1113.8)</f>
        <v>1113.8</v>
      </c>
      <c r="L321" s="11">
        <f>IFERROR(__xludf.DUMMYFUNCTION("""COMPUTED_VALUE"""),43516.66666666667)</f>
        <v>43516.66667</v>
      </c>
      <c r="M321" s="9">
        <f>IFERROR(__xludf.DUMMYFUNCTION("""COMPUTED_VALUE"""),42.8)</f>
        <v>42.8</v>
      </c>
      <c r="N321" s="11">
        <f>IFERROR(__xludf.DUMMYFUNCTION("""COMPUTED_VALUE"""),43516.66666666667)</f>
        <v>43516.66667</v>
      </c>
      <c r="O321" s="9">
        <f>IFERROR(__xludf.DUMMYFUNCTION("""COMPUTED_VALUE"""),43.01)</f>
        <v>43.01</v>
      </c>
      <c r="Q321" s="11">
        <f>IFERROR(__xludf.DUMMYFUNCTION("""COMPUTED_VALUE"""),43516.66666666667)</f>
        <v>43516.66667</v>
      </c>
      <c r="R321" s="9">
        <f>IFERROR(__xludf.DUMMYFUNCTION("""COMPUTED_VALUE"""),162.25)</f>
        <v>162.25</v>
      </c>
      <c r="S321" s="11">
        <f>IFERROR(__xludf.DUMMYFUNCTION("""COMPUTED_VALUE"""),43516.66666666667)</f>
        <v>43516.66667</v>
      </c>
      <c r="T321" s="9">
        <f>IFERROR(__xludf.DUMMYFUNCTION("""COMPUTED_VALUE"""),162.56)</f>
        <v>162.56</v>
      </c>
      <c r="V321" s="11">
        <f>IFERROR(__xludf.DUMMYFUNCTION("""COMPUTED_VALUE"""),43516.66666666667)</f>
        <v>43516.66667</v>
      </c>
      <c r="W321" s="9">
        <f>IFERROR(__xludf.DUMMYFUNCTION("""COMPUTED_VALUE"""),364.85)</f>
        <v>364.85</v>
      </c>
      <c r="X321" s="11">
        <f>IFERROR(__xludf.DUMMYFUNCTION("""COMPUTED_VALUE"""),43516.66666666667)</f>
        <v>43516.66667</v>
      </c>
      <c r="Y321" s="9">
        <f>IFERROR(__xludf.DUMMYFUNCTION("""COMPUTED_VALUE"""),359.91)</f>
        <v>359.91</v>
      </c>
      <c r="AA321" s="11">
        <f>IFERROR(__xludf.DUMMYFUNCTION("""COMPUTED_VALUE"""),43516.66666666667)</f>
        <v>43516.66667</v>
      </c>
      <c r="AB321" s="9">
        <f>IFERROR(__xludf.DUMMYFUNCTION("""COMPUTED_VALUE"""),1630.0)</f>
        <v>1630</v>
      </c>
      <c r="AC321" s="11">
        <f>IFERROR(__xludf.DUMMYFUNCTION("""COMPUTED_VALUE"""),43516.66666666667)</f>
        <v>43516.66667</v>
      </c>
      <c r="AD321" s="9">
        <f>IFERROR(__xludf.DUMMYFUNCTION("""COMPUTED_VALUE"""),1622.1)</f>
        <v>1622.1</v>
      </c>
    </row>
    <row r="322">
      <c r="B322" s="11">
        <f>IFERROR(__xludf.DUMMYFUNCTION("""COMPUTED_VALUE"""),43517.66666666667)</f>
        <v>43517.66667</v>
      </c>
      <c r="C322" s="9">
        <f>IFERROR(__xludf.DUMMYFUNCTION("""COMPUTED_VALUE"""),60.36)</f>
        <v>60.36</v>
      </c>
      <c r="D322" s="11">
        <f>IFERROR(__xludf.DUMMYFUNCTION("""COMPUTED_VALUE"""),43517.66666666667)</f>
        <v>43517.66667</v>
      </c>
      <c r="E322" s="9">
        <f>IFERROR(__xludf.DUMMYFUNCTION("""COMPUTED_VALUE"""),58.25)</f>
        <v>58.25</v>
      </c>
      <c r="G322" s="11">
        <f>IFERROR(__xludf.DUMMYFUNCTION("""COMPUTED_VALUE"""),43517.66666666667)</f>
        <v>43517.66667</v>
      </c>
      <c r="H322" s="9">
        <f>IFERROR(__xludf.DUMMYFUNCTION("""COMPUTED_VALUE"""),1110.84)</f>
        <v>1110.84</v>
      </c>
      <c r="I322" s="11">
        <f>IFERROR(__xludf.DUMMYFUNCTION("""COMPUTED_VALUE"""),43517.66666666667)</f>
        <v>43517.66667</v>
      </c>
      <c r="J322" s="9">
        <f>IFERROR(__xludf.DUMMYFUNCTION("""COMPUTED_VALUE"""),1096.97)</f>
        <v>1096.97</v>
      </c>
      <c r="L322" s="11">
        <f>IFERROR(__xludf.DUMMYFUNCTION("""COMPUTED_VALUE"""),43517.66666666667)</f>
        <v>43517.66667</v>
      </c>
      <c r="M322" s="9">
        <f>IFERROR(__xludf.DUMMYFUNCTION("""COMPUTED_VALUE"""),42.95)</f>
        <v>42.95</v>
      </c>
      <c r="N322" s="11">
        <f>IFERROR(__xludf.DUMMYFUNCTION("""COMPUTED_VALUE"""),43517.66666666667)</f>
        <v>43517.66667</v>
      </c>
      <c r="O322" s="9">
        <f>IFERROR(__xludf.DUMMYFUNCTION("""COMPUTED_VALUE"""),42.77)</f>
        <v>42.77</v>
      </c>
      <c r="Q322" s="11">
        <f>IFERROR(__xludf.DUMMYFUNCTION("""COMPUTED_VALUE"""),43517.66666666667)</f>
        <v>43517.66667</v>
      </c>
      <c r="R322" s="9">
        <f>IFERROR(__xludf.DUMMYFUNCTION("""COMPUTED_VALUE"""),161.93)</f>
        <v>161.93</v>
      </c>
      <c r="S322" s="11">
        <f>IFERROR(__xludf.DUMMYFUNCTION("""COMPUTED_VALUE"""),43517.66666666667)</f>
        <v>43517.66667</v>
      </c>
      <c r="T322" s="9">
        <f>IFERROR(__xludf.DUMMYFUNCTION("""COMPUTED_VALUE"""),160.04)</f>
        <v>160.04</v>
      </c>
      <c r="V322" s="11">
        <f>IFERROR(__xludf.DUMMYFUNCTION("""COMPUTED_VALUE"""),43517.66666666667)</f>
        <v>43517.66667</v>
      </c>
      <c r="W322" s="9">
        <f>IFERROR(__xludf.DUMMYFUNCTION("""COMPUTED_VALUE"""),360.03)</f>
        <v>360.03</v>
      </c>
      <c r="X322" s="11">
        <f>IFERROR(__xludf.DUMMYFUNCTION("""COMPUTED_VALUE"""),43517.66666666667)</f>
        <v>43517.66667</v>
      </c>
      <c r="Y322" s="9">
        <f>IFERROR(__xludf.DUMMYFUNCTION("""COMPUTED_VALUE"""),356.97)</f>
        <v>356.97</v>
      </c>
      <c r="AA322" s="11">
        <f>IFERROR(__xludf.DUMMYFUNCTION("""COMPUTED_VALUE"""),43517.66666666667)</f>
        <v>43517.66667</v>
      </c>
      <c r="AB322" s="9">
        <f>IFERROR(__xludf.DUMMYFUNCTION("""COMPUTED_VALUE"""),1619.85)</f>
        <v>1619.85</v>
      </c>
      <c r="AC322" s="11">
        <f>IFERROR(__xludf.DUMMYFUNCTION("""COMPUTED_VALUE"""),43517.66666666667)</f>
        <v>43517.66667</v>
      </c>
      <c r="AD322" s="9">
        <f>IFERROR(__xludf.DUMMYFUNCTION("""COMPUTED_VALUE"""),1619.44)</f>
        <v>1619.44</v>
      </c>
    </row>
    <row r="323">
      <c r="B323" s="11">
        <f>IFERROR(__xludf.DUMMYFUNCTION("""COMPUTED_VALUE"""),43518.66666666667)</f>
        <v>43518.66667</v>
      </c>
      <c r="C323" s="9">
        <f>IFERROR(__xludf.DUMMYFUNCTION("""COMPUTED_VALUE"""),58.9)</f>
        <v>58.9</v>
      </c>
      <c r="D323" s="11">
        <f>IFERROR(__xludf.DUMMYFUNCTION("""COMPUTED_VALUE"""),43518.66666666667)</f>
        <v>43518.66667</v>
      </c>
      <c r="E323" s="9">
        <f>IFERROR(__xludf.DUMMYFUNCTION("""COMPUTED_VALUE"""),58.94)</f>
        <v>58.94</v>
      </c>
      <c r="G323" s="11">
        <f>IFERROR(__xludf.DUMMYFUNCTION("""COMPUTED_VALUE"""),43518.66666666667)</f>
        <v>43518.66667</v>
      </c>
      <c r="H323" s="9">
        <f>IFERROR(__xludf.DUMMYFUNCTION("""COMPUTED_VALUE"""),1100.9)</f>
        <v>1100.9</v>
      </c>
      <c r="I323" s="11">
        <f>IFERROR(__xludf.DUMMYFUNCTION("""COMPUTED_VALUE"""),43518.66666666667)</f>
        <v>43518.66667</v>
      </c>
      <c r="J323" s="9">
        <f>IFERROR(__xludf.DUMMYFUNCTION("""COMPUTED_VALUE"""),1110.37)</f>
        <v>1110.37</v>
      </c>
      <c r="L323" s="11">
        <f>IFERROR(__xludf.DUMMYFUNCTION("""COMPUTED_VALUE"""),43518.66666666667)</f>
        <v>43518.66667</v>
      </c>
      <c r="M323" s="9">
        <f>IFERROR(__xludf.DUMMYFUNCTION("""COMPUTED_VALUE"""),42.9)</f>
        <v>42.9</v>
      </c>
      <c r="N323" s="11">
        <f>IFERROR(__xludf.DUMMYFUNCTION("""COMPUTED_VALUE"""),43518.66666666667)</f>
        <v>43518.66667</v>
      </c>
      <c r="O323" s="9">
        <f>IFERROR(__xludf.DUMMYFUNCTION("""COMPUTED_VALUE"""),43.24)</f>
        <v>43.24</v>
      </c>
      <c r="Q323" s="11">
        <f>IFERROR(__xludf.DUMMYFUNCTION("""COMPUTED_VALUE"""),43518.66666666667)</f>
        <v>43518.66667</v>
      </c>
      <c r="R323" s="9">
        <f>IFERROR(__xludf.DUMMYFUNCTION("""COMPUTED_VALUE"""),160.58)</f>
        <v>160.58</v>
      </c>
      <c r="S323" s="11">
        <f>IFERROR(__xludf.DUMMYFUNCTION("""COMPUTED_VALUE"""),43518.66666666667)</f>
        <v>43518.66667</v>
      </c>
      <c r="T323" s="9">
        <f>IFERROR(__xludf.DUMMYFUNCTION("""COMPUTED_VALUE"""),161.89)</f>
        <v>161.89</v>
      </c>
      <c r="V323" s="11">
        <f>IFERROR(__xludf.DUMMYFUNCTION("""COMPUTED_VALUE"""),43518.66666666667)</f>
        <v>43518.66667</v>
      </c>
      <c r="W323" s="9">
        <f>IFERROR(__xludf.DUMMYFUNCTION("""COMPUTED_VALUE"""),360.34)</f>
        <v>360.34</v>
      </c>
      <c r="X323" s="11">
        <f>IFERROR(__xludf.DUMMYFUNCTION("""COMPUTED_VALUE"""),43518.66666666667)</f>
        <v>43518.66667</v>
      </c>
      <c r="Y323" s="9">
        <f>IFERROR(__xludf.DUMMYFUNCTION("""COMPUTED_VALUE"""),363.02)</f>
        <v>363.02</v>
      </c>
      <c r="AA323" s="11">
        <f>IFERROR(__xludf.DUMMYFUNCTION("""COMPUTED_VALUE"""),43518.66666666667)</f>
        <v>43518.66667</v>
      </c>
      <c r="AB323" s="9">
        <f>IFERROR(__xludf.DUMMYFUNCTION("""COMPUTED_VALUE"""),1623.5)</f>
        <v>1623.5</v>
      </c>
      <c r="AC323" s="11">
        <f>IFERROR(__xludf.DUMMYFUNCTION("""COMPUTED_VALUE"""),43518.66666666667)</f>
        <v>43518.66667</v>
      </c>
      <c r="AD323" s="9">
        <f>IFERROR(__xludf.DUMMYFUNCTION("""COMPUTED_VALUE"""),1631.56)</f>
        <v>1631.56</v>
      </c>
    </row>
    <row r="324">
      <c r="B324" s="11">
        <f>IFERROR(__xludf.DUMMYFUNCTION("""COMPUTED_VALUE"""),43521.66666666667)</f>
        <v>43521.66667</v>
      </c>
      <c r="C324" s="9">
        <f>IFERROR(__xludf.DUMMYFUNCTION("""COMPUTED_VALUE"""),59.58)</f>
        <v>59.58</v>
      </c>
      <c r="D324" s="11">
        <f>IFERROR(__xludf.DUMMYFUNCTION("""COMPUTED_VALUE"""),43521.66666666667)</f>
        <v>43521.66667</v>
      </c>
      <c r="E324" s="9">
        <f>IFERROR(__xludf.DUMMYFUNCTION("""COMPUTED_VALUE"""),59.75)</f>
        <v>59.75</v>
      </c>
      <c r="G324" s="11">
        <f>IFERROR(__xludf.DUMMYFUNCTION("""COMPUTED_VALUE"""),43521.66666666667)</f>
        <v>43521.66667</v>
      </c>
      <c r="H324" s="9">
        <f>IFERROR(__xludf.DUMMYFUNCTION("""COMPUTED_VALUE"""),1116.0)</f>
        <v>1116</v>
      </c>
      <c r="I324" s="11">
        <f>IFERROR(__xludf.DUMMYFUNCTION("""COMPUTED_VALUE"""),43521.66666666667)</f>
        <v>43521.66667</v>
      </c>
      <c r="J324" s="9">
        <f>IFERROR(__xludf.DUMMYFUNCTION("""COMPUTED_VALUE"""),1109.4)</f>
        <v>1109.4</v>
      </c>
      <c r="L324" s="11">
        <f>IFERROR(__xludf.DUMMYFUNCTION("""COMPUTED_VALUE"""),43521.66666666667)</f>
        <v>43521.66667</v>
      </c>
      <c r="M324" s="9">
        <f>IFERROR(__xludf.DUMMYFUNCTION("""COMPUTED_VALUE"""),43.54)</f>
        <v>43.54</v>
      </c>
      <c r="N324" s="11">
        <f>IFERROR(__xludf.DUMMYFUNCTION("""COMPUTED_VALUE"""),43521.66666666667)</f>
        <v>43521.66667</v>
      </c>
      <c r="O324" s="9">
        <f>IFERROR(__xludf.DUMMYFUNCTION("""COMPUTED_VALUE"""),43.56)</f>
        <v>43.56</v>
      </c>
      <c r="Q324" s="11">
        <f>IFERROR(__xludf.DUMMYFUNCTION("""COMPUTED_VALUE"""),43521.66666666667)</f>
        <v>43521.66667</v>
      </c>
      <c r="R324" s="9">
        <f>IFERROR(__xludf.DUMMYFUNCTION("""COMPUTED_VALUE"""),163.07)</f>
        <v>163.07</v>
      </c>
      <c r="S324" s="11">
        <f>IFERROR(__xludf.DUMMYFUNCTION("""COMPUTED_VALUE"""),43521.66666666667)</f>
        <v>43521.66667</v>
      </c>
      <c r="T324" s="9">
        <f>IFERROR(__xludf.DUMMYFUNCTION("""COMPUTED_VALUE"""),164.62)</f>
        <v>164.62</v>
      </c>
      <c r="V324" s="11">
        <f>IFERROR(__xludf.DUMMYFUNCTION("""COMPUTED_VALUE"""),43521.66666666667)</f>
        <v>43521.66667</v>
      </c>
      <c r="W324" s="9">
        <f>IFERROR(__xludf.DUMMYFUNCTION("""COMPUTED_VALUE"""),367.01)</f>
        <v>367.01</v>
      </c>
      <c r="X324" s="11">
        <f>IFERROR(__xludf.DUMMYFUNCTION("""COMPUTED_VALUE"""),43521.66666666667)</f>
        <v>43521.66667</v>
      </c>
      <c r="Y324" s="9">
        <f>IFERROR(__xludf.DUMMYFUNCTION("""COMPUTED_VALUE"""),363.91)</f>
        <v>363.91</v>
      </c>
      <c r="AA324" s="11">
        <f>IFERROR(__xludf.DUMMYFUNCTION("""COMPUTED_VALUE"""),43521.66666666667)</f>
        <v>43521.66667</v>
      </c>
      <c r="AB324" s="9">
        <f>IFERROR(__xludf.DUMMYFUNCTION("""COMPUTED_VALUE"""),1641.45)</f>
        <v>1641.45</v>
      </c>
      <c r="AC324" s="11">
        <f>IFERROR(__xludf.DUMMYFUNCTION("""COMPUTED_VALUE"""),43521.66666666667)</f>
        <v>43521.66667</v>
      </c>
      <c r="AD324" s="9">
        <f>IFERROR(__xludf.DUMMYFUNCTION("""COMPUTED_VALUE"""),1633.0)</f>
        <v>1633</v>
      </c>
    </row>
    <row r="325">
      <c r="B325" s="11">
        <f>IFERROR(__xludf.DUMMYFUNCTION("""COMPUTED_VALUE"""),43522.66666666667)</f>
        <v>43522.66667</v>
      </c>
      <c r="C325" s="9">
        <f>IFERROR(__xludf.DUMMYFUNCTION("""COMPUTED_VALUE"""),58.44)</f>
        <v>58.44</v>
      </c>
      <c r="D325" s="11">
        <f>IFERROR(__xludf.DUMMYFUNCTION("""COMPUTED_VALUE"""),43522.66666666667)</f>
        <v>43522.66667</v>
      </c>
      <c r="E325" s="9">
        <f>IFERROR(__xludf.DUMMYFUNCTION("""COMPUTED_VALUE"""),59.57)</f>
        <v>59.57</v>
      </c>
      <c r="G325" s="11">
        <f>IFERROR(__xludf.DUMMYFUNCTION("""COMPUTED_VALUE"""),43522.66666666667)</f>
        <v>43522.66667</v>
      </c>
      <c r="H325" s="9">
        <f>IFERROR(__xludf.DUMMYFUNCTION("""COMPUTED_VALUE"""),1105.75)</f>
        <v>1105.75</v>
      </c>
      <c r="I325" s="11">
        <f>IFERROR(__xludf.DUMMYFUNCTION("""COMPUTED_VALUE"""),43522.66666666667)</f>
        <v>43522.66667</v>
      </c>
      <c r="J325" s="9">
        <f>IFERROR(__xludf.DUMMYFUNCTION("""COMPUTED_VALUE"""),1115.13)</f>
        <v>1115.13</v>
      </c>
      <c r="L325" s="11">
        <f>IFERROR(__xludf.DUMMYFUNCTION("""COMPUTED_VALUE"""),43522.66666666667)</f>
        <v>43522.66667</v>
      </c>
      <c r="M325" s="9">
        <f>IFERROR(__xludf.DUMMYFUNCTION("""COMPUTED_VALUE"""),43.43)</f>
        <v>43.43</v>
      </c>
      <c r="N325" s="11">
        <f>IFERROR(__xludf.DUMMYFUNCTION("""COMPUTED_VALUE"""),43522.66666666667)</f>
        <v>43522.66667</v>
      </c>
      <c r="O325" s="9">
        <f>IFERROR(__xludf.DUMMYFUNCTION("""COMPUTED_VALUE"""),43.58)</f>
        <v>43.58</v>
      </c>
      <c r="Q325" s="11">
        <f>IFERROR(__xludf.DUMMYFUNCTION("""COMPUTED_VALUE"""),43522.66666666667)</f>
        <v>43522.66667</v>
      </c>
      <c r="R325" s="9">
        <f>IFERROR(__xludf.DUMMYFUNCTION("""COMPUTED_VALUE"""),164.34)</f>
        <v>164.34</v>
      </c>
      <c r="S325" s="11">
        <f>IFERROR(__xludf.DUMMYFUNCTION("""COMPUTED_VALUE"""),43522.66666666667)</f>
        <v>43522.66667</v>
      </c>
      <c r="T325" s="9">
        <f>IFERROR(__xludf.DUMMYFUNCTION("""COMPUTED_VALUE"""),164.13)</f>
        <v>164.13</v>
      </c>
      <c r="V325" s="11">
        <f>IFERROR(__xludf.DUMMYFUNCTION("""COMPUTED_VALUE"""),43522.66666666667)</f>
        <v>43522.66667</v>
      </c>
      <c r="W325" s="9">
        <f>IFERROR(__xludf.DUMMYFUNCTION("""COMPUTED_VALUE"""),362.98)</f>
        <v>362.98</v>
      </c>
      <c r="X325" s="11">
        <f>IFERROR(__xludf.DUMMYFUNCTION("""COMPUTED_VALUE"""),43522.66666666667)</f>
        <v>43522.66667</v>
      </c>
      <c r="Y325" s="9">
        <f>IFERROR(__xludf.DUMMYFUNCTION("""COMPUTED_VALUE"""),364.97)</f>
        <v>364.97</v>
      </c>
      <c r="AA325" s="11">
        <f>IFERROR(__xludf.DUMMYFUNCTION("""COMPUTED_VALUE"""),43522.66666666667)</f>
        <v>43522.66667</v>
      </c>
      <c r="AB325" s="9">
        <f>IFERROR(__xludf.DUMMYFUNCTION("""COMPUTED_VALUE"""),1625.98)</f>
        <v>1625.98</v>
      </c>
      <c r="AC325" s="11">
        <f>IFERROR(__xludf.DUMMYFUNCTION("""COMPUTED_VALUE"""),43522.66666666667)</f>
        <v>43522.66667</v>
      </c>
      <c r="AD325" s="9">
        <f>IFERROR(__xludf.DUMMYFUNCTION("""COMPUTED_VALUE"""),1636.4)</f>
        <v>1636.4</v>
      </c>
    </row>
    <row r="326">
      <c r="B326" s="11">
        <f>IFERROR(__xludf.DUMMYFUNCTION("""COMPUTED_VALUE"""),43523.66666666667)</f>
        <v>43523.66667</v>
      </c>
      <c r="C326" s="9">
        <f>IFERROR(__xludf.DUMMYFUNCTION("""COMPUTED_VALUE"""),60.36)</f>
        <v>60.36</v>
      </c>
      <c r="D326" s="11">
        <f>IFERROR(__xludf.DUMMYFUNCTION("""COMPUTED_VALUE"""),43523.66666666667)</f>
        <v>43523.66667</v>
      </c>
      <c r="E326" s="9">
        <f>IFERROR(__xludf.DUMMYFUNCTION("""COMPUTED_VALUE"""),62.95)</f>
        <v>62.95</v>
      </c>
      <c r="G326" s="11">
        <f>IFERROR(__xludf.DUMMYFUNCTION("""COMPUTED_VALUE"""),43523.66666666667)</f>
        <v>43523.66667</v>
      </c>
      <c r="H326" s="9">
        <f>IFERROR(__xludf.DUMMYFUNCTION("""COMPUTED_VALUE"""),1106.95)</f>
        <v>1106.95</v>
      </c>
      <c r="I326" s="11">
        <f>IFERROR(__xludf.DUMMYFUNCTION("""COMPUTED_VALUE"""),43523.66666666667)</f>
        <v>43523.66667</v>
      </c>
      <c r="J326" s="9">
        <f>IFERROR(__xludf.DUMMYFUNCTION("""COMPUTED_VALUE"""),1116.05)</f>
        <v>1116.05</v>
      </c>
      <c r="L326" s="11">
        <f>IFERROR(__xludf.DUMMYFUNCTION("""COMPUTED_VALUE"""),43523.66666666667)</f>
        <v>43523.66667</v>
      </c>
      <c r="M326" s="9">
        <f>IFERROR(__xludf.DUMMYFUNCTION("""COMPUTED_VALUE"""),43.3)</f>
        <v>43.3</v>
      </c>
      <c r="N326" s="11">
        <f>IFERROR(__xludf.DUMMYFUNCTION("""COMPUTED_VALUE"""),43523.66666666667)</f>
        <v>43523.66667</v>
      </c>
      <c r="O326" s="9">
        <f>IFERROR(__xludf.DUMMYFUNCTION("""COMPUTED_VALUE"""),43.72)</f>
        <v>43.72</v>
      </c>
      <c r="Q326" s="11">
        <f>IFERROR(__xludf.DUMMYFUNCTION("""COMPUTED_VALUE"""),43523.66666666667)</f>
        <v>43523.66667</v>
      </c>
      <c r="R326" s="9">
        <f>IFERROR(__xludf.DUMMYFUNCTION("""COMPUTED_VALUE"""),162.9)</f>
        <v>162.9</v>
      </c>
      <c r="S326" s="11">
        <f>IFERROR(__xludf.DUMMYFUNCTION("""COMPUTED_VALUE"""),43523.66666666667)</f>
        <v>43523.66667</v>
      </c>
      <c r="T326" s="9">
        <f>IFERROR(__xludf.DUMMYFUNCTION("""COMPUTED_VALUE"""),162.81)</f>
        <v>162.81</v>
      </c>
      <c r="V326" s="11">
        <f>IFERROR(__xludf.DUMMYFUNCTION("""COMPUTED_VALUE"""),43523.66666666667)</f>
        <v>43523.66667</v>
      </c>
      <c r="W326" s="9">
        <f>IFERROR(__xludf.DUMMYFUNCTION("""COMPUTED_VALUE"""),363.5)</f>
        <v>363.5</v>
      </c>
      <c r="X326" s="11">
        <f>IFERROR(__xludf.DUMMYFUNCTION("""COMPUTED_VALUE"""),43523.66666666667)</f>
        <v>43523.66667</v>
      </c>
      <c r="Y326" s="9">
        <f>IFERROR(__xludf.DUMMYFUNCTION("""COMPUTED_VALUE"""),362.87)</f>
        <v>362.87</v>
      </c>
      <c r="AA326" s="11">
        <f>IFERROR(__xludf.DUMMYFUNCTION("""COMPUTED_VALUE"""),43523.66666666667)</f>
        <v>43523.66667</v>
      </c>
      <c r="AB326" s="9">
        <f>IFERROR(__xludf.DUMMYFUNCTION("""COMPUTED_VALUE"""),1628.18)</f>
        <v>1628.18</v>
      </c>
      <c r="AC326" s="11">
        <f>IFERROR(__xludf.DUMMYFUNCTION("""COMPUTED_VALUE"""),43523.66666666667)</f>
        <v>43523.66667</v>
      </c>
      <c r="AD326" s="9">
        <f>IFERROR(__xludf.DUMMYFUNCTION("""COMPUTED_VALUE"""),1641.09)</f>
        <v>1641.09</v>
      </c>
    </row>
    <row r="327">
      <c r="B327" s="11">
        <f>IFERROR(__xludf.DUMMYFUNCTION("""COMPUTED_VALUE"""),43524.66666666667)</f>
        <v>43524.66667</v>
      </c>
      <c r="C327" s="9">
        <f>IFERROR(__xludf.DUMMYFUNCTION("""COMPUTED_VALUE"""),63.78)</f>
        <v>63.78</v>
      </c>
      <c r="D327" s="11">
        <f>IFERROR(__xludf.DUMMYFUNCTION("""COMPUTED_VALUE"""),43524.66666666667)</f>
        <v>43524.66667</v>
      </c>
      <c r="E327" s="9">
        <f>IFERROR(__xludf.DUMMYFUNCTION("""COMPUTED_VALUE"""),63.98)</f>
        <v>63.98</v>
      </c>
      <c r="G327" s="11">
        <f>IFERROR(__xludf.DUMMYFUNCTION("""COMPUTED_VALUE"""),43524.66666666667)</f>
        <v>43524.66667</v>
      </c>
      <c r="H327" s="9">
        <f>IFERROR(__xludf.DUMMYFUNCTION("""COMPUTED_VALUE"""),1111.3)</f>
        <v>1111.3</v>
      </c>
      <c r="I327" s="11">
        <f>IFERROR(__xludf.DUMMYFUNCTION("""COMPUTED_VALUE"""),43524.66666666667)</f>
        <v>43524.66667</v>
      </c>
      <c r="J327" s="9">
        <f>IFERROR(__xludf.DUMMYFUNCTION("""COMPUTED_VALUE"""),1119.92)</f>
        <v>1119.92</v>
      </c>
      <c r="L327" s="11">
        <f>IFERROR(__xludf.DUMMYFUNCTION("""COMPUTED_VALUE"""),43524.66666666667)</f>
        <v>43524.66667</v>
      </c>
      <c r="M327" s="9">
        <f>IFERROR(__xludf.DUMMYFUNCTION("""COMPUTED_VALUE"""),43.58)</f>
        <v>43.58</v>
      </c>
      <c r="N327" s="11">
        <f>IFERROR(__xludf.DUMMYFUNCTION("""COMPUTED_VALUE"""),43524.66666666667)</f>
        <v>43524.66667</v>
      </c>
      <c r="O327" s="9">
        <f>IFERROR(__xludf.DUMMYFUNCTION("""COMPUTED_VALUE"""),43.29)</f>
        <v>43.29</v>
      </c>
      <c r="Q327" s="11">
        <f>IFERROR(__xludf.DUMMYFUNCTION("""COMPUTED_VALUE"""),43524.66666666667)</f>
        <v>43524.66667</v>
      </c>
      <c r="R327" s="9">
        <f>IFERROR(__xludf.DUMMYFUNCTION("""COMPUTED_VALUE"""),162.37)</f>
        <v>162.37</v>
      </c>
      <c r="S327" s="11">
        <f>IFERROR(__xludf.DUMMYFUNCTION("""COMPUTED_VALUE"""),43524.66666666667)</f>
        <v>43524.66667</v>
      </c>
      <c r="T327" s="9">
        <f>IFERROR(__xludf.DUMMYFUNCTION("""COMPUTED_VALUE"""),161.45)</f>
        <v>161.45</v>
      </c>
      <c r="V327" s="11">
        <f>IFERROR(__xludf.DUMMYFUNCTION("""COMPUTED_VALUE"""),43524.66666666667)</f>
        <v>43524.66667</v>
      </c>
      <c r="W327" s="9">
        <f>IFERROR(__xludf.DUMMYFUNCTION("""COMPUTED_VALUE"""),362.47)</f>
        <v>362.47</v>
      </c>
      <c r="X327" s="11">
        <f>IFERROR(__xludf.DUMMYFUNCTION("""COMPUTED_VALUE"""),43524.66666666667)</f>
        <v>43524.66667</v>
      </c>
      <c r="Y327" s="9">
        <f>IFERROR(__xludf.DUMMYFUNCTION("""COMPUTED_VALUE"""),358.1)</f>
        <v>358.1</v>
      </c>
      <c r="AA327" s="11">
        <f>IFERROR(__xludf.DUMMYFUNCTION("""COMPUTED_VALUE"""),43524.66666666667)</f>
        <v>43524.66667</v>
      </c>
      <c r="AB327" s="9">
        <f>IFERROR(__xludf.DUMMYFUNCTION("""COMPUTED_VALUE"""),1635.25)</f>
        <v>1635.25</v>
      </c>
      <c r="AC327" s="11">
        <f>IFERROR(__xludf.DUMMYFUNCTION("""COMPUTED_VALUE"""),43524.66666666667)</f>
        <v>43524.66667</v>
      </c>
      <c r="AD327" s="9">
        <f>IFERROR(__xludf.DUMMYFUNCTION("""COMPUTED_VALUE"""),1639.83)</f>
        <v>1639.83</v>
      </c>
    </row>
    <row r="328">
      <c r="B328" s="11">
        <f>IFERROR(__xludf.DUMMYFUNCTION("""COMPUTED_VALUE"""),43525.66666666667)</f>
        <v>43525.66667</v>
      </c>
      <c r="C328" s="9">
        <f>IFERROR(__xludf.DUMMYFUNCTION("""COMPUTED_VALUE"""),61.39)</f>
        <v>61.39</v>
      </c>
      <c r="D328" s="11">
        <f>IFERROR(__xludf.DUMMYFUNCTION("""COMPUTED_VALUE"""),43525.66666666667)</f>
        <v>43525.66667</v>
      </c>
      <c r="E328" s="9">
        <f>IFERROR(__xludf.DUMMYFUNCTION("""COMPUTED_VALUE"""),58.96)</f>
        <v>58.96</v>
      </c>
      <c r="G328" s="11">
        <f>IFERROR(__xludf.DUMMYFUNCTION("""COMPUTED_VALUE"""),43525.66666666667)</f>
        <v>43525.66667</v>
      </c>
      <c r="H328" s="9">
        <f>IFERROR(__xludf.DUMMYFUNCTION("""COMPUTED_VALUE"""),1124.9)</f>
        <v>1124.9</v>
      </c>
      <c r="I328" s="11">
        <f>IFERROR(__xludf.DUMMYFUNCTION("""COMPUTED_VALUE"""),43525.66666666667)</f>
        <v>43525.66667</v>
      </c>
      <c r="J328" s="9">
        <f>IFERROR(__xludf.DUMMYFUNCTION("""COMPUTED_VALUE"""),1140.99)</f>
        <v>1140.99</v>
      </c>
      <c r="L328" s="11">
        <f>IFERROR(__xludf.DUMMYFUNCTION("""COMPUTED_VALUE"""),43525.66666666667)</f>
        <v>43525.66667</v>
      </c>
      <c r="M328" s="9">
        <f>IFERROR(__xludf.DUMMYFUNCTION("""COMPUTED_VALUE"""),43.57)</f>
        <v>43.57</v>
      </c>
      <c r="N328" s="11">
        <f>IFERROR(__xludf.DUMMYFUNCTION("""COMPUTED_VALUE"""),43525.66666666667)</f>
        <v>43525.66667</v>
      </c>
      <c r="O328" s="9">
        <f>IFERROR(__xludf.DUMMYFUNCTION("""COMPUTED_VALUE"""),43.74)</f>
        <v>43.74</v>
      </c>
      <c r="Q328" s="11">
        <f>IFERROR(__xludf.DUMMYFUNCTION("""COMPUTED_VALUE"""),43525.66666666667)</f>
        <v>43525.66667</v>
      </c>
      <c r="R328" s="9">
        <f>IFERROR(__xludf.DUMMYFUNCTION("""COMPUTED_VALUE"""),162.6)</f>
        <v>162.6</v>
      </c>
      <c r="S328" s="11">
        <f>IFERROR(__xludf.DUMMYFUNCTION("""COMPUTED_VALUE"""),43525.66666666667)</f>
        <v>43525.66667</v>
      </c>
      <c r="T328" s="9">
        <f>IFERROR(__xludf.DUMMYFUNCTION("""COMPUTED_VALUE"""),162.28)</f>
        <v>162.28</v>
      </c>
      <c r="V328" s="11">
        <f>IFERROR(__xludf.DUMMYFUNCTION("""COMPUTED_VALUE"""),43525.66666666667)</f>
        <v>43525.66667</v>
      </c>
      <c r="W328" s="9">
        <f>IFERROR(__xludf.DUMMYFUNCTION("""COMPUTED_VALUE"""),362.26)</f>
        <v>362.26</v>
      </c>
      <c r="X328" s="11">
        <f>IFERROR(__xludf.DUMMYFUNCTION("""COMPUTED_VALUE"""),43525.66666666667)</f>
        <v>43525.66667</v>
      </c>
      <c r="Y328" s="9">
        <f>IFERROR(__xludf.DUMMYFUNCTION("""COMPUTED_VALUE"""),357.32)</f>
        <v>357.32</v>
      </c>
      <c r="AA328" s="11">
        <f>IFERROR(__xludf.DUMMYFUNCTION("""COMPUTED_VALUE"""),43525.66666666667)</f>
        <v>43525.66667</v>
      </c>
      <c r="AB328" s="9">
        <f>IFERROR(__xludf.DUMMYFUNCTION("""COMPUTED_VALUE"""),1655.13)</f>
        <v>1655.13</v>
      </c>
      <c r="AC328" s="11">
        <f>IFERROR(__xludf.DUMMYFUNCTION("""COMPUTED_VALUE"""),43525.66666666667)</f>
        <v>43525.66667</v>
      </c>
      <c r="AD328" s="9">
        <f>IFERROR(__xludf.DUMMYFUNCTION("""COMPUTED_VALUE"""),1671.73)</f>
        <v>1671.73</v>
      </c>
    </row>
    <row r="329">
      <c r="B329" s="11">
        <f>IFERROR(__xludf.DUMMYFUNCTION("""COMPUTED_VALUE"""),43528.66666666667)</f>
        <v>43528.66667</v>
      </c>
      <c r="C329" s="9">
        <f>IFERROR(__xludf.DUMMYFUNCTION("""COMPUTED_VALUE"""),59.62)</f>
        <v>59.62</v>
      </c>
      <c r="D329" s="11">
        <f>IFERROR(__xludf.DUMMYFUNCTION("""COMPUTED_VALUE"""),43528.66666666667)</f>
        <v>43528.66667</v>
      </c>
      <c r="E329" s="9">
        <f>IFERROR(__xludf.DUMMYFUNCTION("""COMPUTED_VALUE"""),57.07)</f>
        <v>57.07</v>
      </c>
      <c r="G329" s="11">
        <f>IFERROR(__xludf.DUMMYFUNCTION("""COMPUTED_VALUE"""),43528.66666666667)</f>
        <v>43528.66667</v>
      </c>
      <c r="H329" s="9">
        <f>IFERROR(__xludf.DUMMYFUNCTION("""COMPUTED_VALUE"""),1146.99)</f>
        <v>1146.99</v>
      </c>
      <c r="I329" s="11">
        <f>IFERROR(__xludf.DUMMYFUNCTION("""COMPUTED_VALUE"""),43528.66666666667)</f>
        <v>43528.66667</v>
      </c>
      <c r="J329" s="9">
        <f>IFERROR(__xludf.DUMMYFUNCTION("""COMPUTED_VALUE"""),1147.8)</f>
        <v>1147.8</v>
      </c>
      <c r="L329" s="11">
        <f>IFERROR(__xludf.DUMMYFUNCTION("""COMPUTED_VALUE"""),43528.66666666667)</f>
        <v>43528.66667</v>
      </c>
      <c r="M329" s="9">
        <f>IFERROR(__xludf.DUMMYFUNCTION("""COMPUTED_VALUE"""),43.92)</f>
        <v>43.92</v>
      </c>
      <c r="N329" s="11">
        <f>IFERROR(__xludf.DUMMYFUNCTION("""COMPUTED_VALUE"""),43528.66666666667)</f>
        <v>43528.66667</v>
      </c>
      <c r="O329" s="9">
        <f>IFERROR(__xludf.DUMMYFUNCTION("""COMPUTED_VALUE"""),43.96)</f>
        <v>43.96</v>
      </c>
      <c r="Q329" s="11">
        <f>IFERROR(__xludf.DUMMYFUNCTION("""COMPUTED_VALUE"""),43528.66666666667)</f>
        <v>43528.66667</v>
      </c>
      <c r="R329" s="9">
        <f>IFERROR(__xludf.DUMMYFUNCTION("""COMPUTED_VALUE"""),163.9)</f>
        <v>163.9</v>
      </c>
      <c r="S329" s="11">
        <f>IFERROR(__xludf.DUMMYFUNCTION("""COMPUTED_VALUE"""),43528.66666666667)</f>
        <v>43528.66667</v>
      </c>
      <c r="T329" s="9">
        <f>IFERROR(__xludf.DUMMYFUNCTION("""COMPUTED_VALUE"""),167.37)</f>
        <v>167.37</v>
      </c>
      <c r="V329" s="11">
        <f>IFERROR(__xludf.DUMMYFUNCTION("""COMPUTED_VALUE"""),43528.66666666667)</f>
        <v>43528.66667</v>
      </c>
      <c r="W329" s="9">
        <f>IFERROR(__xludf.DUMMYFUNCTION("""COMPUTED_VALUE"""),359.72)</f>
        <v>359.72</v>
      </c>
      <c r="X329" s="11">
        <f>IFERROR(__xludf.DUMMYFUNCTION("""COMPUTED_VALUE"""),43528.66666666667)</f>
        <v>43528.66667</v>
      </c>
      <c r="Y329" s="9">
        <f>IFERROR(__xludf.DUMMYFUNCTION("""COMPUTED_VALUE"""),351.04)</f>
        <v>351.04</v>
      </c>
      <c r="AA329" s="11">
        <f>IFERROR(__xludf.DUMMYFUNCTION("""COMPUTED_VALUE"""),43528.66666666667)</f>
        <v>43528.66667</v>
      </c>
      <c r="AB329" s="9">
        <f>IFERROR(__xludf.DUMMYFUNCTION("""COMPUTED_VALUE"""),1685.0)</f>
        <v>1685</v>
      </c>
      <c r="AC329" s="11">
        <f>IFERROR(__xludf.DUMMYFUNCTION("""COMPUTED_VALUE"""),43528.66666666667)</f>
        <v>43528.66667</v>
      </c>
      <c r="AD329" s="9">
        <f>IFERROR(__xludf.DUMMYFUNCTION("""COMPUTED_VALUE"""),1696.17)</f>
        <v>1696.17</v>
      </c>
    </row>
    <row r="330">
      <c r="B330" s="11">
        <f>IFERROR(__xludf.DUMMYFUNCTION("""COMPUTED_VALUE"""),43529.66666666667)</f>
        <v>43529.66667</v>
      </c>
      <c r="C330" s="9">
        <f>IFERROR(__xludf.DUMMYFUNCTION("""COMPUTED_VALUE"""),56.4)</f>
        <v>56.4</v>
      </c>
      <c r="D330" s="11">
        <f>IFERROR(__xludf.DUMMYFUNCTION("""COMPUTED_VALUE"""),43529.66666666667)</f>
        <v>43529.66667</v>
      </c>
      <c r="E330" s="9">
        <f>IFERROR(__xludf.DUMMYFUNCTION("""COMPUTED_VALUE"""),55.31)</f>
        <v>55.31</v>
      </c>
      <c r="G330" s="11">
        <f>IFERROR(__xludf.DUMMYFUNCTION("""COMPUTED_VALUE"""),43529.66666666667)</f>
        <v>43529.66667</v>
      </c>
      <c r="H330" s="9">
        <f>IFERROR(__xludf.DUMMYFUNCTION("""COMPUTED_VALUE"""),1150.06)</f>
        <v>1150.06</v>
      </c>
      <c r="I330" s="11">
        <f>IFERROR(__xludf.DUMMYFUNCTION("""COMPUTED_VALUE"""),43529.66666666667)</f>
        <v>43529.66667</v>
      </c>
      <c r="J330" s="9">
        <f>IFERROR(__xludf.DUMMYFUNCTION("""COMPUTED_VALUE"""),1162.03)</f>
        <v>1162.03</v>
      </c>
      <c r="L330" s="11">
        <f>IFERROR(__xludf.DUMMYFUNCTION("""COMPUTED_VALUE"""),43529.66666666667)</f>
        <v>43529.66667</v>
      </c>
      <c r="M330" s="9">
        <f>IFERROR(__xludf.DUMMYFUNCTION("""COMPUTED_VALUE"""),43.99)</f>
        <v>43.99</v>
      </c>
      <c r="N330" s="11">
        <f>IFERROR(__xludf.DUMMYFUNCTION("""COMPUTED_VALUE"""),43529.66666666667)</f>
        <v>43529.66667</v>
      </c>
      <c r="O330" s="9">
        <f>IFERROR(__xludf.DUMMYFUNCTION("""COMPUTED_VALUE"""),43.88)</f>
        <v>43.88</v>
      </c>
      <c r="Q330" s="11">
        <f>IFERROR(__xludf.DUMMYFUNCTION("""COMPUTED_VALUE"""),43529.66666666667)</f>
        <v>43529.66667</v>
      </c>
      <c r="R330" s="9">
        <f>IFERROR(__xludf.DUMMYFUNCTION("""COMPUTED_VALUE"""),167.37)</f>
        <v>167.37</v>
      </c>
      <c r="S330" s="11">
        <f>IFERROR(__xludf.DUMMYFUNCTION("""COMPUTED_VALUE"""),43529.66666666667)</f>
        <v>43529.66667</v>
      </c>
      <c r="T330" s="9">
        <f>IFERROR(__xludf.DUMMYFUNCTION("""COMPUTED_VALUE"""),171.26)</f>
        <v>171.26</v>
      </c>
      <c r="V330" s="11">
        <f>IFERROR(__xludf.DUMMYFUNCTION("""COMPUTED_VALUE"""),43529.66666666667)</f>
        <v>43529.66667</v>
      </c>
      <c r="W330" s="9">
        <f>IFERROR(__xludf.DUMMYFUNCTION("""COMPUTED_VALUE"""),351.46)</f>
        <v>351.46</v>
      </c>
      <c r="X330" s="11">
        <f>IFERROR(__xludf.DUMMYFUNCTION("""COMPUTED_VALUE"""),43529.66666666667)</f>
        <v>43529.66667</v>
      </c>
      <c r="Y330" s="9">
        <f>IFERROR(__xludf.DUMMYFUNCTION("""COMPUTED_VALUE"""),354.3)</f>
        <v>354.3</v>
      </c>
      <c r="AA330" s="11">
        <f>IFERROR(__xludf.DUMMYFUNCTION("""COMPUTED_VALUE"""),43529.66666666667)</f>
        <v>43529.66667</v>
      </c>
      <c r="AB330" s="9">
        <f>IFERROR(__xludf.DUMMYFUNCTION("""COMPUTED_VALUE"""),1702.95)</f>
        <v>1702.95</v>
      </c>
      <c r="AC330" s="11">
        <f>IFERROR(__xludf.DUMMYFUNCTION("""COMPUTED_VALUE"""),43529.66666666667)</f>
        <v>43529.66667</v>
      </c>
      <c r="AD330" s="9">
        <f>IFERROR(__xludf.DUMMYFUNCTION("""COMPUTED_VALUE"""),1692.43)</f>
        <v>1692.43</v>
      </c>
    </row>
    <row r="331">
      <c r="B331" s="11">
        <f>IFERROR(__xludf.DUMMYFUNCTION("""COMPUTED_VALUE"""),43530.66666666667)</f>
        <v>43530.66667</v>
      </c>
      <c r="C331" s="9">
        <f>IFERROR(__xludf.DUMMYFUNCTION("""COMPUTED_VALUE"""),55.3)</f>
        <v>55.3</v>
      </c>
      <c r="D331" s="11">
        <f>IFERROR(__xludf.DUMMYFUNCTION("""COMPUTED_VALUE"""),43530.66666666667)</f>
        <v>43530.66667</v>
      </c>
      <c r="E331" s="9">
        <f>IFERROR(__xludf.DUMMYFUNCTION("""COMPUTED_VALUE"""),55.25)</f>
        <v>55.25</v>
      </c>
      <c r="G331" s="11">
        <f>IFERROR(__xludf.DUMMYFUNCTION("""COMPUTED_VALUE"""),43530.66666666667)</f>
        <v>43530.66667</v>
      </c>
      <c r="H331" s="9">
        <f>IFERROR(__xludf.DUMMYFUNCTION("""COMPUTED_VALUE"""),1162.49)</f>
        <v>1162.49</v>
      </c>
      <c r="I331" s="11">
        <f>IFERROR(__xludf.DUMMYFUNCTION("""COMPUTED_VALUE"""),43530.66666666667)</f>
        <v>43530.66667</v>
      </c>
      <c r="J331" s="9">
        <f>IFERROR(__xludf.DUMMYFUNCTION("""COMPUTED_VALUE"""),1157.86)</f>
        <v>1157.86</v>
      </c>
      <c r="L331" s="11">
        <f>IFERROR(__xludf.DUMMYFUNCTION("""COMPUTED_VALUE"""),43530.66666666667)</f>
        <v>43530.66667</v>
      </c>
      <c r="M331" s="9">
        <f>IFERROR(__xludf.DUMMYFUNCTION("""COMPUTED_VALUE"""),43.67)</f>
        <v>43.67</v>
      </c>
      <c r="N331" s="11">
        <f>IFERROR(__xludf.DUMMYFUNCTION("""COMPUTED_VALUE"""),43530.66666666667)</f>
        <v>43530.66667</v>
      </c>
      <c r="O331" s="9">
        <f>IFERROR(__xludf.DUMMYFUNCTION("""COMPUTED_VALUE"""),43.63)</f>
        <v>43.63</v>
      </c>
      <c r="Q331" s="11">
        <f>IFERROR(__xludf.DUMMYFUNCTION("""COMPUTED_VALUE"""),43530.66666666667)</f>
        <v>43530.66667</v>
      </c>
      <c r="R331" s="9">
        <f>IFERROR(__xludf.DUMMYFUNCTION("""COMPUTED_VALUE"""),172.9)</f>
        <v>172.9</v>
      </c>
      <c r="S331" s="11">
        <f>IFERROR(__xludf.DUMMYFUNCTION("""COMPUTED_VALUE"""),43530.66666666667)</f>
        <v>43530.66667</v>
      </c>
      <c r="T331" s="9">
        <f>IFERROR(__xludf.DUMMYFUNCTION("""COMPUTED_VALUE"""),172.51)</f>
        <v>172.51</v>
      </c>
      <c r="V331" s="11">
        <f>IFERROR(__xludf.DUMMYFUNCTION("""COMPUTED_VALUE"""),43530.66666666667)</f>
        <v>43530.66667</v>
      </c>
      <c r="W331" s="9">
        <f>IFERROR(__xludf.DUMMYFUNCTION("""COMPUTED_VALUE"""),353.6)</f>
        <v>353.6</v>
      </c>
      <c r="X331" s="11">
        <f>IFERROR(__xludf.DUMMYFUNCTION("""COMPUTED_VALUE"""),43530.66666666667)</f>
        <v>43530.66667</v>
      </c>
      <c r="Y331" s="9">
        <f>IFERROR(__xludf.DUMMYFUNCTION("""COMPUTED_VALUE"""),359.61)</f>
        <v>359.61</v>
      </c>
      <c r="AA331" s="11">
        <f>IFERROR(__xludf.DUMMYFUNCTION("""COMPUTED_VALUE"""),43530.66666666667)</f>
        <v>43530.66667</v>
      </c>
      <c r="AB331" s="9">
        <f>IFERROR(__xludf.DUMMYFUNCTION("""COMPUTED_VALUE"""),1695.97)</f>
        <v>1695.97</v>
      </c>
      <c r="AC331" s="11">
        <f>IFERROR(__xludf.DUMMYFUNCTION("""COMPUTED_VALUE"""),43530.66666666667)</f>
        <v>43530.66667</v>
      </c>
      <c r="AD331" s="9">
        <f>IFERROR(__xludf.DUMMYFUNCTION("""COMPUTED_VALUE"""),1668.95)</f>
        <v>1668.95</v>
      </c>
    </row>
    <row r="332">
      <c r="B332" s="11">
        <f>IFERROR(__xludf.DUMMYFUNCTION("""COMPUTED_VALUE"""),43531.66666666667)</f>
        <v>43531.66667</v>
      </c>
      <c r="C332" s="9">
        <f>IFERROR(__xludf.DUMMYFUNCTION("""COMPUTED_VALUE"""),55.77)</f>
        <v>55.77</v>
      </c>
      <c r="D332" s="11">
        <f>IFERROR(__xludf.DUMMYFUNCTION("""COMPUTED_VALUE"""),43531.66666666667)</f>
        <v>43531.66667</v>
      </c>
      <c r="E332" s="9">
        <f>IFERROR(__xludf.DUMMYFUNCTION("""COMPUTED_VALUE"""),55.32)</f>
        <v>55.32</v>
      </c>
      <c r="G332" s="11">
        <f>IFERROR(__xludf.DUMMYFUNCTION("""COMPUTED_VALUE"""),43531.66666666667)</f>
        <v>43531.66667</v>
      </c>
      <c r="H332" s="9">
        <f>IFERROR(__xludf.DUMMYFUNCTION("""COMPUTED_VALUE"""),1155.72)</f>
        <v>1155.72</v>
      </c>
      <c r="I332" s="11">
        <f>IFERROR(__xludf.DUMMYFUNCTION("""COMPUTED_VALUE"""),43531.66666666667)</f>
        <v>43531.66667</v>
      </c>
      <c r="J332" s="9">
        <f>IFERROR(__xludf.DUMMYFUNCTION("""COMPUTED_VALUE"""),1143.3)</f>
        <v>1143.3</v>
      </c>
      <c r="L332" s="11">
        <f>IFERROR(__xludf.DUMMYFUNCTION("""COMPUTED_VALUE"""),43531.66666666667)</f>
        <v>43531.66667</v>
      </c>
      <c r="M332" s="9">
        <f>IFERROR(__xludf.DUMMYFUNCTION("""COMPUTED_VALUE"""),43.47)</f>
        <v>43.47</v>
      </c>
      <c r="N332" s="11">
        <f>IFERROR(__xludf.DUMMYFUNCTION("""COMPUTED_VALUE"""),43531.66666666667)</f>
        <v>43531.66667</v>
      </c>
      <c r="O332" s="9">
        <f>IFERROR(__xludf.DUMMYFUNCTION("""COMPUTED_VALUE"""),43.13)</f>
        <v>43.13</v>
      </c>
      <c r="Q332" s="11">
        <f>IFERROR(__xludf.DUMMYFUNCTION("""COMPUTED_VALUE"""),43531.66666666667)</f>
        <v>43531.66667</v>
      </c>
      <c r="R332" s="9">
        <f>IFERROR(__xludf.DUMMYFUNCTION("""COMPUTED_VALUE"""),171.5)</f>
        <v>171.5</v>
      </c>
      <c r="S332" s="11">
        <f>IFERROR(__xludf.DUMMYFUNCTION("""COMPUTED_VALUE"""),43531.66666666667)</f>
        <v>43531.66667</v>
      </c>
      <c r="T332" s="9">
        <f>IFERROR(__xludf.DUMMYFUNCTION("""COMPUTED_VALUE"""),169.13)</f>
        <v>169.13</v>
      </c>
      <c r="V332" s="11">
        <f>IFERROR(__xludf.DUMMYFUNCTION("""COMPUTED_VALUE"""),43531.66666666667)</f>
        <v>43531.66667</v>
      </c>
      <c r="W332" s="9">
        <f>IFERROR(__xludf.DUMMYFUNCTION("""COMPUTED_VALUE"""),360.16)</f>
        <v>360.16</v>
      </c>
      <c r="X332" s="11">
        <f>IFERROR(__xludf.DUMMYFUNCTION("""COMPUTED_VALUE"""),43531.66666666667)</f>
        <v>43531.66667</v>
      </c>
      <c r="Y332" s="9">
        <f>IFERROR(__xludf.DUMMYFUNCTION("""COMPUTED_VALUE"""),352.6)</f>
        <v>352.6</v>
      </c>
      <c r="AA332" s="11">
        <f>IFERROR(__xludf.DUMMYFUNCTION("""COMPUTED_VALUE"""),43531.66666666667)</f>
        <v>43531.66667</v>
      </c>
      <c r="AB332" s="9">
        <f>IFERROR(__xludf.DUMMYFUNCTION("""COMPUTED_VALUE"""),1667.37)</f>
        <v>1667.37</v>
      </c>
      <c r="AC332" s="11">
        <f>IFERROR(__xludf.DUMMYFUNCTION("""COMPUTED_VALUE"""),43531.66666666667)</f>
        <v>43531.66667</v>
      </c>
      <c r="AD332" s="9">
        <f>IFERROR(__xludf.DUMMYFUNCTION("""COMPUTED_VALUE"""),1625.95)</f>
        <v>1625.95</v>
      </c>
    </row>
    <row r="333">
      <c r="B333" s="11">
        <f>IFERROR(__xludf.DUMMYFUNCTION("""COMPUTED_VALUE"""),43532.66666666667)</f>
        <v>43532.66667</v>
      </c>
      <c r="C333" s="9">
        <f>IFERROR(__xludf.DUMMYFUNCTION("""COMPUTED_VALUE"""),55.38)</f>
        <v>55.38</v>
      </c>
      <c r="D333" s="11">
        <f>IFERROR(__xludf.DUMMYFUNCTION("""COMPUTED_VALUE"""),43532.66666666667)</f>
        <v>43532.66667</v>
      </c>
      <c r="E333" s="9">
        <f>IFERROR(__xludf.DUMMYFUNCTION("""COMPUTED_VALUE"""),56.83)</f>
        <v>56.83</v>
      </c>
      <c r="G333" s="11">
        <f>IFERROR(__xludf.DUMMYFUNCTION("""COMPUTED_VALUE"""),43532.66666666667)</f>
        <v>43532.66667</v>
      </c>
      <c r="H333" s="9">
        <f>IFERROR(__xludf.DUMMYFUNCTION("""COMPUTED_VALUE"""),1126.73)</f>
        <v>1126.73</v>
      </c>
      <c r="I333" s="11">
        <f>IFERROR(__xludf.DUMMYFUNCTION("""COMPUTED_VALUE"""),43532.66666666667)</f>
        <v>43532.66667</v>
      </c>
      <c r="J333" s="9">
        <f>IFERROR(__xludf.DUMMYFUNCTION("""COMPUTED_VALUE"""),1142.32)</f>
        <v>1142.32</v>
      </c>
      <c r="L333" s="11">
        <f>IFERROR(__xludf.DUMMYFUNCTION("""COMPUTED_VALUE"""),43532.66666666667)</f>
        <v>43532.66667</v>
      </c>
      <c r="M333" s="9">
        <f>IFERROR(__xludf.DUMMYFUNCTION("""COMPUTED_VALUE"""),42.58)</f>
        <v>42.58</v>
      </c>
      <c r="N333" s="11">
        <f>IFERROR(__xludf.DUMMYFUNCTION("""COMPUTED_VALUE"""),43532.66666666667)</f>
        <v>43532.66667</v>
      </c>
      <c r="O333" s="9">
        <f>IFERROR(__xludf.DUMMYFUNCTION("""COMPUTED_VALUE"""),43.23)</f>
        <v>43.23</v>
      </c>
      <c r="Q333" s="11">
        <f>IFERROR(__xludf.DUMMYFUNCTION("""COMPUTED_VALUE"""),43532.66666666667)</f>
        <v>43532.66667</v>
      </c>
      <c r="R333" s="9">
        <f>IFERROR(__xludf.DUMMYFUNCTION("""COMPUTED_VALUE"""),166.2)</f>
        <v>166.2</v>
      </c>
      <c r="S333" s="11">
        <f>IFERROR(__xludf.DUMMYFUNCTION("""COMPUTED_VALUE"""),43532.66666666667)</f>
        <v>43532.66667</v>
      </c>
      <c r="T333" s="9">
        <f>IFERROR(__xludf.DUMMYFUNCTION("""COMPUTED_VALUE"""),169.6)</f>
        <v>169.6</v>
      </c>
      <c r="V333" s="11">
        <f>IFERROR(__xludf.DUMMYFUNCTION("""COMPUTED_VALUE"""),43532.66666666667)</f>
        <v>43532.66667</v>
      </c>
      <c r="W333" s="9">
        <f>IFERROR(__xludf.DUMMYFUNCTION("""COMPUTED_VALUE"""),345.75)</f>
        <v>345.75</v>
      </c>
      <c r="X333" s="11">
        <f>IFERROR(__xludf.DUMMYFUNCTION("""COMPUTED_VALUE"""),43532.66666666667)</f>
        <v>43532.66667</v>
      </c>
      <c r="Y333" s="9">
        <f>IFERROR(__xludf.DUMMYFUNCTION("""COMPUTED_VALUE"""),349.6)</f>
        <v>349.6</v>
      </c>
      <c r="AA333" s="11">
        <f>IFERROR(__xludf.DUMMYFUNCTION("""COMPUTED_VALUE"""),43532.66666666667)</f>
        <v>43532.66667</v>
      </c>
      <c r="AB333" s="9">
        <f>IFERROR(__xludf.DUMMYFUNCTION("""COMPUTED_VALUE"""),1604.01)</f>
        <v>1604.01</v>
      </c>
      <c r="AC333" s="11">
        <f>IFERROR(__xludf.DUMMYFUNCTION("""COMPUTED_VALUE"""),43532.66666666667)</f>
        <v>43532.66667</v>
      </c>
      <c r="AD333" s="9">
        <f>IFERROR(__xludf.DUMMYFUNCTION("""COMPUTED_VALUE"""),1620.8)</f>
        <v>1620.8</v>
      </c>
    </row>
    <row r="334">
      <c r="B334" s="11">
        <f>IFERROR(__xludf.DUMMYFUNCTION("""COMPUTED_VALUE"""),43535.66666666667)</f>
        <v>43535.66667</v>
      </c>
      <c r="C334" s="9">
        <f>IFERROR(__xludf.DUMMYFUNCTION("""COMPUTED_VALUE"""),56.7)</f>
        <v>56.7</v>
      </c>
      <c r="D334" s="11">
        <f>IFERROR(__xludf.DUMMYFUNCTION("""COMPUTED_VALUE"""),43535.66666666667)</f>
        <v>43535.66667</v>
      </c>
      <c r="E334" s="9">
        <f>IFERROR(__xludf.DUMMYFUNCTION("""COMPUTED_VALUE"""),58.18)</f>
        <v>58.18</v>
      </c>
      <c r="G334" s="11">
        <f>IFERROR(__xludf.DUMMYFUNCTION("""COMPUTED_VALUE"""),43535.66666666667)</f>
        <v>43535.66667</v>
      </c>
      <c r="H334" s="9">
        <f>IFERROR(__xludf.DUMMYFUNCTION("""COMPUTED_VALUE"""),1144.45)</f>
        <v>1144.45</v>
      </c>
      <c r="I334" s="11">
        <f>IFERROR(__xludf.DUMMYFUNCTION("""COMPUTED_VALUE"""),43535.66666666667)</f>
        <v>43535.66667</v>
      </c>
      <c r="J334" s="9">
        <f>IFERROR(__xludf.DUMMYFUNCTION("""COMPUTED_VALUE"""),1175.76)</f>
        <v>1175.76</v>
      </c>
      <c r="L334" s="11">
        <f>IFERROR(__xludf.DUMMYFUNCTION("""COMPUTED_VALUE"""),43535.66666666667)</f>
        <v>43535.66667</v>
      </c>
      <c r="M334" s="9">
        <f>IFERROR(__xludf.DUMMYFUNCTION("""COMPUTED_VALUE"""),43.87)</f>
        <v>43.87</v>
      </c>
      <c r="N334" s="11">
        <f>IFERROR(__xludf.DUMMYFUNCTION("""COMPUTED_VALUE"""),43535.66666666667)</f>
        <v>43535.66667</v>
      </c>
      <c r="O334" s="9">
        <f>IFERROR(__xludf.DUMMYFUNCTION("""COMPUTED_VALUE"""),44.73)</f>
        <v>44.73</v>
      </c>
      <c r="Q334" s="11">
        <f>IFERROR(__xludf.DUMMYFUNCTION("""COMPUTED_VALUE"""),43535.66666666667)</f>
        <v>43535.66667</v>
      </c>
      <c r="R334" s="9">
        <f>IFERROR(__xludf.DUMMYFUNCTION("""COMPUTED_VALUE"""),171.6)</f>
        <v>171.6</v>
      </c>
      <c r="S334" s="11">
        <f>IFERROR(__xludf.DUMMYFUNCTION("""COMPUTED_VALUE"""),43535.66666666667)</f>
        <v>43535.66667</v>
      </c>
      <c r="T334" s="9">
        <f>IFERROR(__xludf.DUMMYFUNCTION("""COMPUTED_VALUE"""),172.07)</f>
        <v>172.07</v>
      </c>
      <c r="V334" s="11">
        <f>IFERROR(__xludf.DUMMYFUNCTION("""COMPUTED_VALUE"""),43535.66666666667)</f>
        <v>43535.66667</v>
      </c>
      <c r="W334" s="9">
        <f>IFERROR(__xludf.DUMMYFUNCTION("""COMPUTED_VALUE"""),352.0)</f>
        <v>352</v>
      </c>
      <c r="X334" s="11">
        <f>IFERROR(__xludf.DUMMYFUNCTION("""COMPUTED_VALUE"""),43535.66666666667)</f>
        <v>43535.66667</v>
      </c>
      <c r="Y334" s="9">
        <f>IFERROR(__xludf.DUMMYFUNCTION("""COMPUTED_VALUE"""),358.86)</f>
        <v>358.86</v>
      </c>
      <c r="AA334" s="11">
        <f>IFERROR(__xludf.DUMMYFUNCTION("""COMPUTED_VALUE"""),43535.66666666667)</f>
        <v>43535.66667</v>
      </c>
      <c r="AB334" s="9">
        <f>IFERROR(__xludf.DUMMYFUNCTION("""COMPUTED_VALUE"""),1626.12)</f>
        <v>1626.12</v>
      </c>
      <c r="AC334" s="11">
        <f>IFERROR(__xludf.DUMMYFUNCTION("""COMPUTED_VALUE"""),43535.66666666667)</f>
        <v>43535.66667</v>
      </c>
      <c r="AD334" s="9">
        <f>IFERROR(__xludf.DUMMYFUNCTION("""COMPUTED_VALUE"""),1670.62)</f>
        <v>1670.62</v>
      </c>
    </row>
    <row r="335">
      <c r="B335" s="11">
        <f>IFERROR(__xludf.DUMMYFUNCTION("""COMPUTED_VALUE"""),43536.66666666667)</f>
        <v>43536.66667</v>
      </c>
      <c r="C335" s="9">
        <f>IFERROR(__xludf.DUMMYFUNCTION("""COMPUTED_VALUE"""),57.3)</f>
        <v>57.3</v>
      </c>
      <c r="D335" s="11">
        <f>IFERROR(__xludf.DUMMYFUNCTION("""COMPUTED_VALUE"""),43536.66666666667)</f>
        <v>43536.66667</v>
      </c>
      <c r="E335" s="9">
        <f>IFERROR(__xludf.DUMMYFUNCTION("""COMPUTED_VALUE"""),56.67)</f>
        <v>56.67</v>
      </c>
      <c r="G335" s="11">
        <f>IFERROR(__xludf.DUMMYFUNCTION("""COMPUTED_VALUE"""),43536.66666666667)</f>
        <v>43536.66667</v>
      </c>
      <c r="H335" s="9">
        <f>IFERROR(__xludf.DUMMYFUNCTION("""COMPUTED_VALUE"""),1178.26)</f>
        <v>1178.26</v>
      </c>
      <c r="I335" s="11">
        <f>IFERROR(__xludf.DUMMYFUNCTION("""COMPUTED_VALUE"""),43536.66666666667)</f>
        <v>43536.66667</v>
      </c>
      <c r="J335" s="9">
        <f>IFERROR(__xludf.DUMMYFUNCTION("""COMPUTED_VALUE"""),1193.2)</f>
        <v>1193.2</v>
      </c>
      <c r="L335" s="11">
        <f>IFERROR(__xludf.DUMMYFUNCTION("""COMPUTED_VALUE"""),43536.66666666667)</f>
        <v>43536.66667</v>
      </c>
      <c r="M335" s="9">
        <f>IFERROR(__xludf.DUMMYFUNCTION("""COMPUTED_VALUE"""),45.0)</f>
        <v>45</v>
      </c>
      <c r="N335" s="11">
        <f>IFERROR(__xludf.DUMMYFUNCTION("""COMPUTED_VALUE"""),43536.66666666667)</f>
        <v>43536.66667</v>
      </c>
      <c r="O335" s="9">
        <f>IFERROR(__xludf.DUMMYFUNCTION("""COMPUTED_VALUE"""),45.23)</f>
        <v>45.23</v>
      </c>
      <c r="Q335" s="11">
        <f>IFERROR(__xludf.DUMMYFUNCTION("""COMPUTED_VALUE"""),43536.66666666667)</f>
        <v>43536.66667</v>
      </c>
      <c r="R335" s="9">
        <f>IFERROR(__xludf.DUMMYFUNCTION("""COMPUTED_VALUE"""),172.09)</f>
        <v>172.09</v>
      </c>
      <c r="S335" s="11">
        <f>IFERROR(__xludf.DUMMYFUNCTION("""COMPUTED_VALUE"""),43536.66666666667)</f>
        <v>43536.66667</v>
      </c>
      <c r="T335" s="9">
        <f>IFERROR(__xludf.DUMMYFUNCTION("""COMPUTED_VALUE"""),171.92)</f>
        <v>171.92</v>
      </c>
      <c r="V335" s="11">
        <f>IFERROR(__xludf.DUMMYFUNCTION("""COMPUTED_VALUE"""),43536.66666666667)</f>
        <v>43536.66667</v>
      </c>
      <c r="W335" s="9">
        <f>IFERROR(__xludf.DUMMYFUNCTION("""COMPUTED_VALUE"""),359.37)</f>
        <v>359.37</v>
      </c>
      <c r="X335" s="11">
        <f>IFERROR(__xludf.DUMMYFUNCTION("""COMPUTED_VALUE"""),43536.66666666667)</f>
        <v>43536.66667</v>
      </c>
      <c r="Y335" s="9">
        <f>IFERROR(__xludf.DUMMYFUNCTION("""COMPUTED_VALUE"""),356.27)</f>
        <v>356.27</v>
      </c>
      <c r="AA335" s="11">
        <f>IFERROR(__xludf.DUMMYFUNCTION("""COMPUTED_VALUE"""),43536.66666666667)</f>
        <v>43536.66667</v>
      </c>
      <c r="AB335" s="9">
        <f>IFERROR(__xludf.DUMMYFUNCTION("""COMPUTED_VALUE"""),1669.0)</f>
        <v>1669</v>
      </c>
      <c r="AC335" s="11">
        <f>IFERROR(__xludf.DUMMYFUNCTION("""COMPUTED_VALUE"""),43536.66666666667)</f>
        <v>43536.66667</v>
      </c>
      <c r="AD335" s="9">
        <f>IFERROR(__xludf.DUMMYFUNCTION("""COMPUTED_VALUE"""),1673.1)</f>
        <v>1673.1</v>
      </c>
    </row>
    <row r="336">
      <c r="B336" s="11">
        <f>IFERROR(__xludf.DUMMYFUNCTION("""COMPUTED_VALUE"""),43537.66666666667)</f>
        <v>43537.66667</v>
      </c>
      <c r="C336" s="9">
        <f>IFERROR(__xludf.DUMMYFUNCTION("""COMPUTED_VALUE"""),56.78)</f>
        <v>56.78</v>
      </c>
      <c r="D336" s="11">
        <f>IFERROR(__xludf.DUMMYFUNCTION("""COMPUTED_VALUE"""),43537.66666666667)</f>
        <v>43537.66667</v>
      </c>
      <c r="E336" s="9">
        <f>IFERROR(__xludf.DUMMYFUNCTION("""COMPUTED_VALUE"""),57.79)</f>
        <v>57.79</v>
      </c>
      <c r="G336" s="11">
        <f>IFERROR(__xludf.DUMMYFUNCTION("""COMPUTED_VALUE"""),43537.66666666667)</f>
        <v>43537.66667</v>
      </c>
      <c r="H336" s="9">
        <f>IFERROR(__xludf.DUMMYFUNCTION("""COMPUTED_VALUE"""),1200.65)</f>
        <v>1200.65</v>
      </c>
      <c r="I336" s="11">
        <f>IFERROR(__xludf.DUMMYFUNCTION("""COMPUTED_VALUE"""),43537.66666666667)</f>
        <v>43537.66667</v>
      </c>
      <c r="J336" s="9">
        <f>IFERROR(__xludf.DUMMYFUNCTION("""COMPUTED_VALUE"""),1193.32)</f>
        <v>1193.32</v>
      </c>
      <c r="L336" s="11">
        <f>IFERROR(__xludf.DUMMYFUNCTION("""COMPUTED_VALUE"""),43537.66666666667)</f>
        <v>43537.66667</v>
      </c>
      <c r="M336" s="9">
        <f>IFERROR(__xludf.DUMMYFUNCTION("""COMPUTED_VALUE"""),45.56)</f>
        <v>45.56</v>
      </c>
      <c r="N336" s="11">
        <f>IFERROR(__xludf.DUMMYFUNCTION("""COMPUTED_VALUE"""),43537.66666666667)</f>
        <v>43537.66667</v>
      </c>
      <c r="O336" s="9">
        <f>IFERROR(__xludf.DUMMYFUNCTION("""COMPUTED_VALUE"""),45.43)</f>
        <v>45.43</v>
      </c>
      <c r="Q336" s="11">
        <f>IFERROR(__xludf.DUMMYFUNCTION("""COMPUTED_VALUE"""),43537.66666666667)</f>
        <v>43537.66667</v>
      </c>
      <c r="R336" s="9">
        <f>IFERROR(__xludf.DUMMYFUNCTION("""COMPUTED_VALUE"""),172.32)</f>
        <v>172.32</v>
      </c>
      <c r="S336" s="11">
        <f>IFERROR(__xludf.DUMMYFUNCTION("""COMPUTED_VALUE"""),43537.66666666667)</f>
        <v>43537.66667</v>
      </c>
      <c r="T336" s="9">
        <f>IFERROR(__xludf.DUMMYFUNCTION("""COMPUTED_VALUE"""),173.37)</f>
        <v>173.37</v>
      </c>
      <c r="V336" s="11">
        <f>IFERROR(__xludf.DUMMYFUNCTION("""COMPUTED_VALUE"""),43537.66666666667)</f>
        <v>43537.66667</v>
      </c>
      <c r="W336" s="9">
        <f>IFERROR(__xludf.DUMMYFUNCTION("""COMPUTED_VALUE"""),355.81)</f>
        <v>355.81</v>
      </c>
      <c r="X336" s="11">
        <f>IFERROR(__xludf.DUMMYFUNCTION("""COMPUTED_VALUE"""),43537.66666666667)</f>
        <v>43537.66667</v>
      </c>
      <c r="Y336" s="9">
        <f>IFERROR(__xludf.DUMMYFUNCTION("""COMPUTED_VALUE"""),361.21)</f>
        <v>361.21</v>
      </c>
      <c r="AA336" s="11">
        <f>IFERROR(__xludf.DUMMYFUNCTION("""COMPUTED_VALUE"""),43537.66666666667)</f>
        <v>43537.66667</v>
      </c>
      <c r="AB336" s="9">
        <f>IFERROR(__xludf.DUMMYFUNCTION("""COMPUTED_VALUE"""),1683.0)</f>
        <v>1683</v>
      </c>
      <c r="AC336" s="11">
        <f>IFERROR(__xludf.DUMMYFUNCTION("""COMPUTED_VALUE"""),43537.66666666667)</f>
        <v>43537.66667</v>
      </c>
      <c r="AD336" s="9">
        <f>IFERROR(__xludf.DUMMYFUNCTION("""COMPUTED_VALUE"""),1690.81)</f>
        <v>1690.81</v>
      </c>
    </row>
    <row r="337">
      <c r="B337" s="11">
        <f>IFERROR(__xludf.DUMMYFUNCTION("""COMPUTED_VALUE"""),43538.66666666667)</f>
        <v>43538.66667</v>
      </c>
      <c r="C337" s="9">
        <f>IFERROR(__xludf.DUMMYFUNCTION("""COMPUTED_VALUE"""),58.49)</f>
        <v>58.49</v>
      </c>
      <c r="D337" s="11">
        <f>IFERROR(__xludf.DUMMYFUNCTION("""COMPUTED_VALUE"""),43538.66666666667)</f>
        <v>43538.66667</v>
      </c>
      <c r="E337" s="9">
        <f>IFERROR(__xludf.DUMMYFUNCTION("""COMPUTED_VALUE"""),57.99)</f>
        <v>57.99</v>
      </c>
      <c r="G337" s="11">
        <f>IFERROR(__xludf.DUMMYFUNCTION("""COMPUTED_VALUE"""),43538.66666666667)</f>
        <v>43538.66667</v>
      </c>
      <c r="H337" s="9">
        <f>IFERROR(__xludf.DUMMYFUNCTION("""COMPUTED_VALUE"""),1194.51)</f>
        <v>1194.51</v>
      </c>
      <c r="I337" s="11">
        <f>IFERROR(__xludf.DUMMYFUNCTION("""COMPUTED_VALUE"""),43538.66666666667)</f>
        <v>43538.66667</v>
      </c>
      <c r="J337" s="9">
        <f>IFERROR(__xludf.DUMMYFUNCTION("""COMPUTED_VALUE"""),1185.55)</f>
        <v>1185.55</v>
      </c>
      <c r="L337" s="11">
        <f>IFERROR(__xludf.DUMMYFUNCTION("""COMPUTED_VALUE"""),43538.66666666667)</f>
        <v>43538.66667</v>
      </c>
      <c r="M337" s="9">
        <f>IFERROR(__xludf.DUMMYFUNCTION("""COMPUTED_VALUE"""),45.98)</f>
        <v>45.98</v>
      </c>
      <c r="N337" s="11">
        <f>IFERROR(__xludf.DUMMYFUNCTION("""COMPUTED_VALUE"""),43538.66666666667)</f>
        <v>43538.66667</v>
      </c>
      <c r="O337" s="9">
        <f>IFERROR(__xludf.DUMMYFUNCTION("""COMPUTED_VALUE"""),45.93)</f>
        <v>45.93</v>
      </c>
      <c r="Q337" s="11">
        <f>IFERROR(__xludf.DUMMYFUNCTION("""COMPUTED_VALUE"""),43538.66666666667)</f>
        <v>43538.66667</v>
      </c>
      <c r="R337" s="9">
        <f>IFERROR(__xludf.DUMMYFUNCTION("""COMPUTED_VALUE"""),169.76)</f>
        <v>169.76</v>
      </c>
      <c r="S337" s="11">
        <f>IFERROR(__xludf.DUMMYFUNCTION("""COMPUTED_VALUE"""),43538.66666666667)</f>
        <v>43538.66667</v>
      </c>
      <c r="T337" s="9">
        <f>IFERROR(__xludf.DUMMYFUNCTION("""COMPUTED_VALUE"""),170.17)</f>
        <v>170.17</v>
      </c>
      <c r="V337" s="11">
        <f>IFERROR(__xludf.DUMMYFUNCTION("""COMPUTED_VALUE"""),43538.66666666667)</f>
        <v>43538.66667</v>
      </c>
      <c r="W337" s="9">
        <f>IFERROR(__xludf.DUMMYFUNCTION("""COMPUTED_VALUE"""),360.5)</f>
        <v>360.5</v>
      </c>
      <c r="X337" s="11">
        <f>IFERROR(__xludf.DUMMYFUNCTION("""COMPUTED_VALUE"""),43538.66666666667)</f>
        <v>43538.66667</v>
      </c>
      <c r="Y337" s="9">
        <f>IFERROR(__xludf.DUMMYFUNCTION("""COMPUTED_VALUE"""),358.82)</f>
        <v>358.82</v>
      </c>
      <c r="AA337" s="11">
        <f>IFERROR(__xludf.DUMMYFUNCTION("""COMPUTED_VALUE"""),43538.66666666667)</f>
        <v>43538.66667</v>
      </c>
      <c r="AB337" s="9">
        <f>IFERROR(__xludf.DUMMYFUNCTION("""COMPUTED_VALUE"""),1691.2)</f>
        <v>1691.2</v>
      </c>
      <c r="AC337" s="11">
        <f>IFERROR(__xludf.DUMMYFUNCTION("""COMPUTED_VALUE"""),43538.66666666667)</f>
        <v>43538.66667</v>
      </c>
      <c r="AD337" s="9">
        <f>IFERROR(__xludf.DUMMYFUNCTION("""COMPUTED_VALUE"""),1686.22)</f>
        <v>1686.22</v>
      </c>
    </row>
    <row r="338">
      <c r="B338" s="11">
        <f>IFERROR(__xludf.DUMMYFUNCTION("""COMPUTED_VALUE"""),43539.66666666667)</f>
        <v>43539.66667</v>
      </c>
      <c r="C338" s="9">
        <f>IFERROR(__xludf.DUMMYFUNCTION("""COMPUTED_VALUE"""),56.7)</f>
        <v>56.7</v>
      </c>
      <c r="D338" s="11">
        <f>IFERROR(__xludf.DUMMYFUNCTION("""COMPUTED_VALUE"""),43539.66666666667)</f>
        <v>43539.66667</v>
      </c>
      <c r="E338" s="9">
        <f>IFERROR(__xludf.DUMMYFUNCTION("""COMPUTED_VALUE"""),55.09)</f>
        <v>55.09</v>
      </c>
      <c r="G338" s="11">
        <f>IFERROR(__xludf.DUMMYFUNCTION("""COMPUTED_VALUE"""),43539.66666666667)</f>
        <v>43539.66667</v>
      </c>
      <c r="H338" s="9">
        <f>IFERROR(__xludf.DUMMYFUNCTION("""COMPUTED_VALUE"""),1193.38)</f>
        <v>1193.38</v>
      </c>
      <c r="I338" s="11">
        <f>IFERROR(__xludf.DUMMYFUNCTION("""COMPUTED_VALUE"""),43539.66666666667)</f>
        <v>43539.66667</v>
      </c>
      <c r="J338" s="9">
        <f>IFERROR(__xludf.DUMMYFUNCTION("""COMPUTED_VALUE"""),1184.46)</f>
        <v>1184.46</v>
      </c>
      <c r="L338" s="11">
        <f>IFERROR(__xludf.DUMMYFUNCTION("""COMPUTED_VALUE"""),43539.66666666667)</f>
        <v>43539.66667</v>
      </c>
      <c r="M338" s="9">
        <f>IFERROR(__xludf.DUMMYFUNCTION("""COMPUTED_VALUE"""),46.21)</f>
        <v>46.21</v>
      </c>
      <c r="N338" s="11">
        <f>IFERROR(__xludf.DUMMYFUNCTION("""COMPUTED_VALUE"""),43539.66666666667)</f>
        <v>43539.66667</v>
      </c>
      <c r="O338" s="9">
        <f>IFERROR(__xludf.DUMMYFUNCTION("""COMPUTED_VALUE"""),46.53)</f>
        <v>46.53</v>
      </c>
      <c r="Q338" s="11">
        <f>IFERROR(__xludf.DUMMYFUNCTION("""COMPUTED_VALUE"""),43539.66666666667)</f>
        <v>43539.66667</v>
      </c>
      <c r="R338" s="9">
        <f>IFERROR(__xludf.DUMMYFUNCTION("""COMPUTED_VALUE"""),167.16)</f>
        <v>167.16</v>
      </c>
      <c r="S338" s="11">
        <f>IFERROR(__xludf.DUMMYFUNCTION("""COMPUTED_VALUE"""),43539.66666666667)</f>
        <v>43539.66667</v>
      </c>
      <c r="T338" s="9">
        <f>IFERROR(__xludf.DUMMYFUNCTION("""COMPUTED_VALUE"""),165.98)</f>
        <v>165.98</v>
      </c>
      <c r="V338" s="11">
        <f>IFERROR(__xludf.DUMMYFUNCTION("""COMPUTED_VALUE"""),43539.66666666667)</f>
        <v>43539.66667</v>
      </c>
      <c r="W338" s="9">
        <f>IFERROR(__xludf.DUMMYFUNCTION("""COMPUTED_VALUE"""),361.02)</f>
        <v>361.02</v>
      </c>
      <c r="X338" s="11">
        <f>IFERROR(__xludf.DUMMYFUNCTION("""COMPUTED_VALUE"""),43539.66666666667)</f>
        <v>43539.66667</v>
      </c>
      <c r="Y338" s="9">
        <f>IFERROR(__xludf.DUMMYFUNCTION("""COMPUTED_VALUE"""),361.46)</f>
        <v>361.46</v>
      </c>
      <c r="AA338" s="11">
        <f>IFERROR(__xludf.DUMMYFUNCTION("""COMPUTED_VALUE"""),43539.66666666667)</f>
        <v>43539.66667</v>
      </c>
      <c r="AB338" s="9">
        <f>IFERROR(__xludf.DUMMYFUNCTION("""COMPUTED_VALUE"""),1703.0)</f>
        <v>1703</v>
      </c>
      <c r="AC338" s="11">
        <f>IFERROR(__xludf.DUMMYFUNCTION("""COMPUTED_VALUE"""),43539.66666666667)</f>
        <v>43539.66667</v>
      </c>
      <c r="AD338" s="9">
        <f>IFERROR(__xludf.DUMMYFUNCTION("""COMPUTED_VALUE"""),1712.36)</f>
        <v>1712.36</v>
      </c>
    </row>
    <row r="339">
      <c r="B339" s="11">
        <f>IFERROR(__xludf.DUMMYFUNCTION("""COMPUTED_VALUE"""),43542.66666666667)</f>
        <v>43542.66667</v>
      </c>
      <c r="C339" s="9">
        <f>IFERROR(__xludf.DUMMYFUNCTION("""COMPUTED_VALUE"""),55.2)</f>
        <v>55.2</v>
      </c>
      <c r="D339" s="11">
        <f>IFERROR(__xludf.DUMMYFUNCTION("""COMPUTED_VALUE"""),43542.66666666667)</f>
        <v>43542.66667</v>
      </c>
      <c r="E339" s="9">
        <f>IFERROR(__xludf.DUMMYFUNCTION("""COMPUTED_VALUE"""),53.9)</f>
        <v>53.9</v>
      </c>
      <c r="G339" s="11">
        <f>IFERROR(__xludf.DUMMYFUNCTION("""COMPUTED_VALUE"""),43542.66666666667)</f>
        <v>43542.66667</v>
      </c>
      <c r="H339" s="9">
        <f>IFERROR(__xludf.DUMMYFUNCTION("""COMPUTED_VALUE"""),1183.3)</f>
        <v>1183.3</v>
      </c>
      <c r="I339" s="11">
        <f>IFERROR(__xludf.DUMMYFUNCTION("""COMPUTED_VALUE"""),43542.66666666667)</f>
        <v>43542.66667</v>
      </c>
      <c r="J339" s="9">
        <f>IFERROR(__xludf.DUMMYFUNCTION("""COMPUTED_VALUE"""),1184.26)</f>
        <v>1184.26</v>
      </c>
      <c r="L339" s="11">
        <f>IFERROR(__xludf.DUMMYFUNCTION("""COMPUTED_VALUE"""),43542.66666666667)</f>
        <v>43542.66667</v>
      </c>
      <c r="M339" s="9">
        <f>IFERROR(__xludf.DUMMYFUNCTION("""COMPUTED_VALUE"""),46.45)</f>
        <v>46.45</v>
      </c>
      <c r="N339" s="11">
        <f>IFERROR(__xludf.DUMMYFUNCTION("""COMPUTED_VALUE"""),43542.66666666667)</f>
        <v>43542.66667</v>
      </c>
      <c r="O339" s="9">
        <f>IFERROR(__xludf.DUMMYFUNCTION("""COMPUTED_VALUE"""),47.01)</f>
        <v>47.01</v>
      </c>
      <c r="Q339" s="11">
        <f>IFERROR(__xludf.DUMMYFUNCTION("""COMPUTED_VALUE"""),43542.66666666667)</f>
        <v>43542.66667</v>
      </c>
      <c r="R339" s="9">
        <f>IFERROR(__xludf.DUMMYFUNCTION("""COMPUTED_VALUE"""),163.57)</f>
        <v>163.57</v>
      </c>
      <c r="S339" s="11">
        <f>IFERROR(__xludf.DUMMYFUNCTION("""COMPUTED_VALUE"""),43542.66666666667)</f>
        <v>43542.66667</v>
      </c>
      <c r="T339" s="9">
        <f>IFERROR(__xludf.DUMMYFUNCTION("""COMPUTED_VALUE"""),160.47)</f>
        <v>160.47</v>
      </c>
      <c r="V339" s="11">
        <f>IFERROR(__xludf.DUMMYFUNCTION("""COMPUTED_VALUE"""),43542.66666666667)</f>
        <v>43542.66667</v>
      </c>
      <c r="W339" s="9">
        <f>IFERROR(__xludf.DUMMYFUNCTION("""COMPUTED_VALUE"""),362.47)</f>
        <v>362.47</v>
      </c>
      <c r="X339" s="11">
        <f>IFERROR(__xludf.DUMMYFUNCTION("""COMPUTED_VALUE"""),43542.66666666667)</f>
        <v>43542.66667</v>
      </c>
      <c r="Y339" s="9">
        <f>IFERROR(__xludf.DUMMYFUNCTION("""COMPUTED_VALUE"""),363.44)</f>
        <v>363.44</v>
      </c>
      <c r="AA339" s="11">
        <f>IFERROR(__xludf.DUMMYFUNCTION("""COMPUTED_VALUE"""),43542.66666666667)</f>
        <v>43542.66667</v>
      </c>
      <c r="AB339" s="9">
        <f>IFERROR(__xludf.DUMMYFUNCTION("""COMPUTED_VALUE"""),1712.7)</f>
        <v>1712.7</v>
      </c>
      <c r="AC339" s="11">
        <f>IFERROR(__xludf.DUMMYFUNCTION("""COMPUTED_VALUE"""),43542.66666666667)</f>
        <v>43542.66667</v>
      </c>
      <c r="AD339" s="9">
        <f>IFERROR(__xludf.DUMMYFUNCTION("""COMPUTED_VALUE"""),1742.15)</f>
        <v>1742.15</v>
      </c>
    </row>
    <row r="340">
      <c r="B340" s="11">
        <f>IFERROR(__xludf.DUMMYFUNCTION("""COMPUTED_VALUE"""),43543.66666666667)</f>
        <v>43543.66667</v>
      </c>
      <c r="C340" s="9">
        <f>IFERROR(__xludf.DUMMYFUNCTION("""COMPUTED_VALUE"""),53.5)</f>
        <v>53.5</v>
      </c>
      <c r="D340" s="11">
        <f>IFERROR(__xludf.DUMMYFUNCTION("""COMPUTED_VALUE"""),43543.66666666667)</f>
        <v>43543.66667</v>
      </c>
      <c r="E340" s="9">
        <f>IFERROR(__xludf.DUMMYFUNCTION("""COMPUTED_VALUE"""),53.49)</f>
        <v>53.49</v>
      </c>
      <c r="G340" s="11">
        <f>IFERROR(__xludf.DUMMYFUNCTION("""COMPUTED_VALUE"""),43543.66666666667)</f>
        <v>43543.66667</v>
      </c>
      <c r="H340" s="9">
        <f>IFERROR(__xludf.DUMMYFUNCTION("""COMPUTED_VALUE"""),1188.81)</f>
        <v>1188.81</v>
      </c>
      <c r="I340" s="11">
        <f>IFERROR(__xludf.DUMMYFUNCTION("""COMPUTED_VALUE"""),43543.66666666667)</f>
        <v>43543.66667</v>
      </c>
      <c r="J340" s="9">
        <f>IFERROR(__xludf.DUMMYFUNCTION("""COMPUTED_VALUE"""),1198.85)</f>
        <v>1198.85</v>
      </c>
      <c r="L340" s="11">
        <f>IFERROR(__xludf.DUMMYFUNCTION("""COMPUTED_VALUE"""),43543.66666666667)</f>
        <v>43543.66667</v>
      </c>
      <c r="M340" s="9">
        <f>IFERROR(__xludf.DUMMYFUNCTION("""COMPUTED_VALUE"""),47.09)</f>
        <v>47.09</v>
      </c>
      <c r="N340" s="11">
        <f>IFERROR(__xludf.DUMMYFUNCTION("""COMPUTED_VALUE"""),43543.66666666667)</f>
        <v>43543.66667</v>
      </c>
      <c r="O340" s="9">
        <f>IFERROR(__xludf.DUMMYFUNCTION("""COMPUTED_VALUE"""),46.63)</f>
        <v>46.63</v>
      </c>
      <c r="Q340" s="11">
        <f>IFERROR(__xludf.DUMMYFUNCTION("""COMPUTED_VALUE"""),43543.66666666667)</f>
        <v>43543.66667</v>
      </c>
      <c r="R340" s="9">
        <f>IFERROR(__xludf.DUMMYFUNCTION("""COMPUTED_VALUE"""),161.48)</f>
        <v>161.48</v>
      </c>
      <c r="S340" s="11">
        <f>IFERROR(__xludf.DUMMYFUNCTION("""COMPUTED_VALUE"""),43543.66666666667)</f>
        <v>43543.66667</v>
      </c>
      <c r="T340" s="9">
        <f>IFERROR(__xludf.DUMMYFUNCTION("""COMPUTED_VALUE"""),161.57)</f>
        <v>161.57</v>
      </c>
      <c r="V340" s="11">
        <f>IFERROR(__xludf.DUMMYFUNCTION("""COMPUTED_VALUE"""),43543.66666666667)</f>
        <v>43543.66667</v>
      </c>
      <c r="W340" s="9">
        <f>IFERROR(__xludf.DUMMYFUNCTION("""COMPUTED_VALUE"""),366.4)</f>
        <v>366.4</v>
      </c>
      <c r="X340" s="11">
        <f>IFERROR(__xludf.DUMMYFUNCTION("""COMPUTED_VALUE"""),43543.66666666667)</f>
        <v>43543.66667</v>
      </c>
      <c r="Y340" s="9">
        <f>IFERROR(__xludf.DUMMYFUNCTION("""COMPUTED_VALUE"""),358.78)</f>
        <v>358.78</v>
      </c>
      <c r="AA340" s="11">
        <f>IFERROR(__xludf.DUMMYFUNCTION("""COMPUTED_VALUE"""),43543.66666666667)</f>
        <v>43543.66667</v>
      </c>
      <c r="AB340" s="9">
        <f>IFERROR(__xludf.DUMMYFUNCTION("""COMPUTED_VALUE"""),1753.51)</f>
        <v>1753.51</v>
      </c>
      <c r="AC340" s="11">
        <f>IFERROR(__xludf.DUMMYFUNCTION("""COMPUTED_VALUE"""),43543.66666666667)</f>
        <v>43543.66667</v>
      </c>
      <c r="AD340" s="9">
        <f>IFERROR(__xludf.DUMMYFUNCTION("""COMPUTED_VALUE"""),1761.85)</f>
        <v>1761.85</v>
      </c>
    </row>
    <row r="341">
      <c r="B341" s="11">
        <f>IFERROR(__xludf.DUMMYFUNCTION("""COMPUTED_VALUE"""),43544.66666666667)</f>
        <v>43544.66667</v>
      </c>
      <c r="C341" s="9">
        <f>IFERROR(__xludf.DUMMYFUNCTION("""COMPUTED_VALUE"""),53.94)</f>
        <v>53.94</v>
      </c>
      <c r="D341" s="11">
        <f>IFERROR(__xludf.DUMMYFUNCTION("""COMPUTED_VALUE"""),43544.66666666667)</f>
        <v>43544.66667</v>
      </c>
      <c r="E341" s="9">
        <f>IFERROR(__xludf.DUMMYFUNCTION("""COMPUTED_VALUE"""),54.72)</f>
        <v>54.72</v>
      </c>
      <c r="G341" s="11">
        <f>IFERROR(__xludf.DUMMYFUNCTION("""COMPUTED_VALUE"""),43544.66666666667)</f>
        <v>43544.66667</v>
      </c>
      <c r="H341" s="9">
        <f>IFERROR(__xludf.DUMMYFUNCTION("""COMPUTED_VALUE"""),1197.35)</f>
        <v>1197.35</v>
      </c>
      <c r="I341" s="11">
        <f>IFERROR(__xludf.DUMMYFUNCTION("""COMPUTED_VALUE"""),43544.66666666667)</f>
        <v>43544.66667</v>
      </c>
      <c r="J341" s="9">
        <f>IFERROR(__xludf.DUMMYFUNCTION("""COMPUTED_VALUE"""),1223.97)</f>
        <v>1223.97</v>
      </c>
      <c r="L341" s="11">
        <f>IFERROR(__xludf.DUMMYFUNCTION("""COMPUTED_VALUE"""),43544.66666666667)</f>
        <v>43544.66667</v>
      </c>
      <c r="M341" s="9">
        <f>IFERROR(__xludf.DUMMYFUNCTION("""COMPUTED_VALUE"""),46.56)</f>
        <v>46.56</v>
      </c>
      <c r="N341" s="11">
        <f>IFERROR(__xludf.DUMMYFUNCTION("""COMPUTED_VALUE"""),43544.66666666667)</f>
        <v>43544.66667</v>
      </c>
      <c r="O341" s="9">
        <f>IFERROR(__xludf.DUMMYFUNCTION("""COMPUTED_VALUE"""),47.04)</f>
        <v>47.04</v>
      </c>
      <c r="Q341" s="11">
        <f>IFERROR(__xludf.DUMMYFUNCTION("""COMPUTED_VALUE"""),43544.66666666667)</f>
        <v>43544.66667</v>
      </c>
      <c r="R341" s="9">
        <f>IFERROR(__xludf.DUMMYFUNCTION("""COMPUTED_VALUE"""),161.5)</f>
        <v>161.5</v>
      </c>
      <c r="S341" s="11">
        <f>IFERROR(__xludf.DUMMYFUNCTION("""COMPUTED_VALUE"""),43544.66666666667)</f>
        <v>43544.66667</v>
      </c>
      <c r="T341" s="9">
        <f>IFERROR(__xludf.DUMMYFUNCTION("""COMPUTED_VALUE"""),165.44)</f>
        <v>165.44</v>
      </c>
      <c r="V341" s="11">
        <f>IFERROR(__xludf.DUMMYFUNCTION("""COMPUTED_VALUE"""),43544.66666666667)</f>
        <v>43544.66667</v>
      </c>
      <c r="W341" s="9">
        <f>IFERROR(__xludf.DUMMYFUNCTION("""COMPUTED_VALUE"""),358.91)</f>
        <v>358.91</v>
      </c>
      <c r="X341" s="11">
        <f>IFERROR(__xludf.DUMMYFUNCTION("""COMPUTED_VALUE"""),43544.66666666667)</f>
        <v>43544.66667</v>
      </c>
      <c r="Y341" s="9">
        <f>IFERROR(__xludf.DUMMYFUNCTION("""COMPUTED_VALUE"""),375.22)</f>
        <v>375.22</v>
      </c>
      <c r="AA341" s="11">
        <f>IFERROR(__xludf.DUMMYFUNCTION("""COMPUTED_VALUE"""),43544.66666666667)</f>
        <v>43544.66667</v>
      </c>
      <c r="AB341" s="9">
        <f>IFERROR(__xludf.DUMMYFUNCTION("""COMPUTED_VALUE"""),1769.94)</f>
        <v>1769.94</v>
      </c>
      <c r="AC341" s="11">
        <f>IFERROR(__xludf.DUMMYFUNCTION("""COMPUTED_VALUE"""),43544.66666666667)</f>
        <v>43544.66667</v>
      </c>
      <c r="AD341" s="9">
        <f>IFERROR(__xludf.DUMMYFUNCTION("""COMPUTED_VALUE"""),1797.27)</f>
        <v>1797.27</v>
      </c>
    </row>
    <row r="342">
      <c r="B342" s="11">
        <f>IFERROR(__xludf.DUMMYFUNCTION("""COMPUTED_VALUE"""),43545.66666666667)</f>
        <v>43545.66667</v>
      </c>
      <c r="C342" s="9">
        <f>IFERROR(__xludf.DUMMYFUNCTION("""COMPUTED_VALUE"""),54.52)</f>
        <v>54.52</v>
      </c>
      <c r="D342" s="11">
        <f>IFERROR(__xludf.DUMMYFUNCTION("""COMPUTED_VALUE"""),43545.66666666667)</f>
        <v>43545.66667</v>
      </c>
      <c r="E342" s="9">
        <f>IFERROR(__xludf.DUMMYFUNCTION("""COMPUTED_VALUE"""),54.8)</f>
        <v>54.8</v>
      </c>
      <c r="G342" s="11">
        <f>IFERROR(__xludf.DUMMYFUNCTION("""COMPUTED_VALUE"""),43545.66666666667)</f>
        <v>43545.66667</v>
      </c>
      <c r="H342" s="9">
        <f>IFERROR(__xludf.DUMMYFUNCTION("""COMPUTED_VALUE"""),1216.0)</f>
        <v>1216</v>
      </c>
      <c r="I342" s="11">
        <f>IFERROR(__xludf.DUMMYFUNCTION("""COMPUTED_VALUE"""),43545.66666666667)</f>
        <v>43545.66667</v>
      </c>
      <c r="J342" s="9">
        <f>IFERROR(__xludf.DUMMYFUNCTION("""COMPUTED_VALUE"""),1231.54)</f>
        <v>1231.54</v>
      </c>
      <c r="L342" s="11">
        <f>IFERROR(__xludf.DUMMYFUNCTION("""COMPUTED_VALUE"""),43545.66666666667)</f>
        <v>43545.66667</v>
      </c>
      <c r="M342" s="9">
        <f>IFERROR(__xludf.DUMMYFUNCTION("""COMPUTED_VALUE"""),47.51)</f>
        <v>47.51</v>
      </c>
      <c r="N342" s="11">
        <f>IFERROR(__xludf.DUMMYFUNCTION("""COMPUTED_VALUE"""),43545.66666666667)</f>
        <v>43545.66667</v>
      </c>
      <c r="O342" s="9">
        <f>IFERROR(__xludf.DUMMYFUNCTION("""COMPUTED_VALUE"""),48.77)</f>
        <v>48.77</v>
      </c>
      <c r="Q342" s="11">
        <f>IFERROR(__xludf.DUMMYFUNCTION("""COMPUTED_VALUE"""),43545.66666666667)</f>
        <v>43545.66667</v>
      </c>
      <c r="R342" s="9">
        <f>IFERROR(__xludf.DUMMYFUNCTION("""COMPUTED_VALUE"""),164.89)</f>
        <v>164.89</v>
      </c>
      <c r="S342" s="11">
        <f>IFERROR(__xludf.DUMMYFUNCTION("""COMPUTED_VALUE"""),43545.66666666667)</f>
        <v>43545.66667</v>
      </c>
      <c r="T342" s="9">
        <f>IFERROR(__xludf.DUMMYFUNCTION("""COMPUTED_VALUE"""),166.08)</f>
        <v>166.08</v>
      </c>
      <c r="V342" s="11">
        <f>IFERROR(__xludf.DUMMYFUNCTION("""COMPUTED_VALUE"""),43545.66666666667)</f>
        <v>43545.66667</v>
      </c>
      <c r="W342" s="9">
        <f>IFERROR(__xludf.DUMMYFUNCTION("""COMPUTED_VALUE"""),374.0)</f>
        <v>374</v>
      </c>
      <c r="X342" s="11">
        <f>IFERROR(__xludf.DUMMYFUNCTION("""COMPUTED_VALUE"""),43545.66666666667)</f>
        <v>43545.66667</v>
      </c>
      <c r="Y342" s="9">
        <f>IFERROR(__xludf.DUMMYFUNCTION("""COMPUTED_VALUE"""),377.87)</f>
        <v>377.87</v>
      </c>
      <c r="AA342" s="11">
        <f>IFERROR(__xludf.DUMMYFUNCTION("""COMPUTED_VALUE"""),43545.66666666667)</f>
        <v>43545.66667</v>
      </c>
      <c r="AB342" s="9">
        <f>IFERROR(__xludf.DUMMYFUNCTION("""COMPUTED_VALUE"""),1796.26)</f>
        <v>1796.26</v>
      </c>
      <c r="AC342" s="11">
        <f>IFERROR(__xludf.DUMMYFUNCTION("""COMPUTED_VALUE"""),43545.66666666667)</f>
        <v>43545.66667</v>
      </c>
      <c r="AD342" s="9">
        <f>IFERROR(__xludf.DUMMYFUNCTION("""COMPUTED_VALUE"""),1819.26)</f>
        <v>1819.26</v>
      </c>
    </row>
    <row r="343">
      <c r="B343" s="11">
        <f>IFERROR(__xludf.DUMMYFUNCTION("""COMPUTED_VALUE"""),43546.66666666667)</f>
        <v>43546.66667</v>
      </c>
      <c r="C343" s="9">
        <f>IFERROR(__xludf.DUMMYFUNCTION("""COMPUTED_VALUE"""),54.52)</f>
        <v>54.52</v>
      </c>
      <c r="D343" s="11">
        <f>IFERROR(__xludf.DUMMYFUNCTION("""COMPUTED_VALUE"""),43546.66666666667)</f>
        <v>43546.66667</v>
      </c>
      <c r="E343" s="9">
        <f>IFERROR(__xludf.DUMMYFUNCTION("""COMPUTED_VALUE"""),52.91)</f>
        <v>52.91</v>
      </c>
      <c r="G343" s="11">
        <f>IFERROR(__xludf.DUMMYFUNCTION("""COMPUTED_VALUE"""),43546.66666666667)</f>
        <v>43546.66667</v>
      </c>
      <c r="H343" s="9">
        <f>IFERROR(__xludf.DUMMYFUNCTION("""COMPUTED_VALUE"""),1226.32)</f>
        <v>1226.32</v>
      </c>
      <c r="I343" s="11">
        <f>IFERROR(__xludf.DUMMYFUNCTION("""COMPUTED_VALUE"""),43546.66666666667)</f>
        <v>43546.66667</v>
      </c>
      <c r="J343" s="9">
        <f>IFERROR(__xludf.DUMMYFUNCTION("""COMPUTED_VALUE"""),1205.5)</f>
        <v>1205.5</v>
      </c>
      <c r="L343" s="11">
        <f>IFERROR(__xludf.DUMMYFUNCTION("""COMPUTED_VALUE"""),43546.66666666667)</f>
        <v>43546.66667</v>
      </c>
      <c r="M343" s="9">
        <f>IFERROR(__xludf.DUMMYFUNCTION("""COMPUTED_VALUE"""),48.84)</f>
        <v>48.84</v>
      </c>
      <c r="N343" s="11">
        <f>IFERROR(__xludf.DUMMYFUNCTION("""COMPUTED_VALUE"""),43546.66666666667)</f>
        <v>43546.66667</v>
      </c>
      <c r="O343" s="9">
        <f>IFERROR(__xludf.DUMMYFUNCTION("""COMPUTED_VALUE"""),47.76)</f>
        <v>47.76</v>
      </c>
      <c r="Q343" s="11">
        <f>IFERROR(__xludf.DUMMYFUNCTION("""COMPUTED_VALUE"""),43546.66666666667)</f>
        <v>43546.66667</v>
      </c>
      <c r="R343" s="9">
        <f>IFERROR(__xludf.DUMMYFUNCTION("""COMPUTED_VALUE"""),165.65)</f>
        <v>165.65</v>
      </c>
      <c r="S343" s="11">
        <f>IFERROR(__xludf.DUMMYFUNCTION("""COMPUTED_VALUE"""),43546.66666666667)</f>
        <v>43546.66667</v>
      </c>
      <c r="T343" s="9">
        <f>IFERROR(__xludf.DUMMYFUNCTION("""COMPUTED_VALUE"""),164.34)</f>
        <v>164.34</v>
      </c>
      <c r="V343" s="11">
        <f>IFERROR(__xludf.DUMMYFUNCTION("""COMPUTED_VALUE"""),43546.66666666667)</f>
        <v>43546.66667</v>
      </c>
      <c r="W343" s="9">
        <f>IFERROR(__xludf.DUMMYFUNCTION("""COMPUTED_VALUE"""),375.95)</f>
        <v>375.95</v>
      </c>
      <c r="X343" s="11">
        <f>IFERROR(__xludf.DUMMYFUNCTION("""COMPUTED_VALUE"""),43546.66666666667)</f>
        <v>43546.66667</v>
      </c>
      <c r="Y343" s="9">
        <f>IFERROR(__xludf.DUMMYFUNCTION("""COMPUTED_VALUE"""),361.01)</f>
        <v>361.01</v>
      </c>
      <c r="AA343" s="11">
        <f>IFERROR(__xludf.DUMMYFUNCTION("""COMPUTED_VALUE"""),43546.66666666667)</f>
        <v>43546.66667</v>
      </c>
      <c r="AB343" s="9">
        <f>IFERROR(__xludf.DUMMYFUNCTION("""COMPUTED_VALUE"""),1810.17)</f>
        <v>1810.17</v>
      </c>
      <c r="AC343" s="11">
        <f>IFERROR(__xludf.DUMMYFUNCTION("""COMPUTED_VALUE"""),43546.66666666667)</f>
        <v>43546.66667</v>
      </c>
      <c r="AD343" s="9">
        <f>IFERROR(__xludf.DUMMYFUNCTION("""COMPUTED_VALUE"""),1764.77)</f>
        <v>1764.77</v>
      </c>
    </row>
    <row r="344">
      <c r="B344" s="11">
        <f>IFERROR(__xludf.DUMMYFUNCTION("""COMPUTED_VALUE"""),43549.66666666667)</f>
        <v>43549.66667</v>
      </c>
      <c r="C344" s="9">
        <f>IFERROR(__xludf.DUMMYFUNCTION("""COMPUTED_VALUE"""),51.94)</f>
        <v>51.94</v>
      </c>
      <c r="D344" s="11">
        <f>IFERROR(__xludf.DUMMYFUNCTION("""COMPUTED_VALUE"""),43549.66666666667)</f>
        <v>43549.66667</v>
      </c>
      <c r="E344" s="9">
        <f>IFERROR(__xludf.DUMMYFUNCTION("""COMPUTED_VALUE"""),52.08)</f>
        <v>52.08</v>
      </c>
      <c r="G344" s="11">
        <f>IFERROR(__xludf.DUMMYFUNCTION("""COMPUTED_VALUE"""),43549.66666666667)</f>
        <v>43549.66667</v>
      </c>
      <c r="H344" s="9">
        <f>IFERROR(__xludf.DUMMYFUNCTION("""COMPUTED_VALUE"""),1196.93)</f>
        <v>1196.93</v>
      </c>
      <c r="I344" s="11">
        <f>IFERROR(__xludf.DUMMYFUNCTION("""COMPUTED_VALUE"""),43549.66666666667)</f>
        <v>43549.66667</v>
      </c>
      <c r="J344" s="9">
        <f>IFERROR(__xludf.DUMMYFUNCTION("""COMPUTED_VALUE"""),1193.0)</f>
        <v>1193</v>
      </c>
      <c r="L344" s="11">
        <f>IFERROR(__xludf.DUMMYFUNCTION("""COMPUTED_VALUE"""),43549.66666666667)</f>
        <v>43549.66667</v>
      </c>
      <c r="M344" s="9">
        <f>IFERROR(__xludf.DUMMYFUNCTION("""COMPUTED_VALUE"""),47.88)</f>
        <v>47.88</v>
      </c>
      <c r="N344" s="11">
        <f>IFERROR(__xludf.DUMMYFUNCTION("""COMPUTED_VALUE"""),43549.66666666667)</f>
        <v>43549.66667</v>
      </c>
      <c r="O344" s="9">
        <f>IFERROR(__xludf.DUMMYFUNCTION("""COMPUTED_VALUE"""),47.19)</f>
        <v>47.19</v>
      </c>
      <c r="Q344" s="11">
        <f>IFERROR(__xludf.DUMMYFUNCTION("""COMPUTED_VALUE"""),43549.66666666667)</f>
        <v>43549.66667</v>
      </c>
      <c r="R344" s="9">
        <f>IFERROR(__xludf.DUMMYFUNCTION("""COMPUTED_VALUE"""),163.0)</f>
        <v>163</v>
      </c>
      <c r="S344" s="11">
        <f>IFERROR(__xludf.DUMMYFUNCTION("""COMPUTED_VALUE"""),43549.66666666667)</f>
        <v>43549.66667</v>
      </c>
      <c r="T344" s="9">
        <f>IFERROR(__xludf.DUMMYFUNCTION("""COMPUTED_VALUE"""),166.29)</f>
        <v>166.29</v>
      </c>
      <c r="V344" s="11">
        <f>IFERROR(__xludf.DUMMYFUNCTION("""COMPUTED_VALUE"""),43549.66666666667)</f>
        <v>43549.66667</v>
      </c>
      <c r="W344" s="9">
        <f>IFERROR(__xludf.DUMMYFUNCTION("""COMPUTED_VALUE"""),359.0)</f>
        <v>359</v>
      </c>
      <c r="X344" s="11">
        <f>IFERROR(__xludf.DUMMYFUNCTION("""COMPUTED_VALUE"""),43549.66666666667)</f>
        <v>43549.66667</v>
      </c>
      <c r="Y344" s="9">
        <f>IFERROR(__xludf.DUMMYFUNCTION("""COMPUTED_VALUE"""),366.23)</f>
        <v>366.23</v>
      </c>
      <c r="AA344" s="11">
        <f>IFERROR(__xludf.DUMMYFUNCTION("""COMPUTED_VALUE"""),43549.66666666667)</f>
        <v>43549.66667</v>
      </c>
      <c r="AB344" s="9">
        <f>IFERROR(__xludf.DUMMYFUNCTION("""COMPUTED_VALUE"""),1757.79)</f>
        <v>1757.79</v>
      </c>
      <c r="AC344" s="11">
        <f>IFERROR(__xludf.DUMMYFUNCTION("""COMPUTED_VALUE"""),43549.66666666667)</f>
        <v>43549.66667</v>
      </c>
      <c r="AD344" s="9">
        <f>IFERROR(__xludf.DUMMYFUNCTION("""COMPUTED_VALUE"""),1774.26)</f>
        <v>1774.26</v>
      </c>
    </row>
    <row r="345">
      <c r="B345" s="11">
        <f>IFERROR(__xludf.DUMMYFUNCTION("""COMPUTED_VALUE"""),43550.66666666667)</f>
        <v>43550.66667</v>
      </c>
      <c r="C345" s="9">
        <f>IFERROR(__xludf.DUMMYFUNCTION("""COMPUTED_VALUE"""),52.89)</f>
        <v>52.89</v>
      </c>
      <c r="D345" s="11">
        <f>IFERROR(__xludf.DUMMYFUNCTION("""COMPUTED_VALUE"""),43550.66666666667)</f>
        <v>43550.66667</v>
      </c>
      <c r="E345" s="9">
        <f>IFERROR(__xludf.DUMMYFUNCTION("""COMPUTED_VALUE"""),53.55)</f>
        <v>53.55</v>
      </c>
      <c r="G345" s="11">
        <f>IFERROR(__xludf.DUMMYFUNCTION("""COMPUTED_VALUE"""),43550.66666666667)</f>
        <v>43550.66667</v>
      </c>
      <c r="H345" s="9">
        <f>IFERROR(__xludf.DUMMYFUNCTION("""COMPUTED_VALUE"""),1198.53)</f>
        <v>1198.53</v>
      </c>
      <c r="I345" s="11">
        <f>IFERROR(__xludf.DUMMYFUNCTION("""COMPUTED_VALUE"""),43550.66666666667)</f>
        <v>43550.66667</v>
      </c>
      <c r="J345" s="9">
        <f>IFERROR(__xludf.DUMMYFUNCTION("""COMPUTED_VALUE"""),1184.62)</f>
        <v>1184.62</v>
      </c>
      <c r="L345" s="11">
        <f>IFERROR(__xludf.DUMMYFUNCTION("""COMPUTED_VALUE"""),43550.66666666667)</f>
        <v>43550.66667</v>
      </c>
      <c r="M345" s="9">
        <f>IFERROR(__xludf.DUMMYFUNCTION("""COMPUTED_VALUE"""),47.92)</f>
        <v>47.92</v>
      </c>
      <c r="N345" s="11">
        <f>IFERROR(__xludf.DUMMYFUNCTION("""COMPUTED_VALUE"""),43550.66666666667)</f>
        <v>43550.66667</v>
      </c>
      <c r="O345" s="9">
        <f>IFERROR(__xludf.DUMMYFUNCTION("""COMPUTED_VALUE"""),46.7)</f>
        <v>46.7</v>
      </c>
      <c r="Q345" s="11">
        <f>IFERROR(__xludf.DUMMYFUNCTION("""COMPUTED_VALUE"""),43550.66666666667)</f>
        <v>43550.66667</v>
      </c>
      <c r="R345" s="9">
        <f>IFERROR(__xludf.DUMMYFUNCTION("""COMPUTED_VALUE"""),167.35)</f>
        <v>167.35</v>
      </c>
      <c r="S345" s="11">
        <f>IFERROR(__xludf.DUMMYFUNCTION("""COMPUTED_VALUE"""),43550.66666666667)</f>
        <v>43550.66667</v>
      </c>
      <c r="T345" s="9">
        <f>IFERROR(__xludf.DUMMYFUNCTION("""COMPUTED_VALUE"""),167.68)</f>
        <v>167.68</v>
      </c>
      <c r="V345" s="11">
        <f>IFERROR(__xludf.DUMMYFUNCTION("""COMPUTED_VALUE"""),43550.66666666667)</f>
        <v>43550.66667</v>
      </c>
      <c r="W345" s="9">
        <f>IFERROR(__xludf.DUMMYFUNCTION("""COMPUTED_VALUE"""),367.87)</f>
        <v>367.87</v>
      </c>
      <c r="X345" s="11">
        <f>IFERROR(__xludf.DUMMYFUNCTION("""COMPUTED_VALUE"""),43550.66666666667)</f>
        <v>43550.66667</v>
      </c>
      <c r="Y345" s="9">
        <f>IFERROR(__xludf.DUMMYFUNCTION("""COMPUTED_VALUE"""),359.97)</f>
        <v>359.97</v>
      </c>
      <c r="AA345" s="11">
        <f>IFERROR(__xludf.DUMMYFUNCTION("""COMPUTED_VALUE"""),43550.66666666667)</f>
        <v>43550.66667</v>
      </c>
      <c r="AB345" s="9">
        <f>IFERROR(__xludf.DUMMYFUNCTION("""COMPUTED_VALUE"""),1793.0)</f>
        <v>1793</v>
      </c>
      <c r="AC345" s="11">
        <f>IFERROR(__xludf.DUMMYFUNCTION("""COMPUTED_VALUE"""),43550.66666666667)</f>
        <v>43550.66667</v>
      </c>
      <c r="AD345" s="9">
        <f>IFERROR(__xludf.DUMMYFUNCTION("""COMPUTED_VALUE"""),1783.76)</f>
        <v>1783.76</v>
      </c>
    </row>
    <row r="346">
      <c r="B346" s="11">
        <f>IFERROR(__xludf.DUMMYFUNCTION("""COMPUTED_VALUE"""),43551.66666666667)</f>
        <v>43551.66667</v>
      </c>
      <c r="C346" s="9">
        <f>IFERROR(__xludf.DUMMYFUNCTION("""COMPUTED_VALUE"""),53.75)</f>
        <v>53.75</v>
      </c>
      <c r="D346" s="11">
        <f>IFERROR(__xludf.DUMMYFUNCTION("""COMPUTED_VALUE"""),43551.66666666667)</f>
        <v>43551.66667</v>
      </c>
      <c r="E346" s="9">
        <f>IFERROR(__xludf.DUMMYFUNCTION("""COMPUTED_VALUE"""),54.97)</f>
        <v>54.97</v>
      </c>
      <c r="G346" s="11">
        <f>IFERROR(__xludf.DUMMYFUNCTION("""COMPUTED_VALUE"""),43551.66666666667)</f>
        <v>43551.66667</v>
      </c>
      <c r="H346" s="9">
        <f>IFERROR(__xludf.DUMMYFUNCTION("""COMPUTED_VALUE"""),1185.5)</f>
        <v>1185.5</v>
      </c>
      <c r="I346" s="11">
        <f>IFERROR(__xludf.DUMMYFUNCTION("""COMPUTED_VALUE"""),43551.66666666667)</f>
        <v>43551.66667</v>
      </c>
      <c r="J346" s="9">
        <f>IFERROR(__xludf.DUMMYFUNCTION("""COMPUTED_VALUE"""),1173.02)</f>
        <v>1173.02</v>
      </c>
      <c r="L346" s="11">
        <f>IFERROR(__xludf.DUMMYFUNCTION("""COMPUTED_VALUE"""),43551.66666666667)</f>
        <v>43551.66667</v>
      </c>
      <c r="M346" s="9">
        <f>IFERROR(__xludf.DUMMYFUNCTION("""COMPUTED_VALUE"""),47.19)</f>
        <v>47.19</v>
      </c>
      <c r="N346" s="11">
        <f>IFERROR(__xludf.DUMMYFUNCTION("""COMPUTED_VALUE"""),43551.66666666667)</f>
        <v>43551.66667</v>
      </c>
      <c r="O346" s="9">
        <f>IFERROR(__xludf.DUMMYFUNCTION("""COMPUTED_VALUE"""),47.12)</f>
        <v>47.12</v>
      </c>
      <c r="Q346" s="11">
        <f>IFERROR(__xludf.DUMMYFUNCTION("""COMPUTED_VALUE"""),43551.66666666667)</f>
        <v>43551.66667</v>
      </c>
      <c r="R346" s="9">
        <f>IFERROR(__xludf.DUMMYFUNCTION("""COMPUTED_VALUE"""),167.85)</f>
        <v>167.85</v>
      </c>
      <c r="S346" s="11">
        <f>IFERROR(__xludf.DUMMYFUNCTION("""COMPUTED_VALUE"""),43551.66666666667)</f>
        <v>43551.66667</v>
      </c>
      <c r="T346" s="9">
        <f>IFERROR(__xludf.DUMMYFUNCTION("""COMPUTED_VALUE"""),165.87)</f>
        <v>165.87</v>
      </c>
      <c r="V346" s="11">
        <f>IFERROR(__xludf.DUMMYFUNCTION("""COMPUTED_VALUE"""),43551.66666666667)</f>
        <v>43551.66667</v>
      </c>
      <c r="W346" s="9">
        <f>IFERROR(__xludf.DUMMYFUNCTION("""COMPUTED_VALUE"""),361.0)</f>
        <v>361</v>
      </c>
      <c r="X346" s="11">
        <f>IFERROR(__xludf.DUMMYFUNCTION("""COMPUTED_VALUE"""),43551.66666666667)</f>
        <v>43551.66667</v>
      </c>
      <c r="Y346" s="9">
        <f>IFERROR(__xludf.DUMMYFUNCTION("""COMPUTED_VALUE"""),353.37)</f>
        <v>353.37</v>
      </c>
      <c r="AA346" s="11">
        <f>IFERROR(__xludf.DUMMYFUNCTION("""COMPUTED_VALUE"""),43551.66666666667)</f>
        <v>43551.66667</v>
      </c>
      <c r="AB346" s="9">
        <f>IFERROR(__xludf.DUMMYFUNCTION("""COMPUTED_VALUE"""),1784.13)</f>
        <v>1784.13</v>
      </c>
      <c r="AC346" s="11">
        <f>IFERROR(__xludf.DUMMYFUNCTION("""COMPUTED_VALUE"""),43551.66666666667)</f>
        <v>43551.66667</v>
      </c>
      <c r="AD346" s="9">
        <f>IFERROR(__xludf.DUMMYFUNCTION("""COMPUTED_VALUE"""),1765.7)</f>
        <v>1765.7</v>
      </c>
    </row>
    <row r="347">
      <c r="B347" s="11">
        <f>IFERROR(__xludf.DUMMYFUNCTION("""COMPUTED_VALUE"""),43552.66666666667)</f>
        <v>43552.66667</v>
      </c>
      <c r="C347" s="9">
        <f>IFERROR(__xludf.DUMMYFUNCTION("""COMPUTED_VALUE"""),55.43)</f>
        <v>55.43</v>
      </c>
      <c r="D347" s="11">
        <f>IFERROR(__xludf.DUMMYFUNCTION("""COMPUTED_VALUE"""),43552.66666666667)</f>
        <v>43552.66667</v>
      </c>
      <c r="E347" s="9">
        <f>IFERROR(__xludf.DUMMYFUNCTION("""COMPUTED_VALUE"""),55.72)</f>
        <v>55.72</v>
      </c>
      <c r="G347" s="11">
        <f>IFERROR(__xludf.DUMMYFUNCTION("""COMPUTED_VALUE"""),43552.66666666667)</f>
        <v>43552.66667</v>
      </c>
      <c r="H347" s="9">
        <f>IFERROR(__xludf.DUMMYFUNCTION("""COMPUTED_VALUE"""),1171.54)</f>
        <v>1171.54</v>
      </c>
      <c r="I347" s="11">
        <f>IFERROR(__xludf.DUMMYFUNCTION("""COMPUTED_VALUE"""),43552.66666666667)</f>
        <v>43552.66667</v>
      </c>
      <c r="J347" s="9">
        <f>IFERROR(__xludf.DUMMYFUNCTION("""COMPUTED_VALUE"""),1168.49)</f>
        <v>1168.49</v>
      </c>
      <c r="L347" s="11">
        <f>IFERROR(__xludf.DUMMYFUNCTION("""COMPUTED_VALUE"""),43552.66666666667)</f>
        <v>43552.66667</v>
      </c>
      <c r="M347" s="9">
        <f>IFERROR(__xludf.DUMMYFUNCTION("""COMPUTED_VALUE"""),47.24)</f>
        <v>47.24</v>
      </c>
      <c r="N347" s="11">
        <f>IFERROR(__xludf.DUMMYFUNCTION("""COMPUTED_VALUE"""),43552.66666666667)</f>
        <v>43552.66667</v>
      </c>
      <c r="O347" s="9">
        <f>IFERROR(__xludf.DUMMYFUNCTION("""COMPUTED_VALUE"""),47.18)</f>
        <v>47.18</v>
      </c>
      <c r="Q347" s="11">
        <f>IFERROR(__xludf.DUMMYFUNCTION("""COMPUTED_VALUE"""),43552.66666666667)</f>
        <v>43552.66667</v>
      </c>
      <c r="R347" s="9">
        <f>IFERROR(__xludf.DUMMYFUNCTION("""COMPUTED_VALUE"""),164.57)</f>
        <v>164.57</v>
      </c>
      <c r="S347" s="11">
        <f>IFERROR(__xludf.DUMMYFUNCTION("""COMPUTED_VALUE"""),43552.66666666667)</f>
        <v>43552.66667</v>
      </c>
      <c r="T347" s="9">
        <f>IFERROR(__xludf.DUMMYFUNCTION("""COMPUTED_VALUE"""),165.55)</f>
        <v>165.55</v>
      </c>
      <c r="V347" s="11">
        <f>IFERROR(__xludf.DUMMYFUNCTION("""COMPUTED_VALUE"""),43552.66666666667)</f>
        <v>43552.66667</v>
      </c>
      <c r="W347" s="9">
        <f>IFERROR(__xludf.DUMMYFUNCTION("""COMPUTED_VALUE"""),354.49)</f>
        <v>354.49</v>
      </c>
      <c r="X347" s="11">
        <f>IFERROR(__xludf.DUMMYFUNCTION("""COMPUTED_VALUE"""),43552.66666666667)</f>
        <v>43552.66667</v>
      </c>
      <c r="Y347" s="9">
        <f>IFERROR(__xludf.DUMMYFUNCTION("""COMPUTED_VALUE"""),354.61)</f>
        <v>354.61</v>
      </c>
      <c r="AA347" s="11">
        <f>IFERROR(__xludf.DUMMYFUNCTION("""COMPUTED_VALUE"""),43552.66666666667)</f>
        <v>43552.66667</v>
      </c>
      <c r="AB347" s="9">
        <f>IFERROR(__xludf.DUMMYFUNCTION("""COMPUTED_VALUE"""),1770.0)</f>
        <v>1770</v>
      </c>
      <c r="AC347" s="11">
        <f>IFERROR(__xludf.DUMMYFUNCTION("""COMPUTED_VALUE"""),43552.66666666667)</f>
        <v>43552.66667</v>
      </c>
      <c r="AD347" s="9">
        <f>IFERROR(__xludf.DUMMYFUNCTION("""COMPUTED_VALUE"""),1773.42)</f>
        <v>1773.42</v>
      </c>
    </row>
    <row r="348">
      <c r="B348" s="11">
        <f>IFERROR(__xludf.DUMMYFUNCTION("""COMPUTED_VALUE"""),43553.66666666667)</f>
        <v>43553.66667</v>
      </c>
      <c r="C348" s="9">
        <f>IFERROR(__xludf.DUMMYFUNCTION("""COMPUTED_VALUE"""),55.74)</f>
        <v>55.74</v>
      </c>
      <c r="D348" s="11">
        <f>IFERROR(__xludf.DUMMYFUNCTION("""COMPUTED_VALUE"""),43553.66666666667)</f>
        <v>43553.66667</v>
      </c>
      <c r="E348" s="9">
        <f>IFERROR(__xludf.DUMMYFUNCTION("""COMPUTED_VALUE"""),55.97)</f>
        <v>55.97</v>
      </c>
      <c r="G348" s="11">
        <f>IFERROR(__xludf.DUMMYFUNCTION("""COMPUTED_VALUE"""),43553.66666666667)</f>
        <v>43553.66667</v>
      </c>
      <c r="H348" s="9">
        <f>IFERROR(__xludf.DUMMYFUNCTION("""COMPUTED_VALUE"""),1174.9)</f>
        <v>1174.9</v>
      </c>
      <c r="I348" s="11">
        <f>IFERROR(__xludf.DUMMYFUNCTION("""COMPUTED_VALUE"""),43553.66666666667)</f>
        <v>43553.66667</v>
      </c>
      <c r="J348" s="9">
        <f>IFERROR(__xludf.DUMMYFUNCTION("""COMPUTED_VALUE"""),1173.31)</f>
        <v>1173.31</v>
      </c>
      <c r="L348" s="11">
        <f>IFERROR(__xludf.DUMMYFUNCTION("""COMPUTED_VALUE"""),43553.66666666667)</f>
        <v>43553.66667</v>
      </c>
      <c r="M348" s="9">
        <f>IFERROR(__xludf.DUMMYFUNCTION("""COMPUTED_VALUE"""),47.46)</f>
        <v>47.46</v>
      </c>
      <c r="N348" s="11">
        <f>IFERROR(__xludf.DUMMYFUNCTION("""COMPUTED_VALUE"""),43553.66666666667)</f>
        <v>43553.66667</v>
      </c>
      <c r="O348" s="9">
        <f>IFERROR(__xludf.DUMMYFUNCTION("""COMPUTED_VALUE"""),47.49)</f>
        <v>47.49</v>
      </c>
      <c r="Q348" s="11">
        <f>IFERROR(__xludf.DUMMYFUNCTION("""COMPUTED_VALUE"""),43553.66666666667)</f>
        <v>43553.66667</v>
      </c>
      <c r="R348" s="9">
        <f>IFERROR(__xludf.DUMMYFUNCTION("""COMPUTED_VALUE"""),166.39)</f>
        <v>166.39</v>
      </c>
      <c r="S348" s="11">
        <f>IFERROR(__xludf.DUMMYFUNCTION("""COMPUTED_VALUE"""),43553.66666666667)</f>
        <v>43553.66667</v>
      </c>
      <c r="T348" s="9">
        <f>IFERROR(__xludf.DUMMYFUNCTION("""COMPUTED_VALUE"""),166.69)</f>
        <v>166.69</v>
      </c>
      <c r="V348" s="11">
        <f>IFERROR(__xludf.DUMMYFUNCTION("""COMPUTED_VALUE"""),43553.66666666667)</f>
        <v>43553.66667</v>
      </c>
      <c r="W348" s="9">
        <f>IFERROR(__xludf.DUMMYFUNCTION("""COMPUTED_VALUE"""),357.16)</f>
        <v>357.16</v>
      </c>
      <c r="X348" s="11">
        <f>IFERROR(__xludf.DUMMYFUNCTION("""COMPUTED_VALUE"""),43553.66666666667)</f>
        <v>43553.66667</v>
      </c>
      <c r="Y348" s="9">
        <f>IFERROR(__xludf.DUMMYFUNCTION("""COMPUTED_VALUE"""),356.56)</f>
        <v>356.56</v>
      </c>
      <c r="AA348" s="11">
        <f>IFERROR(__xludf.DUMMYFUNCTION("""COMPUTED_VALUE"""),43553.66666666667)</f>
        <v>43553.66667</v>
      </c>
      <c r="AB348" s="9">
        <f>IFERROR(__xludf.DUMMYFUNCTION("""COMPUTED_VALUE"""),1786.58)</f>
        <v>1786.58</v>
      </c>
      <c r="AC348" s="11">
        <f>IFERROR(__xludf.DUMMYFUNCTION("""COMPUTED_VALUE"""),43553.66666666667)</f>
        <v>43553.66667</v>
      </c>
      <c r="AD348" s="9">
        <f>IFERROR(__xludf.DUMMYFUNCTION("""COMPUTED_VALUE"""),1780.75)</f>
        <v>1780.75</v>
      </c>
    </row>
    <row r="349">
      <c r="B349" s="11">
        <f>IFERROR(__xludf.DUMMYFUNCTION("""COMPUTED_VALUE"""),43556.66666666667)</f>
        <v>43556.66667</v>
      </c>
      <c r="C349" s="9">
        <f>IFERROR(__xludf.DUMMYFUNCTION("""COMPUTED_VALUE"""),56.52)</f>
        <v>56.52</v>
      </c>
      <c r="D349" s="11">
        <f>IFERROR(__xludf.DUMMYFUNCTION("""COMPUTED_VALUE"""),43556.66666666667)</f>
        <v>43556.66667</v>
      </c>
      <c r="E349" s="9">
        <f>IFERROR(__xludf.DUMMYFUNCTION("""COMPUTED_VALUE"""),57.84)</f>
        <v>57.84</v>
      </c>
      <c r="G349" s="11">
        <f>IFERROR(__xludf.DUMMYFUNCTION("""COMPUTED_VALUE"""),43556.66666666667)</f>
        <v>43556.66667</v>
      </c>
      <c r="H349" s="9">
        <f>IFERROR(__xludf.DUMMYFUNCTION("""COMPUTED_VALUE"""),1184.1)</f>
        <v>1184.1</v>
      </c>
      <c r="I349" s="11">
        <f>IFERROR(__xludf.DUMMYFUNCTION("""COMPUTED_VALUE"""),43556.66666666667)</f>
        <v>43556.66667</v>
      </c>
      <c r="J349" s="9">
        <f>IFERROR(__xludf.DUMMYFUNCTION("""COMPUTED_VALUE"""),1194.43)</f>
        <v>1194.43</v>
      </c>
      <c r="L349" s="11">
        <f>IFERROR(__xludf.DUMMYFUNCTION("""COMPUTED_VALUE"""),43556.66666666667)</f>
        <v>43556.66667</v>
      </c>
      <c r="M349" s="9">
        <f>IFERROR(__xludf.DUMMYFUNCTION("""COMPUTED_VALUE"""),47.91)</f>
        <v>47.91</v>
      </c>
      <c r="N349" s="11">
        <f>IFERROR(__xludf.DUMMYFUNCTION("""COMPUTED_VALUE"""),43556.66666666667)</f>
        <v>43556.66667</v>
      </c>
      <c r="O349" s="9">
        <f>IFERROR(__xludf.DUMMYFUNCTION("""COMPUTED_VALUE"""),47.81)</f>
        <v>47.81</v>
      </c>
      <c r="Q349" s="11">
        <f>IFERROR(__xludf.DUMMYFUNCTION("""COMPUTED_VALUE"""),43556.66666666667)</f>
        <v>43556.66667</v>
      </c>
      <c r="R349" s="9">
        <f>IFERROR(__xludf.DUMMYFUNCTION("""COMPUTED_VALUE"""),167.83)</f>
        <v>167.83</v>
      </c>
      <c r="S349" s="11">
        <f>IFERROR(__xludf.DUMMYFUNCTION("""COMPUTED_VALUE"""),43556.66666666667)</f>
        <v>43556.66667</v>
      </c>
      <c r="T349" s="9">
        <f>IFERROR(__xludf.DUMMYFUNCTION("""COMPUTED_VALUE"""),168.7)</f>
        <v>168.7</v>
      </c>
      <c r="V349" s="11">
        <f>IFERROR(__xludf.DUMMYFUNCTION("""COMPUTED_VALUE"""),43556.66666666667)</f>
        <v>43556.66667</v>
      </c>
      <c r="W349" s="9">
        <f>IFERROR(__xludf.DUMMYFUNCTION("""COMPUTED_VALUE"""),359.0)</f>
        <v>359</v>
      </c>
      <c r="X349" s="11">
        <f>IFERROR(__xludf.DUMMYFUNCTION("""COMPUTED_VALUE"""),43556.66666666667)</f>
        <v>43556.66667</v>
      </c>
      <c r="Y349" s="9">
        <f>IFERROR(__xludf.DUMMYFUNCTION("""COMPUTED_VALUE"""),366.96)</f>
        <v>366.96</v>
      </c>
      <c r="AA349" s="11">
        <f>IFERROR(__xludf.DUMMYFUNCTION("""COMPUTED_VALUE"""),43556.66666666667)</f>
        <v>43556.66667</v>
      </c>
      <c r="AB349" s="9">
        <f>IFERROR(__xludf.DUMMYFUNCTION("""COMPUTED_VALUE"""),1800.11)</f>
        <v>1800.11</v>
      </c>
      <c r="AC349" s="11">
        <f>IFERROR(__xludf.DUMMYFUNCTION("""COMPUTED_VALUE"""),43556.66666666667)</f>
        <v>43556.66667</v>
      </c>
      <c r="AD349" s="9">
        <f>IFERROR(__xludf.DUMMYFUNCTION("""COMPUTED_VALUE"""),1814.19)</f>
        <v>1814.19</v>
      </c>
    </row>
    <row r="350">
      <c r="B350" s="11">
        <f>IFERROR(__xludf.DUMMYFUNCTION("""COMPUTED_VALUE"""),43557.66666666667)</f>
        <v>43557.66667</v>
      </c>
      <c r="C350" s="9">
        <f>IFERROR(__xludf.DUMMYFUNCTION("""COMPUTED_VALUE"""),57.66)</f>
        <v>57.66</v>
      </c>
      <c r="D350" s="11">
        <f>IFERROR(__xludf.DUMMYFUNCTION("""COMPUTED_VALUE"""),43557.66666666667)</f>
        <v>43557.66667</v>
      </c>
      <c r="E350" s="9">
        <f>IFERROR(__xludf.DUMMYFUNCTION("""COMPUTED_VALUE"""),57.18)</f>
        <v>57.18</v>
      </c>
      <c r="G350" s="11">
        <f>IFERROR(__xludf.DUMMYFUNCTION("""COMPUTED_VALUE"""),43557.66666666667)</f>
        <v>43557.66667</v>
      </c>
      <c r="H350" s="9">
        <f>IFERROR(__xludf.DUMMYFUNCTION("""COMPUTED_VALUE"""),1195.32)</f>
        <v>1195.32</v>
      </c>
      <c r="I350" s="11">
        <f>IFERROR(__xludf.DUMMYFUNCTION("""COMPUTED_VALUE"""),43557.66666666667)</f>
        <v>43557.66667</v>
      </c>
      <c r="J350" s="9">
        <f>IFERROR(__xludf.DUMMYFUNCTION("""COMPUTED_VALUE"""),1200.49)</f>
        <v>1200.49</v>
      </c>
      <c r="L350" s="11">
        <f>IFERROR(__xludf.DUMMYFUNCTION("""COMPUTED_VALUE"""),43557.66666666667)</f>
        <v>43557.66667</v>
      </c>
      <c r="M350" s="9">
        <f>IFERROR(__xludf.DUMMYFUNCTION("""COMPUTED_VALUE"""),47.77)</f>
        <v>47.77</v>
      </c>
      <c r="N350" s="11">
        <f>IFERROR(__xludf.DUMMYFUNCTION("""COMPUTED_VALUE"""),43557.66666666667)</f>
        <v>43557.66667</v>
      </c>
      <c r="O350" s="9">
        <f>IFERROR(__xludf.DUMMYFUNCTION("""COMPUTED_VALUE"""),48.51)</f>
        <v>48.51</v>
      </c>
      <c r="Q350" s="11">
        <f>IFERROR(__xludf.DUMMYFUNCTION("""COMPUTED_VALUE"""),43557.66666666667)</f>
        <v>43557.66667</v>
      </c>
      <c r="R350" s="9">
        <f>IFERROR(__xludf.DUMMYFUNCTION("""COMPUTED_VALUE"""),170.14)</f>
        <v>170.14</v>
      </c>
      <c r="S350" s="11">
        <f>IFERROR(__xludf.DUMMYFUNCTION("""COMPUTED_VALUE"""),43557.66666666667)</f>
        <v>43557.66667</v>
      </c>
      <c r="T350" s="9">
        <f>IFERROR(__xludf.DUMMYFUNCTION("""COMPUTED_VALUE"""),174.2)</f>
        <v>174.2</v>
      </c>
      <c r="V350" s="11">
        <f>IFERROR(__xludf.DUMMYFUNCTION("""COMPUTED_VALUE"""),43557.66666666667)</f>
        <v>43557.66667</v>
      </c>
      <c r="W350" s="9">
        <f>IFERROR(__xludf.DUMMYFUNCTION("""COMPUTED_VALUE"""),366.25)</f>
        <v>366.25</v>
      </c>
      <c r="X350" s="11">
        <f>IFERROR(__xludf.DUMMYFUNCTION("""COMPUTED_VALUE"""),43557.66666666667)</f>
        <v>43557.66667</v>
      </c>
      <c r="Y350" s="9">
        <f>IFERROR(__xludf.DUMMYFUNCTION("""COMPUTED_VALUE"""),367.72)</f>
        <v>367.72</v>
      </c>
      <c r="AA350" s="11">
        <f>IFERROR(__xludf.DUMMYFUNCTION("""COMPUTED_VALUE"""),43557.66666666667)</f>
        <v>43557.66667</v>
      </c>
      <c r="AB350" s="9">
        <f>IFERROR(__xludf.DUMMYFUNCTION("""COMPUTED_VALUE"""),1811.02)</f>
        <v>1811.02</v>
      </c>
      <c r="AC350" s="11">
        <f>IFERROR(__xludf.DUMMYFUNCTION("""COMPUTED_VALUE"""),43557.66666666667)</f>
        <v>43557.66667</v>
      </c>
      <c r="AD350" s="9">
        <f>IFERROR(__xludf.DUMMYFUNCTION("""COMPUTED_VALUE"""),1813.98)</f>
        <v>1813.98</v>
      </c>
    </row>
    <row r="351">
      <c r="B351" s="11">
        <f>IFERROR(__xludf.DUMMYFUNCTION("""COMPUTED_VALUE"""),43558.66666666667)</f>
        <v>43558.66667</v>
      </c>
      <c r="C351" s="9">
        <f>IFERROR(__xludf.DUMMYFUNCTION("""COMPUTED_VALUE"""),57.46)</f>
        <v>57.46</v>
      </c>
      <c r="D351" s="11">
        <f>IFERROR(__xludf.DUMMYFUNCTION("""COMPUTED_VALUE"""),43558.66666666667)</f>
        <v>43558.66667</v>
      </c>
      <c r="E351" s="9">
        <f>IFERROR(__xludf.DUMMYFUNCTION("""COMPUTED_VALUE"""),58.36)</f>
        <v>58.36</v>
      </c>
      <c r="G351" s="11">
        <f>IFERROR(__xludf.DUMMYFUNCTION("""COMPUTED_VALUE"""),43558.66666666667)</f>
        <v>43558.66667</v>
      </c>
      <c r="H351" s="9">
        <f>IFERROR(__xludf.DUMMYFUNCTION("""COMPUTED_VALUE"""),1207.48)</f>
        <v>1207.48</v>
      </c>
      <c r="I351" s="11">
        <f>IFERROR(__xludf.DUMMYFUNCTION("""COMPUTED_VALUE"""),43558.66666666667)</f>
        <v>43558.66667</v>
      </c>
      <c r="J351" s="9">
        <f>IFERROR(__xludf.DUMMYFUNCTION("""COMPUTED_VALUE"""),1205.92)</f>
        <v>1205.92</v>
      </c>
      <c r="L351" s="11">
        <f>IFERROR(__xludf.DUMMYFUNCTION("""COMPUTED_VALUE"""),43558.66666666667)</f>
        <v>43558.66667</v>
      </c>
      <c r="M351" s="9">
        <f>IFERROR(__xludf.DUMMYFUNCTION("""COMPUTED_VALUE"""),48.31)</f>
        <v>48.31</v>
      </c>
      <c r="N351" s="11">
        <f>IFERROR(__xludf.DUMMYFUNCTION("""COMPUTED_VALUE"""),43558.66666666667)</f>
        <v>43558.66667</v>
      </c>
      <c r="O351" s="9">
        <f>IFERROR(__xludf.DUMMYFUNCTION("""COMPUTED_VALUE"""),48.84)</f>
        <v>48.84</v>
      </c>
      <c r="Q351" s="11">
        <f>IFERROR(__xludf.DUMMYFUNCTION("""COMPUTED_VALUE"""),43558.66666666667)</f>
        <v>43558.66667</v>
      </c>
      <c r="R351" s="9">
        <f>IFERROR(__xludf.DUMMYFUNCTION("""COMPUTED_VALUE"""),174.5)</f>
        <v>174.5</v>
      </c>
      <c r="S351" s="11">
        <f>IFERROR(__xludf.DUMMYFUNCTION("""COMPUTED_VALUE"""),43558.66666666667)</f>
        <v>43558.66667</v>
      </c>
      <c r="T351" s="9">
        <f>IFERROR(__xludf.DUMMYFUNCTION("""COMPUTED_VALUE"""),173.54)</f>
        <v>173.54</v>
      </c>
      <c r="V351" s="11">
        <f>IFERROR(__xludf.DUMMYFUNCTION("""COMPUTED_VALUE"""),43558.66666666667)</f>
        <v>43558.66667</v>
      </c>
      <c r="W351" s="9">
        <f>IFERROR(__xludf.DUMMYFUNCTION("""COMPUTED_VALUE"""),369.26)</f>
        <v>369.26</v>
      </c>
      <c r="X351" s="11">
        <f>IFERROR(__xludf.DUMMYFUNCTION("""COMPUTED_VALUE"""),43558.66666666667)</f>
        <v>43558.66667</v>
      </c>
      <c r="Y351" s="9">
        <f>IFERROR(__xludf.DUMMYFUNCTION("""COMPUTED_VALUE"""),369.75)</f>
        <v>369.75</v>
      </c>
      <c r="AA351" s="11">
        <f>IFERROR(__xludf.DUMMYFUNCTION("""COMPUTED_VALUE"""),43558.66666666667)</f>
        <v>43558.66667</v>
      </c>
      <c r="AB351" s="9">
        <f>IFERROR(__xludf.DUMMYFUNCTION("""COMPUTED_VALUE"""),1826.72)</f>
        <v>1826.72</v>
      </c>
      <c r="AC351" s="11">
        <f>IFERROR(__xludf.DUMMYFUNCTION("""COMPUTED_VALUE"""),43558.66666666667)</f>
        <v>43558.66667</v>
      </c>
      <c r="AD351" s="9">
        <f>IFERROR(__xludf.DUMMYFUNCTION("""COMPUTED_VALUE"""),1820.7)</f>
        <v>1820.7</v>
      </c>
    </row>
    <row r="352">
      <c r="B352" s="11">
        <f>IFERROR(__xludf.DUMMYFUNCTION("""COMPUTED_VALUE"""),43559.66666666667)</f>
        <v>43559.66667</v>
      </c>
      <c r="C352" s="9">
        <f>IFERROR(__xludf.DUMMYFUNCTION("""COMPUTED_VALUE"""),52.38)</f>
        <v>52.38</v>
      </c>
      <c r="D352" s="11">
        <f>IFERROR(__xludf.DUMMYFUNCTION("""COMPUTED_VALUE"""),43559.66666666667)</f>
        <v>43559.66667</v>
      </c>
      <c r="E352" s="9">
        <f>IFERROR(__xludf.DUMMYFUNCTION("""COMPUTED_VALUE"""),53.56)</f>
        <v>53.56</v>
      </c>
      <c r="G352" s="11">
        <f>IFERROR(__xludf.DUMMYFUNCTION("""COMPUTED_VALUE"""),43559.66666666667)</f>
        <v>43559.66667</v>
      </c>
      <c r="H352" s="9">
        <f>IFERROR(__xludf.DUMMYFUNCTION("""COMPUTED_VALUE"""),1205.94)</f>
        <v>1205.94</v>
      </c>
      <c r="I352" s="11">
        <f>IFERROR(__xludf.DUMMYFUNCTION("""COMPUTED_VALUE"""),43559.66666666667)</f>
        <v>43559.66667</v>
      </c>
      <c r="J352" s="9">
        <f>IFERROR(__xludf.DUMMYFUNCTION("""COMPUTED_VALUE"""),1215.0)</f>
        <v>1215</v>
      </c>
      <c r="L352" s="11">
        <f>IFERROR(__xludf.DUMMYFUNCTION("""COMPUTED_VALUE"""),43559.66666666667)</f>
        <v>43559.66667</v>
      </c>
      <c r="M352" s="9">
        <f>IFERROR(__xludf.DUMMYFUNCTION("""COMPUTED_VALUE"""),48.7)</f>
        <v>48.7</v>
      </c>
      <c r="N352" s="11">
        <f>IFERROR(__xludf.DUMMYFUNCTION("""COMPUTED_VALUE"""),43559.66666666667)</f>
        <v>43559.66667</v>
      </c>
      <c r="O352" s="9">
        <f>IFERROR(__xludf.DUMMYFUNCTION("""COMPUTED_VALUE"""),48.92)</f>
        <v>48.92</v>
      </c>
      <c r="Q352" s="11">
        <f>IFERROR(__xludf.DUMMYFUNCTION("""COMPUTED_VALUE"""),43559.66666666667)</f>
        <v>43559.66667</v>
      </c>
      <c r="R352" s="9">
        <f>IFERROR(__xludf.DUMMYFUNCTION("""COMPUTED_VALUE"""),176.02)</f>
        <v>176.02</v>
      </c>
      <c r="S352" s="11">
        <f>IFERROR(__xludf.DUMMYFUNCTION("""COMPUTED_VALUE"""),43559.66666666667)</f>
        <v>43559.66667</v>
      </c>
      <c r="T352" s="9">
        <f>IFERROR(__xludf.DUMMYFUNCTION("""COMPUTED_VALUE"""),176.02)</f>
        <v>176.02</v>
      </c>
      <c r="V352" s="11">
        <f>IFERROR(__xludf.DUMMYFUNCTION("""COMPUTED_VALUE"""),43559.66666666667)</f>
        <v>43559.66667</v>
      </c>
      <c r="W352" s="9">
        <f>IFERROR(__xludf.DUMMYFUNCTION("""COMPUTED_VALUE"""),370.07)</f>
        <v>370.07</v>
      </c>
      <c r="X352" s="11">
        <f>IFERROR(__xludf.DUMMYFUNCTION("""COMPUTED_VALUE"""),43559.66666666667)</f>
        <v>43559.66667</v>
      </c>
      <c r="Y352" s="9">
        <f>IFERROR(__xludf.DUMMYFUNCTION("""COMPUTED_VALUE"""),367.88)</f>
        <v>367.88</v>
      </c>
      <c r="AA352" s="11">
        <f>IFERROR(__xludf.DUMMYFUNCTION("""COMPUTED_VALUE"""),43559.66666666667)</f>
        <v>43559.66667</v>
      </c>
      <c r="AB352" s="9">
        <f>IFERROR(__xludf.DUMMYFUNCTION("""COMPUTED_VALUE"""),1820.65)</f>
        <v>1820.65</v>
      </c>
      <c r="AC352" s="11">
        <f>IFERROR(__xludf.DUMMYFUNCTION("""COMPUTED_VALUE"""),43559.66666666667)</f>
        <v>43559.66667</v>
      </c>
      <c r="AD352" s="9">
        <f>IFERROR(__xludf.DUMMYFUNCTION("""COMPUTED_VALUE"""),1818.86)</f>
        <v>1818.86</v>
      </c>
    </row>
    <row r="353">
      <c r="B353" s="11">
        <f>IFERROR(__xludf.DUMMYFUNCTION("""COMPUTED_VALUE"""),43560.66666666667)</f>
        <v>43560.66667</v>
      </c>
      <c r="C353" s="9">
        <f>IFERROR(__xludf.DUMMYFUNCTION("""COMPUTED_VALUE"""),53.97)</f>
        <v>53.97</v>
      </c>
      <c r="D353" s="11">
        <f>IFERROR(__xludf.DUMMYFUNCTION("""COMPUTED_VALUE"""),43560.66666666667)</f>
        <v>43560.66667</v>
      </c>
      <c r="E353" s="9">
        <f>IFERROR(__xludf.DUMMYFUNCTION("""COMPUTED_VALUE"""),54.99)</f>
        <v>54.99</v>
      </c>
      <c r="G353" s="11">
        <f>IFERROR(__xludf.DUMMYFUNCTION("""COMPUTED_VALUE"""),43560.66666666667)</f>
        <v>43560.66667</v>
      </c>
      <c r="H353" s="9">
        <f>IFERROR(__xludf.DUMMYFUNCTION("""COMPUTED_VALUE"""),1214.99)</f>
        <v>1214.99</v>
      </c>
      <c r="I353" s="11">
        <f>IFERROR(__xludf.DUMMYFUNCTION("""COMPUTED_VALUE"""),43560.66666666667)</f>
        <v>43560.66667</v>
      </c>
      <c r="J353" s="9">
        <f>IFERROR(__xludf.DUMMYFUNCTION("""COMPUTED_VALUE"""),1207.15)</f>
        <v>1207.15</v>
      </c>
      <c r="L353" s="11">
        <f>IFERROR(__xludf.DUMMYFUNCTION("""COMPUTED_VALUE"""),43560.66666666667)</f>
        <v>43560.66667</v>
      </c>
      <c r="M353" s="9">
        <f>IFERROR(__xludf.DUMMYFUNCTION("""COMPUTED_VALUE"""),49.11)</f>
        <v>49.11</v>
      </c>
      <c r="N353" s="11">
        <f>IFERROR(__xludf.DUMMYFUNCTION("""COMPUTED_VALUE"""),43560.66666666667)</f>
        <v>43560.66667</v>
      </c>
      <c r="O353" s="9">
        <f>IFERROR(__xludf.DUMMYFUNCTION("""COMPUTED_VALUE"""),49.25)</f>
        <v>49.25</v>
      </c>
      <c r="Q353" s="11">
        <f>IFERROR(__xludf.DUMMYFUNCTION("""COMPUTED_VALUE"""),43560.66666666667)</f>
        <v>43560.66667</v>
      </c>
      <c r="R353" s="9">
        <f>IFERROR(__xludf.DUMMYFUNCTION("""COMPUTED_VALUE"""),176.88)</f>
        <v>176.88</v>
      </c>
      <c r="S353" s="11">
        <f>IFERROR(__xludf.DUMMYFUNCTION("""COMPUTED_VALUE"""),43560.66666666667)</f>
        <v>43560.66667</v>
      </c>
      <c r="T353" s="9">
        <f>IFERROR(__xludf.DUMMYFUNCTION("""COMPUTED_VALUE"""),175.72)</f>
        <v>175.72</v>
      </c>
      <c r="V353" s="11">
        <f>IFERROR(__xludf.DUMMYFUNCTION("""COMPUTED_VALUE"""),43560.66666666667)</f>
        <v>43560.66667</v>
      </c>
      <c r="W353" s="9">
        <f>IFERROR(__xludf.DUMMYFUNCTION("""COMPUTED_VALUE"""),369.0)</f>
        <v>369</v>
      </c>
      <c r="X353" s="11">
        <f>IFERROR(__xludf.DUMMYFUNCTION("""COMPUTED_VALUE"""),43560.66666666667)</f>
        <v>43560.66667</v>
      </c>
      <c r="Y353" s="9">
        <f>IFERROR(__xludf.DUMMYFUNCTION("""COMPUTED_VALUE"""),365.49)</f>
        <v>365.49</v>
      </c>
      <c r="AA353" s="11">
        <f>IFERROR(__xludf.DUMMYFUNCTION("""COMPUTED_VALUE"""),43560.66666666667)</f>
        <v>43560.66667</v>
      </c>
      <c r="AB353" s="9">
        <f>IFERROR(__xludf.DUMMYFUNCTION("""COMPUTED_VALUE"""),1829.0)</f>
        <v>1829</v>
      </c>
      <c r="AC353" s="11">
        <f>IFERROR(__xludf.DUMMYFUNCTION("""COMPUTED_VALUE"""),43560.66666666667)</f>
        <v>43560.66667</v>
      </c>
      <c r="AD353" s="9">
        <f>IFERROR(__xludf.DUMMYFUNCTION("""COMPUTED_VALUE"""),1837.28)</f>
        <v>1837.28</v>
      </c>
    </row>
    <row r="354">
      <c r="B354" s="11">
        <f>IFERROR(__xludf.DUMMYFUNCTION("""COMPUTED_VALUE"""),43563.66666666667)</f>
        <v>43563.66667</v>
      </c>
      <c r="C354" s="9">
        <f>IFERROR(__xludf.DUMMYFUNCTION("""COMPUTED_VALUE"""),55.54)</f>
        <v>55.54</v>
      </c>
      <c r="D354" s="11">
        <f>IFERROR(__xludf.DUMMYFUNCTION("""COMPUTED_VALUE"""),43563.66666666667)</f>
        <v>43563.66667</v>
      </c>
      <c r="E354" s="9">
        <f>IFERROR(__xludf.DUMMYFUNCTION("""COMPUTED_VALUE"""),54.64)</f>
        <v>54.64</v>
      </c>
      <c r="G354" s="11">
        <f>IFERROR(__xludf.DUMMYFUNCTION("""COMPUTED_VALUE"""),43563.66666666667)</f>
        <v>43563.66667</v>
      </c>
      <c r="H354" s="9">
        <f>IFERROR(__xludf.DUMMYFUNCTION("""COMPUTED_VALUE"""),1207.89)</f>
        <v>1207.89</v>
      </c>
      <c r="I354" s="11">
        <f>IFERROR(__xludf.DUMMYFUNCTION("""COMPUTED_VALUE"""),43563.66666666667)</f>
        <v>43563.66667</v>
      </c>
      <c r="J354" s="9">
        <f>IFERROR(__xludf.DUMMYFUNCTION("""COMPUTED_VALUE"""),1203.84)</f>
        <v>1203.84</v>
      </c>
      <c r="L354" s="11">
        <f>IFERROR(__xludf.DUMMYFUNCTION("""COMPUTED_VALUE"""),43563.66666666667)</f>
        <v>43563.66667</v>
      </c>
      <c r="M354" s="9">
        <f>IFERROR(__xludf.DUMMYFUNCTION("""COMPUTED_VALUE"""),49.11)</f>
        <v>49.11</v>
      </c>
      <c r="N354" s="11">
        <f>IFERROR(__xludf.DUMMYFUNCTION("""COMPUTED_VALUE"""),43563.66666666667)</f>
        <v>43563.66667</v>
      </c>
      <c r="O354" s="9">
        <f>IFERROR(__xludf.DUMMYFUNCTION("""COMPUTED_VALUE"""),50.03)</f>
        <v>50.03</v>
      </c>
      <c r="Q354" s="11">
        <f>IFERROR(__xludf.DUMMYFUNCTION("""COMPUTED_VALUE"""),43563.66666666667)</f>
        <v>43563.66667</v>
      </c>
      <c r="R354" s="9">
        <f>IFERROR(__xludf.DUMMYFUNCTION("""COMPUTED_VALUE"""),175.21)</f>
        <v>175.21</v>
      </c>
      <c r="S354" s="11">
        <f>IFERROR(__xludf.DUMMYFUNCTION("""COMPUTED_VALUE"""),43563.66666666667)</f>
        <v>43563.66667</v>
      </c>
      <c r="T354" s="9">
        <f>IFERROR(__xludf.DUMMYFUNCTION("""COMPUTED_VALUE"""),174.93)</f>
        <v>174.93</v>
      </c>
      <c r="V354" s="11">
        <f>IFERROR(__xludf.DUMMYFUNCTION("""COMPUTED_VALUE"""),43563.66666666667)</f>
        <v>43563.66667</v>
      </c>
      <c r="W354" s="9">
        <f>IFERROR(__xludf.DUMMYFUNCTION("""COMPUTED_VALUE"""),365.11)</f>
        <v>365.11</v>
      </c>
      <c r="X354" s="11">
        <f>IFERROR(__xludf.DUMMYFUNCTION("""COMPUTED_VALUE"""),43563.66666666667)</f>
        <v>43563.66667</v>
      </c>
      <c r="Y354" s="9">
        <f>IFERROR(__xludf.DUMMYFUNCTION("""COMPUTED_VALUE"""),361.41)</f>
        <v>361.41</v>
      </c>
      <c r="AA354" s="11">
        <f>IFERROR(__xludf.DUMMYFUNCTION("""COMPUTED_VALUE"""),43563.66666666667)</f>
        <v>43563.66667</v>
      </c>
      <c r="AB354" s="9">
        <f>IFERROR(__xludf.DUMMYFUNCTION("""COMPUTED_VALUE"""),1833.23)</f>
        <v>1833.23</v>
      </c>
      <c r="AC354" s="11">
        <f>IFERROR(__xludf.DUMMYFUNCTION("""COMPUTED_VALUE"""),43563.66666666667)</f>
        <v>43563.66667</v>
      </c>
      <c r="AD354" s="9">
        <f>IFERROR(__xludf.DUMMYFUNCTION("""COMPUTED_VALUE"""),1849.86)</f>
        <v>1849.86</v>
      </c>
    </row>
    <row r="355">
      <c r="B355" s="11">
        <f>IFERROR(__xludf.DUMMYFUNCTION("""COMPUTED_VALUE"""),43564.66666666667)</f>
        <v>43564.66667</v>
      </c>
      <c r="C355" s="9">
        <f>IFERROR(__xludf.DUMMYFUNCTION("""COMPUTED_VALUE"""),54.33)</f>
        <v>54.33</v>
      </c>
      <c r="D355" s="11">
        <f>IFERROR(__xludf.DUMMYFUNCTION("""COMPUTED_VALUE"""),43564.66666666667)</f>
        <v>43564.66667</v>
      </c>
      <c r="E355" s="9">
        <f>IFERROR(__xludf.DUMMYFUNCTION("""COMPUTED_VALUE"""),54.46)</f>
        <v>54.46</v>
      </c>
      <c r="G355" s="11">
        <f>IFERROR(__xludf.DUMMYFUNCTION("""COMPUTED_VALUE"""),43564.66666666667)</f>
        <v>43564.66667</v>
      </c>
      <c r="H355" s="9">
        <f>IFERROR(__xludf.DUMMYFUNCTION("""COMPUTED_VALUE"""),1196.0)</f>
        <v>1196</v>
      </c>
      <c r="I355" s="11">
        <f>IFERROR(__xludf.DUMMYFUNCTION("""COMPUTED_VALUE"""),43564.66666666667)</f>
        <v>43564.66667</v>
      </c>
      <c r="J355" s="9">
        <f>IFERROR(__xludf.DUMMYFUNCTION("""COMPUTED_VALUE"""),1197.25)</f>
        <v>1197.25</v>
      </c>
      <c r="L355" s="11">
        <f>IFERROR(__xludf.DUMMYFUNCTION("""COMPUTED_VALUE"""),43564.66666666667)</f>
        <v>43564.66667</v>
      </c>
      <c r="M355" s="9">
        <f>IFERROR(__xludf.DUMMYFUNCTION("""COMPUTED_VALUE"""),50.08)</f>
        <v>50.08</v>
      </c>
      <c r="N355" s="11">
        <f>IFERROR(__xludf.DUMMYFUNCTION("""COMPUTED_VALUE"""),43564.66666666667)</f>
        <v>43564.66667</v>
      </c>
      <c r="O355" s="9">
        <f>IFERROR(__xludf.DUMMYFUNCTION("""COMPUTED_VALUE"""),49.88)</f>
        <v>49.88</v>
      </c>
      <c r="Q355" s="11">
        <f>IFERROR(__xludf.DUMMYFUNCTION("""COMPUTED_VALUE"""),43564.66666666667)</f>
        <v>43564.66667</v>
      </c>
      <c r="R355" s="9">
        <f>IFERROR(__xludf.DUMMYFUNCTION("""COMPUTED_VALUE"""),175.62)</f>
        <v>175.62</v>
      </c>
      <c r="S355" s="11">
        <f>IFERROR(__xludf.DUMMYFUNCTION("""COMPUTED_VALUE"""),43564.66666666667)</f>
        <v>43564.66667</v>
      </c>
      <c r="T355" s="9">
        <f>IFERROR(__xludf.DUMMYFUNCTION("""COMPUTED_VALUE"""),177.58)</f>
        <v>177.58</v>
      </c>
      <c r="V355" s="11">
        <f>IFERROR(__xludf.DUMMYFUNCTION("""COMPUTED_VALUE"""),43564.66666666667)</f>
        <v>43564.66667</v>
      </c>
      <c r="W355" s="9">
        <f>IFERROR(__xludf.DUMMYFUNCTION("""COMPUTED_VALUE"""),360.54)</f>
        <v>360.54</v>
      </c>
      <c r="X355" s="11">
        <f>IFERROR(__xludf.DUMMYFUNCTION("""COMPUTED_VALUE"""),43564.66666666667)</f>
        <v>43564.66667</v>
      </c>
      <c r="Y355" s="9">
        <f>IFERROR(__xludf.DUMMYFUNCTION("""COMPUTED_VALUE"""),364.71)</f>
        <v>364.71</v>
      </c>
      <c r="AA355" s="11">
        <f>IFERROR(__xludf.DUMMYFUNCTION("""COMPUTED_VALUE"""),43564.66666666667)</f>
        <v>43564.66667</v>
      </c>
      <c r="AB355" s="9">
        <f>IFERROR(__xludf.DUMMYFUNCTION("""COMPUTED_VALUE"""),1845.49)</f>
        <v>1845.49</v>
      </c>
      <c r="AC355" s="11">
        <f>IFERROR(__xludf.DUMMYFUNCTION("""COMPUTED_VALUE"""),43564.66666666667)</f>
        <v>43564.66667</v>
      </c>
      <c r="AD355" s="9">
        <f>IFERROR(__xludf.DUMMYFUNCTION("""COMPUTED_VALUE"""),1835.84)</f>
        <v>1835.84</v>
      </c>
    </row>
    <row r="356">
      <c r="B356" s="11">
        <f>IFERROR(__xludf.DUMMYFUNCTION("""COMPUTED_VALUE"""),43565.66666666667)</f>
        <v>43565.66667</v>
      </c>
      <c r="C356" s="9">
        <f>IFERROR(__xludf.DUMMYFUNCTION("""COMPUTED_VALUE"""),55.35)</f>
        <v>55.35</v>
      </c>
      <c r="D356" s="11">
        <f>IFERROR(__xludf.DUMMYFUNCTION("""COMPUTED_VALUE"""),43565.66666666667)</f>
        <v>43565.66667</v>
      </c>
      <c r="E356" s="9">
        <f>IFERROR(__xludf.DUMMYFUNCTION("""COMPUTED_VALUE"""),55.21)</f>
        <v>55.21</v>
      </c>
      <c r="G356" s="11">
        <f>IFERROR(__xludf.DUMMYFUNCTION("""COMPUTED_VALUE"""),43565.66666666667)</f>
        <v>43565.66667</v>
      </c>
      <c r="H356" s="9">
        <f>IFERROR(__xludf.DUMMYFUNCTION("""COMPUTED_VALUE"""),1200.68)</f>
        <v>1200.68</v>
      </c>
      <c r="I356" s="11">
        <f>IFERROR(__xludf.DUMMYFUNCTION("""COMPUTED_VALUE"""),43565.66666666667)</f>
        <v>43565.66667</v>
      </c>
      <c r="J356" s="9">
        <f>IFERROR(__xludf.DUMMYFUNCTION("""COMPUTED_VALUE"""),1202.16)</f>
        <v>1202.16</v>
      </c>
      <c r="L356" s="11">
        <f>IFERROR(__xludf.DUMMYFUNCTION("""COMPUTED_VALUE"""),43565.66666666667)</f>
        <v>43565.66667</v>
      </c>
      <c r="M356" s="9">
        <f>IFERROR(__xludf.DUMMYFUNCTION("""COMPUTED_VALUE"""),49.67)</f>
        <v>49.67</v>
      </c>
      <c r="N356" s="11">
        <f>IFERROR(__xludf.DUMMYFUNCTION("""COMPUTED_VALUE"""),43565.66666666667)</f>
        <v>43565.66667</v>
      </c>
      <c r="O356" s="9">
        <f>IFERROR(__xludf.DUMMYFUNCTION("""COMPUTED_VALUE"""),50.16)</f>
        <v>50.16</v>
      </c>
      <c r="Q356" s="11">
        <f>IFERROR(__xludf.DUMMYFUNCTION("""COMPUTED_VALUE"""),43565.66666666667)</f>
        <v>43565.66667</v>
      </c>
      <c r="R356" s="9">
        <f>IFERROR(__xludf.DUMMYFUNCTION("""COMPUTED_VALUE"""),178.18)</f>
        <v>178.18</v>
      </c>
      <c r="S356" s="11">
        <f>IFERROR(__xludf.DUMMYFUNCTION("""COMPUTED_VALUE"""),43565.66666666667)</f>
        <v>43565.66667</v>
      </c>
      <c r="T356" s="9">
        <f>IFERROR(__xludf.DUMMYFUNCTION("""COMPUTED_VALUE"""),177.82)</f>
        <v>177.82</v>
      </c>
      <c r="V356" s="11">
        <f>IFERROR(__xludf.DUMMYFUNCTION("""COMPUTED_VALUE"""),43565.66666666667)</f>
        <v>43565.66667</v>
      </c>
      <c r="W356" s="9">
        <f>IFERROR(__xludf.DUMMYFUNCTION("""COMPUTED_VALUE"""),365.79)</f>
        <v>365.79</v>
      </c>
      <c r="X356" s="11">
        <f>IFERROR(__xludf.DUMMYFUNCTION("""COMPUTED_VALUE"""),43565.66666666667)</f>
        <v>43565.66667</v>
      </c>
      <c r="Y356" s="9">
        <f>IFERROR(__xludf.DUMMYFUNCTION("""COMPUTED_VALUE"""),363.92)</f>
        <v>363.92</v>
      </c>
      <c r="AA356" s="11">
        <f>IFERROR(__xludf.DUMMYFUNCTION("""COMPUTED_VALUE"""),43565.66666666667)</f>
        <v>43565.66667</v>
      </c>
      <c r="AB356" s="9">
        <f>IFERROR(__xludf.DUMMYFUNCTION("""COMPUTED_VALUE"""),1841.0)</f>
        <v>1841</v>
      </c>
      <c r="AC356" s="11">
        <f>IFERROR(__xludf.DUMMYFUNCTION("""COMPUTED_VALUE"""),43565.66666666667)</f>
        <v>43565.66667</v>
      </c>
      <c r="AD356" s="9">
        <f>IFERROR(__xludf.DUMMYFUNCTION("""COMPUTED_VALUE"""),1847.33)</f>
        <v>1847.33</v>
      </c>
    </row>
    <row r="357">
      <c r="B357" s="11">
        <f>IFERROR(__xludf.DUMMYFUNCTION("""COMPUTED_VALUE"""),43566.66666666667)</f>
        <v>43566.66667</v>
      </c>
      <c r="C357" s="9">
        <f>IFERROR(__xludf.DUMMYFUNCTION("""COMPUTED_VALUE"""),53.66)</f>
        <v>53.66</v>
      </c>
      <c r="D357" s="11">
        <f>IFERROR(__xludf.DUMMYFUNCTION("""COMPUTED_VALUE"""),43566.66666666667)</f>
        <v>43566.66667</v>
      </c>
      <c r="E357" s="9">
        <f>IFERROR(__xludf.DUMMYFUNCTION("""COMPUTED_VALUE"""),53.68)</f>
        <v>53.68</v>
      </c>
      <c r="G357" s="11">
        <f>IFERROR(__xludf.DUMMYFUNCTION("""COMPUTED_VALUE"""),43566.66666666667)</f>
        <v>43566.66667</v>
      </c>
      <c r="H357" s="9">
        <f>IFERROR(__xludf.DUMMYFUNCTION("""COMPUTED_VALUE"""),1203.96)</f>
        <v>1203.96</v>
      </c>
      <c r="I357" s="11">
        <f>IFERROR(__xludf.DUMMYFUNCTION("""COMPUTED_VALUE"""),43566.66666666667)</f>
        <v>43566.66667</v>
      </c>
      <c r="J357" s="9">
        <f>IFERROR(__xludf.DUMMYFUNCTION("""COMPUTED_VALUE"""),1204.62)</f>
        <v>1204.62</v>
      </c>
      <c r="L357" s="11">
        <f>IFERROR(__xludf.DUMMYFUNCTION("""COMPUTED_VALUE"""),43566.66666666667)</f>
        <v>43566.66667</v>
      </c>
      <c r="M357" s="9">
        <f>IFERROR(__xludf.DUMMYFUNCTION("""COMPUTED_VALUE"""),50.21)</f>
        <v>50.21</v>
      </c>
      <c r="N357" s="11">
        <f>IFERROR(__xludf.DUMMYFUNCTION("""COMPUTED_VALUE"""),43566.66666666667)</f>
        <v>43566.66667</v>
      </c>
      <c r="O357" s="9">
        <f>IFERROR(__xludf.DUMMYFUNCTION("""COMPUTED_VALUE"""),49.74)</f>
        <v>49.74</v>
      </c>
      <c r="Q357" s="11">
        <f>IFERROR(__xludf.DUMMYFUNCTION("""COMPUTED_VALUE"""),43566.66666666667)</f>
        <v>43566.66667</v>
      </c>
      <c r="R357" s="9">
        <f>IFERROR(__xludf.DUMMYFUNCTION("""COMPUTED_VALUE"""),178.24)</f>
        <v>178.24</v>
      </c>
      <c r="S357" s="11">
        <f>IFERROR(__xludf.DUMMYFUNCTION("""COMPUTED_VALUE"""),43566.66666666667)</f>
        <v>43566.66667</v>
      </c>
      <c r="T357" s="9">
        <f>IFERROR(__xludf.DUMMYFUNCTION("""COMPUTED_VALUE"""),177.51)</f>
        <v>177.51</v>
      </c>
      <c r="V357" s="11">
        <f>IFERROR(__xludf.DUMMYFUNCTION("""COMPUTED_VALUE"""),43566.66666666667)</f>
        <v>43566.66667</v>
      </c>
      <c r="W357" s="9">
        <f>IFERROR(__xludf.DUMMYFUNCTION("""COMPUTED_VALUE"""),365.0)</f>
        <v>365</v>
      </c>
      <c r="X357" s="11">
        <f>IFERROR(__xludf.DUMMYFUNCTION("""COMPUTED_VALUE"""),43566.66666666667)</f>
        <v>43566.66667</v>
      </c>
      <c r="Y357" s="9">
        <f>IFERROR(__xludf.DUMMYFUNCTION("""COMPUTED_VALUE"""),367.65)</f>
        <v>367.65</v>
      </c>
      <c r="AA357" s="11">
        <f>IFERROR(__xludf.DUMMYFUNCTION("""COMPUTED_VALUE"""),43566.66666666667)</f>
        <v>43566.66667</v>
      </c>
      <c r="AB357" s="9">
        <f>IFERROR(__xludf.DUMMYFUNCTION("""COMPUTED_VALUE"""),1848.7)</f>
        <v>1848.7</v>
      </c>
      <c r="AC357" s="11">
        <f>IFERROR(__xludf.DUMMYFUNCTION("""COMPUTED_VALUE"""),43566.66666666667)</f>
        <v>43566.66667</v>
      </c>
      <c r="AD357" s="9">
        <f>IFERROR(__xludf.DUMMYFUNCTION("""COMPUTED_VALUE"""),1844.07)</f>
        <v>1844.07</v>
      </c>
    </row>
    <row r="358">
      <c r="B358" s="11">
        <f>IFERROR(__xludf.DUMMYFUNCTION("""COMPUTED_VALUE"""),43567.66666666667)</f>
        <v>43567.66667</v>
      </c>
      <c r="C358" s="9">
        <f>IFERROR(__xludf.DUMMYFUNCTION("""COMPUTED_VALUE"""),54.04)</f>
        <v>54.04</v>
      </c>
      <c r="D358" s="11">
        <f>IFERROR(__xludf.DUMMYFUNCTION("""COMPUTED_VALUE"""),43567.66666666667)</f>
        <v>43567.66667</v>
      </c>
      <c r="E358" s="9">
        <f>IFERROR(__xludf.DUMMYFUNCTION("""COMPUTED_VALUE"""),53.54)</f>
        <v>53.54</v>
      </c>
      <c r="G358" s="11">
        <f>IFERROR(__xludf.DUMMYFUNCTION("""COMPUTED_VALUE"""),43567.66666666667)</f>
        <v>43567.66667</v>
      </c>
      <c r="H358" s="9">
        <f>IFERROR(__xludf.DUMMYFUNCTION("""COMPUTED_VALUE"""),1210.0)</f>
        <v>1210</v>
      </c>
      <c r="I358" s="11">
        <f>IFERROR(__xludf.DUMMYFUNCTION("""COMPUTED_VALUE"""),43567.66666666667)</f>
        <v>43567.66667</v>
      </c>
      <c r="J358" s="9">
        <f>IFERROR(__xludf.DUMMYFUNCTION("""COMPUTED_VALUE"""),1217.87)</f>
        <v>1217.87</v>
      </c>
      <c r="L358" s="11">
        <f>IFERROR(__xludf.DUMMYFUNCTION("""COMPUTED_VALUE"""),43567.66666666667)</f>
        <v>43567.66667</v>
      </c>
      <c r="M358" s="9">
        <f>IFERROR(__xludf.DUMMYFUNCTION("""COMPUTED_VALUE"""),49.8)</f>
        <v>49.8</v>
      </c>
      <c r="N358" s="11">
        <f>IFERROR(__xludf.DUMMYFUNCTION("""COMPUTED_VALUE"""),43567.66666666667)</f>
        <v>43567.66667</v>
      </c>
      <c r="O358" s="9">
        <f>IFERROR(__xludf.DUMMYFUNCTION("""COMPUTED_VALUE"""),49.72)</f>
        <v>49.72</v>
      </c>
      <c r="Q358" s="11">
        <f>IFERROR(__xludf.DUMMYFUNCTION("""COMPUTED_VALUE"""),43567.66666666667)</f>
        <v>43567.66667</v>
      </c>
      <c r="R358" s="9">
        <f>IFERROR(__xludf.DUMMYFUNCTION("""COMPUTED_VALUE"""),178.0)</f>
        <v>178</v>
      </c>
      <c r="S358" s="11">
        <f>IFERROR(__xludf.DUMMYFUNCTION("""COMPUTED_VALUE"""),43567.66666666667)</f>
        <v>43567.66667</v>
      </c>
      <c r="T358" s="9">
        <f>IFERROR(__xludf.DUMMYFUNCTION("""COMPUTED_VALUE"""),179.1)</f>
        <v>179.1</v>
      </c>
      <c r="V358" s="11">
        <f>IFERROR(__xludf.DUMMYFUNCTION("""COMPUTED_VALUE"""),43567.66666666667)</f>
        <v>43567.66667</v>
      </c>
      <c r="W358" s="9">
        <f>IFERROR(__xludf.DUMMYFUNCTION("""COMPUTED_VALUE"""),360.69)</f>
        <v>360.69</v>
      </c>
      <c r="X358" s="11">
        <f>IFERROR(__xludf.DUMMYFUNCTION("""COMPUTED_VALUE"""),43567.66666666667)</f>
        <v>43567.66667</v>
      </c>
      <c r="Y358" s="9">
        <f>IFERROR(__xludf.DUMMYFUNCTION("""COMPUTED_VALUE"""),351.14)</f>
        <v>351.14</v>
      </c>
      <c r="AA358" s="11">
        <f>IFERROR(__xludf.DUMMYFUNCTION("""COMPUTED_VALUE"""),43567.66666666667)</f>
        <v>43567.66667</v>
      </c>
      <c r="AB358" s="9">
        <f>IFERROR(__xludf.DUMMYFUNCTION("""COMPUTED_VALUE"""),1848.4)</f>
        <v>1848.4</v>
      </c>
      <c r="AC358" s="11">
        <f>IFERROR(__xludf.DUMMYFUNCTION("""COMPUTED_VALUE"""),43567.66666666667)</f>
        <v>43567.66667</v>
      </c>
      <c r="AD358" s="9">
        <f>IFERROR(__xludf.DUMMYFUNCTION("""COMPUTED_VALUE"""),1843.06)</f>
        <v>1843.06</v>
      </c>
    </row>
    <row r="359">
      <c r="B359" s="11">
        <f>IFERROR(__xludf.DUMMYFUNCTION("""COMPUTED_VALUE"""),43570.66666666667)</f>
        <v>43570.66667</v>
      </c>
      <c r="C359" s="9">
        <f>IFERROR(__xludf.DUMMYFUNCTION("""COMPUTED_VALUE"""),53.73)</f>
        <v>53.73</v>
      </c>
      <c r="D359" s="11">
        <f>IFERROR(__xludf.DUMMYFUNCTION("""COMPUTED_VALUE"""),43570.66666666667)</f>
        <v>43570.66667</v>
      </c>
      <c r="E359" s="9">
        <f>IFERROR(__xludf.DUMMYFUNCTION("""COMPUTED_VALUE"""),53.28)</f>
        <v>53.28</v>
      </c>
      <c r="G359" s="11">
        <f>IFERROR(__xludf.DUMMYFUNCTION("""COMPUTED_VALUE"""),43570.66666666667)</f>
        <v>43570.66667</v>
      </c>
      <c r="H359" s="9">
        <f>IFERROR(__xludf.DUMMYFUNCTION("""COMPUTED_VALUE"""),1218.0)</f>
        <v>1218</v>
      </c>
      <c r="I359" s="11">
        <f>IFERROR(__xludf.DUMMYFUNCTION("""COMPUTED_VALUE"""),43570.66666666667)</f>
        <v>43570.66667</v>
      </c>
      <c r="J359" s="9">
        <f>IFERROR(__xludf.DUMMYFUNCTION("""COMPUTED_VALUE"""),1221.1)</f>
        <v>1221.1</v>
      </c>
      <c r="L359" s="11">
        <f>IFERROR(__xludf.DUMMYFUNCTION("""COMPUTED_VALUE"""),43570.66666666667)</f>
        <v>43570.66667</v>
      </c>
      <c r="M359" s="9">
        <f>IFERROR(__xludf.DUMMYFUNCTION("""COMPUTED_VALUE"""),49.65)</f>
        <v>49.65</v>
      </c>
      <c r="N359" s="11">
        <f>IFERROR(__xludf.DUMMYFUNCTION("""COMPUTED_VALUE"""),43570.66666666667)</f>
        <v>43570.66667</v>
      </c>
      <c r="O359" s="9">
        <f>IFERROR(__xludf.DUMMYFUNCTION("""COMPUTED_VALUE"""),49.81)</f>
        <v>49.81</v>
      </c>
      <c r="Q359" s="11">
        <f>IFERROR(__xludf.DUMMYFUNCTION("""COMPUTED_VALUE"""),43570.66666666667)</f>
        <v>43570.66667</v>
      </c>
      <c r="R359" s="9">
        <f>IFERROR(__xludf.DUMMYFUNCTION("""COMPUTED_VALUE"""),178.5)</f>
        <v>178.5</v>
      </c>
      <c r="S359" s="11">
        <f>IFERROR(__xludf.DUMMYFUNCTION("""COMPUTED_VALUE"""),43570.66666666667)</f>
        <v>43570.66667</v>
      </c>
      <c r="T359" s="9">
        <f>IFERROR(__xludf.DUMMYFUNCTION("""COMPUTED_VALUE"""),179.65)</f>
        <v>179.65</v>
      </c>
      <c r="V359" s="11">
        <f>IFERROR(__xludf.DUMMYFUNCTION("""COMPUTED_VALUE"""),43570.66666666667)</f>
        <v>43570.66667</v>
      </c>
      <c r="W359" s="9">
        <f>IFERROR(__xludf.DUMMYFUNCTION("""COMPUTED_VALUE"""),350.71)</f>
        <v>350.71</v>
      </c>
      <c r="X359" s="11">
        <f>IFERROR(__xludf.DUMMYFUNCTION("""COMPUTED_VALUE"""),43570.66666666667)</f>
        <v>43570.66667</v>
      </c>
      <c r="Y359" s="9">
        <f>IFERROR(__xludf.DUMMYFUNCTION("""COMPUTED_VALUE"""),348.87)</f>
        <v>348.87</v>
      </c>
      <c r="AA359" s="11">
        <f>IFERROR(__xludf.DUMMYFUNCTION("""COMPUTED_VALUE"""),43570.66666666667)</f>
        <v>43570.66667</v>
      </c>
      <c r="AB359" s="9">
        <f>IFERROR(__xludf.DUMMYFUNCTION("""COMPUTED_VALUE"""),1842.0)</f>
        <v>1842</v>
      </c>
      <c r="AC359" s="11">
        <f>IFERROR(__xludf.DUMMYFUNCTION("""COMPUTED_VALUE"""),43570.66666666667)</f>
        <v>43570.66667</v>
      </c>
      <c r="AD359" s="9">
        <f>IFERROR(__xludf.DUMMYFUNCTION("""COMPUTED_VALUE"""),1844.87)</f>
        <v>1844.87</v>
      </c>
    </row>
    <row r="360">
      <c r="B360" s="11">
        <f>IFERROR(__xludf.DUMMYFUNCTION("""COMPUTED_VALUE"""),43571.66666666667)</f>
        <v>43571.66667</v>
      </c>
      <c r="C360" s="9">
        <f>IFERROR(__xludf.DUMMYFUNCTION("""COMPUTED_VALUE"""),53.15)</f>
        <v>53.15</v>
      </c>
      <c r="D360" s="11">
        <f>IFERROR(__xludf.DUMMYFUNCTION("""COMPUTED_VALUE"""),43571.66666666667)</f>
        <v>43571.66667</v>
      </c>
      <c r="E360" s="9">
        <f>IFERROR(__xludf.DUMMYFUNCTION("""COMPUTED_VALUE"""),54.67)</f>
        <v>54.67</v>
      </c>
      <c r="G360" s="11">
        <f>IFERROR(__xludf.DUMMYFUNCTION("""COMPUTED_VALUE"""),43571.66666666667)</f>
        <v>43571.66667</v>
      </c>
      <c r="H360" s="9">
        <f>IFERROR(__xludf.DUMMYFUNCTION("""COMPUTED_VALUE"""),1225.0)</f>
        <v>1225</v>
      </c>
      <c r="I360" s="11">
        <f>IFERROR(__xludf.DUMMYFUNCTION("""COMPUTED_VALUE"""),43571.66666666667)</f>
        <v>43571.66667</v>
      </c>
      <c r="J360" s="9">
        <f>IFERROR(__xludf.DUMMYFUNCTION("""COMPUTED_VALUE"""),1227.13)</f>
        <v>1227.13</v>
      </c>
      <c r="L360" s="11">
        <f>IFERROR(__xludf.DUMMYFUNCTION("""COMPUTED_VALUE"""),43571.66666666667)</f>
        <v>43571.66667</v>
      </c>
      <c r="M360" s="9">
        <f>IFERROR(__xludf.DUMMYFUNCTION("""COMPUTED_VALUE"""),49.87)</f>
        <v>49.87</v>
      </c>
      <c r="N360" s="11">
        <f>IFERROR(__xludf.DUMMYFUNCTION("""COMPUTED_VALUE"""),43571.66666666667)</f>
        <v>43571.66667</v>
      </c>
      <c r="O360" s="9">
        <f>IFERROR(__xludf.DUMMYFUNCTION("""COMPUTED_VALUE"""),49.81)</f>
        <v>49.81</v>
      </c>
      <c r="Q360" s="11">
        <f>IFERROR(__xludf.DUMMYFUNCTION("""COMPUTED_VALUE"""),43571.66666666667)</f>
        <v>43571.66667</v>
      </c>
      <c r="R360" s="9">
        <f>IFERROR(__xludf.DUMMYFUNCTION("""COMPUTED_VALUE"""),179.0)</f>
        <v>179</v>
      </c>
      <c r="S360" s="11">
        <f>IFERROR(__xludf.DUMMYFUNCTION("""COMPUTED_VALUE"""),43571.66666666667)</f>
        <v>43571.66667</v>
      </c>
      <c r="T360" s="9">
        <f>IFERROR(__xludf.DUMMYFUNCTION("""COMPUTED_VALUE"""),178.87)</f>
        <v>178.87</v>
      </c>
      <c r="V360" s="11">
        <f>IFERROR(__xludf.DUMMYFUNCTION("""COMPUTED_VALUE"""),43571.66666666667)</f>
        <v>43571.66667</v>
      </c>
      <c r="W360" s="9">
        <f>IFERROR(__xludf.DUMMYFUNCTION("""COMPUTED_VALUE"""),355.0)</f>
        <v>355</v>
      </c>
      <c r="X360" s="11">
        <f>IFERROR(__xludf.DUMMYFUNCTION("""COMPUTED_VALUE"""),43571.66666666667)</f>
        <v>43571.66667</v>
      </c>
      <c r="Y360" s="9">
        <f>IFERROR(__xludf.DUMMYFUNCTION("""COMPUTED_VALUE"""),359.46)</f>
        <v>359.46</v>
      </c>
      <c r="AA360" s="11">
        <f>IFERROR(__xludf.DUMMYFUNCTION("""COMPUTED_VALUE"""),43571.66666666667)</f>
        <v>43571.66667</v>
      </c>
      <c r="AB360" s="9">
        <f>IFERROR(__xludf.DUMMYFUNCTION("""COMPUTED_VALUE"""),1851.35)</f>
        <v>1851.35</v>
      </c>
      <c r="AC360" s="11">
        <f>IFERROR(__xludf.DUMMYFUNCTION("""COMPUTED_VALUE"""),43571.66666666667)</f>
        <v>43571.66667</v>
      </c>
      <c r="AD360" s="9">
        <f>IFERROR(__xludf.DUMMYFUNCTION("""COMPUTED_VALUE"""),1863.04)</f>
        <v>1863.04</v>
      </c>
    </row>
    <row r="361">
      <c r="B361" s="11">
        <f>IFERROR(__xludf.DUMMYFUNCTION("""COMPUTED_VALUE"""),43572.66666666667)</f>
        <v>43572.66667</v>
      </c>
      <c r="C361" s="9">
        <f>IFERROR(__xludf.DUMMYFUNCTION("""COMPUTED_VALUE"""),54.95)</f>
        <v>54.95</v>
      </c>
      <c r="D361" s="11">
        <f>IFERROR(__xludf.DUMMYFUNCTION("""COMPUTED_VALUE"""),43572.66666666667)</f>
        <v>43572.66667</v>
      </c>
      <c r="E361" s="9">
        <f>IFERROR(__xludf.DUMMYFUNCTION("""COMPUTED_VALUE"""),54.25)</f>
        <v>54.25</v>
      </c>
      <c r="G361" s="11">
        <f>IFERROR(__xludf.DUMMYFUNCTION("""COMPUTED_VALUE"""),43572.66666666667)</f>
        <v>43572.66667</v>
      </c>
      <c r="H361" s="9">
        <f>IFERROR(__xludf.DUMMYFUNCTION("""COMPUTED_VALUE"""),1233.0)</f>
        <v>1233</v>
      </c>
      <c r="I361" s="11">
        <f>IFERROR(__xludf.DUMMYFUNCTION("""COMPUTED_VALUE"""),43572.66666666667)</f>
        <v>43572.66667</v>
      </c>
      <c r="J361" s="9">
        <f>IFERROR(__xludf.DUMMYFUNCTION("""COMPUTED_VALUE"""),1236.34)</f>
        <v>1236.34</v>
      </c>
      <c r="L361" s="11">
        <f>IFERROR(__xludf.DUMMYFUNCTION("""COMPUTED_VALUE"""),43572.66666666667)</f>
        <v>43572.66667</v>
      </c>
      <c r="M361" s="9">
        <f>IFERROR(__xludf.DUMMYFUNCTION("""COMPUTED_VALUE"""),49.89)</f>
        <v>49.89</v>
      </c>
      <c r="N361" s="11">
        <f>IFERROR(__xludf.DUMMYFUNCTION("""COMPUTED_VALUE"""),43572.66666666667)</f>
        <v>43572.66667</v>
      </c>
      <c r="O361" s="9">
        <f>IFERROR(__xludf.DUMMYFUNCTION("""COMPUTED_VALUE"""),50.78)</f>
        <v>50.78</v>
      </c>
      <c r="Q361" s="11">
        <f>IFERROR(__xludf.DUMMYFUNCTION("""COMPUTED_VALUE"""),43572.66666666667)</f>
        <v>43572.66667</v>
      </c>
      <c r="R361" s="9">
        <f>IFERROR(__xludf.DUMMYFUNCTION("""COMPUTED_VALUE"""),179.6)</f>
        <v>179.6</v>
      </c>
      <c r="S361" s="11">
        <f>IFERROR(__xludf.DUMMYFUNCTION("""COMPUTED_VALUE"""),43572.66666666667)</f>
        <v>43572.66667</v>
      </c>
      <c r="T361" s="9">
        <f>IFERROR(__xludf.DUMMYFUNCTION("""COMPUTED_VALUE"""),178.78)</f>
        <v>178.78</v>
      </c>
      <c r="V361" s="11">
        <f>IFERROR(__xludf.DUMMYFUNCTION("""COMPUTED_VALUE"""),43572.66666666667)</f>
        <v>43572.66667</v>
      </c>
      <c r="W361" s="9">
        <f>IFERROR(__xludf.DUMMYFUNCTION("""COMPUTED_VALUE"""),365.05)</f>
        <v>365.05</v>
      </c>
      <c r="X361" s="11">
        <f>IFERROR(__xludf.DUMMYFUNCTION("""COMPUTED_VALUE"""),43572.66666666667)</f>
        <v>43572.66667</v>
      </c>
      <c r="Y361" s="9">
        <f>IFERROR(__xludf.DUMMYFUNCTION("""COMPUTED_VALUE"""),354.74)</f>
        <v>354.74</v>
      </c>
      <c r="AA361" s="11">
        <f>IFERROR(__xludf.DUMMYFUNCTION("""COMPUTED_VALUE"""),43572.66666666667)</f>
        <v>43572.66667</v>
      </c>
      <c r="AB361" s="9">
        <f>IFERROR(__xludf.DUMMYFUNCTION("""COMPUTED_VALUE"""),1872.99)</f>
        <v>1872.99</v>
      </c>
      <c r="AC361" s="11">
        <f>IFERROR(__xludf.DUMMYFUNCTION("""COMPUTED_VALUE"""),43572.66666666667)</f>
        <v>43572.66667</v>
      </c>
      <c r="AD361" s="9">
        <f>IFERROR(__xludf.DUMMYFUNCTION("""COMPUTED_VALUE"""),1864.82)</f>
        <v>1864.82</v>
      </c>
    </row>
    <row r="362">
      <c r="B362" s="11">
        <f>IFERROR(__xludf.DUMMYFUNCTION("""COMPUTED_VALUE"""),43573.66666666667)</f>
        <v>43573.66667</v>
      </c>
      <c r="C362" s="9">
        <f>IFERROR(__xludf.DUMMYFUNCTION("""COMPUTED_VALUE"""),54.25)</f>
        <v>54.25</v>
      </c>
      <c r="D362" s="11">
        <f>IFERROR(__xludf.DUMMYFUNCTION("""COMPUTED_VALUE"""),43573.66666666667)</f>
        <v>43573.66667</v>
      </c>
      <c r="E362" s="9">
        <f>IFERROR(__xludf.DUMMYFUNCTION("""COMPUTED_VALUE"""),54.65)</f>
        <v>54.65</v>
      </c>
      <c r="G362" s="11">
        <f>IFERROR(__xludf.DUMMYFUNCTION("""COMPUTED_VALUE"""),43573.66666666667)</f>
        <v>43573.66667</v>
      </c>
      <c r="H362" s="9">
        <f>IFERROR(__xludf.DUMMYFUNCTION("""COMPUTED_VALUE"""),1239.18)</f>
        <v>1239.18</v>
      </c>
      <c r="I362" s="11">
        <f>IFERROR(__xludf.DUMMYFUNCTION("""COMPUTED_VALUE"""),43573.66666666667)</f>
        <v>43573.66667</v>
      </c>
      <c r="J362" s="9">
        <f>IFERROR(__xludf.DUMMYFUNCTION("""COMPUTED_VALUE"""),1236.37)</f>
        <v>1236.37</v>
      </c>
      <c r="L362" s="11">
        <f>IFERROR(__xludf.DUMMYFUNCTION("""COMPUTED_VALUE"""),43573.66666666667)</f>
        <v>43573.66667</v>
      </c>
      <c r="M362" s="9">
        <f>IFERROR(__xludf.DUMMYFUNCTION("""COMPUTED_VALUE"""),50.78)</f>
        <v>50.78</v>
      </c>
      <c r="N362" s="11">
        <f>IFERROR(__xludf.DUMMYFUNCTION("""COMPUTED_VALUE"""),43573.66666666667)</f>
        <v>43573.66667</v>
      </c>
      <c r="O362" s="9">
        <f>IFERROR(__xludf.DUMMYFUNCTION("""COMPUTED_VALUE"""),50.97)</f>
        <v>50.97</v>
      </c>
      <c r="Q362" s="11">
        <f>IFERROR(__xludf.DUMMYFUNCTION("""COMPUTED_VALUE"""),43573.66666666667)</f>
        <v>43573.66667</v>
      </c>
      <c r="R362" s="9">
        <f>IFERROR(__xludf.DUMMYFUNCTION("""COMPUTED_VALUE"""),178.8)</f>
        <v>178.8</v>
      </c>
      <c r="S362" s="11">
        <f>IFERROR(__xludf.DUMMYFUNCTION("""COMPUTED_VALUE"""),43573.66666666667)</f>
        <v>43573.66667</v>
      </c>
      <c r="T362" s="9">
        <f>IFERROR(__xludf.DUMMYFUNCTION("""COMPUTED_VALUE"""),178.28)</f>
        <v>178.28</v>
      </c>
      <c r="V362" s="11">
        <f>IFERROR(__xludf.DUMMYFUNCTION("""COMPUTED_VALUE"""),43573.66666666667)</f>
        <v>43573.66667</v>
      </c>
      <c r="W362" s="9">
        <f>IFERROR(__xludf.DUMMYFUNCTION("""COMPUTED_VALUE"""),355.0)</f>
        <v>355</v>
      </c>
      <c r="X362" s="11">
        <f>IFERROR(__xludf.DUMMYFUNCTION("""COMPUTED_VALUE"""),43573.66666666667)</f>
        <v>43573.66667</v>
      </c>
      <c r="Y362" s="9">
        <f>IFERROR(__xludf.DUMMYFUNCTION("""COMPUTED_VALUE"""),360.35)</f>
        <v>360.35</v>
      </c>
      <c r="AA362" s="11">
        <f>IFERROR(__xludf.DUMMYFUNCTION("""COMPUTED_VALUE"""),43573.66666666667)</f>
        <v>43573.66667</v>
      </c>
      <c r="AB362" s="9">
        <f>IFERROR(__xludf.DUMMYFUNCTION("""COMPUTED_VALUE"""),1868.79)</f>
        <v>1868.79</v>
      </c>
      <c r="AC362" s="11">
        <f>IFERROR(__xludf.DUMMYFUNCTION("""COMPUTED_VALUE"""),43573.66666666667)</f>
        <v>43573.66667</v>
      </c>
      <c r="AD362" s="9">
        <f>IFERROR(__xludf.DUMMYFUNCTION("""COMPUTED_VALUE"""),1861.69)</f>
        <v>1861.69</v>
      </c>
    </row>
    <row r="363">
      <c r="B363" s="11">
        <f>IFERROR(__xludf.DUMMYFUNCTION("""COMPUTED_VALUE"""),43577.66666666667)</f>
        <v>43577.66667</v>
      </c>
      <c r="C363" s="9">
        <f>IFERROR(__xludf.DUMMYFUNCTION("""COMPUTED_VALUE"""),53.8)</f>
        <v>53.8</v>
      </c>
      <c r="D363" s="11">
        <f>IFERROR(__xludf.DUMMYFUNCTION("""COMPUTED_VALUE"""),43577.66666666667)</f>
        <v>43577.66667</v>
      </c>
      <c r="E363" s="9">
        <f>IFERROR(__xludf.DUMMYFUNCTION("""COMPUTED_VALUE"""),52.55)</f>
        <v>52.55</v>
      </c>
      <c r="G363" s="11">
        <f>IFERROR(__xludf.DUMMYFUNCTION("""COMPUTED_VALUE"""),43577.66666666667)</f>
        <v>43577.66667</v>
      </c>
      <c r="H363" s="9">
        <f>IFERROR(__xludf.DUMMYFUNCTION("""COMPUTED_VALUE"""),1235.99)</f>
        <v>1235.99</v>
      </c>
      <c r="I363" s="11">
        <f>IFERROR(__xludf.DUMMYFUNCTION("""COMPUTED_VALUE"""),43577.66666666667)</f>
        <v>43577.66667</v>
      </c>
      <c r="J363" s="9">
        <f>IFERROR(__xludf.DUMMYFUNCTION("""COMPUTED_VALUE"""),1248.84)</f>
        <v>1248.84</v>
      </c>
      <c r="L363" s="11">
        <f>IFERROR(__xludf.DUMMYFUNCTION("""COMPUTED_VALUE"""),43577.66666666667)</f>
        <v>43577.66667</v>
      </c>
      <c r="M363" s="9">
        <f>IFERROR(__xludf.DUMMYFUNCTION("""COMPUTED_VALUE"""),50.71)</f>
        <v>50.71</v>
      </c>
      <c r="N363" s="11">
        <f>IFERROR(__xludf.DUMMYFUNCTION("""COMPUTED_VALUE"""),43577.66666666667)</f>
        <v>43577.66667</v>
      </c>
      <c r="O363" s="9">
        <f>IFERROR(__xludf.DUMMYFUNCTION("""COMPUTED_VALUE"""),51.13)</f>
        <v>51.13</v>
      </c>
      <c r="Q363" s="11">
        <f>IFERROR(__xludf.DUMMYFUNCTION("""COMPUTED_VALUE"""),43577.66666666667)</f>
        <v>43577.66667</v>
      </c>
      <c r="R363" s="9">
        <f>IFERROR(__xludf.DUMMYFUNCTION("""COMPUTED_VALUE"""),178.25)</f>
        <v>178.25</v>
      </c>
      <c r="S363" s="11">
        <f>IFERROR(__xludf.DUMMYFUNCTION("""COMPUTED_VALUE"""),43577.66666666667)</f>
        <v>43577.66667</v>
      </c>
      <c r="T363" s="9">
        <f>IFERROR(__xludf.DUMMYFUNCTION("""COMPUTED_VALUE"""),181.44)</f>
        <v>181.44</v>
      </c>
      <c r="V363" s="11">
        <f>IFERROR(__xludf.DUMMYFUNCTION("""COMPUTED_VALUE"""),43577.66666666667)</f>
        <v>43577.66667</v>
      </c>
      <c r="W363" s="9">
        <f>IFERROR(__xludf.DUMMYFUNCTION("""COMPUTED_VALUE"""),359.7)</f>
        <v>359.7</v>
      </c>
      <c r="X363" s="11">
        <f>IFERROR(__xludf.DUMMYFUNCTION("""COMPUTED_VALUE"""),43577.66666666667)</f>
        <v>43577.66667</v>
      </c>
      <c r="Y363" s="9">
        <f>IFERROR(__xludf.DUMMYFUNCTION("""COMPUTED_VALUE"""),377.34)</f>
        <v>377.34</v>
      </c>
      <c r="AA363" s="11">
        <f>IFERROR(__xludf.DUMMYFUNCTION("""COMPUTED_VALUE"""),43577.66666666667)</f>
        <v>43577.66667</v>
      </c>
      <c r="AB363" s="9">
        <f>IFERROR(__xludf.DUMMYFUNCTION("""COMPUTED_VALUE"""),1855.4)</f>
        <v>1855.4</v>
      </c>
      <c r="AC363" s="11">
        <f>IFERROR(__xludf.DUMMYFUNCTION("""COMPUTED_VALUE"""),43577.66666666667)</f>
        <v>43577.66667</v>
      </c>
      <c r="AD363" s="9">
        <f>IFERROR(__xludf.DUMMYFUNCTION("""COMPUTED_VALUE"""),1887.31)</f>
        <v>1887.31</v>
      </c>
    </row>
    <row r="364">
      <c r="B364" s="11">
        <f>IFERROR(__xludf.DUMMYFUNCTION("""COMPUTED_VALUE"""),43578.66666666667)</f>
        <v>43578.66667</v>
      </c>
      <c r="C364" s="9">
        <f>IFERROR(__xludf.DUMMYFUNCTION("""COMPUTED_VALUE"""),52.03)</f>
        <v>52.03</v>
      </c>
      <c r="D364" s="11">
        <f>IFERROR(__xludf.DUMMYFUNCTION("""COMPUTED_VALUE"""),43578.66666666667)</f>
        <v>43578.66667</v>
      </c>
      <c r="E364" s="9">
        <f>IFERROR(__xludf.DUMMYFUNCTION("""COMPUTED_VALUE"""),52.78)</f>
        <v>52.78</v>
      </c>
      <c r="G364" s="11">
        <f>IFERROR(__xludf.DUMMYFUNCTION("""COMPUTED_VALUE"""),43578.66666666667)</f>
        <v>43578.66667</v>
      </c>
      <c r="H364" s="9">
        <f>IFERROR(__xludf.DUMMYFUNCTION("""COMPUTED_VALUE"""),1250.69)</f>
        <v>1250.69</v>
      </c>
      <c r="I364" s="11">
        <f>IFERROR(__xludf.DUMMYFUNCTION("""COMPUTED_VALUE"""),43578.66666666667)</f>
        <v>43578.66667</v>
      </c>
      <c r="J364" s="9">
        <f>IFERROR(__xludf.DUMMYFUNCTION("""COMPUTED_VALUE"""),1264.55)</f>
        <v>1264.55</v>
      </c>
      <c r="L364" s="11">
        <f>IFERROR(__xludf.DUMMYFUNCTION("""COMPUTED_VALUE"""),43578.66666666667)</f>
        <v>43578.66667</v>
      </c>
      <c r="M364" s="9">
        <f>IFERROR(__xludf.DUMMYFUNCTION("""COMPUTED_VALUE"""),51.11)</f>
        <v>51.11</v>
      </c>
      <c r="N364" s="11">
        <f>IFERROR(__xludf.DUMMYFUNCTION("""COMPUTED_VALUE"""),43578.66666666667)</f>
        <v>43578.66667</v>
      </c>
      <c r="O364" s="9">
        <f>IFERROR(__xludf.DUMMYFUNCTION("""COMPUTED_VALUE"""),51.87)</f>
        <v>51.87</v>
      </c>
      <c r="Q364" s="11">
        <f>IFERROR(__xludf.DUMMYFUNCTION("""COMPUTED_VALUE"""),43578.66666666667)</f>
        <v>43578.66667</v>
      </c>
      <c r="R364" s="9">
        <f>IFERROR(__xludf.DUMMYFUNCTION("""COMPUTED_VALUE"""),182.74)</f>
        <v>182.74</v>
      </c>
      <c r="S364" s="11">
        <f>IFERROR(__xludf.DUMMYFUNCTION("""COMPUTED_VALUE"""),43578.66666666667)</f>
        <v>43578.66667</v>
      </c>
      <c r="T364" s="9">
        <f>IFERROR(__xludf.DUMMYFUNCTION("""COMPUTED_VALUE"""),183.78)</f>
        <v>183.78</v>
      </c>
      <c r="V364" s="11">
        <f>IFERROR(__xludf.DUMMYFUNCTION("""COMPUTED_VALUE"""),43578.66666666667)</f>
        <v>43578.66667</v>
      </c>
      <c r="W364" s="9">
        <f>IFERROR(__xludf.DUMMYFUNCTION("""COMPUTED_VALUE"""),375.45)</f>
        <v>375.45</v>
      </c>
      <c r="X364" s="11">
        <f>IFERROR(__xludf.DUMMYFUNCTION("""COMPUTED_VALUE"""),43578.66666666667)</f>
        <v>43578.66667</v>
      </c>
      <c r="Y364" s="9">
        <f>IFERROR(__xludf.DUMMYFUNCTION("""COMPUTED_VALUE"""),381.89)</f>
        <v>381.89</v>
      </c>
      <c r="AA364" s="11">
        <f>IFERROR(__xludf.DUMMYFUNCTION("""COMPUTED_VALUE"""),43578.66666666667)</f>
        <v>43578.66667</v>
      </c>
      <c r="AB364" s="9">
        <f>IFERROR(__xludf.DUMMYFUNCTION("""COMPUTED_VALUE"""),1891.2)</f>
        <v>1891.2</v>
      </c>
      <c r="AC364" s="11">
        <f>IFERROR(__xludf.DUMMYFUNCTION("""COMPUTED_VALUE"""),43578.66666666667)</f>
        <v>43578.66667</v>
      </c>
      <c r="AD364" s="9">
        <f>IFERROR(__xludf.DUMMYFUNCTION("""COMPUTED_VALUE"""),1923.77)</f>
        <v>1923.77</v>
      </c>
    </row>
    <row r="365">
      <c r="B365" s="11">
        <f>IFERROR(__xludf.DUMMYFUNCTION("""COMPUTED_VALUE"""),43579.66666666667)</f>
        <v>43579.66667</v>
      </c>
      <c r="C365" s="9">
        <f>IFERROR(__xludf.DUMMYFUNCTION("""COMPUTED_VALUE"""),52.77)</f>
        <v>52.77</v>
      </c>
      <c r="D365" s="11">
        <f>IFERROR(__xludf.DUMMYFUNCTION("""COMPUTED_VALUE"""),43579.66666666667)</f>
        <v>43579.66667</v>
      </c>
      <c r="E365" s="9">
        <f>IFERROR(__xludf.DUMMYFUNCTION("""COMPUTED_VALUE"""),51.73)</f>
        <v>51.73</v>
      </c>
      <c r="G365" s="11">
        <f>IFERROR(__xludf.DUMMYFUNCTION("""COMPUTED_VALUE"""),43579.66666666667)</f>
        <v>43579.66667</v>
      </c>
      <c r="H365" s="9">
        <f>IFERROR(__xludf.DUMMYFUNCTION("""COMPUTED_VALUE"""),1264.12)</f>
        <v>1264.12</v>
      </c>
      <c r="I365" s="11">
        <f>IFERROR(__xludf.DUMMYFUNCTION("""COMPUTED_VALUE"""),43579.66666666667)</f>
        <v>43579.66667</v>
      </c>
      <c r="J365" s="9">
        <f>IFERROR(__xludf.DUMMYFUNCTION("""COMPUTED_VALUE"""),1256.0)</f>
        <v>1256</v>
      </c>
      <c r="L365" s="11">
        <f>IFERROR(__xludf.DUMMYFUNCTION("""COMPUTED_VALUE"""),43579.66666666667)</f>
        <v>43579.66667</v>
      </c>
      <c r="M365" s="9">
        <f>IFERROR(__xludf.DUMMYFUNCTION("""COMPUTED_VALUE"""),51.84)</f>
        <v>51.84</v>
      </c>
      <c r="N365" s="11">
        <f>IFERROR(__xludf.DUMMYFUNCTION("""COMPUTED_VALUE"""),43579.66666666667)</f>
        <v>43579.66667</v>
      </c>
      <c r="O365" s="9">
        <f>IFERROR(__xludf.DUMMYFUNCTION("""COMPUTED_VALUE"""),51.79)</f>
        <v>51.79</v>
      </c>
      <c r="Q365" s="11">
        <f>IFERROR(__xludf.DUMMYFUNCTION("""COMPUTED_VALUE"""),43579.66666666667)</f>
        <v>43579.66667</v>
      </c>
      <c r="R365" s="9">
        <f>IFERROR(__xludf.DUMMYFUNCTION("""COMPUTED_VALUE"""),184.49)</f>
        <v>184.49</v>
      </c>
      <c r="S365" s="11">
        <f>IFERROR(__xludf.DUMMYFUNCTION("""COMPUTED_VALUE"""),43579.66666666667)</f>
        <v>43579.66667</v>
      </c>
      <c r="T365" s="9">
        <f>IFERROR(__xludf.DUMMYFUNCTION("""COMPUTED_VALUE"""),182.58)</f>
        <v>182.58</v>
      </c>
      <c r="V365" s="11">
        <f>IFERROR(__xludf.DUMMYFUNCTION("""COMPUTED_VALUE"""),43579.66666666667)</f>
        <v>43579.66667</v>
      </c>
      <c r="W365" s="9">
        <f>IFERROR(__xludf.DUMMYFUNCTION("""COMPUTED_VALUE"""),381.07)</f>
        <v>381.07</v>
      </c>
      <c r="X365" s="11">
        <f>IFERROR(__xludf.DUMMYFUNCTION("""COMPUTED_VALUE"""),43579.66666666667)</f>
        <v>43579.66667</v>
      </c>
      <c r="Y365" s="9">
        <f>IFERROR(__xludf.DUMMYFUNCTION("""COMPUTED_VALUE"""),374.23)</f>
        <v>374.23</v>
      </c>
      <c r="AA365" s="11">
        <f>IFERROR(__xludf.DUMMYFUNCTION("""COMPUTED_VALUE"""),43579.66666666667)</f>
        <v>43579.66667</v>
      </c>
      <c r="AB365" s="9">
        <f>IFERROR(__xludf.DUMMYFUNCTION("""COMPUTED_VALUE"""),1925.0)</f>
        <v>1925</v>
      </c>
      <c r="AC365" s="11">
        <f>IFERROR(__xludf.DUMMYFUNCTION("""COMPUTED_VALUE"""),43579.66666666667)</f>
        <v>43579.66667</v>
      </c>
      <c r="AD365" s="9">
        <f>IFERROR(__xludf.DUMMYFUNCTION("""COMPUTED_VALUE"""),1901.75)</f>
        <v>1901.75</v>
      </c>
    </row>
    <row r="366">
      <c r="B366" s="11">
        <f>IFERROR(__xludf.DUMMYFUNCTION("""COMPUTED_VALUE"""),43580.66666666667)</f>
        <v>43580.66667</v>
      </c>
      <c r="C366" s="9">
        <f>IFERROR(__xludf.DUMMYFUNCTION("""COMPUTED_VALUE"""),51.0)</f>
        <v>51</v>
      </c>
      <c r="D366" s="11">
        <f>IFERROR(__xludf.DUMMYFUNCTION("""COMPUTED_VALUE"""),43580.66666666667)</f>
        <v>43580.66667</v>
      </c>
      <c r="E366" s="9">
        <f>IFERROR(__xludf.DUMMYFUNCTION("""COMPUTED_VALUE"""),49.53)</f>
        <v>49.53</v>
      </c>
      <c r="G366" s="11">
        <f>IFERROR(__xludf.DUMMYFUNCTION("""COMPUTED_VALUE"""),43580.66666666667)</f>
        <v>43580.66667</v>
      </c>
      <c r="H366" s="9">
        <f>IFERROR(__xludf.DUMMYFUNCTION("""COMPUTED_VALUE"""),1264.77)</f>
        <v>1264.77</v>
      </c>
      <c r="I366" s="11">
        <f>IFERROR(__xludf.DUMMYFUNCTION("""COMPUTED_VALUE"""),43580.66666666667)</f>
        <v>43580.66667</v>
      </c>
      <c r="J366" s="9">
        <f>IFERROR(__xludf.DUMMYFUNCTION("""COMPUTED_VALUE"""),1263.45)</f>
        <v>1263.45</v>
      </c>
      <c r="L366" s="11">
        <f>IFERROR(__xludf.DUMMYFUNCTION("""COMPUTED_VALUE"""),43580.66666666667)</f>
        <v>43580.66667</v>
      </c>
      <c r="M366" s="9">
        <f>IFERROR(__xludf.DUMMYFUNCTION("""COMPUTED_VALUE"""),51.71)</f>
        <v>51.71</v>
      </c>
      <c r="N366" s="11">
        <f>IFERROR(__xludf.DUMMYFUNCTION("""COMPUTED_VALUE"""),43580.66666666667)</f>
        <v>43580.66667</v>
      </c>
      <c r="O366" s="9">
        <f>IFERROR(__xludf.DUMMYFUNCTION("""COMPUTED_VALUE"""),51.32)</f>
        <v>51.32</v>
      </c>
      <c r="Q366" s="11">
        <f>IFERROR(__xludf.DUMMYFUNCTION("""COMPUTED_VALUE"""),43580.66666666667)</f>
        <v>43580.66667</v>
      </c>
      <c r="R366" s="9">
        <f>IFERROR(__xludf.DUMMYFUNCTION("""COMPUTED_VALUE"""),196.98)</f>
        <v>196.98</v>
      </c>
      <c r="S366" s="11">
        <f>IFERROR(__xludf.DUMMYFUNCTION("""COMPUTED_VALUE"""),43580.66666666667)</f>
        <v>43580.66667</v>
      </c>
      <c r="T366" s="9">
        <f>IFERROR(__xludf.DUMMYFUNCTION("""COMPUTED_VALUE"""),193.26)</f>
        <v>193.26</v>
      </c>
      <c r="V366" s="11">
        <f>IFERROR(__xludf.DUMMYFUNCTION("""COMPUTED_VALUE"""),43580.66666666667)</f>
        <v>43580.66667</v>
      </c>
      <c r="W366" s="9">
        <f>IFERROR(__xludf.DUMMYFUNCTION("""COMPUTED_VALUE"""),374.49)</f>
        <v>374.49</v>
      </c>
      <c r="X366" s="11">
        <f>IFERROR(__xludf.DUMMYFUNCTION("""COMPUTED_VALUE"""),43580.66666666667)</f>
        <v>43580.66667</v>
      </c>
      <c r="Y366" s="9">
        <f>IFERROR(__xludf.DUMMYFUNCTION("""COMPUTED_VALUE"""),368.33)</f>
        <v>368.33</v>
      </c>
      <c r="AA366" s="11">
        <f>IFERROR(__xludf.DUMMYFUNCTION("""COMPUTED_VALUE"""),43580.66666666667)</f>
        <v>43580.66667</v>
      </c>
      <c r="AB366" s="9">
        <f>IFERROR(__xludf.DUMMYFUNCTION("""COMPUTED_VALUE"""),1917.0)</f>
        <v>1917</v>
      </c>
      <c r="AC366" s="11">
        <f>IFERROR(__xludf.DUMMYFUNCTION("""COMPUTED_VALUE"""),43580.66666666667)</f>
        <v>43580.66667</v>
      </c>
      <c r="AD366" s="9">
        <f>IFERROR(__xludf.DUMMYFUNCTION("""COMPUTED_VALUE"""),1902.25)</f>
        <v>1902.25</v>
      </c>
    </row>
    <row r="367">
      <c r="B367" s="11">
        <f>IFERROR(__xludf.DUMMYFUNCTION("""COMPUTED_VALUE"""),43581.66666666667)</f>
        <v>43581.66667</v>
      </c>
      <c r="C367" s="9">
        <f>IFERROR(__xludf.DUMMYFUNCTION("""COMPUTED_VALUE"""),49.3)</f>
        <v>49.3</v>
      </c>
      <c r="D367" s="11">
        <f>IFERROR(__xludf.DUMMYFUNCTION("""COMPUTED_VALUE"""),43581.66666666667)</f>
        <v>43581.66667</v>
      </c>
      <c r="E367" s="9">
        <f>IFERROR(__xludf.DUMMYFUNCTION("""COMPUTED_VALUE"""),47.03)</f>
        <v>47.03</v>
      </c>
      <c r="G367" s="11">
        <f>IFERROR(__xludf.DUMMYFUNCTION("""COMPUTED_VALUE"""),43581.66666666667)</f>
        <v>43581.66667</v>
      </c>
      <c r="H367" s="9">
        <f>IFERROR(__xludf.DUMMYFUNCTION("""COMPUTED_VALUE"""),1269.0)</f>
        <v>1269</v>
      </c>
      <c r="I367" s="11">
        <f>IFERROR(__xludf.DUMMYFUNCTION("""COMPUTED_VALUE"""),43581.66666666667)</f>
        <v>43581.66667</v>
      </c>
      <c r="J367" s="9">
        <f>IFERROR(__xludf.DUMMYFUNCTION("""COMPUTED_VALUE"""),1272.18)</f>
        <v>1272.18</v>
      </c>
      <c r="L367" s="11">
        <f>IFERROR(__xludf.DUMMYFUNCTION("""COMPUTED_VALUE"""),43581.66666666667)</f>
        <v>43581.66667</v>
      </c>
      <c r="M367" s="9">
        <f>IFERROR(__xludf.DUMMYFUNCTION("""COMPUTED_VALUE"""),51.23)</f>
        <v>51.23</v>
      </c>
      <c r="N367" s="11">
        <f>IFERROR(__xludf.DUMMYFUNCTION("""COMPUTED_VALUE"""),43581.66666666667)</f>
        <v>43581.66667</v>
      </c>
      <c r="O367" s="9">
        <f>IFERROR(__xludf.DUMMYFUNCTION("""COMPUTED_VALUE"""),51.08)</f>
        <v>51.08</v>
      </c>
      <c r="Q367" s="11">
        <f>IFERROR(__xludf.DUMMYFUNCTION("""COMPUTED_VALUE"""),43581.66666666667)</f>
        <v>43581.66667</v>
      </c>
      <c r="R367" s="9">
        <f>IFERROR(__xludf.DUMMYFUNCTION("""COMPUTED_VALUE"""),192.5)</f>
        <v>192.5</v>
      </c>
      <c r="S367" s="11">
        <f>IFERROR(__xludf.DUMMYFUNCTION("""COMPUTED_VALUE"""),43581.66666666667)</f>
        <v>43581.66667</v>
      </c>
      <c r="T367" s="9">
        <f>IFERROR(__xludf.DUMMYFUNCTION("""COMPUTED_VALUE"""),191.49)</f>
        <v>191.49</v>
      </c>
      <c r="V367" s="11">
        <f>IFERROR(__xludf.DUMMYFUNCTION("""COMPUTED_VALUE"""),43581.66666666667)</f>
        <v>43581.66667</v>
      </c>
      <c r="W367" s="9">
        <f>IFERROR(__xludf.DUMMYFUNCTION("""COMPUTED_VALUE"""),368.35)</f>
        <v>368.35</v>
      </c>
      <c r="X367" s="11">
        <f>IFERROR(__xludf.DUMMYFUNCTION("""COMPUTED_VALUE"""),43581.66666666667)</f>
        <v>43581.66667</v>
      </c>
      <c r="Y367" s="9">
        <f>IFERROR(__xludf.DUMMYFUNCTION("""COMPUTED_VALUE"""),374.85)</f>
        <v>374.85</v>
      </c>
      <c r="AA367" s="11">
        <f>IFERROR(__xludf.DUMMYFUNCTION("""COMPUTED_VALUE"""),43581.66666666667)</f>
        <v>43581.66667</v>
      </c>
      <c r="AB367" s="9">
        <f>IFERROR(__xludf.DUMMYFUNCTION("""COMPUTED_VALUE"""),1929.0)</f>
        <v>1929</v>
      </c>
      <c r="AC367" s="11">
        <f>IFERROR(__xludf.DUMMYFUNCTION("""COMPUTED_VALUE"""),43581.66666666667)</f>
        <v>43581.66667</v>
      </c>
      <c r="AD367" s="9">
        <f>IFERROR(__xludf.DUMMYFUNCTION("""COMPUTED_VALUE"""),1950.63)</f>
        <v>1950.63</v>
      </c>
    </row>
    <row r="368">
      <c r="B368" s="11">
        <f>IFERROR(__xludf.DUMMYFUNCTION("""COMPUTED_VALUE"""),43584.66666666667)</f>
        <v>43584.66667</v>
      </c>
      <c r="C368" s="9">
        <f>IFERROR(__xludf.DUMMYFUNCTION("""COMPUTED_VALUE"""),47.17)</f>
        <v>47.17</v>
      </c>
      <c r="D368" s="11">
        <f>IFERROR(__xludf.DUMMYFUNCTION("""COMPUTED_VALUE"""),43584.66666666667)</f>
        <v>43584.66667</v>
      </c>
      <c r="E368" s="9">
        <f>IFERROR(__xludf.DUMMYFUNCTION("""COMPUTED_VALUE"""),48.29)</f>
        <v>48.29</v>
      </c>
      <c r="G368" s="11">
        <f>IFERROR(__xludf.DUMMYFUNCTION("""COMPUTED_VALUE"""),43584.66666666667)</f>
        <v>43584.66667</v>
      </c>
      <c r="H368" s="9">
        <f>IFERROR(__xludf.DUMMYFUNCTION("""COMPUTED_VALUE"""),1274.0)</f>
        <v>1274</v>
      </c>
      <c r="I368" s="11">
        <f>IFERROR(__xludf.DUMMYFUNCTION("""COMPUTED_VALUE"""),43584.66666666667)</f>
        <v>43584.66667</v>
      </c>
      <c r="J368" s="9">
        <f>IFERROR(__xludf.DUMMYFUNCTION("""COMPUTED_VALUE"""),1287.58)</f>
        <v>1287.58</v>
      </c>
      <c r="L368" s="11">
        <f>IFERROR(__xludf.DUMMYFUNCTION("""COMPUTED_VALUE"""),43584.66666666667)</f>
        <v>43584.66667</v>
      </c>
      <c r="M368" s="9">
        <f>IFERROR(__xludf.DUMMYFUNCTION("""COMPUTED_VALUE"""),51.1)</f>
        <v>51.1</v>
      </c>
      <c r="N368" s="11">
        <f>IFERROR(__xludf.DUMMYFUNCTION("""COMPUTED_VALUE"""),43584.66666666667)</f>
        <v>43584.66667</v>
      </c>
      <c r="O368" s="9">
        <f>IFERROR(__xludf.DUMMYFUNCTION("""COMPUTED_VALUE"""),51.15)</f>
        <v>51.15</v>
      </c>
      <c r="Q368" s="11">
        <f>IFERROR(__xludf.DUMMYFUNCTION("""COMPUTED_VALUE"""),43584.66666666667)</f>
        <v>43584.66667</v>
      </c>
      <c r="R368" s="9">
        <f>IFERROR(__xludf.DUMMYFUNCTION("""COMPUTED_VALUE"""),190.95)</f>
        <v>190.95</v>
      </c>
      <c r="S368" s="11">
        <f>IFERROR(__xludf.DUMMYFUNCTION("""COMPUTED_VALUE"""),43584.66666666667)</f>
        <v>43584.66667</v>
      </c>
      <c r="T368" s="9">
        <f>IFERROR(__xludf.DUMMYFUNCTION("""COMPUTED_VALUE"""),194.78)</f>
        <v>194.78</v>
      </c>
      <c r="V368" s="11">
        <f>IFERROR(__xludf.DUMMYFUNCTION("""COMPUTED_VALUE"""),43584.66666666667)</f>
        <v>43584.66667</v>
      </c>
      <c r="W368" s="9">
        <f>IFERROR(__xludf.DUMMYFUNCTION("""COMPUTED_VALUE"""),373.68)</f>
        <v>373.68</v>
      </c>
      <c r="X368" s="11">
        <f>IFERROR(__xludf.DUMMYFUNCTION("""COMPUTED_VALUE"""),43584.66666666667)</f>
        <v>43584.66667</v>
      </c>
      <c r="Y368" s="9">
        <f>IFERROR(__xludf.DUMMYFUNCTION("""COMPUTED_VALUE"""),371.83)</f>
        <v>371.83</v>
      </c>
      <c r="AA368" s="11">
        <f>IFERROR(__xludf.DUMMYFUNCTION("""COMPUTED_VALUE"""),43584.66666666667)</f>
        <v>43584.66667</v>
      </c>
      <c r="AB368" s="9">
        <f>IFERROR(__xludf.DUMMYFUNCTION("""COMPUTED_VALUE"""),1949.0)</f>
        <v>1949</v>
      </c>
      <c r="AC368" s="11">
        <f>IFERROR(__xludf.DUMMYFUNCTION("""COMPUTED_VALUE"""),43584.66666666667)</f>
        <v>43584.66667</v>
      </c>
      <c r="AD368" s="9">
        <f>IFERROR(__xludf.DUMMYFUNCTION("""COMPUTED_VALUE"""),1938.43)</f>
        <v>1938.43</v>
      </c>
    </row>
    <row r="369">
      <c r="B369" s="11">
        <f>IFERROR(__xludf.DUMMYFUNCTION("""COMPUTED_VALUE"""),43585.66666666667)</f>
        <v>43585.66667</v>
      </c>
      <c r="C369" s="9">
        <f>IFERROR(__xludf.DUMMYFUNCTION("""COMPUTED_VALUE"""),48.41)</f>
        <v>48.41</v>
      </c>
      <c r="D369" s="11">
        <f>IFERROR(__xludf.DUMMYFUNCTION("""COMPUTED_VALUE"""),43585.66666666667)</f>
        <v>43585.66667</v>
      </c>
      <c r="E369" s="9">
        <f>IFERROR(__xludf.DUMMYFUNCTION("""COMPUTED_VALUE"""),47.74)</f>
        <v>47.74</v>
      </c>
      <c r="G369" s="11">
        <f>IFERROR(__xludf.DUMMYFUNCTION("""COMPUTED_VALUE"""),43585.66666666667)</f>
        <v>43585.66667</v>
      </c>
      <c r="H369" s="9">
        <f>IFERROR(__xludf.DUMMYFUNCTION("""COMPUTED_VALUE"""),1185.0)</f>
        <v>1185</v>
      </c>
      <c r="I369" s="11">
        <f>IFERROR(__xludf.DUMMYFUNCTION("""COMPUTED_VALUE"""),43585.66666666667)</f>
        <v>43585.66667</v>
      </c>
      <c r="J369" s="9">
        <f>IFERROR(__xludf.DUMMYFUNCTION("""COMPUTED_VALUE"""),1188.48)</f>
        <v>1188.48</v>
      </c>
      <c r="L369" s="11">
        <f>IFERROR(__xludf.DUMMYFUNCTION("""COMPUTED_VALUE"""),43585.66666666667)</f>
        <v>43585.66667</v>
      </c>
      <c r="M369" s="9">
        <f>IFERROR(__xludf.DUMMYFUNCTION("""COMPUTED_VALUE"""),50.77)</f>
        <v>50.77</v>
      </c>
      <c r="N369" s="11">
        <f>IFERROR(__xludf.DUMMYFUNCTION("""COMPUTED_VALUE"""),43585.66666666667)</f>
        <v>43585.66667</v>
      </c>
      <c r="O369" s="9">
        <f>IFERROR(__xludf.DUMMYFUNCTION("""COMPUTED_VALUE"""),50.17)</f>
        <v>50.17</v>
      </c>
      <c r="Q369" s="11">
        <f>IFERROR(__xludf.DUMMYFUNCTION("""COMPUTED_VALUE"""),43585.66666666667)</f>
        <v>43585.66667</v>
      </c>
      <c r="R369" s="9">
        <f>IFERROR(__xludf.DUMMYFUNCTION("""COMPUTED_VALUE"""),194.19)</f>
        <v>194.19</v>
      </c>
      <c r="S369" s="11">
        <f>IFERROR(__xludf.DUMMYFUNCTION("""COMPUTED_VALUE"""),43585.66666666667)</f>
        <v>43585.66667</v>
      </c>
      <c r="T369" s="9">
        <f>IFERROR(__xludf.DUMMYFUNCTION("""COMPUTED_VALUE"""),193.4)</f>
        <v>193.4</v>
      </c>
      <c r="V369" s="11">
        <f>IFERROR(__xludf.DUMMYFUNCTION("""COMPUTED_VALUE"""),43585.66666666667)</f>
        <v>43585.66667</v>
      </c>
      <c r="W369" s="9">
        <f>IFERROR(__xludf.DUMMYFUNCTION("""COMPUTED_VALUE"""),369.56)</f>
        <v>369.56</v>
      </c>
      <c r="X369" s="11">
        <f>IFERROR(__xludf.DUMMYFUNCTION("""COMPUTED_VALUE"""),43585.66666666667)</f>
        <v>43585.66667</v>
      </c>
      <c r="Y369" s="9">
        <f>IFERROR(__xludf.DUMMYFUNCTION("""COMPUTED_VALUE"""),370.54)</f>
        <v>370.54</v>
      </c>
      <c r="AA369" s="11">
        <f>IFERROR(__xludf.DUMMYFUNCTION("""COMPUTED_VALUE"""),43585.66666666667)</f>
        <v>43585.66667</v>
      </c>
      <c r="AB369" s="9">
        <f>IFERROR(__xludf.DUMMYFUNCTION("""COMPUTED_VALUE"""),1930.1)</f>
        <v>1930.1</v>
      </c>
      <c r="AC369" s="11">
        <f>IFERROR(__xludf.DUMMYFUNCTION("""COMPUTED_VALUE"""),43585.66666666667)</f>
        <v>43585.66667</v>
      </c>
      <c r="AD369" s="9">
        <f>IFERROR(__xludf.DUMMYFUNCTION("""COMPUTED_VALUE"""),1926.52)</f>
        <v>1926.52</v>
      </c>
    </row>
    <row r="370">
      <c r="B370" s="11">
        <f>IFERROR(__xludf.DUMMYFUNCTION("""COMPUTED_VALUE"""),43586.66666666667)</f>
        <v>43586.66667</v>
      </c>
      <c r="C370" s="9">
        <f>IFERROR(__xludf.DUMMYFUNCTION("""COMPUTED_VALUE"""),47.77)</f>
        <v>47.77</v>
      </c>
      <c r="D370" s="11">
        <f>IFERROR(__xludf.DUMMYFUNCTION("""COMPUTED_VALUE"""),43586.66666666667)</f>
        <v>43586.66667</v>
      </c>
      <c r="E370" s="9">
        <f>IFERROR(__xludf.DUMMYFUNCTION("""COMPUTED_VALUE"""),46.8)</f>
        <v>46.8</v>
      </c>
      <c r="G370" s="11">
        <f>IFERROR(__xludf.DUMMYFUNCTION("""COMPUTED_VALUE"""),43586.66666666667)</f>
        <v>43586.66667</v>
      </c>
      <c r="H370" s="9">
        <f>IFERROR(__xludf.DUMMYFUNCTION("""COMPUTED_VALUE"""),1188.05)</f>
        <v>1188.05</v>
      </c>
      <c r="I370" s="11">
        <f>IFERROR(__xludf.DUMMYFUNCTION("""COMPUTED_VALUE"""),43586.66666666667)</f>
        <v>43586.66667</v>
      </c>
      <c r="J370" s="9">
        <f>IFERROR(__xludf.DUMMYFUNCTION("""COMPUTED_VALUE"""),1168.08)</f>
        <v>1168.08</v>
      </c>
      <c r="L370" s="11">
        <f>IFERROR(__xludf.DUMMYFUNCTION("""COMPUTED_VALUE"""),43586.66666666667)</f>
        <v>43586.66667</v>
      </c>
      <c r="M370" s="9">
        <f>IFERROR(__xludf.DUMMYFUNCTION("""COMPUTED_VALUE"""),52.47)</f>
        <v>52.47</v>
      </c>
      <c r="N370" s="11">
        <f>IFERROR(__xludf.DUMMYFUNCTION("""COMPUTED_VALUE"""),43586.66666666667)</f>
        <v>43586.66667</v>
      </c>
      <c r="O370" s="9">
        <f>IFERROR(__xludf.DUMMYFUNCTION("""COMPUTED_VALUE"""),52.63)</f>
        <v>52.63</v>
      </c>
      <c r="Q370" s="11">
        <f>IFERROR(__xludf.DUMMYFUNCTION("""COMPUTED_VALUE"""),43586.66666666667)</f>
        <v>43586.66667</v>
      </c>
      <c r="R370" s="9">
        <f>IFERROR(__xludf.DUMMYFUNCTION("""COMPUTED_VALUE"""),194.78)</f>
        <v>194.78</v>
      </c>
      <c r="S370" s="11">
        <f>IFERROR(__xludf.DUMMYFUNCTION("""COMPUTED_VALUE"""),43586.66666666667)</f>
        <v>43586.66667</v>
      </c>
      <c r="T370" s="9">
        <f>IFERROR(__xludf.DUMMYFUNCTION("""COMPUTED_VALUE"""),193.03)</f>
        <v>193.03</v>
      </c>
      <c r="V370" s="11">
        <f>IFERROR(__xludf.DUMMYFUNCTION("""COMPUTED_VALUE"""),43586.66666666667)</f>
        <v>43586.66667</v>
      </c>
      <c r="W370" s="9">
        <f>IFERROR(__xludf.DUMMYFUNCTION("""COMPUTED_VALUE"""),374.0)</f>
        <v>374</v>
      </c>
      <c r="X370" s="11">
        <f>IFERROR(__xludf.DUMMYFUNCTION("""COMPUTED_VALUE"""),43586.66666666667)</f>
        <v>43586.66667</v>
      </c>
      <c r="Y370" s="9">
        <f>IFERROR(__xludf.DUMMYFUNCTION("""COMPUTED_VALUE"""),378.81)</f>
        <v>378.81</v>
      </c>
      <c r="AA370" s="11">
        <f>IFERROR(__xludf.DUMMYFUNCTION("""COMPUTED_VALUE"""),43586.66666666667)</f>
        <v>43586.66667</v>
      </c>
      <c r="AB370" s="9">
        <f>IFERROR(__xludf.DUMMYFUNCTION("""COMPUTED_VALUE"""),1933.09)</f>
        <v>1933.09</v>
      </c>
      <c r="AC370" s="11">
        <f>IFERROR(__xludf.DUMMYFUNCTION("""COMPUTED_VALUE"""),43586.66666666667)</f>
        <v>43586.66667</v>
      </c>
      <c r="AD370" s="9">
        <f>IFERROR(__xludf.DUMMYFUNCTION("""COMPUTED_VALUE"""),1911.52)</f>
        <v>1911.52</v>
      </c>
    </row>
    <row r="371">
      <c r="B371" s="11">
        <f>IFERROR(__xludf.DUMMYFUNCTION("""COMPUTED_VALUE"""),43587.66666666667)</f>
        <v>43587.66667</v>
      </c>
      <c r="C371" s="9">
        <f>IFERROR(__xludf.DUMMYFUNCTION("""COMPUTED_VALUE"""),49.1)</f>
        <v>49.1</v>
      </c>
      <c r="D371" s="11">
        <f>IFERROR(__xludf.DUMMYFUNCTION("""COMPUTED_VALUE"""),43587.66666666667)</f>
        <v>43587.66667</v>
      </c>
      <c r="E371" s="9">
        <f>IFERROR(__xludf.DUMMYFUNCTION("""COMPUTED_VALUE"""),48.82)</f>
        <v>48.82</v>
      </c>
      <c r="G371" s="11">
        <f>IFERROR(__xludf.DUMMYFUNCTION("""COMPUTED_VALUE"""),43587.66666666667)</f>
        <v>43587.66667</v>
      </c>
      <c r="H371" s="9">
        <f>IFERROR(__xludf.DUMMYFUNCTION("""COMPUTED_VALUE"""),1167.76)</f>
        <v>1167.76</v>
      </c>
      <c r="I371" s="11">
        <f>IFERROR(__xludf.DUMMYFUNCTION("""COMPUTED_VALUE"""),43587.66666666667)</f>
        <v>43587.66667</v>
      </c>
      <c r="J371" s="9">
        <f>IFERROR(__xludf.DUMMYFUNCTION("""COMPUTED_VALUE"""),1162.61)</f>
        <v>1162.61</v>
      </c>
      <c r="L371" s="11">
        <f>IFERROR(__xludf.DUMMYFUNCTION("""COMPUTED_VALUE"""),43587.66666666667)</f>
        <v>43587.66667</v>
      </c>
      <c r="M371" s="9">
        <f>IFERROR(__xludf.DUMMYFUNCTION("""COMPUTED_VALUE"""),52.46)</f>
        <v>52.46</v>
      </c>
      <c r="N371" s="11">
        <f>IFERROR(__xludf.DUMMYFUNCTION("""COMPUTED_VALUE"""),43587.66666666667)</f>
        <v>43587.66667</v>
      </c>
      <c r="O371" s="9">
        <f>IFERROR(__xludf.DUMMYFUNCTION("""COMPUTED_VALUE"""),52.29)</f>
        <v>52.29</v>
      </c>
      <c r="Q371" s="11">
        <f>IFERROR(__xludf.DUMMYFUNCTION("""COMPUTED_VALUE"""),43587.66666666667)</f>
        <v>43587.66667</v>
      </c>
      <c r="R371" s="9">
        <f>IFERROR(__xludf.DUMMYFUNCTION("""COMPUTED_VALUE"""),193.0)</f>
        <v>193</v>
      </c>
      <c r="S371" s="11">
        <f>IFERROR(__xludf.DUMMYFUNCTION("""COMPUTED_VALUE"""),43587.66666666667)</f>
        <v>43587.66667</v>
      </c>
      <c r="T371" s="9">
        <f>IFERROR(__xludf.DUMMYFUNCTION("""COMPUTED_VALUE"""),192.53)</f>
        <v>192.53</v>
      </c>
      <c r="V371" s="11">
        <f>IFERROR(__xludf.DUMMYFUNCTION("""COMPUTED_VALUE"""),43587.66666666667)</f>
        <v>43587.66667</v>
      </c>
      <c r="W371" s="9">
        <f>IFERROR(__xludf.DUMMYFUNCTION("""COMPUTED_VALUE"""),378.0)</f>
        <v>378</v>
      </c>
      <c r="X371" s="11">
        <f>IFERROR(__xludf.DUMMYFUNCTION("""COMPUTED_VALUE"""),43587.66666666667)</f>
        <v>43587.66667</v>
      </c>
      <c r="Y371" s="9">
        <f>IFERROR(__xludf.DUMMYFUNCTION("""COMPUTED_VALUE"""),379.06)</f>
        <v>379.06</v>
      </c>
      <c r="AA371" s="11">
        <f>IFERROR(__xludf.DUMMYFUNCTION("""COMPUTED_VALUE"""),43587.66666666667)</f>
        <v>43587.66667</v>
      </c>
      <c r="AB371" s="9">
        <f>IFERROR(__xludf.DUMMYFUNCTION("""COMPUTED_VALUE"""),1913.33)</f>
        <v>1913.33</v>
      </c>
      <c r="AC371" s="11">
        <f>IFERROR(__xludf.DUMMYFUNCTION("""COMPUTED_VALUE"""),43587.66666666667)</f>
        <v>43587.66667</v>
      </c>
      <c r="AD371" s="9">
        <f>IFERROR(__xludf.DUMMYFUNCTION("""COMPUTED_VALUE"""),1900.82)</f>
        <v>1900.82</v>
      </c>
    </row>
    <row r="372">
      <c r="B372" s="11">
        <f>IFERROR(__xludf.DUMMYFUNCTION("""COMPUTED_VALUE"""),43588.66666666667)</f>
        <v>43588.66667</v>
      </c>
      <c r="C372" s="9">
        <f>IFERROR(__xludf.DUMMYFUNCTION("""COMPUTED_VALUE"""),48.77)</f>
        <v>48.77</v>
      </c>
      <c r="D372" s="11">
        <f>IFERROR(__xludf.DUMMYFUNCTION("""COMPUTED_VALUE"""),43588.66666666667)</f>
        <v>43588.66667</v>
      </c>
      <c r="E372" s="9">
        <f>IFERROR(__xludf.DUMMYFUNCTION("""COMPUTED_VALUE"""),51.01)</f>
        <v>51.01</v>
      </c>
      <c r="G372" s="11">
        <f>IFERROR(__xludf.DUMMYFUNCTION("""COMPUTED_VALUE"""),43588.66666666667)</f>
        <v>43588.66667</v>
      </c>
      <c r="H372" s="9">
        <f>IFERROR(__xludf.DUMMYFUNCTION("""COMPUTED_VALUE"""),1173.65)</f>
        <v>1173.65</v>
      </c>
      <c r="I372" s="11">
        <f>IFERROR(__xludf.DUMMYFUNCTION("""COMPUTED_VALUE"""),43588.66666666667)</f>
        <v>43588.66667</v>
      </c>
      <c r="J372" s="9">
        <f>IFERROR(__xludf.DUMMYFUNCTION("""COMPUTED_VALUE"""),1185.4)</f>
        <v>1185.4</v>
      </c>
      <c r="L372" s="11">
        <f>IFERROR(__xludf.DUMMYFUNCTION("""COMPUTED_VALUE"""),43588.66666666667)</f>
        <v>43588.66667</v>
      </c>
      <c r="M372" s="9">
        <f>IFERROR(__xludf.DUMMYFUNCTION("""COMPUTED_VALUE"""),52.72)</f>
        <v>52.72</v>
      </c>
      <c r="N372" s="11">
        <f>IFERROR(__xludf.DUMMYFUNCTION("""COMPUTED_VALUE"""),43588.66666666667)</f>
        <v>43588.66667</v>
      </c>
      <c r="O372" s="9">
        <f>IFERROR(__xludf.DUMMYFUNCTION("""COMPUTED_VALUE"""),52.94)</f>
        <v>52.94</v>
      </c>
      <c r="Q372" s="11">
        <f>IFERROR(__xludf.DUMMYFUNCTION("""COMPUTED_VALUE"""),43588.66666666667)</f>
        <v>43588.66667</v>
      </c>
      <c r="R372" s="9">
        <f>IFERROR(__xludf.DUMMYFUNCTION("""COMPUTED_VALUE"""),194.38)</f>
        <v>194.38</v>
      </c>
      <c r="S372" s="11">
        <f>IFERROR(__xludf.DUMMYFUNCTION("""COMPUTED_VALUE"""),43588.66666666667)</f>
        <v>43588.66667</v>
      </c>
      <c r="T372" s="9">
        <f>IFERROR(__xludf.DUMMYFUNCTION("""COMPUTED_VALUE"""),195.47)</f>
        <v>195.47</v>
      </c>
      <c r="V372" s="11">
        <f>IFERROR(__xludf.DUMMYFUNCTION("""COMPUTED_VALUE"""),43588.66666666667)</f>
        <v>43588.66667</v>
      </c>
      <c r="W372" s="9">
        <f>IFERROR(__xludf.DUMMYFUNCTION("""COMPUTED_VALUE"""),381.53)</f>
        <v>381.53</v>
      </c>
      <c r="X372" s="11">
        <f>IFERROR(__xludf.DUMMYFUNCTION("""COMPUTED_VALUE"""),43588.66666666667)</f>
        <v>43588.66667</v>
      </c>
      <c r="Y372" s="9">
        <f>IFERROR(__xludf.DUMMYFUNCTION("""COMPUTED_VALUE"""),385.03)</f>
        <v>385.03</v>
      </c>
      <c r="AA372" s="11">
        <f>IFERROR(__xludf.DUMMYFUNCTION("""COMPUTED_VALUE"""),43588.66666666667)</f>
        <v>43588.66667</v>
      </c>
      <c r="AB372" s="9">
        <f>IFERROR(__xludf.DUMMYFUNCTION("""COMPUTED_VALUE"""),1949.0)</f>
        <v>1949</v>
      </c>
      <c r="AC372" s="11">
        <f>IFERROR(__xludf.DUMMYFUNCTION("""COMPUTED_VALUE"""),43588.66666666667)</f>
        <v>43588.66667</v>
      </c>
      <c r="AD372" s="9">
        <f>IFERROR(__xludf.DUMMYFUNCTION("""COMPUTED_VALUE"""),1962.46)</f>
        <v>1962.46</v>
      </c>
    </row>
    <row r="373">
      <c r="B373" s="11">
        <f>IFERROR(__xludf.DUMMYFUNCTION("""COMPUTED_VALUE"""),43591.66666666667)</f>
        <v>43591.66667</v>
      </c>
      <c r="C373" s="9">
        <f>IFERROR(__xludf.DUMMYFUNCTION("""COMPUTED_VALUE"""),50.0)</f>
        <v>50</v>
      </c>
      <c r="D373" s="11">
        <f>IFERROR(__xludf.DUMMYFUNCTION("""COMPUTED_VALUE"""),43591.66666666667)</f>
        <v>43591.66667</v>
      </c>
      <c r="E373" s="9">
        <f>IFERROR(__xludf.DUMMYFUNCTION("""COMPUTED_VALUE"""),51.07)</f>
        <v>51.07</v>
      </c>
      <c r="G373" s="11">
        <f>IFERROR(__xludf.DUMMYFUNCTION("""COMPUTED_VALUE"""),43591.66666666667)</f>
        <v>43591.66667</v>
      </c>
      <c r="H373" s="9">
        <f>IFERROR(__xludf.DUMMYFUNCTION("""COMPUTED_VALUE"""),1166.26)</f>
        <v>1166.26</v>
      </c>
      <c r="I373" s="11">
        <f>IFERROR(__xludf.DUMMYFUNCTION("""COMPUTED_VALUE"""),43591.66666666667)</f>
        <v>43591.66667</v>
      </c>
      <c r="J373" s="9">
        <f>IFERROR(__xludf.DUMMYFUNCTION("""COMPUTED_VALUE"""),1189.39)</f>
        <v>1189.39</v>
      </c>
      <c r="L373" s="11">
        <f>IFERROR(__xludf.DUMMYFUNCTION("""COMPUTED_VALUE"""),43591.66666666667)</f>
        <v>43591.66667</v>
      </c>
      <c r="M373" s="9">
        <f>IFERROR(__xludf.DUMMYFUNCTION("""COMPUTED_VALUE"""),51.07)</f>
        <v>51.07</v>
      </c>
      <c r="N373" s="11">
        <f>IFERROR(__xludf.DUMMYFUNCTION("""COMPUTED_VALUE"""),43591.66666666667)</f>
        <v>43591.66667</v>
      </c>
      <c r="O373" s="9">
        <f>IFERROR(__xludf.DUMMYFUNCTION("""COMPUTED_VALUE"""),52.12)</f>
        <v>52.12</v>
      </c>
      <c r="Q373" s="11">
        <f>IFERROR(__xludf.DUMMYFUNCTION("""COMPUTED_VALUE"""),43591.66666666667)</f>
        <v>43591.66667</v>
      </c>
      <c r="R373" s="9">
        <f>IFERROR(__xludf.DUMMYFUNCTION("""COMPUTED_VALUE"""),191.24)</f>
        <v>191.24</v>
      </c>
      <c r="S373" s="11">
        <f>IFERROR(__xludf.DUMMYFUNCTION("""COMPUTED_VALUE"""),43591.66666666667)</f>
        <v>43591.66667</v>
      </c>
      <c r="T373" s="9">
        <f>IFERROR(__xludf.DUMMYFUNCTION("""COMPUTED_VALUE"""),193.88)</f>
        <v>193.88</v>
      </c>
      <c r="V373" s="11">
        <f>IFERROR(__xludf.DUMMYFUNCTION("""COMPUTED_VALUE"""),43591.66666666667)</f>
        <v>43591.66667</v>
      </c>
      <c r="W373" s="9">
        <f>IFERROR(__xludf.DUMMYFUNCTION("""COMPUTED_VALUE"""),377.69)</f>
        <v>377.69</v>
      </c>
      <c r="X373" s="11">
        <f>IFERROR(__xludf.DUMMYFUNCTION("""COMPUTED_VALUE"""),43591.66666666667)</f>
        <v>43591.66667</v>
      </c>
      <c r="Y373" s="9">
        <f>IFERROR(__xludf.DUMMYFUNCTION("""COMPUTED_VALUE"""),378.67)</f>
        <v>378.67</v>
      </c>
      <c r="AA373" s="11">
        <f>IFERROR(__xludf.DUMMYFUNCTION("""COMPUTED_VALUE"""),43591.66666666667)</f>
        <v>43591.66667</v>
      </c>
      <c r="AB373" s="9">
        <f>IFERROR(__xludf.DUMMYFUNCTION("""COMPUTED_VALUE"""),1917.98)</f>
        <v>1917.98</v>
      </c>
      <c r="AC373" s="11">
        <f>IFERROR(__xludf.DUMMYFUNCTION("""COMPUTED_VALUE"""),43591.66666666667)</f>
        <v>43591.66667</v>
      </c>
      <c r="AD373" s="9">
        <f>IFERROR(__xludf.DUMMYFUNCTION("""COMPUTED_VALUE"""),1950.55)</f>
        <v>1950.55</v>
      </c>
    </row>
    <row r="374">
      <c r="B374" s="11">
        <f>IFERROR(__xludf.DUMMYFUNCTION("""COMPUTED_VALUE"""),43592.66666666667)</f>
        <v>43592.66667</v>
      </c>
      <c r="C374" s="9">
        <f>IFERROR(__xludf.DUMMYFUNCTION("""COMPUTED_VALUE"""),51.36)</f>
        <v>51.36</v>
      </c>
      <c r="D374" s="11">
        <f>IFERROR(__xludf.DUMMYFUNCTION("""COMPUTED_VALUE"""),43592.66666666667)</f>
        <v>43592.66667</v>
      </c>
      <c r="E374" s="9">
        <f>IFERROR(__xludf.DUMMYFUNCTION("""COMPUTED_VALUE"""),49.41)</f>
        <v>49.41</v>
      </c>
      <c r="G374" s="11">
        <f>IFERROR(__xludf.DUMMYFUNCTION("""COMPUTED_VALUE"""),43592.66666666667)</f>
        <v>43592.66667</v>
      </c>
      <c r="H374" s="9">
        <f>IFERROR(__xludf.DUMMYFUNCTION("""COMPUTED_VALUE"""),1180.47)</f>
        <v>1180.47</v>
      </c>
      <c r="I374" s="11">
        <f>IFERROR(__xludf.DUMMYFUNCTION("""COMPUTED_VALUE"""),43592.66666666667)</f>
        <v>43592.66667</v>
      </c>
      <c r="J374" s="9">
        <f>IFERROR(__xludf.DUMMYFUNCTION("""COMPUTED_VALUE"""),1174.1)</f>
        <v>1174.1</v>
      </c>
      <c r="L374" s="11">
        <f>IFERROR(__xludf.DUMMYFUNCTION("""COMPUTED_VALUE"""),43592.66666666667)</f>
        <v>43592.66667</v>
      </c>
      <c r="M374" s="9">
        <f>IFERROR(__xludf.DUMMYFUNCTION("""COMPUTED_VALUE"""),51.47)</f>
        <v>51.47</v>
      </c>
      <c r="N374" s="11">
        <f>IFERROR(__xludf.DUMMYFUNCTION("""COMPUTED_VALUE"""),43592.66666666667)</f>
        <v>43592.66667</v>
      </c>
      <c r="O374" s="9">
        <f>IFERROR(__xludf.DUMMYFUNCTION("""COMPUTED_VALUE"""),50.72)</f>
        <v>50.72</v>
      </c>
      <c r="Q374" s="11">
        <f>IFERROR(__xludf.DUMMYFUNCTION("""COMPUTED_VALUE"""),43592.66666666667)</f>
        <v>43592.66667</v>
      </c>
      <c r="R374" s="9">
        <f>IFERROR(__xludf.DUMMYFUNCTION("""COMPUTED_VALUE"""),192.54)</f>
        <v>192.54</v>
      </c>
      <c r="S374" s="11">
        <f>IFERROR(__xludf.DUMMYFUNCTION("""COMPUTED_VALUE"""),43592.66666666667)</f>
        <v>43592.66667</v>
      </c>
      <c r="T374" s="9">
        <f>IFERROR(__xludf.DUMMYFUNCTION("""COMPUTED_VALUE"""),189.77)</f>
        <v>189.77</v>
      </c>
      <c r="V374" s="11">
        <f>IFERROR(__xludf.DUMMYFUNCTION("""COMPUTED_VALUE"""),43592.66666666667)</f>
        <v>43592.66667</v>
      </c>
      <c r="W374" s="9">
        <f>IFERROR(__xludf.DUMMYFUNCTION("""COMPUTED_VALUE"""),377.0)</f>
        <v>377</v>
      </c>
      <c r="X374" s="11">
        <f>IFERROR(__xludf.DUMMYFUNCTION("""COMPUTED_VALUE"""),43592.66666666667)</f>
        <v>43592.66667</v>
      </c>
      <c r="Y374" s="9">
        <f>IFERROR(__xludf.DUMMYFUNCTION("""COMPUTED_VALUE"""),370.46)</f>
        <v>370.46</v>
      </c>
      <c r="AA374" s="11">
        <f>IFERROR(__xludf.DUMMYFUNCTION("""COMPUTED_VALUE"""),43592.66666666667)</f>
        <v>43592.66667</v>
      </c>
      <c r="AB374" s="9">
        <f>IFERROR(__xludf.DUMMYFUNCTION("""COMPUTED_VALUE"""),1939.99)</f>
        <v>1939.99</v>
      </c>
      <c r="AC374" s="11">
        <f>IFERROR(__xludf.DUMMYFUNCTION("""COMPUTED_VALUE"""),43592.66666666667)</f>
        <v>43592.66667</v>
      </c>
      <c r="AD374" s="9">
        <f>IFERROR(__xludf.DUMMYFUNCTION("""COMPUTED_VALUE"""),1921.0)</f>
        <v>1921</v>
      </c>
    </row>
    <row r="375">
      <c r="B375" s="11">
        <f>IFERROR(__xludf.DUMMYFUNCTION("""COMPUTED_VALUE"""),43593.66666666667)</f>
        <v>43593.66667</v>
      </c>
      <c r="C375" s="9">
        <f>IFERROR(__xludf.DUMMYFUNCTION("""COMPUTED_VALUE"""),49.39)</f>
        <v>49.39</v>
      </c>
      <c r="D375" s="11">
        <f>IFERROR(__xludf.DUMMYFUNCTION("""COMPUTED_VALUE"""),43593.66666666667)</f>
        <v>43593.66667</v>
      </c>
      <c r="E375" s="9">
        <f>IFERROR(__xludf.DUMMYFUNCTION("""COMPUTED_VALUE"""),48.97)</f>
        <v>48.97</v>
      </c>
      <c r="G375" s="11">
        <f>IFERROR(__xludf.DUMMYFUNCTION("""COMPUTED_VALUE"""),43593.66666666667)</f>
        <v>43593.66667</v>
      </c>
      <c r="H375" s="9">
        <f>IFERROR(__xludf.DUMMYFUNCTION("""COMPUTED_VALUE"""),1172.01)</f>
        <v>1172.01</v>
      </c>
      <c r="I375" s="11">
        <f>IFERROR(__xludf.DUMMYFUNCTION("""COMPUTED_VALUE"""),43593.66666666667)</f>
        <v>43593.66667</v>
      </c>
      <c r="J375" s="9">
        <f>IFERROR(__xludf.DUMMYFUNCTION("""COMPUTED_VALUE"""),1166.27)</f>
        <v>1166.27</v>
      </c>
      <c r="L375" s="11">
        <f>IFERROR(__xludf.DUMMYFUNCTION("""COMPUTED_VALUE"""),43593.66666666667)</f>
        <v>43593.66667</v>
      </c>
      <c r="M375" s="9">
        <f>IFERROR(__xludf.DUMMYFUNCTION("""COMPUTED_VALUE"""),50.48)</f>
        <v>50.48</v>
      </c>
      <c r="N375" s="11">
        <f>IFERROR(__xludf.DUMMYFUNCTION("""COMPUTED_VALUE"""),43593.66666666667)</f>
        <v>43593.66667</v>
      </c>
      <c r="O375" s="9">
        <f>IFERROR(__xludf.DUMMYFUNCTION("""COMPUTED_VALUE"""),50.73)</f>
        <v>50.73</v>
      </c>
      <c r="Q375" s="11">
        <f>IFERROR(__xludf.DUMMYFUNCTION("""COMPUTED_VALUE"""),43593.66666666667)</f>
        <v>43593.66667</v>
      </c>
      <c r="R375" s="9">
        <f>IFERROR(__xludf.DUMMYFUNCTION("""COMPUTED_VALUE"""),189.39)</f>
        <v>189.39</v>
      </c>
      <c r="S375" s="11">
        <f>IFERROR(__xludf.DUMMYFUNCTION("""COMPUTED_VALUE"""),43593.66666666667)</f>
        <v>43593.66667</v>
      </c>
      <c r="T375" s="9">
        <f>IFERROR(__xludf.DUMMYFUNCTION("""COMPUTED_VALUE"""),189.54)</f>
        <v>189.54</v>
      </c>
      <c r="V375" s="11">
        <f>IFERROR(__xludf.DUMMYFUNCTION("""COMPUTED_VALUE"""),43593.66666666667)</f>
        <v>43593.66667</v>
      </c>
      <c r="W375" s="9">
        <f>IFERROR(__xludf.DUMMYFUNCTION("""COMPUTED_VALUE"""),367.92)</f>
        <v>367.92</v>
      </c>
      <c r="X375" s="11">
        <f>IFERROR(__xludf.DUMMYFUNCTION("""COMPUTED_VALUE"""),43593.66666666667)</f>
        <v>43593.66667</v>
      </c>
      <c r="Y375" s="9">
        <f>IFERROR(__xludf.DUMMYFUNCTION("""COMPUTED_VALUE"""),364.37)</f>
        <v>364.37</v>
      </c>
      <c r="AA375" s="11">
        <f>IFERROR(__xludf.DUMMYFUNCTION("""COMPUTED_VALUE"""),43593.66666666667)</f>
        <v>43593.66667</v>
      </c>
      <c r="AB375" s="9">
        <f>IFERROR(__xludf.DUMMYFUNCTION("""COMPUTED_VALUE"""),1918.87)</f>
        <v>1918.87</v>
      </c>
      <c r="AC375" s="11">
        <f>IFERROR(__xludf.DUMMYFUNCTION("""COMPUTED_VALUE"""),43593.66666666667)</f>
        <v>43593.66667</v>
      </c>
      <c r="AD375" s="9">
        <f>IFERROR(__xludf.DUMMYFUNCTION("""COMPUTED_VALUE"""),1917.77)</f>
        <v>1917.77</v>
      </c>
    </row>
    <row r="376">
      <c r="B376" s="11">
        <f>IFERROR(__xludf.DUMMYFUNCTION("""COMPUTED_VALUE"""),43594.66666666667)</f>
        <v>43594.66667</v>
      </c>
      <c r="C376" s="9">
        <f>IFERROR(__xludf.DUMMYFUNCTION("""COMPUTED_VALUE"""),48.4)</f>
        <v>48.4</v>
      </c>
      <c r="D376" s="11">
        <f>IFERROR(__xludf.DUMMYFUNCTION("""COMPUTED_VALUE"""),43594.66666666667)</f>
        <v>43594.66667</v>
      </c>
      <c r="E376" s="9">
        <f>IFERROR(__xludf.DUMMYFUNCTION("""COMPUTED_VALUE"""),48.4)</f>
        <v>48.4</v>
      </c>
      <c r="G376" s="11">
        <f>IFERROR(__xludf.DUMMYFUNCTION("""COMPUTED_VALUE"""),43594.66666666667)</f>
        <v>43594.66667</v>
      </c>
      <c r="H376" s="9">
        <f>IFERROR(__xludf.DUMMYFUNCTION("""COMPUTED_VALUE"""),1159.03)</f>
        <v>1159.03</v>
      </c>
      <c r="I376" s="11">
        <f>IFERROR(__xludf.DUMMYFUNCTION("""COMPUTED_VALUE"""),43594.66666666667)</f>
        <v>43594.66667</v>
      </c>
      <c r="J376" s="9">
        <f>IFERROR(__xludf.DUMMYFUNCTION("""COMPUTED_VALUE"""),1162.38)</f>
        <v>1162.38</v>
      </c>
      <c r="L376" s="11">
        <f>IFERROR(__xludf.DUMMYFUNCTION("""COMPUTED_VALUE"""),43594.66666666667)</f>
        <v>43594.66667</v>
      </c>
      <c r="M376" s="9">
        <f>IFERROR(__xludf.DUMMYFUNCTION("""COMPUTED_VALUE"""),50.1)</f>
        <v>50.1</v>
      </c>
      <c r="N376" s="11">
        <f>IFERROR(__xludf.DUMMYFUNCTION("""COMPUTED_VALUE"""),43594.66666666667)</f>
        <v>43594.66667</v>
      </c>
      <c r="O376" s="9">
        <f>IFERROR(__xludf.DUMMYFUNCTION("""COMPUTED_VALUE"""),50.18)</f>
        <v>50.18</v>
      </c>
      <c r="Q376" s="11">
        <f>IFERROR(__xludf.DUMMYFUNCTION("""COMPUTED_VALUE"""),43594.66666666667)</f>
        <v>43594.66667</v>
      </c>
      <c r="R376" s="9">
        <f>IFERROR(__xludf.DUMMYFUNCTION("""COMPUTED_VALUE"""),187.2)</f>
        <v>187.2</v>
      </c>
      <c r="S376" s="11">
        <f>IFERROR(__xludf.DUMMYFUNCTION("""COMPUTED_VALUE"""),43594.66666666667)</f>
        <v>43594.66667</v>
      </c>
      <c r="T376" s="9">
        <f>IFERROR(__xludf.DUMMYFUNCTION("""COMPUTED_VALUE"""),188.65)</f>
        <v>188.65</v>
      </c>
      <c r="V376" s="11">
        <f>IFERROR(__xludf.DUMMYFUNCTION("""COMPUTED_VALUE"""),43594.66666666667)</f>
        <v>43594.66667</v>
      </c>
      <c r="W376" s="9">
        <f>IFERROR(__xludf.DUMMYFUNCTION("""COMPUTED_VALUE"""),360.9)</f>
        <v>360.9</v>
      </c>
      <c r="X376" s="11">
        <f>IFERROR(__xludf.DUMMYFUNCTION("""COMPUTED_VALUE"""),43594.66666666667)</f>
        <v>43594.66667</v>
      </c>
      <c r="Y376" s="9">
        <f>IFERROR(__xludf.DUMMYFUNCTION("""COMPUTED_VALUE"""),362.75)</f>
        <v>362.75</v>
      </c>
      <c r="AA376" s="11">
        <f>IFERROR(__xludf.DUMMYFUNCTION("""COMPUTED_VALUE"""),43594.66666666667)</f>
        <v>43594.66667</v>
      </c>
      <c r="AB376" s="9">
        <f>IFERROR(__xludf.DUMMYFUNCTION("""COMPUTED_VALUE"""),1900.0)</f>
        <v>1900</v>
      </c>
      <c r="AC376" s="11">
        <f>IFERROR(__xludf.DUMMYFUNCTION("""COMPUTED_VALUE"""),43594.66666666667)</f>
        <v>43594.66667</v>
      </c>
      <c r="AD376" s="9">
        <f>IFERROR(__xludf.DUMMYFUNCTION("""COMPUTED_VALUE"""),1899.87)</f>
        <v>1899.87</v>
      </c>
    </row>
    <row r="377">
      <c r="B377" s="11">
        <f>IFERROR(__xludf.DUMMYFUNCTION("""COMPUTED_VALUE"""),43595.66666666667)</f>
        <v>43595.66667</v>
      </c>
      <c r="C377" s="9">
        <f>IFERROR(__xludf.DUMMYFUNCTION("""COMPUTED_VALUE"""),47.95)</f>
        <v>47.95</v>
      </c>
      <c r="D377" s="11">
        <f>IFERROR(__xludf.DUMMYFUNCTION("""COMPUTED_VALUE"""),43595.66666666667)</f>
        <v>43595.66667</v>
      </c>
      <c r="E377" s="9">
        <f>IFERROR(__xludf.DUMMYFUNCTION("""COMPUTED_VALUE"""),47.9)</f>
        <v>47.9</v>
      </c>
      <c r="G377" s="11">
        <f>IFERROR(__xludf.DUMMYFUNCTION("""COMPUTED_VALUE"""),43595.66666666667)</f>
        <v>43595.66667</v>
      </c>
      <c r="H377" s="9">
        <f>IFERROR(__xludf.DUMMYFUNCTION("""COMPUTED_VALUE"""),1163.59)</f>
        <v>1163.59</v>
      </c>
      <c r="I377" s="11">
        <f>IFERROR(__xludf.DUMMYFUNCTION("""COMPUTED_VALUE"""),43595.66666666667)</f>
        <v>43595.66667</v>
      </c>
      <c r="J377" s="9">
        <f>IFERROR(__xludf.DUMMYFUNCTION("""COMPUTED_VALUE"""),1164.27)</f>
        <v>1164.27</v>
      </c>
      <c r="L377" s="11">
        <f>IFERROR(__xludf.DUMMYFUNCTION("""COMPUTED_VALUE"""),43595.66666666667)</f>
        <v>43595.66667</v>
      </c>
      <c r="M377" s="9">
        <f>IFERROR(__xludf.DUMMYFUNCTION("""COMPUTED_VALUE"""),49.35)</f>
        <v>49.35</v>
      </c>
      <c r="N377" s="11">
        <f>IFERROR(__xludf.DUMMYFUNCTION("""COMPUTED_VALUE"""),43595.66666666667)</f>
        <v>43595.66667</v>
      </c>
      <c r="O377" s="9">
        <f>IFERROR(__xludf.DUMMYFUNCTION("""COMPUTED_VALUE"""),49.3)</f>
        <v>49.3</v>
      </c>
      <c r="Q377" s="11">
        <f>IFERROR(__xludf.DUMMYFUNCTION("""COMPUTED_VALUE"""),43595.66666666667)</f>
        <v>43595.66667</v>
      </c>
      <c r="R377" s="9">
        <f>IFERROR(__xludf.DUMMYFUNCTION("""COMPUTED_VALUE"""),188.25)</f>
        <v>188.25</v>
      </c>
      <c r="S377" s="11">
        <f>IFERROR(__xludf.DUMMYFUNCTION("""COMPUTED_VALUE"""),43595.66666666667)</f>
        <v>43595.66667</v>
      </c>
      <c r="T377" s="9">
        <f>IFERROR(__xludf.DUMMYFUNCTION("""COMPUTED_VALUE"""),188.34)</f>
        <v>188.34</v>
      </c>
      <c r="V377" s="11">
        <f>IFERROR(__xludf.DUMMYFUNCTION("""COMPUTED_VALUE"""),43595.66666666667)</f>
        <v>43595.66667</v>
      </c>
      <c r="W377" s="9">
        <f>IFERROR(__xludf.DUMMYFUNCTION("""COMPUTED_VALUE"""),361.62)</f>
        <v>361.62</v>
      </c>
      <c r="X377" s="11">
        <f>IFERROR(__xludf.DUMMYFUNCTION("""COMPUTED_VALUE"""),43595.66666666667)</f>
        <v>43595.66667</v>
      </c>
      <c r="Y377" s="9">
        <f>IFERROR(__xludf.DUMMYFUNCTION("""COMPUTED_VALUE"""),361.04)</f>
        <v>361.04</v>
      </c>
      <c r="AA377" s="11">
        <f>IFERROR(__xludf.DUMMYFUNCTION("""COMPUTED_VALUE"""),43595.66666666667)</f>
        <v>43595.66667</v>
      </c>
      <c r="AB377" s="9">
        <f>IFERROR(__xludf.DUMMYFUNCTION("""COMPUTED_VALUE"""),1898.0)</f>
        <v>1898</v>
      </c>
      <c r="AC377" s="11">
        <f>IFERROR(__xludf.DUMMYFUNCTION("""COMPUTED_VALUE"""),43595.66666666667)</f>
        <v>43595.66667</v>
      </c>
      <c r="AD377" s="9">
        <f>IFERROR(__xludf.DUMMYFUNCTION("""COMPUTED_VALUE"""),1889.98)</f>
        <v>1889.98</v>
      </c>
    </row>
    <row r="378">
      <c r="B378" s="11">
        <f>IFERROR(__xludf.DUMMYFUNCTION("""COMPUTED_VALUE"""),43598.66666666667)</f>
        <v>43598.66667</v>
      </c>
      <c r="C378" s="9">
        <f>IFERROR(__xludf.DUMMYFUNCTION("""COMPUTED_VALUE"""),46.4)</f>
        <v>46.4</v>
      </c>
      <c r="D378" s="11">
        <f>IFERROR(__xludf.DUMMYFUNCTION("""COMPUTED_VALUE"""),43598.66666666667)</f>
        <v>43598.66667</v>
      </c>
      <c r="E378" s="9">
        <f>IFERROR(__xludf.DUMMYFUNCTION("""COMPUTED_VALUE"""),45.4)</f>
        <v>45.4</v>
      </c>
      <c r="G378" s="11">
        <f>IFERROR(__xludf.DUMMYFUNCTION("""COMPUTED_VALUE"""),43598.66666666667)</f>
        <v>43598.66667</v>
      </c>
      <c r="H378" s="9">
        <f>IFERROR(__xludf.DUMMYFUNCTION("""COMPUTED_VALUE"""),1141.96)</f>
        <v>1141.96</v>
      </c>
      <c r="I378" s="11">
        <f>IFERROR(__xludf.DUMMYFUNCTION("""COMPUTED_VALUE"""),43598.66666666667)</f>
        <v>43598.66667</v>
      </c>
      <c r="J378" s="9">
        <f>IFERROR(__xludf.DUMMYFUNCTION("""COMPUTED_VALUE"""),1132.03)</f>
        <v>1132.03</v>
      </c>
      <c r="L378" s="11">
        <f>IFERROR(__xludf.DUMMYFUNCTION("""COMPUTED_VALUE"""),43598.66666666667)</f>
        <v>43598.66667</v>
      </c>
      <c r="M378" s="9">
        <f>IFERROR(__xludf.DUMMYFUNCTION("""COMPUTED_VALUE"""),46.93)</f>
        <v>46.93</v>
      </c>
      <c r="N378" s="11">
        <f>IFERROR(__xludf.DUMMYFUNCTION("""COMPUTED_VALUE"""),43598.66666666667)</f>
        <v>43598.66667</v>
      </c>
      <c r="O378" s="9">
        <f>IFERROR(__xludf.DUMMYFUNCTION("""COMPUTED_VALUE"""),46.43)</f>
        <v>46.43</v>
      </c>
      <c r="Q378" s="11">
        <f>IFERROR(__xludf.DUMMYFUNCTION("""COMPUTED_VALUE"""),43598.66666666667)</f>
        <v>43598.66667</v>
      </c>
      <c r="R378" s="9">
        <f>IFERROR(__xludf.DUMMYFUNCTION("""COMPUTED_VALUE"""),183.5)</f>
        <v>183.5</v>
      </c>
      <c r="S378" s="11">
        <f>IFERROR(__xludf.DUMMYFUNCTION("""COMPUTED_VALUE"""),43598.66666666667)</f>
        <v>43598.66667</v>
      </c>
      <c r="T378" s="9">
        <f>IFERROR(__xludf.DUMMYFUNCTION("""COMPUTED_VALUE"""),181.54)</f>
        <v>181.54</v>
      </c>
      <c r="V378" s="11">
        <f>IFERROR(__xludf.DUMMYFUNCTION("""COMPUTED_VALUE"""),43598.66666666667)</f>
        <v>43598.66667</v>
      </c>
      <c r="W378" s="9">
        <f>IFERROR(__xludf.DUMMYFUNCTION("""COMPUTED_VALUE"""),352.29)</f>
        <v>352.29</v>
      </c>
      <c r="X378" s="11">
        <f>IFERROR(__xludf.DUMMYFUNCTION("""COMPUTED_VALUE"""),43598.66666666667)</f>
        <v>43598.66667</v>
      </c>
      <c r="Y378" s="9">
        <f>IFERROR(__xludf.DUMMYFUNCTION("""COMPUTED_VALUE"""),345.26)</f>
        <v>345.26</v>
      </c>
      <c r="AA378" s="11">
        <f>IFERROR(__xludf.DUMMYFUNCTION("""COMPUTED_VALUE"""),43598.66666666667)</f>
        <v>43598.66667</v>
      </c>
      <c r="AB378" s="9">
        <f>IFERROR(__xludf.DUMMYFUNCTION("""COMPUTED_VALUE"""),1836.56)</f>
        <v>1836.56</v>
      </c>
      <c r="AC378" s="11">
        <f>IFERROR(__xludf.DUMMYFUNCTION("""COMPUTED_VALUE"""),43598.66666666667)</f>
        <v>43598.66667</v>
      </c>
      <c r="AD378" s="9">
        <f>IFERROR(__xludf.DUMMYFUNCTION("""COMPUTED_VALUE"""),1822.68)</f>
        <v>1822.68</v>
      </c>
    </row>
    <row r="379">
      <c r="B379" s="11">
        <f>IFERROR(__xludf.DUMMYFUNCTION("""COMPUTED_VALUE"""),43599.66666666667)</f>
        <v>43599.66667</v>
      </c>
      <c r="C379" s="9">
        <f>IFERROR(__xludf.DUMMYFUNCTION("""COMPUTED_VALUE"""),45.86)</f>
        <v>45.86</v>
      </c>
      <c r="D379" s="11">
        <f>IFERROR(__xludf.DUMMYFUNCTION("""COMPUTED_VALUE"""),43599.66666666667)</f>
        <v>43599.66667</v>
      </c>
      <c r="E379" s="9">
        <f>IFERROR(__xludf.DUMMYFUNCTION("""COMPUTED_VALUE"""),46.46)</f>
        <v>46.46</v>
      </c>
      <c r="G379" s="11">
        <f>IFERROR(__xludf.DUMMYFUNCTION("""COMPUTED_VALUE"""),43599.66666666667)</f>
        <v>43599.66667</v>
      </c>
      <c r="H379" s="9">
        <f>IFERROR(__xludf.DUMMYFUNCTION("""COMPUTED_VALUE"""),1137.21)</f>
        <v>1137.21</v>
      </c>
      <c r="I379" s="11">
        <f>IFERROR(__xludf.DUMMYFUNCTION("""COMPUTED_VALUE"""),43599.66666666667)</f>
        <v>43599.66667</v>
      </c>
      <c r="J379" s="9">
        <f>IFERROR(__xludf.DUMMYFUNCTION("""COMPUTED_VALUE"""),1120.44)</f>
        <v>1120.44</v>
      </c>
      <c r="L379" s="11">
        <f>IFERROR(__xludf.DUMMYFUNCTION("""COMPUTED_VALUE"""),43599.66666666667)</f>
        <v>43599.66667</v>
      </c>
      <c r="M379" s="9">
        <f>IFERROR(__xludf.DUMMYFUNCTION("""COMPUTED_VALUE"""),46.6)</f>
        <v>46.6</v>
      </c>
      <c r="N379" s="11">
        <f>IFERROR(__xludf.DUMMYFUNCTION("""COMPUTED_VALUE"""),43599.66666666667)</f>
        <v>43599.66667</v>
      </c>
      <c r="O379" s="9">
        <f>IFERROR(__xludf.DUMMYFUNCTION("""COMPUTED_VALUE"""),47.17)</f>
        <v>47.17</v>
      </c>
      <c r="Q379" s="11">
        <f>IFERROR(__xludf.DUMMYFUNCTION("""COMPUTED_VALUE"""),43599.66666666667)</f>
        <v>43599.66667</v>
      </c>
      <c r="R379" s="9">
        <f>IFERROR(__xludf.DUMMYFUNCTION("""COMPUTED_VALUE"""),182.52)</f>
        <v>182.52</v>
      </c>
      <c r="S379" s="11">
        <f>IFERROR(__xludf.DUMMYFUNCTION("""COMPUTED_VALUE"""),43599.66666666667)</f>
        <v>43599.66667</v>
      </c>
      <c r="T379" s="9">
        <f>IFERROR(__xludf.DUMMYFUNCTION("""COMPUTED_VALUE"""),180.73)</f>
        <v>180.73</v>
      </c>
      <c r="V379" s="11">
        <f>IFERROR(__xludf.DUMMYFUNCTION("""COMPUTED_VALUE"""),43599.66666666667)</f>
        <v>43599.66667</v>
      </c>
      <c r="W379" s="9">
        <f>IFERROR(__xludf.DUMMYFUNCTION("""COMPUTED_VALUE"""),348.71)</f>
        <v>348.71</v>
      </c>
      <c r="X379" s="11">
        <f>IFERROR(__xludf.DUMMYFUNCTION("""COMPUTED_VALUE"""),43599.66666666667)</f>
        <v>43599.66667</v>
      </c>
      <c r="Y379" s="9">
        <f>IFERROR(__xludf.DUMMYFUNCTION("""COMPUTED_VALUE"""),345.61)</f>
        <v>345.61</v>
      </c>
      <c r="AA379" s="11">
        <f>IFERROR(__xludf.DUMMYFUNCTION("""COMPUTED_VALUE"""),43599.66666666667)</f>
        <v>43599.66667</v>
      </c>
      <c r="AB379" s="9">
        <f>IFERROR(__xludf.DUMMYFUNCTION("""COMPUTED_VALUE"""),1839.5)</f>
        <v>1839.5</v>
      </c>
      <c r="AC379" s="11">
        <f>IFERROR(__xludf.DUMMYFUNCTION("""COMPUTED_VALUE"""),43599.66666666667)</f>
        <v>43599.66667</v>
      </c>
      <c r="AD379" s="9">
        <f>IFERROR(__xludf.DUMMYFUNCTION("""COMPUTED_VALUE"""),1840.12)</f>
        <v>1840.12</v>
      </c>
    </row>
    <row r="380">
      <c r="B380" s="11">
        <f>IFERROR(__xludf.DUMMYFUNCTION("""COMPUTED_VALUE"""),43600.66666666667)</f>
        <v>43600.66667</v>
      </c>
      <c r="C380" s="9">
        <f>IFERROR(__xludf.DUMMYFUNCTION("""COMPUTED_VALUE"""),45.86)</f>
        <v>45.86</v>
      </c>
      <c r="D380" s="11">
        <f>IFERROR(__xludf.DUMMYFUNCTION("""COMPUTED_VALUE"""),43600.66666666667)</f>
        <v>43600.66667</v>
      </c>
      <c r="E380" s="9">
        <f>IFERROR(__xludf.DUMMYFUNCTION("""COMPUTED_VALUE"""),46.39)</f>
        <v>46.39</v>
      </c>
      <c r="G380" s="11">
        <f>IFERROR(__xludf.DUMMYFUNCTION("""COMPUTED_VALUE"""),43600.66666666667)</f>
        <v>43600.66667</v>
      </c>
      <c r="H380" s="9">
        <f>IFERROR(__xludf.DUMMYFUNCTION("""COMPUTED_VALUE"""),1117.87)</f>
        <v>1117.87</v>
      </c>
      <c r="I380" s="11">
        <f>IFERROR(__xludf.DUMMYFUNCTION("""COMPUTED_VALUE"""),43600.66666666667)</f>
        <v>43600.66667</v>
      </c>
      <c r="J380" s="9">
        <f>IFERROR(__xludf.DUMMYFUNCTION("""COMPUTED_VALUE"""),1164.21)</f>
        <v>1164.21</v>
      </c>
      <c r="L380" s="11">
        <f>IFERROR(__xludf.DUMMYFUNCTION("""COMPUTED_VALUE"""),43600.66666666667)</f>
        <v>43600.66667</v>
      </c>
      <c r="M380" s="9">
        <f>IFERROR(__xludf.DUMMYFUNCTION("""COMPUTED_VALUE"""),46.57)</f>
        <v>46.57</v>
      </c>
      <c r="N380" s="11">
        <f>IFERROR(__xludf.DUMMYFUNCTION("""COMPUTED_VALUE"""),43600.66666666667)</f>
        <v>43600.66667</v>
      </c>
      <c r="O380" s="9">
        <f>IFERROR(__xludf.DUMMYFUNCTION("""COMPUTED_VALUE"""),47.73)</f>
        <v>47.73</v>
      </c>
      <c r="Q380" s="11">
        <f>IFERROR(__xludf.DUMMYFUNCTION("""COMPUTED_VALUE"""),43600.66666666667)</f>
        <v>43600.66667</v>
      </c>
      <c r="R380" s="9">
        <f>IFERROR(__xludf.DUMMYFUNCTION("""COMPUTED_VALUE"""),180.42)</f>
        <v>180.42</v>
      </c>
      <c r="S380" s="11">
        <f>IFERROR(__xludf.DUMMYFUNCTION("""COMPUTED_VALUE"""),43600.66666666667)</f>
        <v>43600.66667</v>
      </c>
      <c r="T380" s="9">
        <f>IFERROR(__xludf.DUMMYFUNCTION("""COMPUTED_VALUE"""),186.27)</f>
        <v>186.27</v>
      </c>
      <c r="V380" s="11">
        <f>IFERROR(__xludf.DUMMYFUNCTION("""COMPUTED_VALUE"""),43600.66666666667)</f>
        <v>43600.66667</v>
      </c>
      <c r="W380" s="9">
        <f>IFERROR(__xludf.DUMMYFUNCTION("""COMPUTED_VALUE"""),343.34)</f>
        <v>343.34</v>
      </c>
      <c r="X380" s="11">
        <f>IFERROR(__xludf.DUMMYFUNCTION("""COMPUTED_VALUE"""),43600.66666666667)</f>
        <v>43600.66667</v>
      </c>
      <c r="Y380" s="9">
        <f>IFERROR(__xludf.DUMMYFUNCTION("""COMPUTED_VALUE"""),354.99)</f>
        <v>354.99</v>
      </c>
      <c r="AA380" s="11">
        <f>IFERROR(__xludf.DUMMYFUNCTION("""COMPUTED_VALUE"""),43600.66666666667)</f>
        <v>43600.66667</v>
      </c>
      <c r="AB380" s="9">
        <f>IFERROR(__xludf.DUMMYFUNCTION("""COMPUTED_VALUE"""),1827.95)</f>
        <v>1827.95</v>
      </c>
      <c r="AC380" s="11">
        <f>IFERROR(__xludf.DUMMYFUNCTION("""COMPUTED_VALUE"""),43600.66666666667)</f>
        <v>43600.66667</v>
      </c>
      <c r="AD380" s="9">
        <f>IFERROR(__xludf.DUMMYFUNCTION("""COMPUTED_VALUE"""),1871.15)</f>
        <v>1871.15</v>
      </c>
    </row>
    <row r="381">
      <c r="B381" s="11">
        <f>IFERROR(__xludf.DUMMYFUNCTION("""COMPUTED_VALUE"""),43601.66666666667)</f>
        <v>43601.66667</v>
      </c>
      <c r="C381" s="9">
        <f>IFERROR(__xludf.DUMMYFUNCTION("""COMPUTED_VALUE"""),45.9)</f>
        <v>45.9</v>
      </c>
      <c r="D381" s="11">
        <f>IFERROR(__xludf.DUMMYFUNCTION("""COMPUTED_VALUE"""),43601.66666666667)</f>
        <v>43601.66667</v>
      </c>
      <c r="E381" s="9">
        <f>IFERROR(__xludf.DUMMYFUNCTION("""COMPUTED_VALUE"""),45.67)</f>
        <v>45.67</v>
      </c>
      <c r="G381" s="11">
        <f>IFERROR(__xludf.DUMMYFUNCTION("""COMPUTED_VALUE"""),43601.66666666667)</f>
        <v>43601.66667</v>
      </c>
      <c r="H381" s="9">
        <f>IFERROR(__xludf.DUMMYFUNCTION("""COMPUTED_VALUE"""),1164.51)</f>
        <v>1164.51</v>
      </c>
      <c r="I381" s="11">
        <f>IFERROR(__xludf.DUMMYFUNCTION("""COMPUTED_VALUE"""),43601.66666666667)</f>
        <v>43601.66667</v>
      </c>
      <c r="J381" s="9">
        <f>IFERROR(__xludf.DUMMYFUNCTION("""COMPUTED_VALUE"""),1178.98)</f>
        <v>1178.98</v>
      </c>
      <c r="L381" s="11">
        <f>IFERROR(__xludf.DUMMYFUNCTION("""COMPUTED_VALUE"""),43601.66666666667)</f>
        <v>43601.66667</v>
      </c>
      <c r="M381" s="9">
        <f>IFERROR(__xludf.DUMMYFUNCTION("""COMPUTED_VALUE"""),47.48)</f>
        <v>47.48</v>
      </c>
      <c r="N381" s="11">
        <f>IFERROR(__xludf.DUMMYFUNCTION("""COMPUTED_VALUE"""),43601.66666666667)</f>
        <v>43601.66667</v>
      </c>
      <c r="O381" s="9">
        <f>IFERROR(__xludf.DUMMYFUNCTION("""COMPUTED_VALUE"""),47.52)</f>
        <v>47.52</v>
      </c>
      <c r="Q381" s="11">
        <f>IFERROR(__xludf.DUMMYFUNCTION("""COMPUTED_VALUE"""),43601.66666666667)</f>
        <v>43601.66667</v>
      </c>
      <c r="R381" s="9">
        <f>IFERROR(__xludf.DUMMYFUNCTION("""COMPUTED_VALUE"""),185.05)</f>
        <v>185.05</v>
      </c>
      <c r="S381" s="11">
        <f>IFERROR(__xludf.DUMMYFUNCTION("""COMPUTED_VALUE"""),43601.66666666667)</f>
        <v>43601.66667</v>
      </c>
      <c r="T381" s="9">
        <f>IFERROR(__xludf.DUMMYFUNCTION("""COMPUTED_VALUE"""),186.99)</f>
        <v>186.99</v>
      </c>
      <c r="V381" s="11">
        <f>IFERROR(__xludf.DUMMYFUNCTION("""COMPUTED_VALUE"""),43601.66666666667)</f>
        <v>43601.66667</v>
      </c>
      <c r="W381" s="9">
        <f>IFERROR(__xludf.DUMMYFUNCTION("""COMPUTED_VALUE"""),356.37)</f>
        <v>356.37</v>
      </c>
      <c r="X381" s="11">
        <f>IFERROR(__xludf.DUMMYFUNCTION("""COMPUTED_VALUE"""),43601.66666666667)</f>
        <v>43601.66667</v>
      </c>
      <c r="Y381" s="9">
        <f>IFERROR(__xludf.DUMMYFUNCTION("""COMPUTED_VALUE"""),359.31)</f>
        <v>359.31</v>
      </c>
      <c r="AA381" s="11">
        <f>IFERROR(__xludf.DUMMYFUNCTION("""COMPUTED_VALUE"""),43601.66666666667)</f>
        <v>43601.66667</v>
      </c>
      <c r="AB381" s="9">
        <f>IFERROR(__xludf.DUMMYFUNCTION("""COMPUTED_VALUE"""),1885.94)</f>
        <v>1885.94</v>
      </c>
      <c r="AC381" s="11">
        <f>IFERROR(__xludf.DUMMYFUNCTION("""COMPUTED_VALUE"""),43601.66666666667)</f>
        <v>43601.66667</v>
      </c>
      <c r="AD381" s="9">
        <f>IFERROR(__xludf.DUMMYFUNCTION("""COMPUTED_VALUE"""),1907.57)</f>
        <v>1907.57</v>
      </c>
    </row>
    <row r="382">
      <c r="B382" s="11">
        <f>IFERROR(__xludf.DUMMYFUNCTION("""COMPUTED_VALUE"""),43602.66666666667)</f>
        <v>43602.66667</v>
      </c>
      <c r="C382" s="9">
        <f>IFERROR(__xludf.DUMMYFUNCTION("""COMPUTED_VALUE"""),44.39)</f>
        <v>44.39</v>
      </c>
      <c r="D382" s="11">
        <f>IFERROR(__xludf.DUMMYFUNCTION("""COMPUTED_VALUE"""),43602.66666666667)</f>
        <v>43602.66667</v>
      </c>
      <c r="E382" s="9">
        <f>IFERROR(__xludf.DUMMYFUNCTION("""COMPUTED_VALUE"""),42.21)</f>
        <v>42.21</v>
      </c>
      <c r="G382" s="11">
        <f>IFERROR(__xludf.DUMMYFUNCTION("""COMPUTED_VALUE"""),43602.66666666667)</f>
        <v>43602.66667</v>
      </c>
      <c r="H382" s="9">
        <f>IFERROR(__xludf.DUMMYFUNCTION("""COMPUTED_VALUE"""),1168.47)</f>
        <v>1168.47</v>
      </c>
      <c r="I382" s="11">
        <f>IFERROR(__xludf.DUMMYFUNCTION("""COMPUTED_VALUE"""),43602.66666666667)</f>
        <v>43602.66667</v>
      </c>
      <c r="J382" s="9">
        <f>IFERROR(__xludf.DUMMYFUNCTION("""COMPUTED_VALUE"""),1162.3)</f>
        <v>1162.3</v>
      </c>
      <c r="L382" s="11">
        <f>IFERROR(__xludf.DUMMYFUNCTION("""COMPUTED_VALUE"""),43602.66666666667)</f>
        <v>43602.66667</v>
      </c>
      <c r="M382" s="9">
        <f>IFERROR(__xludf.DUMMYFUNCTION("""COMPUTED_VALUE"""),46.73)</f>
        <v>46.73</v>
      </c>
      <c r="N382" s="11">
        <f>IFERROR(__xludf.DUMMYFUNCTION("""COMPUTED_VALUE"""),43602.66666666667)</f>
        <v>43602.66667</v>
      </c>
      <c r="O382" s="9">
        <f>IFERROR(__xludf.DUMMYFUNCTION("""COMPUTED_VALUE"""),47.25)</f>
        <v>47.25</v>
      </c>
      <c r="Q382" s="11">
        <f>IFERROR(__xludf.DUMMYFUNCTION("""COMPUTED_VALUE"""),43602.66666666667)</f>
        <v>43602.66667</v>
      </c>
      <c r="R382" s="9">
        <f>IFERROR(__xludf.DUMMYFUNCTION("""COMPUTED_VALUE"""),184.84)</f>
        <v>184.84</v>
      </c>
      <c r="S382" s="11">
        <f>IFERROR(__xludf.DUMMYFUNCTION("""COMPUTED_VALUE"""),43602.66666666667)</f>
        <v>43602.66667</v>
      </c>
      <c r="T382" s="9">
        <f>IFERROR(__xludf.DUMMYFUNCTION("""COMPUTED_VALUE"""),185.3)</f>
        <v>185.3</v>
      </c>
      <c r="V382" s="11">
        <f>IFERROR(__xludf.DUMMYFUNCTION("""COMPUTED_VALUE"""),43602.66666666667)</f>
        <v>43602.66667</v>
      </c>
      <c r="W382" s="9">
        <f>IFERROR(__xludf.DUMMYFUNCTION("""COMPUTED_VALUE"""),356.39)</f>
        <v>356.39</v>
      </c>
      <c r="X382" s="11">
        <f>IFERROR(__xludf.DUMMYFUNCTION("""COMPUTED_VALUE"""),43602.66666666667)</f>
        <v>43602.66667</v>
      </c>
      <c r="Y382" s="9">
        <f>IFERROR(__xludf.DUMMYFUNCTION("""COMPUTED_VALUE"""),354.45)</f>
        <v>354.45</v>
      </c>
      <c r="AA382" s="11">
        <f>IFERROR(__xludf.DUMMYFUNCTION("""COMPUTED_VALUE"""),43602.66666666667)</f>
        <v>43602.66667</v>
      </c>
      <c r="AB382" s="9">
        <f>IFERROR(__xludf.DUMMYFUNCTION("""COMPUTED_VALUE"""),1893.05)</f>
        <v>1893.05</v>
      </c>
      <c r="AC382" s="11">
        <f>IFERROR(__xludf.DUMMYFUNCTION("""COMPUTED_VALUE"""),43602.66666666667)</f>
        <v>43602.66667</v>
      </c>
      <c r="AD382" s="9">
        <f>IFERROR(__xludf.DUMMYFUNCTION("""COMPUTED_VALUE"""),1869.0)</f>
        <v>1869</v>
      </c>
    </row>
    <row r="383">
      <c r="B383" s="11">
        <f>IFERROR(__xludf.DUMMYFUNCTION("""COMPUTED_VALUE"""),43605.66666666667)</f>
        <v>43605.66667</v>
      </c>
      <c r="C383" s="9">
        <f>IFERROR(__xludf.DUMMYFUNCTION("""COMPUTED_VALUE"""),40.56)</f>
        <v>40.56</v>
      </c>
      <c r="D383" s="11">
        <f>IFERROR(__xludf.DUMMYFUNCTION("""COMPUTED_VALUE"""),43605.66666666667)</f>
        <v>43605.66667</v>
      </c>
      <c r="E383" s="9">
        <f>IFERROR(__xludf.DUMMYFUNCTION("""COMPUTED_VALUE"""),41.07)</f>
        <v>41.07</v>
      </c>
      <c r="G383" s="11">
        <f>IFERROR(__xludf.DUMMYFUNCTION("""COMPUTED_VALUE"""),43605.66666666667)</f>
        <v>43605.66667</v>
      </c>
      <c r="H383" s="9">
        <f>IFERROR(__xludf.DUMMYFUNCTION("""COMPUTED_VALUE"""),1144.5)</f>
        <v>1144.5</v>
      </c>
      <c r="I383" s="11">
        <f>IFERROR(__xludf.DUMMYFUNCTION("""COMPUTED_VALUE"""),43605.66666666667)</f>
        <v>43605.66667</v>
      </c>
      <c r="J383" s="9">
        <f>IFERROR(__xludf.DUMMYFUNCTION("""COMPUTED_VALUE"""),1138.85)</f>
        <v>1138.85</v>
      </c>
      <c r="L383" s="11">
        <f>IFERROR(__xludf.DUMMYFUNCTION("""COMPUTED_VALUE"""),43605.66666666667)</f>
        <v>43605.66667</v>
      </c>
      <c r="M383" s="9">
        <f>IFERROR(__xludf.DUMMYFUNCTION("""COMPUTED_VALUE"""),45.88)</f>
        <v>45.88</v>
      </c>
      <c r="N383" s="11">
        <f>IFERROR(__xludf.DUMMYFUNCTION("""COMPUTED_VALUE"""),43605.66666666667)</f>
        <v>43605.66667</v>
      </c>
      <c r="O383" s="9">
        <f>IFERROR(__xludf.DUMMYFUNCTION("""COMPUTED_VALUE"""),45.77)</f>
        <v>45.77</v>
      </c>
      <c r="Q383" s="11">
        <f>IFERROR(__xludf.DUMMYFUNCTION("""COMPUTED_VALUE"""),43605.66666666667)</f>
        <v>43605.66667</v>
      </c>
      <c r="R383" s="9">
        <f>IFERROR(__xludf.DUMMYFUNCTION("""COMPUTED_VALUE"""),181.88)</f>
        <v>181.88</v>
      </c>
      <c r="S383" s="11">
        <f>IFERROR(__xludf.DUMMYFUNCTION("""COMPUTED_VALUE"""),43605.66666666667)</f>
        <v>43605.66667</v>
      </c>
      <c r="T383" s="9">
        <f>IFERROR(__xludf.DUMMYFUNCTION("""COMPUTED_VALUE"""),182.72)</f>
        <v>182.72</v>
      </c>
      <c r="V383" s="11">
        <f>IFERROR(__xludf.DUMMYFUNCTION("""COMPUTED_VALUE"""),43605.66666666667)</f>
        <v>43605.66667</v>
      </c>
      <c r="W383" s="9">
        <f>IFERROR(__xludf.DUMMYFUNCTION("""COMPUTED_VALUE"""),351.23)</f>
        <v>351.23</v>
      </c>
      <c r="X383" s="11">
        <f>IFERROR(__xludf.DUMMYFUNCTION("""COMPUTED_VALUE"""),43605.66666666667)</f>
        <v>43605.66667</v>
      </c>
      <c r="Y383" s="9">
        <f>IFERROR(__xludf.DUMMYFUNCTION("""COMPUTED_VALUE"""),348.11)</f>
        <v>348.11</v>
      </c>
      <c r="AA383" s="11">
        <f>IFERROR(__xludf.DUMMYFUNCTION("""COMPUTED_VALUE"""),43605.66666666667)</f>
        <v>43605.66667</v>
      </c>
      <c r="AB383" s="9">
        <f>IFERROR(__xludf.DUMMYFUNCTION("""COMPUTED_VALUE"""),1852.69)</f>
        <v>1852.69</v>
      </c>
      <c r="AC383" s="11">
        <f>IFERROR(__xludf.DUMMYFUNCTION("""COMPUTED_VALUE"""),43605.66666666667)</f>
        <v>43605.66667</v>
      </c>
      <c r="AD383" s="9">
        <f>IFERROR(__xludf.DUMMYFUNCTION("""COMPUTED_VALUE"""),1858.97)</f>
        <v>1858.97</v>
      </c>
    </row>
    <row r="384">
      <c r="B384" s="11">
        <f>IFERROR(__xludf.DUMMYFUNCTION("""COMPUTED_VALUE"""),43606.66666666667)</f>
        <v>43606.66667</v>
      </c>
      <c r="C384" s="9">
        <f>IFERROR(__xludf.DUMMYFUNCTION("""COMPUTED_VALUE"""),39.55)</f>
        <v>39.55</v>
      </c>
      <c r="D384" s="11">
        <f>IFERROR(__xludf.DUMMYFUNCTION("""COMPUTED_VALUE"""),43606.66666666667)</f>
        <v>43606.66667</v>
      </c>
      <c r="E384" s="9">
        <f>IFERROR(__xludf.DUMMYFUNCTION("""COMPUTED_VALUE"""),41.02)</f>
        <v>41.02</v>
      </c>
      <c r="G384" s="11">
        <f>IFERROR(__xludf.DUMMYFUNCTION("""COMPUTED_VALUE"""),43606.66666666667)</f>
        <v>43606.66667</v>
      </c>
      <c r="H384" s="9">
        <f>IFERROR(__xludf.DUMMYFUNCTION("""COMPUTED_VALUE"""),1148.49)</f>
        <v>1148.49</v>
      </c>
      <c r="I384" s="11">
        <f>IFERROR(__xludf.DUMMYFUNCTION("""COMPUTED_VALUE"""),43606.66666666667)</f>
        <v>43606.66667</v>
      </c>
      <c r="J384" s="9">
        <f>IFERROR(__xludf.DUMMYFUNCTION("""COMPUTED_VALUE"""),1149.63)</f>
        <v>1149.63</v>
      </c>
      <c r="L384" s="11">
        <f>IFERROR(__xludf.DUMMYFUNCTION("""COMPUTED_VALUE"""),43606.66666666667)</f>
        <v>43606.66667</v>
      </c>
      <c r="M384" s="9">
        <f>IFERROR(__xludf.DUMMYFUNCTION("""COMPUTED_VALUE"""),46.31)</f>
        <v>46.31</v>
      </c>
      <c r="N384" s="11">
        <f>IFERROR(__xludf.DUMMYFUNCTION("""COMPUTED_VALUE"""),43606.66666666667)</f>
        <v>43606.66667</v>
      </c>
      <c r="O384" s="9">
        <f>IFERROR(__xludf.DUMMYFUNCTION("""COMPUTED_VALUE"""),46.65)</f>
        <v>46.65</v>
      </c>
      <c r="Q384" s="11">
        <f>IFERROR(__xludf.DUMMYFUNCTION("""COMPUTED_VALUE"""),43606.66666666667)</f>
        <v>43606.66667</v>
      </c>
      <c r="R384" s="9">
        <f>IFERROR(__xludf.DUMMYFUNCTION("""COMPUTED_VALUE"""),184.57)</f>
        <v>184.57</v>
      </c>
      <c r="S384" s="11">
        <f>IFERROR(__xludf.DUMMYFUNCTION("""COMPUTED_VALUE"""),43606.66666666667)</f>
        <v>43606.66667</v>
      </c>
      <c r="T384" s="9">
        <f>IFERROR(__xludf.DUMMYFUNCTION("""COMPUTED_VALUE"""),184.82)</f>
        <v>184.82</v>
      </c>
      <c r="V384" s="11">
        <f>IFERROR(__xludf.DUMMYFUNCTION("""COMPUTED_VALUE"""),43606.66666666667)</f>
        <v>43606.66667</v>
      </c>
      <c r="W384" s="9">
        <f>IFERROR(__xludf.DUMMYFUNCTION("""COMPUTED_VALUE"""),350.95)</f>
        <v>350.95</v>
      </c>
      <c r="X384" s="11">
        <f>IFERROR(__xludf.DUMMYFUNCTION("""COMPUTED_VALUE"""),43606.66666666667)</f>
        <v>43606.66667</v>
      </c>
      <c r="Y384" s="9">
        <f>IFERROR(__xludf.DUMMYFUNCTION("""COMPUTED_VALUE"""),354.27)</f>
        <v>354.27</v>
      </c>
      <c r="AA384" s="11">
        <f>IFERROR(__xludf.DUMMYFUNCTION("""COMPUTED_VALUE"""),43606.66666666667)</f>
        <v>43606.66667</v>
      </c>
      <c r="AB384" s="9">
        <f>IFERROR(__xludf.DUMMYFUNCTION("""COMPUTED_VALUE"""),1874.79)</f>
        <v>1874.79</v>
      </c>
      <c r="AC384" s="11">
        <f>IFERROR(__xludf.DUMMYFUNCTION("""COMPUTED_VALUE"""),43606.66666666667)</f>
        <v>43606.66667</v>
      </c>
      <c r="AD384" s="9">
        <f>IFERROR(__xludf.DUMMYFUNCTION("""COMPUTED_VALUE"""),1857.52)</f>
        <v>1857.52</v>
      </c>
    </row>
    <row r="385">
      <c r="B385" s="11">
        <f>IFERROR(__xludf.DUMMYFUNCTION("""COMPUTED_VALUE"""),43607.66666666667)</f>
        <v>43607.66667</v>
      </c>
      <c r="C385" s="9">
        <f>IFERROR(__xludf.DUMMYFUNCTION("""COMPUTED_VALUE"""),39.82)</f>
        <v>39.82</v>
      </c>
      <c r="D385" s="11">
        <f>IFERROR(__xludf.DUMMYFUNCTION("""COMPUTED_VALUE"""),43607.66666666667)</f>
        <v>43607.66667</v>
      </c>
      <c r="E385" s="9">
        <f>IFERROR(__xludf.DUMMYFUNCTION("""COMPUTED_VALUE"""),38.55)</f>
        <v>38.55</v>
      </c>
      <c r="G385" s="11">
        <f>IFERROR(__xludf.DUMMYFUNCTION("""COMPUTED_VALUE"""),43607.66666666667)</f>
        <v>43607.66667</v>
      </c>
      <c r="H385" s="9">
        <f>IFERROR(__xludf.DUMMYFUNCTION("""COMPUTED_VALUE"""),1146.75)</f>
        <v>1146.75</v>
      </c>
      <c r="I385" s="11">
        <f>IFERROR(__xludf.DUMMYFUNCTION("""COMPUTED_VALUE"""),43607.66666666667)</f>
        <v>43607.66667</v>
      </c>
      <c r="J385" s="9">
        <f>IFERROR(__xludf.DUMMYFUNCTION("""COMPUTED_VALUE"""),1151.42)</f>
        <v>1151.42</v>
      </c>
      <c r="L385" s="11">
        <f>IFERROR(__xludf.DUMMYFUNCTION("""COMPUTED_VALUE"""),43607.66666666667)</f>
        <v>43607.66667</v>
      </c>
      <c r="M385" s="9">
        <f>IFERROR(__xludf.DUMMYFUNCTION("""COMPUTED_VALUE"""),46.17)</f>
        <v>46.17</v>
      </c>
      <c r="N385" s="11">
        <f>IFERROR(__xludf.DUMMYFUNCTION("""COMPUTED_VALUE"""),43607.66666666667)</f>
        <v>43607.66667</v>
      </c>
      <c r="O385" s="9">
        <f>IFERROR(__xludf.DUMMYFUNCTION("""COMPUTED_VALUE"""),45.7)</f>
        <v>45.7</v>
      </c>
      <c r="Q385" s="11">
        <f>IFERROR(__xludf.DUMMYFUNCTION("""COMPUTED_VALUE"""),43607.66666666667)</f>
        <v>43607.66667</v>
      </c>
      <c r="R385" s="9">
        <f>IFERROR(__xludf.DUMMYFUNCTION("""COMPUTED_VALUE"""),184.73)</f>
        <v>184.73</v>
      </c>
      <c r="S385" s="11">
        <f>IFERROR(__xludf.DUMMYFUNCTION("""COMPUTED_VALUE"""),43607.66666666667)</f>
        <v>43607.66667</v>
      </c>
      <c r="T385" s="9">
        <f>IFERROR(__xludf.DUMMYFUNCTION("""COMPUTED_VALUE"""),185.32)</f>
        <v>185.32</v>
      </c>
      <c r="V385" s="11">
        <f>IFERROR(__xludf.DUMMYFUNCTION("""COMPUTED_VALUE"""),43607.66666666667)</f>
        <v>43607.66667</v>
      </c>
      <c r="W385" s="9">
        <f>IFERROR(__xludf.DUMMYFUNCTION("""COMPUTED_VALUE"""),358.01)</f>
        <v>358.01</v>
      </c>
      <c r="X385" s="11">
        <f>IFERROR(__xludf.DUMMYFUNCTION("""COMPUTED_VALUE"""),43607.66666666667)</f>
        <v>43607.66667</v>
      </c>
      <c r="Y385" s="9">
        <f>IFERROR(__xludf.DUMMYFUNCTION("""COMPUTED_VALUE"""),359.73)</f>
        <v>359.73</v>
      </c>
      <c r="AA385" s="11">
        <f>IFERROR(__xludf.DUMMYFUNCTION("""COMPUTED_VALUE"""),43607.66666666667)</f>
        <v>43607.66667</v>
      </c>
      <c r="AB385" s="9">
        <f>IFERROR(__xludf.DUMMYFUNCTION("""COMPUTED_VALUE"""),1851.78)</f>
        <v>1851.78</v>
      </c>
      <c r="AC385" s="11">
        <f>IFERROR(__xludf.DUMMYFUNCTION("""COMPUTED_VALUE"""),43607.66666666667)</f>
        <v>43607.66667</v>
      </c>
      <c r="AD385" s="9">
        <f>IFERROR(__xludf.DUMMYFUNCTION("""COMPUTED_VALUE"""),1859.68)</f>
        <v>1859.68</v>
      </c>
    </row>
    <row r="386">
      <c r="B386" s="11">
        <f>IFERROR(__xludf.DUMMYFUNCTION("""COMPUTED_VALUE"""),43608.66666666667)</f>
        <v>43608.66667</v>
      </c>
      <c r="C386" s="9">
        <f>IFERROR(__xludf.DUMMYFUNCTION("""COMPUTED_VALUE"""),38.87)</f>
        <v>38.87</v>
      </c>
      <c r="D386" s="11">
        <f>IFERROR(__xludf.DUMMYFUNCTION("""COMPUTED_VALUE"""),43608.66666666667)</f>
        <v>43608.66667</v>
      </c>
      <c r="E386" s="9">
        <f>IFERROR(__xludf.DUMMYFUNCTION("""COMPUTED_VALUE"""),39.1)</f>
        <v>39.1</v>
      </c>
      <c r="G386" s="11">
        <f>IFERROR(__xludf.DUMMYFUNCTION("""COMPUTED_VALUE"""),43608.66666666667)</f>
        <v>43608.66667</v>
      </c>
      <c r="H386" s="9">
        <f>IFERROR(__xludf.DUMMYFUNCTION("""COMPUTED_VALUE"""),1140.5)</f>
        <v>1140.5</v>
      </c>
      <c r="I386" s="11">
        <f>IFERROR(__xludf.DUMMYFUNCTION("""COMPUTED_VALUE"""),43608.66666666667)</f>
        <v>43608.66667</v>
      </c>
      <c r="J386" s="9">
        <f>IFERROR(__xludf.DUMMYFUNCTION("""COMPUTED_VALUE"""),1140.77)</f>
        <v>1140.77</v>
      </c>
      <c r="L386" s="11">
        <f>IFERROR(__xludf.DUMMYFUNCTION("""COMPUTED_VALUE"""),43608.66666666667)</f>
        <v>43608.66667</v>
      </c>
      <c r="M386" s="9">
        <f>IFERROR(__xludf.DUMMYFUNCTION("""COMPUTED_VALUE"""),44.95)</f>
        <v>44.95</v>
      </c>
      <c r="N386" s="11">
        <f>IFERROR(__xludf.DUMMYFUNCTION("""COMPUTED_VALUE"""),43608.66666666667)</f>
        <v>43608.66667</v>
      </c>
      <c r="O386" s="9">
        <f>IFERROR(__xludf.DUMMYFUNCTION("""COMPUTED_VALUE"""),44.92)</f>
        <v>44.92</v>
      </c>
      <c r="Q386" s="11">
        <f>IFERROR(__xludf.DUMMYFUNCTION("""COMPUTED_VALUE"""),43608.66666666667)</f>
        <v>43608.66667</v>
      </c>
      <c r="R386" s="9">
        <f>IFERROR(__xludf.DUMMYFUNCTION("""COMPUTED_VALUE"""),182.42)</f>
        <v>182.42</v>
      </c>
      <c r="S386" s="11">
        <f>IFERROR(__xludf.DUMMYFUNCTION("""COMPUTED_VALUE"""),43608.66666666667)</f>
        <v>43608.66667</v>
      </c>
      <c r="T386" s="9">
        <f>IFERROR(__xludf.DUMMYFUNCTION("""COMPUTED_VALUE"""),180.87)</f>
        <v>180.87</v>
      </c>
      <c r="V386" s="11">
        <f>IFERROR(__xludf.DUMMYFUNCTION("""COMPUTED_VALUE"""),43608.66666666667)</f>
        <v>43608.66667</v>
      </c>
      <c r="W386" s="9">
        <f>IFERROR(__xludf.DUMMYFUNCTION("""COMPUTED_VALUE"""),355.5)</f>
        <v>355.5</v>
      </c>
      <c r="X386" s="11">
        <f>IFERROR(__xludf.DUMMYFUNCTION("""COMPUTED_VALUE"""),43608.66666666667)</f>
        <v>43608.66667</v>
      </c>
      <c r="Y386" s="9">
        <f>IFERROR(__xludf.DUMMYFUNCTION("""COMPUTED_VALUE"""),352.21)</f>
        <v>352.21</v>
      </c>
      <c r="AA386" s="11">
        <f>IFERROR(__xludf.DUMMYFUNCTION("""COMPUTED_VALUE"""),43608.66666666667)</f>
        <v>43608.66667</v>
      </c>
      <c r="AB386" s="9">
        <f>IFERROR(__xludf.DUMMYFUNCTION("""COMPUTED_VALUE"""),1836.59)</f>
        <v>1836.59</v>
      </c>
      <c r="AC386" s="11">
        <f>IFERROR(__xludf.DUMMYFUNCTION("""COMPUTED_VALUE"""),43608.66666666667)</f>
        <v>43608.66667</v>
      </c>
      <c r="AD386" s="9">
        <f>IFERROR(__xludf.DUMMYFUNCTION("""COMPUTED_VALUE"""),1815.48)</f>
        <v>1815.48</v>
      </c>
    </row>
    <row r="387">
      <c r="B387" s="11">
        <f>IFERROR(__xludf.DUMMYFUNCTION("""COMPUTED_VALUE"""),43609.66666666667)</f>
        <v>43609.66667</v>
      </c>
      <c r="C387" s="9">
        <f>IFERROR(__xludf.DUMMYFUNCTION("""COMPUTED_VALUE"""),39.97)</f>
        <v>39.97</v>
      </c>
      <c r="D387" s="11">
        <f>IFERROR(__xludf.DUMMYFUNCTION("""COMPUTED_VALUE"""),43609.66666666667)</f>
        <v>43609.66667</v>
      </c>
      <c r="E387" s="9">
        <f>IFERROR(__xludf.DUMMYFUNCTION("""COMPUTED_VALUE"""),38.13)</f>
        <v>38.13</v>
      </c>
      <c r="G387" s="11">
        <f>IFERROR(__xludf.DUMMYFUNCTION("""COMPUTED_VALUE"""),43609.66666666667)</f>
        <v>43609.66667</v>
      </c>
      <c r="H387" s="9">
        <f>IFERROR(__xludf.DUMMYFUNCTION("""COMPUTED_VALUE"""),1147.36)</f>
        <v>1147.36</v>
      </c>
      <c r="I387" s="11">
        <f>IFERROR(__xludf.DUMMYFUNCTION("""COMPUTED_VALUE"""),43609.66666666667)</f>
        <v>43609.66667</v>
      </c>
      <c r="J387" s="9">
        <f>IFERROR(__xludf.DUMMYFUNCTION("""COMPUTED_VALUE"""),1133.47)</f>
        <v>1133.47</v>
      </c>
      <c r="L387" s="11">
        <f>IFERROR(__xludf.DUMMYFUNCTION("""COMPUTED_VALUE"""),43609.66666666667)</f>
        <v>43609.66667</v>
      </c>
      <c r="M387" s="9">
        <f>IFERROR(__xludf.DUMMYFUNCTION("""COMPUTED_VALUE"""),45.05)</f>
        <v>45.05</v>
      </c>
      <c r="N387" s="11">
        <f>IFERROR(__xludf.DUMMYFUNCTION("""COMPUTED_VALUE"""),43609.66666666667)</f>
        <v>43609.66667</v>
      </c>
      <c r="O387" s="9">
        <f>IFERROR(__xludf.DUMMYFUNCTION("""COMPUTED_VALUE"""),44.74)</f>
        <v>44.74</v>
      </c>
      <c r="Q387" s="11">
        <f>IFERROR(__xludf.DUMMYFUNCTION("""COMPUTED_VALUE"""),43609.66666666667)</f>
        <v>43609.66667</v>
      </c>
      <c r="R387" s="9">
        <f>IFERROR(__xludf.DUMMYFUNCTION("""COMPUTED_VALUE"""),182.33)</f>
        <v>182.33</v>
      </c>
      <c r="S387" s="11">
        <f>IFERROR(__xludf.DUMMYFUNCTION("""COMPUTED_VALUE"""),43609.66666666667)</f>
        <v>43609.66667</v>
      </c>
      <c r="T387" s="9">
        <f>IFERROR(__xludf.DUMMYFUNCTION("""COMPUTED_VALUE"""),181.06)</f>
        <v>181.06</v>
      </c>
      <c r="V387" s="11">
        <f>IFERROR(__xludf.DUMMYFUNCTION("""COMPUTED_VALUE"""),43609.66666666667)</f>
        <v>43609.66667</v>
      </c>
      <c r="W387" s="9">
        <f>IFERROR(__xludf.DUMMYFUNCTION("""COMPUTED_VALUE"""),355.41)</f>
        <v>355.41</v>
      </c>
      <c r="X387" s="11">
        <f>IFERROR(__xludf.DUMMYFUNCTION("""COMPUTED_VALUE"""),43609.66666666667)</f>
        <v>43609.66667</v>
      </c>
      <c r="Y387" s="9">
        <f>IFERROR(__xludf.DUMMYFUNCTION("""COMPUTED_VALUE"""),354.39)</f>
        <v>354.39</v>
      </c>
      <c r="AA387" s="11">
        <f>IFERROR(__xludf.DUMMYFUNCTION("""COMPUTED_VALUE"""),43609.66666666667)</f>
        <v>43609.66667</v>
      </c>
      <c r="AB387" s="9">
        <f>IFERROR(__xludf.DUMMYFUNCTION("""COMPUTED_VALUE"""),1835.89)</f>
        <v>1835.89</v>
      </c>
      <c r="AC387" s="11">
        <f>IFERROR(__xludf.DUMMYFUNCTION("""COMPUTED_VALUE"""),43609.66666666667)</f>
        <v>43609.66667</v>
      </c>
      <c r="AD387" s="9">
        <f>IFERROR(__xludf.DUMMYFUNCTION("""COMPUTED_VALUE"""),1823.28)</f>
        <v>1823.28</v>
      </c>
    </row>
    <row r="388">
      <c r="B388" s="11">
        <f>IFERROR(__xludf.DUMMYFUNCTION("""COMPUTED_VALUE"""),43613.66666666667)</f>
        <v>43613.66667</v>
      </c>
      <c r="C388" s="9">
        <f>IFERROR(__xludf.DUMMYFUNCTION("""COMPUTED_VALUE"""),38.24)</f>
        <v>38.24</v>
      </c>
      <c r="D388" s="11">
        <f>IFERROR(__xludf.DUMMYFUNCTION("""COMPUTED_VALUE"""),43613.66666666667)</f>
        <v>43613.66667</v>
      </c>
      <c r="E388" s="9">
        <f>IFERROR(__xludf.DUMMYFUNCTION("""COMPUTED_VALUE"""),37.74)</f>
        <v>37.74</v>
      </c>
      <c r="G388" s="11">
        <f>IFERROR(__xludf.DUMMYFUNCTION("""COMPUTED_VALUE"""),43613.66666666667)</f>
        <v>43613.66667</v>
      </c>
      <c r="H388" s="9">
        <f>IFERROR(__xludf.DUMMYFUNCTION("""COMPUTED_VALUE"""),1134.0)</f>
        <v>1134</v>
      </c>
      <c r="I388" s="11">
        <f>IFERROR(__xludf.DUMMYFUNCTION("""COMPUTED_VALUE"""),43613.66666666667)</f>
        <v>43613.66667</v>
      </c>
      <c r="J388" s="9">
        <f>IFERROR(__xludf.DUMMYFUNCTION("""COMPUTED_VALUE"""),1134.15)</f>
        <v>1134.15</v>
      </c>
      <c r="L388" s="11">
        <f>IFERROR(__xludf.DUMMYFUNCTION("""COMPUTED_VALUE"""),43613.66666666667)</f>
        <v>43613.66667</v>
      </c>
      <c r="M388" s="9">
        <f>IFERROR(__xludf.DUMMYFUNCTION("""COMPUTED_VALUE"""),44.73)</f>
        <v>44.73</v>
      </c>
      <c r="N388" s="11">
        <f>IFERROR(__xludf.DUMMYFUNCTION("""COMPUTED_VALUE"""),43613.66666666667)</f>
        <v>43613.66667</v>
      </c>
      <c r="O388" s="9">
        <f>IFERROR(__xludf.DUMMYFUNCTION("""COMPUTED_VALUE"""),44.56)</f>
        <v>44.56</v>
      </c>
      <c r="Q388" s="11">
        <f>IFERROR(__xludf.DUMMYFUNCTION("""COMPUTED_VALUE"""),43613.66666666667)</f>
        <v>43613.66667</v>
      </c>
      <c r="R388" s="9">
        <f>IFERROR(__xludf.DUMMYFUNCTION("""COMPUTED_VALUE"""),181.54)</f>
        <v>181.54</v>
      </c>
      <c r="S388" s="11">
        <f>IFERROR(__xludf.DUMMYFUNCTION("""COMPUTED_VALUE"""),43613.66666666667)</f>
        <v>43613.66667</v>
      </c>
      <c r="T388" s="9">
        <f>IFERROR(__xludf.DUMMYFUNCTION("""COMPUTED_VALUE"""),184.31)</f>
        <v>184.31</v>
      </c>
      <c r="V388" s="11">
        <f>IFERROR(__xludf.DUMMYFUNCTION("""COMPUTED_VALUE"""),43613.66666666667)</f>
        <v>43613.66667</v>
      </c>
      <c r="W388" s="9">
        <f>IFERROR(__xludf.DUMMYFUNCTION("""COMPUTED_VALUE"""),354.39)</f>
        <v>354.39</v>
      </c>
      <c r="X388" s="11">
        <f>IFERROR(__xludf.DUMMYFUNCTION("""COMPUTED_VALUE"""),43613.66666666667)</f>
        <v>43613.66667</v>
      </c>
      <c r="Y388" s="9">
        <f>IFERROR(__xludf.DUMMYFUNCTION("""COMPUTED_VALUE"""),354.78)</f>
        <v>354.78</v>
      </c>
      <c r="AA388" s="11">
        <f>IFERROR(__xludf.DUMMYFUNCTION("""COMPUTED_VALUE"""),43613.66666666667)</f>
        <v>43613.66667</v>
      </c>
      <c r="AB388" s="9">
        <f>IFERROR(__xludf.DUMMYFUNCTION("""COMPUTED_VALUE"""),1832.75)</f>
        <v>1832.75</v>
      </c>
      <c r="AC388" s="11">
        <f>IFERROR(__xludf.DUMMYFUNCTION("""COMPUTED_VALUE"""),43613.66666666667)</f>
        <v>43613.66667</v>
      </c>
      <c r="AD388" s="9">
        <f>IFERROR(__xludf.DUMMYFUNCTION("""COMPUTED_VALUE"""),1836.43)</f>
        <v>1836.43</v>
      </c>
    </row>
    <row r="389">
      <c r="B389" s="11">
        <f>IFERROR(__xludf.DUMMYFUNCTION("""COMPUTED_VALUE"""),43614.66666666667)</f>
        <v>43614.66667</v>
      </c>
      <c r="C389" s="9">
        <f>IFERROR(__xludf.DUMMYFUNCTION("""COMPUTED_VALUE"""),37.42)</f>
        <v>37.42</v>
      </c>
      <c r="D389" s="11">
        <f>IFERROR(__xludf.DUMMYFUNCTION("""COMPUTED_VALUE"""),43614.66666666667)</f>
        <v>43614.66667</v>
      </c>
      <c r="E389" s="9">
        <f>IFERROR(__xludf.DUMMYFUNCTION("""COMPUTED_VALUE"""),37.97)</f>
        <v>37.97</v>
      </c>
      <c r="G389" s="11">
        <f>IFERROR(__xludf.DUMMYFUNCTION("""COMPUTED_VALUE"""),43614.66666666667)</f>
        <v>43614.66667</v>
      </c>
      <c r="H389" s="9">
        <f>IFERROR(__xludf.DUMMYFUNCTION("""COMPUTED_VALUE"""),1127.52)</f>
        <v>1127.52</v>
      </c>
      <c r="I389" s="11">
        <f>IFERROR(__xludf.DUMMYFUNCTION("""COMPUTED_VALUE"""),43614.66666666667)</f>
        <v>43614.66667</v>
      </c>
      <c r="J389" s="9">
        <f>IFERROR(__xludf.DUMMYFUNCTION("""COMPUTED_VALUE"""),1116.46)</f>
        <v>1116.46</v>
      </c>
      <c r="L389" s="11">
        <f>IFERROR(__xludf.DUMMYFUNCTION("""COMPUTED_VALUE"""),43614.66666666667)</f>
        <v>43614.66667</v>
      </c>
      <c r="M389" s="9">
        <f>IFERROR(__xludf.DUMMYFUNCTION("""COMPUTED_VALUE"""),44.11)</f>
        <v>44.11</v>
      </c>
      <c r="N389" s="11">
        <f>IFERROR(__xludf.DUMMYFUNCTION("""COMPUTED_VALUE"""),43614.66666666667)</f>
        <v>43614.66667</v>
      </c>
      <c r="O389" s="9">
        <f>IFERROR(__xludf.DUMMYFUNCTION("""COMPUTED_VALUE"""),44.35)</f>
        <v>44.35</v>
      </c>
      <c r="Q389" s="11">
        <f>IFERROR(__xludf.DUMMYFUNCTION("""COMPUTED_VALUE"""),43614.66666666667)</f>
        <v>43614.66667</v>
      </c>
      <c r="R389" s="9">
        <f>IFERROR(__xludf.DUMMYFUNCTION("""COMPUTED_VALUE"""),183.5)</f>
        <v>183.5</v>
      </c>
      <c r="S389" s="11">
        <f>IFERROR(__xludf.DUMMYFUNCTION("""COMPUTED_VALUE"""),43614.66666666667)</f>
        <v>43614.66667</v>
      </c>
      <c r="T389" s="9">
        <f>IFERROR(__xludf.DUMMYFUNCTION("""COMPUTED_VALUE"""),182.19)</f>
        <v>182.19</v>
      </c>
      <c r="V389" s="11">
        <f>IFERROR(__xludf.DUMMYFUNCTION("""COMPUTED_VALUE"""),43614.66666666667)</f>
        <v>43614.66667</v>
      </c>
      <c r="W389" s="9">
        <f>IFERROR(__xludf.DUMMYFUNCTION("""COMPUTED_VALUE"""),353.6)</f>
        <v>353.6</v>
      </c>
      <c r="X389" s="11">
        <f>IFERROR(__xludf.DUMMYFUNCTION("""COMPUTED_VALUE"""),43614.66666666667)</f>
        <v>43614.66667</v>
      </c>
      <c r="Y389" s="9">
        <f>IFERROR(__xludf.DUMMYFUNCTION("""COMPUTED_VALUE"""),349.19)</f>
        <v>349.19</v>
      </c>
      <c r="AA389" s="11">
        <f>IFERROR(__xludf.DUMMYFUNCTION("""COMPUTED_VALUE"""),43614.66666666667)</f>
        <v>43614.66667</v>
      </c>
      <c r="AB389" s="9">
        <f>IFERROR(__xludf.DUMMYFUNCTION("""COMPUTED_VALUE"""),1823.12)</f>
        <v>1823.12</v>
      </c>
      <c r="AC389" s="11">
        <f>IFERROR(__xludf.DUMMYFUNCTION("""COMPUTED_VALUE"""),43614.66666666667)</f>
        <v>43614.66667</v>
      </c>
      <c r="AD389" s="9">
        <f>IFERROR(__xludf.DUMMYFUNCTION("""COMPUTED_VALUE"""),1819.19)</f>
        <v>1819.19</v>
      </c>
    </row>
    <row r="390">
      <c r="B390" s="11">
        <f>IFERROR(__xludf.DUMMYFUNCTION("""COMPUTED_VALUE"""),43615.66666666667)</f>
        <v>43615.66667</v>
      </c>
      <c r="C390" s="9">
        <f>IFERROR(__xludf.DUMMYFUNCTION("""COMPUTED_VALUE"""),37.75)</f>
        <v>37.75</v>
      </c>
      <c r="D390" s="11">
        <f>IFERROR(__xludf.DUMMYFUNCTION("""COMPUTED_VALUE"""),43615.66666666667)</f>
        <v>43615.66667</v>
      </c>
      <c r="E390" s="9">
        <f>IFERROR(__xludf.DUMMYFUNCTION("""COMPUTED_VALUE"""),37.64)</f>
        <v>37.64</v>
      </c>
      <c r="G390" s="11">
        <f>IFERROR(__xludf.DUMMYFUNCTION("""COMPUTED_VALUE"""),43615.66666666667)</f>
        <v>43615.66667</v>
      </c>
      <c r="H390" s="9">
        <f>IFERROR(__xludf.DUMMYFUNCTION("""COMPUTED_VALUE"""),1115.54)</f>
        <v>1115.54</v>
      </c>
      <c r="I390" s="11">
        <f>IFERROR(__xludf.DUMMYFUNCTION("""COMPUTED_VALUE"""),43615.66666666667)</f>
        <v>43615.66667</v>
      </c>
      <c r="J390" s="9">
        <f>IFERROR(__xludf.DUMMYFUNCTION("""COMPUTED_VALUE"""),1117.95)</f>
        <v>1117.95</v>
      </c>
      <c r="L390" s="11">
        <f>IFERROR(__xludf.DUMMYFUNCTION("""COMPUTED_VALUE"""),43615.66666666667)</f>
        <v>43615.66667</v>
      </c>
      <c r="M390" s="9">
        <f>IFERROR(__xludf.DUMMYFUNCTION("""COMPUTED_VALUE"""),44.49)</f>
        <v>44.49</v>
      </c>
      <c r="N390" s="11">
        <f>IFERROR(__xludf.DUMMYFUNCTION("""COMPUTED_VALUE"""),43615.66666666667)</f>
        <v>43615.66667</v>
      </c>
      <c r="O390" s="9">
        <f>IFERROR(__xludf.DUMMYFUNCTION("""COMPUTED_VALUE"""),44.58)</f>
        <v>44.58</v>
      </c>
      <c r="Q390" s="11">
        <f>IFERROR(__xludf.DUMMYFUNCTION("""COMPUTED_VALUE"""),43615.66666666667)</f>
        <v>43615.66667</v>
      </c>
      <c r="R390" s="9">
        <f>IFERROR(__xludf.DUMMYFUNCTION("""COMPUTED_VALUE"""),183.08)</f>
        <v>183.08</v>
      </c>
      <c r="S390" s="11">
        <f>IFERROR(__xludf.DUMMYFUNCTION("""COMPUTED_VALUE"""),43615.66666666667)</f>
        <v>43615.66667</v>
      </c>
      <c r="T390" s="9">
        <f>IFERROR(__xludf.DUMMYFUNCTION("""COMPUTED_VALUE"""),183.01)</f>
        <v>183.01</v>
      </c>
      <c r="V390" s="11">
        <f>IFERROR(__xludf.DUMMYFUNCTION("""COMPUTED_VALUE"""),43615.66666666667)</f>
        <v>43615.66667</v>
      </c>
      <c r="W390" s="9">
        <f>IFERROR(__xludf.DUMMYFUNCTION("""COMPUTED_VALUE"""),350.55)</f>
        <v>350.55</v>
      </c>
      <c r="X390" s="11">
        <f>IFERROR(__xludf.DUMMYFUNCTION("""COMPUTED_VALUE"""),43615.66666666667)</f>
        <v>43615.66667</v>
      </c>
      <c r="Y390" s="9">
        <f>IFERROR(__xludf.DUMMYFUNCTION("""COMPUTED_VALUE"""),351.85)</f>
        <v>351.85</v>
      </c>
      <c r="AA390" s="11">
        <f>IFERROR(__xludf.DUMMYFUNCTION("""COMPUTED_VALUE"""),43615.66666666667)</f>
        <v>43615.66667</v>
      </c>
      <c r="AB390" s="9">
        <f>IFERROR(__xludf.DUMMYFUNCTION("""COMPUTED_VALUE"""),1825.49)</f>
        <v>1825.49</v>
      </c>
      <c r="AC390" s="11">
        <f>IFERROR(__xludf.DUMMYFUNCTION("""COMPUTED_VALUE"""),43615.66666666667)</f>
        <v>43615.66667</v>
      </c>
      <c r="AD390" s="9">
        <f>IFERROR(__xludf.DUMMYFUNCTION("""COMPUTED_VALUE"""),1816.32)</f>
        <v>1816.32</v>
      </c>
    </row>
    <row r="391">
      <c r="B391" s="11">
        <f>IFERROR(__xludf.DUMMYFUNCTION("""COMPUTED_VALUE"""),43616.66666666667)</f>
        <v>43616.66667</v>
      </c>
      <c r="C391" s="9">
        <f>IFERROR(__xludf.DUMMYFUNCTION("""COMPUTED_VALUE"""),37.02)</f>
        <v>37.02</v>
      </c>
      <c r="D391" s="11">
        <f>IFERROR(__xludf.DUMMYFUNCTION("""COMPUTED_VALUE"""),43616.66666666667)</f>
        <v>43616.66667</v>
      </c>
      <c r="E391" s="9">
        <f>IFERROR(__xludf.DUMMYFUNCTION("""COMPUTED_VALUE"""),37.03)</f>
        <v>37.03</v>
      </c>
      <c r="G391" s="11">
        <f>IFERROR(__xludf.DUMMYFUNCTION("""COMPUTED_VALUE"""),43616.66666666667)</f>
        <v>43616.66667</v>
      </c>
      <c r="H391" s="9">
        <f>IFERROR(__xludf.DUMMYFUNCTION("""COMPUTED_VALUE"""),1101.29)</f>
        <v>1101.29</v>
      </c>
      <c r="I391" s="11">
        <f>IFERROR(__xludf.DUMMYFUNCTION("""COMPUTED_VALUE"""),43616.66666666667)</f>
        <v>43616.66667</v>
      </c>
      <c r="J391" s="9">
        <f>IFERROR(__xludf.DUMMYFUNCTION("""COMPUTED_VALUE"""),1103.63)</f>
        <v>1103.63</v>
      </c>
      <c r="L391" s="11">
        <f>IFERROR(__xludf.DUMMYFUNCTION("""COMPUTED_VALUE"""),43616.66666666667)</f>
        <v>43616.66667</v>
      </c>
      <c r="M391" s="9">
        <f>IFERROR(__xludf.DUMMYFUNCTION("""COMPUTED_VALUE"""),44.06)</f>
        <v>44.06</v>
      </c>
      <c r="N391" s="11">
        <f>IFERROR(__xludf.DUMMYFUNCTION("""COMPUTED_VALUE"""),43616.66666666667)</f>
        <v>43616.66667</v>
      </c>
      <c r="O391" s="9">
        <f>IFERROR(__xludf.DUMMYFUNCTION("""COMPUTED_VALUE"""),43.77)</f>
        <v>43.77</v>
      </c>
      <c r="Q391" s="11">
        <f>IFERROR(__xludf.DUMMYFUNCTION("""COMPUTED_VALUE"""),43616.66666666667)</f>
        <v>43616.66667</v>
      </c>
      <c r="R391" s="9">
        <f>IFERROR(__xludf.DUMMYFUNCTION("""COMPUTED_VALUE"""),180.28)</f>
        <v>180.28</v>
      </c>
      <c r="S391" s="11">
        <f>IFERROR(__xludf.DUMMYFUNCTION("""COMPUTED_VALUE"""),43616.66666666667)</f>
        <v>43616.66667</v>
      </c>
      <c r="T391" s="9">
        <f>IFERROR(__xludf.DUMMYFUNCTION("""COMPUTED_VALUE"""),177.47)</f>
        <v>177.47</v>
      </c>
      <c r="V391" s="11">
        <f>IFERROR(__xludf.DUMMYFUNCTION("""COMPUTED_VALUE"""),43616.66666666667)</f>
        <v>43616.66667</v>
      </c>
      <c r="W391" s="9">
        <f>IFERROR(__xludf.DUMMYFUNCTION("""COMPUTED_VALUE"""),347.22)</f>
        <v>347.22</v>
      </c>
      <c r="X391" s="11">
        <f>IFERROR(__xludf.DUMMYFUNCTION("""COMPUTED_VALUE"""),43616.66666666667)</f>
        <v>43616.66667</v>
      </c>
      <c r="Y391" s="9">
        <f>IFERROR(__xludf.DUMMYFUNCTION("""COMPUTED_VALUE"""),343.28)</f>
        <v>343.28</v>
      </c>
      <c r="AA391" s="11">
        <f>IFERROR(__xludf.DUMMYFUNCTION("""COMPUTED_VALUE"""),43616.66666666667)</f>
        <v>43616.66667</v>
      </c>
      <c r="AB391" s="9">
        <f>IFERROR(__xludf.DUMMYFUNCTION("""COMPUTED_VALUE"""),1790.01)</f>
        <v>1790.01</v>
      </c>
      <c r="AC391" s="11">
        <f>IFERROR(__xludf.DUMMYFUNCTION("""COMPUTED_VALUE"""),43616.66666666667)</f>
        <v>43616.66667</v>
      </c>
      <c r="AD391" s="9">
        <f>IFERROR(__xludf.DUMMYFUNCTION("""COMPUTED_VALUE"""),1775.07)</f>
        <v>1775.07</v>
      </c>
    </row>
    <row r="392">
      <c r="B392" s="11">
        <f>IFERROR(__xludf.DUMMYFUNCTION("""COMPUTED_VALUE"""),43619.66666666667)</f>
        <v>43619.66667</v>
      </c>
      <c r="C392" s="9">
        <f>IFERROR(__xludf.DUMMYFUNCTION("""COMPUTED_VALUE"""),37.1)</f>
        <v>37.1</v>
      </c>
      <c r="D392" s="11">
        <f>IFERROR(__xludf.DUMMYFUNCTION("""COMPUTED_VALUE"""),43619.66666666667)</f>
        <v>43619.66667</v>
      </c>
      <c r="E392" s="9">
        <f>IFERROR(__xludf.DUMMYFUNCTION("""COMPUTED_VALUE"""),35.79)</f>
        <v>35.79</v>
      </c>
      <c r="G392" s="11">
        <f>IFERROR(__xludf.DUMMYFUNCTION("""COMPUTED_VALUE"""),43619.66666666667)</f>
        <v>43619.66667</v>
      </c>
      <c r="H392" s="9">
        <f>IFERROR(__xludf.DUMMYFUNCTION("""COMPUTED_VALUE"""),1065.5)</f>
        <v>1065.5</v>
      </c>
      <c r="I392" s="11">
        <f>IFERROR(__xludf.DUMMYFUNCTION("""COMPUTED_VALUE"""),43619.66666666667)</f>
        <v>43619.66667</v>
      </c>
      <c r="J392" s="9">
        <f>IFERROR(__xludf.DUMMYFUNCTION("""COMPUTED_VALUE"""),1036.23)</f>
        <v>1036.23</v>
      </c>
      <c r="L392" s="11">
        <f>IFERROR(__xludf.DUMMYFUNCTION("""COMPUTED_VALUE"""),43619.66666666667)</f>
        <v>43619.66667</v>
      </c>
      <c r="M392" s="9">
        <f>IFERROR(__xludf.DUMMYFUNCTION("""COMPUTED_VALUE"""),43.9)</f>
        <v>43.9</v>
      </c>
      <c r="N392" s="11">
        <f>IFERROR(__xludf.DUMMYFUNCTION("""COMPUTED_VALUE"""),43619.66666666667)</f>
        <v>43619.66667</v>
      </c>
      <c r="O392" s="9">
        <f>IFERROR(__xludf.DUMMYFUNCTION("""COMPUTED_VALUE"""),43.33)</f>
        <v>43.33</v>
      </c>
      <c r="Q392" s="11">
        <f>IFERROR(__xludf.DUMMYFUNCTION("""COMPUTED_VALUE"""),43619.66666666667)</f>
        <v>43619.66667</v>
      </c>
      <c r="R392" s="9">
        <f>IFERROR(__xludf.DUMMYFUNCTION("""COMPUTED_VALUE"""),175.0)</f>
        <v>175</v>
      </c>
      <c r="S392" s="11">
        <f>IFERROR(__xludf.DUMMYFUNCTION("""COMPUTED_VALUE"""),43619.66666666667)</f>
        <v>43619.66667</v>
      </c>
      <c r="T392" s="9">
        <f>IFERROR(__xludf.DUMMYFUNCTION("""COMPUTED_VALUE"""),164.15)</f>
        <v>164.15</v>
      </c>
      <c r="V392" s="11">
        <f>IFERROR(__xludf.DUMMYFUNCTION("""COMPUTED_VALUE"""),43619.66666666667)</f>
        <v>43619.66667</v>
      </c>
      <c r="W392" s="9">
        <f>IFERROR(__xludf.DUMMYFUNCTION("""COMPUTED_VALUE"""),343.56)</f>
        <v>343.56</v>
      </c>
      <c r="X392" s="11">
        <f>IFERROR(__xludf.DUMMYFUNCTION("""COMPUTED_VALUE"""),43619.66666666667)</f>
        <v>43619.66667</v>
      </c>
      <c r="Y392" s="9">
        <f>IFERROR(__xludf.DUMMYFUNCTION("""COMPUTED_VALUE"""),336.63)</f>
        <v>336.63</v>
      </c>
      <c r="AA392" s="11">
        <f>IFERROR(__xludf.DUMMYFUNCTION("""COMPUTED_VALUE"""),43619.66666666667)</f>
        <v>43619.66667</v>
      </c>
      <c r="AB392" s="9">
        <f>IFERROR(__xludf.DUMMYFUNCTION("""COMPUTED_VALUE"""),1760.01)</f>
        <v>1760.01</v>
      </c>
      <c r="AC392" s="11">
        <f>IFERROR(__xludf.DUMMYFUNCTION("""COMPUTED_VALUE"""),43619.66666666667)</f>
        <v>43619.66667</v>
      </c>
      <c r="AD392" s="9">
        <f>IFERROR(__xludf.DUMMYFUNCTION("""COMPUTED_VALUE"""),1692.69)</f>
        <v>1692.69</v>
      </c>
    </row>
    <row r="393">
      <c r="B393" s="11">
        <f>IFERROR(__xludf.DUMMYFUNCTION("""COMPUTED_VALUE"""),43620.66666666667)</f>
        <v>43620.66667</v>
      </c>
      <c r="C393" s="9">
        <f>IFERROR(__xludf.DUMMYFUNCTION("""COMPUTED_VALUE"""),36.22)</f>
        <v>36.22</v>
      </c>
      <c r="D393" s="11">
        <f>IFERROR(__xludf.DUMMYFUNCTION("""COMPUTED_VALUE"""),43620.66666666667)</f>
        <v>43620.66667</v>
      </c>
      <c r="E393" s="9">
        <f>IFERROR(__xludf.DUMMYFUNCTION("""COMPUTED_VALUE"""),38.72)</f>
        <v>38.72</v>
      </c>
      <c r="G393" s="11">
        <f>IFERROR(__xludf.DUMMYFUNCTION("""COMPUTED_VALUE"""),43620.66666666667)</f>
        <v>43620.66667</v>
      </c>
      <c r="H393" s="9">
        <f>IFERROR(__xludf.DUMMYFUNCTION("""COMPUTED_VALUE"""),1042.9)</f>
        <v>1042.9</v>
      </c>
      <c r="I393" s="11">
        <f>IFERROR(__xludf.DUMMYFUNCTION("""COMPUTED_VALUE"""),43620.66666666667)</f>
        <v>43620.66667</v>
      </c>
      <c r="J393" s="9">
        <f>IFERROR(__xludf.DUMMYFUNCTION("""COMPUTED_VALUE"""),1053.05)</f>
        <v>1053.05</v>
      </c>
      <c r="L393" s="11">
        <f>IFERROR(__xludf.DUMMYFUNCTION("""COMPUTED_VALUE"""),43620.66666666667)</f>
        <v>43620.66667</v>
      </c>
      <c r="M393" s="9">
        <f>IFERROR(__xludf.DUMMYFUNCTION("""COMPUTED_VALUE"""),43.86)</f>
        <v>43.86</v>
      </c>
      <c r="N393" s="11">
        <f>IFERROR(__xludf.DUMMYFUNCTION("""COMPUTED_VALUE"""),43620.66666666667)</f>
        <v>43620.66667</v>
      </c>
      <c r="O393" s="9">
        <f>IFERROR(__xludf.DUMMYFUNCTION("""COMPUTED_VALUE"""),44.91)</f>
        <v>44.91</v>
      </c>
      <c r="Q393" s="11">
        <f>IFERROR(__xludf.DUMMYFUNCTION("""COMPUTED_VALUE"""),43620.66666666667)</f>
        <v>43620.66667</v>
      </c>
      <c r="R393" s="9">
        <f>IFERROR(__xludf.DUMMYFUNCTION("""COMPUTED_VALUE"""),163.71)</f>
        <v>163.71</v>
      </c>
      <c r="S393" s="11">
        <f>IFERROR(__xludf.DUMMYFUNCTION("""COMPUTED_VALUE"""),43620.66666666667)</f>
        <v>43620.66667</v>
      </c>
      <c r="T393" s="9">
        <f>IFERROR(__xludf.DUMMYFUNCTION("""COMPUTED_VALUE"""),167.5)</f>
        <v>167.5</v>
      </c>
      <c r="V393" s="11">
        <f>IFERROR(__xludf.DUMMYFUNCTION("""COMPUTED_VALUE"""),43620.66666666667)</f>
        <v>43620.66667</v>
      </c>
      <c r="W393" s="9">
        <f>IFERROR(__xludf.DUMMYFUNCTION("""COMPUTED_VALUE"""),345.0)</f>
        <v>345</v>
      </c>
      <c r="X393" s="11">
        <f>IFERROR(__xludf.DUMMYFUNCTION("""COMPUTED_VALUE"""),43620.66666666667)</f>
        <v>43620.66667</v>
      </c>
      <c r="Y393" s="9">
        <f>IFERROR(__xludf.DUMMYFUNCTION("""COMPUTED_VALUE"""),353.4)</f>
        <v>353.4</v>
      </c>
      <c r="AA393" s="11">
        <f>IFERROR(__xludf.DUMMYFUNCTION("""COMPUTED_VALUE"""),43620.66666666667)</f>
        <v>43620.66667</v>
      </c>
      <c r="AB393" s="9">
        <f>IFERROR(__xludf.DUMMYFUNCTION("""COMPUTED_VALUE"""),1699.24)</f>
        <v>1699.24</v>
      </c>
      <c r="AC393" s="11">
        <f>IFERROR(__xludf.DUMMYFUNCTION("""COMPUTED_VALUE"""),43620.66666666667)</f>
        <v>43620.66667</v>
      </c>
      <c r="AD393" s="9">
        <f>IFERROR(__xludf.DUMMYFUNCTION("""COMPUTED_VALUE"""),1729.56)</f>
        <v>1729.56</v>
      </c>
    </row>
    <row r="394">
      <c r="B394" s="11">
        <f>IFERROR(__xludf.DUMMYFUNCTION("""COMPUTED_VALUE"""),43621.66666666667)</f>
        <v>43621.66667</v>
      </c>
      <c r="C394" s="9">
        <f>IFERROR(__xludf.DUMMYFUNCTION("""COMPUTED_VALUE"""),39.74)</f>
        <v>39.74</v>
      </c>
      <c r="D394" s="11">
        <f>IFERROR(__xludf.DUMMYFUNCTION("""COMPUTED_VALUE"""),43621.66666666667)</f>
        <v>43621.66667</v>
      </c>
      <c r="E394" s="9">
        <f>IFERROR(__xludf.DUMMYFUNCTION("""COMPUTED_VALUE"""),39.32)</f>
        <v>39.32</v>
      </c>
      <c r="G394" s="11">
        <f>IFERROR(__xludf.DUMMYFUNCTION("""COMPUTED_VALUE"""),43621.66666666667)</f>
        <v>43621.66667</v>
      </c>
      <c r="H394" s="9">
        <f>IFERROR(__xludf.DUMMYFUNCTION("""COMPUTED_VALUE"""),1051.54)</f>
        <v>1051.54</v>
      </c>
      <c r="I394" s="11">
        <f>IFERROR(__xludf.DUMMYFUNCTION("""COMPUTED_VALUE"""),43621.66666666667)</f>
        <v>43621.66667</v>
      </c>
      <c r="J394" s="9">
        <f>IFERROR(__xludf.DUMMYFUNCTION("""COMPUTED_VALUE"""),1042.22)</f>
        <v>1042.22</v>
      </c>
      <c r="L394" s="11">
        <f>IFERROR(__xludf.DUMMYFUNCTION("""COMPUTED_VALUE"""),43621.66666666667)</f>
        <v>43621.66667</v>
      </c>
      <c r="M394" s="9">
        <f>IFERROR(__xludf.DUMMYFUNCTION("""COMPUTED_VALUE"""),46.07)</f>
        <v>46.07</v>
      </c>
      <c r="N394" s="11">
        <f>IFERROR(__xludf.DUMMYFUNCTION("""COMPUTED_VALUE"""),43621.66666666667)</f>
        <v>43621.66667</v>
      </c>
      <c r="O394" s="9">
        <f>IFERROR(__xludf.DUMMYFUNCTION("""COMPUTED_VALUE"""),45.64)</f>
        <v>45.64</v>
      </c>
      <c r="Q394" s="11">
        <f>IFERROR(__xludf.DUMMYFUNCTION("""COMPUTED_VALUE"""),43621.66666666667)</f>
        <v>43621.66667</v>
      </c>
      <c r="R394" s="9">
        <f>IFERROR(__xludf.DUMMYFUNCTION("""COMPUTED_VALUE"""),167.48)</f>
        <v>167.48</v>
      </c>
      <c r="S394" s="11">
        <f>IFERROR(__xludf.DUMMYFUNCTION("""COMPUTED_VALUE"""),43621.66666666667)</f>
        <v>43621.66667</v>
      </c>
      <c r="T394" s="9">
        <f>IFERROR(__xludf.DUMMYFUNCTION("""COMPUTED_VALUE"""),168.17)</f>
        <v>168.17</v>
      </c>
      <c r="V394" s="11">
        <f>IFERROR(__xludf.DUMMYFUNCTION("""COMPUTED_VALUE"""),43621.66666666667)</f>
        <v>43621.66667</v>
      </c>
      <c r="W394" s="9">
        <f>IFERROR(__xludf.DUMMYFUNCTION("""COMPUTED_VALUE"""),354.38)</f>
        <v>354.38</v>
      </c>
      <c r="X394" s="11">
        <f>IFERROR(__xludf.DUMMYFUNCTION("""COMPUTED_VALUE"""),43621.66666666667)</f>
        <v>43621.66667</v>
      </c>
      <c r="Y394" s="9">
        <f>IFERROR(__xludf.DUMMYFUNCTION("""COMPUTED_VALUE"""),355.73)</f>
        <v>355.73</v>
      </c>
      <c r="AA394" s="11">
        <f>IFERROR(__xludf.DUMMYFUNCTION("""COMPUTED_VALUE"""),43621.66666666667)</f>
        <v>43621.66667</v>
      </c>
      <c r="AB394" s="9">
        <f>IFERROR(__xludf.DUMMYFUNCTION("""COMPUTED_VALUE"""),1749.6)</f>
        <v>1749.6</v>
      </c>
      <c r="AC394" s="11">
        <f>IFERROR(__xludf.DUMMYFUNCTION("""COMPUTED_VALUE"""),43621.66666666667)</f>
        <v>43621.66667</v>
      </c>
      <c r="AD394" s="9">
        <f>IFERROR(__xludf.DUMMYFUNCTION("""COMPUTED_VALUE"""),1738.5)</f>
        <v>1738.5</v>
      </c>
    </row>
    <row r="395">
      <c r="B395" s="11">
        <f>IFERROR(__xludf.DUMMYFUNCTION("""COMPUTED_VALUE"""),43622.66666666667)</f>
        <v>43622.66667</v>
      </c>
      <c r="C395" s="9">
        <f>IFERROR(__xludf.DUMMYFUNCTION("""COMPUTED_VALUE"""),40.89)</f>
        <v>40.89</v>
      </c>
      <c r="D395" s="11">
        <f>IFERROR(__xludf.DUMMYFUNCTION("""COMPUTED_VALUE"""),43622.66666666667)</f>
        <v>43622.66667</v>
      </c>
      <c r="E395" s="9">
        <f>IFERROR(__xludf.DUMMYFUNCTION("""COMPUTED_VALUE"""),41.19)</f>
        <v>41.19</v>
      </c>
      <c r="G395" s="11">
        <f>IFERROR(__xludf.DUMMYFUNCTION("""COMPUTED_VALUE"""),43622.66666666667)</f>
        <v>43622.66667</v>
      </c>
      <c r="H395" s="9">
        <f>IFERROR(__xludf.DUMMYFUNCTION("""COMPUTED_VALUE"""),1044.99)</f>
        <v>1044.99</v>
      </c>
      <c r="I395" s="11">
        <f>IFERROR(__xludf.DUMMYFUNCTION("""COMPUTED_VALUE"""),43622.66666666667)</f>
        <v>43622.66667</v>
      </c>
      <c r="J395" s="9">
        <f>IFERROR(__xludf.DUMMYFUNCTION("""COMPUTED_VALUE"""),1044.34)</f>
        <v>1044.34</v>
      </c>
      <c r="L395" s="11">
        <f>IFERROR(__xludf.DUMMYFUNCTION("""COMPUTED_VALUE"""),43622.66666666667)</f>
        <v>43622.66667</v>
      </c>
      <c r="M395" s="9">
        <f>IFERROR(__xludf.DUMMYFUNCTION("""COMPUTED_VALUE"""),45.77)</f>
        <v>45.77</v>
      </c>
      <c r="N395" s="11">
        <f>IFERROR(__xludf.DUMMYFUNCTION("""COMPUTED_VALUE"""),43622.66666666667)</f>
        <v>43622.66667</v>
      </c>
      <c r="O395" s="9">
        <f>IFERROR(__xludf.DUMMYFUNCTION("""COMPUTED_VALUE"""),46.31)</f>
        <v>46.31</v>
      </c>
      <c r="Q395" s="11">
        <f>IFERROR(__xludf.DUMMYFUNCTION("""COMPUTED_VALUE"""),43622.66666666667)</f>
        <v>43622.66667</v>
      </c>
      <c r="R395" s="9">
        <f>IFERROR(__xludf.DUMMYFUNCTION("""COMPUTED_VALUE"""),168.3)</f>
        <v>168.3</v>
      </c>
      <c r="S395" s="11">
        <f>IFERROR(__xludf.DUMMYFUNCTION("""COMPUTED_VALUE"""),43622.66666666667)</f>
        <v>43622.66667</v>
      </c>
      <c r="T395" s="9">
        <f>IFERROR(__xludf.DUMMYFUNCTION("""COMPUTED_VALUE"""),168.33)</f>
        <v>168.33</v>
      </c>
      <c r="V395" s="11">
        <f>IFERROR(__xludf.DUMMYFUNCTION("""COMPUTED_VALUE"""),43622.66666666667)</f>
        <v>43622.66667</v>
      </c>
      <c r="W395" s="9">
        <f>IFERROR(__xludf.DUMMYFUNCTION("""COMPUTED_VALUE"""),354.84)</f>
        <v>354.84</v>
      </c>
      <c r="X395" s="11">
        <f>IFERROR(__xludf.DUMMYFUNCTION("""COMPUTED_VALUE"""),43622.66666666667)</f>
        <v>43622.66667</v>
      </c>
      <c r="Y395" s="9">
        <f>IFERROR(__xludf.DUMMYFUNCTION("""COMPUTED_VALUE"""),357.13)</f>
        <v>357.13</v>
      </c>
      <c r="AA395" s="11">
        <f>IFERROR(__xludf.DUMMYFUNCTION("""COMPUTED_VALUE"""),43622.66666666667)</f>
        <v>43622.66667</v>
      </c>
      <c r="AB395" s="9">
        <f>IFERROR(__xludf.DUMMYFUNCTION("""COMPUTED_VALUE"""),1737.71)</f>
        <v>1737.71</v>
      </c>
      <c r="AC395" s="11">
        <f>IFERROR(__xludf.DUMMYFUNCTION("""COMPUTED_VALUE"""),43622.66666666667)</f>
        <v>43622.66667</v>
      </c>
      <c r="AD395" s="9">
        <f>IFERROR(__xludf.DUMMYFUNCTION("""COMPUTED_VALUE"""),1754.36)</f>
        <v>1754.36</v>
      </c>
    </row>
    <row r="396">
      <c r="B396" s="11">
        <f>IFERROR(__xludf.DUMMYFUNCTION("""COMPUTED_VALUE"""),43623.66666666667)</f>
        <v>43623.66667</v>
      </c>
      <c r="C396" s="9">
        <f>IFERROR(__xludf.DUMMYFUNCTION("""COMPUTED_VALUE"""),41.0)</f>
        <v>41</v>
      </c>
      <c r="D396" s="11">
        <f>IFERROR(__xludf.DUMMYFUNCTION("""COMPUTED_VALUE"""),43623.66666666667)</f>
        <v>43623.66667</v>
      </c>
      <c r="E396" s="9">
        <f>IFERROR(__xludf.DUMMYFUNCTION("""COMPUTED_VALUE"""),40.9)</f>
        <v>40.9</v>
      </c>
      <c r="G396" s="11">
        <f>IFERROR(__xludf.DUMMYFUNCTION("""COMPUTED_VALUE"""),43623.66666666667)</f>
        <v>43623.66667</v>
      </c>
      <c r="H396" s="9">
        <f>IFERROR(__xludf.DUMMYFUNCTION("""COMPUTED_VALUE"""),1050.63)</f>
        <v>1050.63</v>
      </c>
      <c r="I396" s="11">
        <f>IFERROR(__xludf.DUMMYFUNCTION("""COMPUTED_VALUE"""),43623.66666666667)</f>
        <v>43623.66667</v>
      </c>
      <c r="J396" s="9">
        <f>IFERROR(__xludf.DUMMYFUNCTION("""COMPUTED_VALUE"""),1066.04)</f>
        <v>1066.04</v>
      </c>
      <c r="L396" s="11">
        <f>IFERROR(__xludf.DUMMYFUNCTION("""COMPUTED_VALUE"""),43623.66666666667)</f>
        <v>43623.66667</v>
      </c>
      <c r="M396" s="9">
        <f>IFERROR(__xludf.DUMMYFUNCTION("""COMPUTED_VALUE"""),46.63)</f>
        <v>46.63</v>
      </c>
      <c r="N396" s="11">
        <f>IFERROR(__xludf.DUMMYFUNCTION("""COMPUTED_VALUE"""),43623.66666666667)</f>
        <v>43623.66667</v>
      </c>
      <c r="O396" s="9">
        <f>IFERROR(__xludf.DUMMYFUNCTION("""COMPUTED_VALUE"""),47.54)</f>
        <v>47.54</v>
      </c>
      <c r="Q396" s="11">
        <f>IFERROR(__xludf.DUMMYFUNCTION("""COMPUTED_VALUE"""),43623.66666666667)</f>
        <v>43623.66667</v>
      </c>
      <c r="R396" s="9">
        <f>IFERROR(__xludf.DUMMYFUNCTION("""COMPUTED_VALUE"""),170.17)</f>
        <v>170.17</v>
      </c>
      <c r="S396" s="11">
        <f>IFERROR(__xludf.DUMMYFUNCTION("""COMPUTED_VALUE"""),43623.66666666667)</f>
        <v>43623.66667</v>
      </c>
      <c r="T396" s="9">
        <f>IFERROR(__xludf.DUMMYFUNCTION("""COMPUTED_VALUE"""),173.35)</f>
        <v>173.35</v>
      </c>
      <c r="V396" s="11">
        <f>IFERROR(__xludf.DUMMYFUNCTION("""COMPUTED_VALUE"""),43623.66666666667)</f>
        <v>43623.66667</v>
      </c>
      <c r="W396" s="9">
        <f>IFERROR(__xludf.DUMMYFUNCTION("""COMPUTED_VALUE"""),357.39)</f>
        <v>357.39</v>
      </c>
      <c r="X396" s="11">
        <f>IFERROR(__xludf.DUMMYFUNCTION("""COMPUTED_VALUE"""),43623.66666666667)</f>
        <v>43623.66667</v>
      </c>
      <c r="Y396" s="9">
        <f>IFERROR(__xludf.DUMMYFUNCTION("""COMPUTED_VALUE"""),360.87)</f>
        <v>360.87</v>
      </c>
      <c r="AA396" s="11">
        <f>IFERROR(__xludf.DUMMYFUNCTION("""COMPUTED_VALUE"""),43623.66666666667)</f>
        <v>43623.66667</v>
      </c>
      <c r="AB396" s="9">
        <f>IFERROR(__xludf.DUMMYFUNCTION("""COMPUTED_VALUE"""),1763.7)</f>
        <v>1763.7</v>
      </c>
      <c r="AC396" s="11">
        <f>IFERROR(__xludf.DUMMYFUNCTION("""COMPUTED_VALUE"""),43623.66666666667)</f>
        <v>43623.66667</v>
      </c>
      <c r="AD396" s="9">
        <f>IFERROR(__xludf.DUMMYFUNCTION("""COMPUTED_VALUE"""),1804.03)</f>
        <v>1804.03</v>
      </c>
    </row>
    <row r="397">
      <c r="B397" s="11">
        <f>IFERROR(__xludf.DUMMYFUNCTION("""COMPUTED_VALUE"""),43626.66666666667)</f>
        <v>43626.66667</v>
      </c>
      <c r="C397" s="9">
        <f>IFERROR(__xludf.DUMMYFUNCTION("""COMPUTED_VALUE"""),42.05)</f>
        <v>42.05</v>
      </c>
      <c r="D397" s="11">
        <f>IFERROR(__xludf.DUMMYFUNCTION("""COMPUTED_VALUE"""),43626.66666666667)</f>
        <v>43626.66667</v>
      </c>
      <c r="E397" s="9">
        <f>IFERROR(__xludf.DUMMYFUNCTION("""COMPUTED_VALUE"""),42.58)</f>
        <v>42.58</v>
      </c>
      <c r="G397" s="11">
        <f>IFERROR(__xludf.DUMMYFUNCTION("""COMPUTED_VALUE"""),43626.66666666667)</f>
        <v>43626.66667</v>
      </c>
      <c r="H397" s="9">
        <f>IFERROR(__xludf.DUMMYFUNCTION("""COMPUTED_VALUE"""),1072.98)</f>
        <v>1072.98</v>
      </c>
      <c r="I397" s="11">
        <f>IFERROR(__xludf.DUMMYFUNCTION("""COMPUTED_VALUE"""),43626.66666666667)</f>
        <v>43626.66667</v>
      </c>
      <c r="J397" s="9">
        <f>IFERROR(__xludf.DUMMYFUNCTION("""COMPUTED_VALUE"""),1080.38)</f>
        <v>1080.38</v>
      </c>
      <c r="L397" s="11">
        <f>IFERROR(__xludf.DUMMYFUNCTION("""COMPUTED_VALUE"""),43626.66666666667)</f>
        <v>43626.66667</v>
      </c>
      <c r="M397" s="9">
        <f>IFERROR(__xludf.DUMMYFUNCTION("""COMPUTED_VALUE"""),47.95)</f>
        <v>47.95</v>
      </c>
      <c r="N397" s="11">
        <f>IFERROR(__xludf.DUMMYFUNCTION("""COMPUTED_VALUE"""),43626.66666666667)</f>
        <v>43626.66667</v>
      </c>
      <c r="O397" s="9">
        <f>IFERROR(__xludf.DUMMYFUNCTION("""COMPUTED_VALUE"""),48.15)</f>
        <v>48.15</v>
      </c>
      <c r="Q397" s="11">
        <f>IFERROR(__xludf.DUMMYFUNCTION("""COMPUTED_VALUE"""),43626.66666666667)</f>
        <v>43626.66667</v>
      </c>
      <c r="R397" s="9">
        <f>IFERROR(__xludf.DUMMYFUNCTION("""COMPUTED_VALUE"""),174.75)</f>
        <v>174.75</v>
      </c>
      <c r="S397" s="11">
        <f>IFERROR(__xludf.DUMMYFUNCTION("""COMPUTED_VALUE"""),43626.66666666667)</f>
        <v>43626.66667</v>
      </c>
      <c r="T397" s="9">
        <f>IFERROR(__xludf.DUMMYFUNCTION("""COMPUTED_VALUE"""),174.82)</f>
        <v>174.82</v>
      </c>
      <c r="V397" s="11">
        <f>IFERROR(__xludf.DUMMYFUNCTION("""COMPUTED_VALUE"""),43626.66666666667)</f>
        <v>43626.66667</v>
      </c>
      <c r="W397" s="9">
        <f>IFERROR(__xludf.DUMMYFUNCTION("""COMPUTED_VALUE"""),363.65)</f>
        <v>363.65</v>
      </c>
      <c r="X397" s="11">
        <f>IFERROR(__xludf.DUMMYFUNCTION("""COMPUTED_VALUE"""),43626.66666666667)</f>
        <v>43626.66667</v>
      </c>
      <c r="Y397" s="9">
        <f>IFERROR(__xludf.DUMMYFUNCTION("""COMPUTED_VALUE"""),352.01)</f>
        <v>352.01</v>
      </c>
      <c r="AA397" s="11">
        <f>IFERROR(__xludf.DUMMYFUNCTION("""COMPUTED_VALUE"""),43626.66666666667)</f>
        <v>43626.66667</v>
      </c>
      <c r="AB397" s="9">
        <f>IFERROR(__xludf.DUMMYFUNCTION("""COMPUTED_VALUE"""),1822.0)</f>
        <v>1822</v>
      </c>
      <c r="AC397" s="11">
        <f>IFERROR(__xludf.DUMMYFUNCTION("""COMPUTED_VALUE"""),43626.66666666667)</f>
        <v>43626.66667</v>
      </c>
      <c r="AD397" s="9">
        <f>IFERROR(__xludf.DUMMYFUNCTION("""COMPUTED_VALUE"""),1860.63)</f>
        <v>1860.63</v>
      </c>
    </row>
    <row r="398">
      <c r="B398" s="11">
        <f>IFERROR(__xludf.DUMMYFUNCTION("""COMPUTED_VALUE"""),43627.66666666667)</f>
        <v>43627.66667</v>
      </c>
      <c r="C398" s="9">
        <f>IFERROR(__xludf.DUMMYFUNCTION("""COMPUTED_VALUE"""),43.83)</f>
        <v>43.83</v>
      </c>
      <c r="D398" s="11">
        <f>IFERROR(__xludf.DUMMYFUNCTION("""COMPUTED_VALUE"""),43627.66666666667)</f>
        <v>43627.66667</v>
      </c>
      <c r="E398" s="9">
        <f>IFERROR(__xludf.DUMMYFUNCTION("""COMPUTED_VALUE"""),43.42)</f>
        <v>43.42</v>
      </c>
      <c r="G398" s="11">
        <f>IFERROR(__xludf.DUMMYFUNCTION("""COMPUTED_VALUE"""),43627.66666666667)</f>
        <v>43627.66667</v>
      </c>
      <c r="H398" s="9">
        <f>IFERROR(__xludf.DUMMYFUNCTION("""COMPUTED_VALUE"""),1093.98)</f>
        <v>1093.98</v>
      </c>
      <c r="I398" s="11">
        <f>IFERROR(__xludf.DUMMYFUNCTION("""COMPUTED_VALUE"""),43627.66666666667)</f>
        <v>43627.66667</v>
      </c>
      <c r="J398" s="9">
        <f>IFERROR(__xludf.DUMMYFUNCTION("""COMPUTED_VALUE"""),1078.72)</f>
        <v>1078.72</v>
      </c>
      <c r="L398" s="11">
        <f>IFERROR(__xludf.DUMMYFUNCTION("""COMPUTED_VALUE"""),43627.66666666667)</f>
        <v>43627.66667</v>
      </c>
      <c r="M398" s="9">
        <f>IFERROR(__xludf.DUMMYFUNCTION("""COMPUTED_VALUE"""),48.72)</f>
        <v>48.72</v>
      </c>
      <c r="N398" s="11">
        <f>IFERROR(__xludf.DUMMYFUNCTION("""COMPUTED_VALUE"""),43627.66666666667)</f>
        <v>43627.66667</v>
      </c>
      <c r="O398" s="9">
        <f>IFERROR(__xludf.DUMMYFUNCTION("""COMPUTED_VALUE"""),48.7)</f>
        <v>48.7</v>
      </c>
      <c r="Q398" s="11">
        <f>IFERROR(__xludf.DUMMYFUNCTION("""COMPUTED_VALUE"""),43627.66666666667)</f>
        <v>43627.66667</v>
      </c>
      <c r="R398" s="9">
        <f>IFERROR(__xludf.DUMMYFUNCTION("""COMPUTED_VALUE"""),178.48)</f>
        <v>178.48</v>
      </c>
      <c r="S398" s="11">
        <f>IFERROR(__xludf.DUMMYFUNCTION("""COMPUTED_VALUE"""),43627.66666666667)</f>
        <v>43627.66667</v>
      </c>
      <c r="T398" s="9">
        <f>IFERROR(__xludf.DUMMYFUNCTION("""COMPUTED_VALUE"""),178.1)</f>
        <v>178.1</v>
      </c>
      <c r="V398" s="11">
        <f>IFERROR(__xludf.DUMMYFUNCTION("""COMPUTED_VALUE"""),43627.66666666667)</f>
        <v>43627.66667</v>
      </c>
      <c r="W398" s="9">
        <f>IFERROR(__xludf.DUMMYFUNCTION("""COMPUTED_VALUE"""),355.0)</f>
        <v>355</v>
      </c>
      <c r="X398" s="11">
        <f>IFERROR(__xludf.DUMMYFUNCTION("""COMPUTED_VALUE"""),43627.66666666667)</f>
        <v>43627.66667</v>
      </c>
      <c r="Y398" s="9">
        <f>IFERROR(__xludf.DUMMYFUNCTION("""COMPUTED_VALUE"""),351.27)</f>
        <v>351.27</v>
      </c>
      <c r="AA398" s="11">
        <f>IFERROR(__xludf.DUMMYFUNCTION("""COMPUTED_VALUE"""),43627.66666666667)</f>
        <v>43627.66667</v>
      </c>
      <c r="AB398" s="9">
        <f>IFERROR(__xludf.DUMMYFUNCTION("""COMPUTED_VALUE"""),1883.25)</f>
        <v>1883.25</v>
      </c>
      <c r="AC398" s="11">
        <f>IFERROR(__xludf.DUMMYFUNCTION("""COMPUTED_VALUE"""),43627.66666666667)</f>
        <v>43627.66667</v>
      </c>
      <c r="AD398" s="9">
        <f>IFERROR(__xludf.DUMMYFUNCTION("""COMPUTED_VALUE"""),1863.7)</f>
        <v>1863.7</v>
      </c>
    </row>
    <row r="399">
      <c r="B399" s="11">
        <f>IFERROR(__xludf.DUMMYFUNCTION("""COMPUTED_VALUE"""),43628.66666666667)</f>
        <v>43628.66667</v>
      </c>
      <c r="C399" s="9">
        <f>IFERROR(__xludf.DUMMYFUNCTION("""COMPUTED_VALUE"""),44.59)</f>
        <v>44.59</v>
      </c>
      <c r="D399" s="11">
        <f>IFERROR(__xludf.DUMMYFUNCTION("""COMPUTED_VALUE"""),43628.66666666667)</f>
        <v>43628.66667</v>
      </c>
      <c r="E399" s="9">
        <f>IFERROR(__xludf.DUMMYFUNCTION("""COMPUTED_VALUE"""),41.85)</f>
        <v>41.85</v>
      </c>
      <c r="G399" s="11">
        <f>IFERROR(__xludf.DUMMYFUNCTION("""COMPUTED_VALUE"""),43628.66666666667)</f>
        <v>43628.66667</v>
      </c>
      <c r="H399" s="9">
        <f>IFERROR(__xludf.DUMMYFUNCTION("""COMPUTED_VALUE"""),1078.0)</f>
        <v>1078</v>
      </c>
      <c r="I399" s="11">
        <f>IFERROR(__xludf.DUMMYFUNCTION("""COMPUTED_VALUE"""),43628.66666666667)</f>
        <v>43628.66667</v>
      </c>
      <c r="J399" s="9">
        <f>IFERROR(__xludf.DUMMYFUNCTION("""COMPUTED_VALUE"""),1077.03)</f>
        <v>1077.03</v>
      </c>
      <c r="L399" s="11">
        <f>IFERROR(__xludf.DUMMYFUNCTION("""COMPUTED_VALUE"""),43628.66666666667)</f>
        <v>43628.66667</v>
      </c>
      <c r="M399" s="9">
        <f>IFERROR(__xludf.DUMMYFUNCTION("""COMPUTED_VALUE"""),48.49)</f>
        <v>48.49</v>
      </c>
      <c r="N399" s="11">
        <f>IFERROR(__xludf.DUMMYFUNCTION("""COMPUTED_VALUE"""),43628.66666666667)</f>
        <v>43628.66667</v>
      </c>
      <c r="O399" s="9">
        <f>IFERROR(__xludf.DUMMYFUNCTION("""COMPUTED_VALUE"""),48.55)</f>
        <v>48.55</v>
      </c>
      <c r="Q399" s="11">
        <f>IFERROR(__xludf.DUMMYFUNCTION("""COMPUTED_VALUE"""),43628.66666666667)</f>
        <v>43628.66667</v>
      </c>
      <c r="R399" s="9">
        <f>IFERROR(__xludf.DUMMYFUNCTION("""COMPUTED_VALUE"""),178.38)</f>
        <v>178.38</v>
      </c>
      <c r="S399" s="11">
        <f>IFERROR(__xludf.DUMMYFUNCTION("""COMPUTED_VALUE"""),43628.66666666667)</f>
        <v>43628.66667</v>
      </c>
      <c r="T399" s="9">
        <f>IFERROR(__xludf.DUMMYFUNCTION("""COMPUTED_VALUE"""),175.04)</f>
        <v>175.04</v>
      </c>
      <c r="V399" s="11">
        <f>IFERROR(__xludf.DUMMYFUNCTION("""COMPUTED_VALUE"""),43628.66666666667)</f>
        <v>43628.66667</v>
      </c>
      <c r="W399" s="9">
        <f>IFERROR(__xludf.DUMMYFUNCTION("""COMPUTED_VALUE"""),351.82)</f>
        <v>351.82</v>
      </c>
      <c r="X399" s="11">
        <f>IFERROR(__xludf.DUMMYFUNCTION("""COMPUTED_VALUE"""),43628.66666666667)</f>
        <v>43628.66667</v>
      </c>
      <c r="Y399" s="9">
        <f>IFERROR(__xludf.DUMMYFUNCTION("""COMPUTED_VALUE"""),345.56)</f>
        <v>345.56</v>
      </c>
      <c r="AA399" s="11">
        <f>IFERROR(__xludf.DUMMYFUNCTION("""COMPUTED_VALUE"""),43628.66666666667)</f>
        <v>43628.66667</v>
      </c>
      <c r="AB399" s="9">
        <f>IFERROR(__xludf.DUMMYFUNCTION("""COMPUTED_VALUE"""),1853.98)</f>
        <v>1853.98</v>
      </c>
      <c r="AC399" s="11">
        <f>IFERROR(__xludf.DUMMYFUNCTION("""COMPUTED_VALUE"""),43628.66666666667)</f>
        <v>43628.66667</v>
      </c>
      <c r="AD399" s="9">
        <f>IFERROR(__xludf.DUMMYFUNCTION("""COMPUTED_VALUE"""),1855.32)</f>
        <v>1855.32</v>
      </c>
    </row>
    <row r="400">
      <c r="B400" s="11">
        <f>IFERROR(__xludf.DUMMYFUNCTION("""COMPUTED_VALUE"""),43629.66666666667)</f>
        <v>43629.66667</v>
      </c>
      <c r="C400" s="9">
        <f>IFERROR(__xludf.DUMMYFUNCTION("""COMPUTED_VALUE"""),42.08)</f>
        <v>42.08</v>
      </c>
      <c r="D400" s="11">
        <f>IFERROR(__xludf.DUMMYFUNCTION("""COMPUTED_VALUE"""),43629.66666666667)</f>
        <v>43629.66667</v>
      </c>
      <c r="E400" s="9">
        <f>IFERROR(__xludf.DUMMYFUNCTION("""COMPUTED_VALUE"""),42.78)</f>
        <v>42.78</v>
      </c>
      <c r="G400" s="11">
        <f>IFERROR(__xludf.DUMMYFUNCTION("""COMPUTED_VALUE"""),43629.66666666667)</f>
        <v>43629.66667</v>
      </c>
      <c r="H400" s="9">
        <f>IFERROR(__xludf.DUMMYFUNCTION("""COMPUTED_VALUE"""),1083.64)</f>
        <v>1083.64</v>
      </c>
      <c r="I400" s="11">
        <f>IFERROR(__xludf.DUMMYFUNCTION("""COMPUTED_VALUE"""),43629.66666666667)</f>
        <v>43629.66667</v>
      </c>
      <c r="J400" s="9">
        <f>IFERROR(__xludf.DUMMYFUNCTION("""COMPUTED_VALUE"""),1088.77)</f>
        <v>1088.77</v>
      </c>
      <c r="L400" s="11">
        <f>IFERROR(__xludf.DUMMYFUNCTION("""COMPUTED_VALUE"""),43629.66666666667)</f>
        <v>43629.66667</v>
      </c>
      <c r="M400" s="9">
        <f>IFERROR(__xludf.DUMMYFUNCTION("""COMPUTED_VALUE"""),48.68)</f>
        <v>48.68</v>
      </c>
      <c r="N400" s="11">
        <f>IFERROR(__xludf.DUMMYFUNCTION("""COMPUTED_VALUE"""),43629.66666666667)</f>
        <v>43629.66667</v>
      </c>
      <c r="O400" s="9">
        <f>IFERROR(__xludf.DUMMYFUNCTION("""COMPUTED_VALUE"""),48.54)</f>
        <v>48.54</v>
      </c>
      <c r="Q400" s="11">
        <f>IFERROR(__xludf.DUMMYFUNCTION("""COMPUTED_VALUE"""),43629.66666666667)</f>
        <v>43629.66667</v>
      </c>
      <c r="R400" s="9">
        <f>IFERROR(__xludf.DUMMYFUNCTION("""COMPUTED_VALUE"""),175.53)</f>
        <v>175.53</v>
      </c>
      <c r="S400" s="11">
        <f>IFERROR(__xludf.DUMMYFUNCTION("""COMPUTED_VALUE"""),43629.66666666667)</f>
        <v>43629.66667</v>
      </c>
      <c r="T400" s="9">
        <f>IFERROR(__xludf.DUMMYFUNCTION("""COMPUTED_VALUE"""),177.47)</f>
        <v>177.47</v>
      </c>
      <c r="V400" s="11">
        <f>IFERROR(__xludf.DUMMYFUNCTION("""COMPUTED_VALUE"""),43629.66666666667)</f>
        <v>43629.66667</v>
      </c>
      <c r="W400" s="9">
        <f>IFERROR(__xludf.DUMMYFUNCTION("""COMPUTED_VALUE"""),347.23)</f>
        <v>347.23</v>
      </c>
      <c r="X400" s="11">
        <f>IFERROR(__xludf.DUMMYFUNCTION("""COMPUTED_VALUE"""),43629.66666666667)</f>
        <v>43629.66667</v>
      </c>
      <c r="Y400" s="9">
        <f>IFERROR(__xludf.DUMMYFUNCTION("""COMPUTED_VALUE"""),343.43)</f>
        <v>343.43</v>
      </c>
      <c r="AA400" s="11">
        <f>IFERROR(__xludf.DUMMYFUNCTION("""COMPUTED_VALUE"""),43629.66666666667)</f>
        <v>43629.66667</v>
      </c>
      <c r="AB400" s="9">
        <f>IFERROR(__xludf.DUMMYFUNCTION("""COMPUTED_VALUE"""),1866.72)</f>
        <v>1866.72</v>
      </c>
      <c r="AC400" s="11">
        <f>IFERROR(__xludf.DUMMYFUNCTION("""COMPUTED_VALUE"""),43629.66666666667)</f>
        <v>43629.66667</v>
      </c>
      <c r="AD400" s="9">
        <f>IFERROR(__xludf.DUMMYFUNCTION("""COMPUTED_VALUE"""),1870.3)</f>
        <v>1870.3</v>
      </c>
    </row>
    <row r="401">
      <c r="B401" s="11">
        <f>IFERROR(__xludf.DUMMYFUNCTION("""COMPUTED_VALUE"""),43630.66666666667)</f>
        <v>43630.66667</v>
      </c>
      <c r="C401" s="9">
        <f>IFERROR(__xludf.DUMMYFUNCTION("""COMPUTED_VALUE"""),42.25)</f>
        <v>42.25</v>
      </c>
      <c r="D401" s="11">
        <f>IFERROR(__xludf.DUMMYFUNCTION("""COMPUTED_VALUE"""),43630.66666666667)</f>
        <v>43630.66667</v>
      </c>
      <c r="E401" s="9">
        <f>IFERROR(__xludf.DUMMYFUNCTION("""COMPUTED_VALUE"""),42.98)</f>
        <v>42.98</v>
      </c>
      <c r="G401" s="11">
        <f>IFERROR(__xludf.DUMMYFUNCTION("""COMPUTED_VALUE"""),43630.66666666667)</f>
        <v>43630.66667</v>
      </c>
      <c r="H401" s="9">
        <f>IFERROR(__xludf.DUMMYFUNCTION("""COMPUTED_VALUE"""),1086.42)</f>
        <v>1086.42</v>
      </c>
      <c r="I401" s="11">
        <f>IFERROR(__xludf.DUMMYFUNCTION("""COMPUTED_VALUE"""),43630.66666666667)</f>
        <v>43630.66667</v>
      </c>
      <c r="J401" s="9">
        <f>IFERROR(__xludf.DUMMYFUNCTION("""COMPUTED_VALUE"""),1085.35)</f>
        <v>1085.35</v>
      </c>
      <c r="L401" s="11">
        <f>IFERROR(__xludf.DUMMYFUNCTION("""COMPUTED_VALUE"""),43630.66666666667)</f>
        <v>43630.66667</v>
      </c>
      <c r="M401" s="9">
        <f>IFERROR(__xludf.DUMMYFUNCTION("""COMPUTED_VALUE"""),47.89)</f>
        <v>47.89</v>
      </c>
      <c r="N401" s="11">
        <f>IFERROR(__xludf.DUMMYFUNCTION("""COMPUTED_VALUE"""),43630.66666666667)</f>
        <v>43630.66667</v>
      </c>
      <c r="O401" s="9">
        <f>IFERROR(__xludf.DUMMYFUNCTION("""COMPUTED_VALUE"""),48.19)</f>
        <v>48.19</v>
      </c>
      <c r="Q401" s="11">
        <f>IFERROR(__xludf.DUMMYFUNCTION("""COMPUTED_VALUE"""),43630.66666666667)</f>
        <v>43630.66667</v>
      </c>
      <c r="R401" s="9">
        <f>IFERROR(__xludf.DUMMYFUNCTION("""COMPUTED_VALUE"""),180.51)</f>
        <v>180.51</v>
      </c>
      <c r="S401" s="11">
        <f>IFERROR(__xludf.DUMMYFUNCTION("""COMPUTED_VALUE"""),43630.66666666667)</f>
        <v>43630.66667</v>
      </c>
      <c r="T401" s="9">
        <f>IFERROR(__xludf.DUMMYFUNCTION("""COMPUTED_VALUE"""),181.33)</f>
        <v>181.33</v>
      </c>
      <c r="V401" s="11">
        <f>IFERROR(__xludf.DUMMYFUNCTION("""COMPUTED_VALUE"""),43630.66666666667)</f>
        <v>43630.66667</v>
      </c>
      <c r="W401" s="9">
        <f>IFERROR(__xludf.DUMMYFUNCTION("""COMPUTED_VALUE"""),341.63)</f>
        <v>341.63</v>
      </c>
      <c r="X401" s="11">
        <f>IFERROR(__xludf.DUMMYFUNCTION("""COMPUTED_VALUE"""),43630.66666666667)</f>
        <v>43630.66667</v>
      </c>
      <c r="Y401" s="9">
        <f>IFERROR(__xludf.DUMMYFUNCTION("""COMPUTED_VALUE"""),339.73)</f>
        <v>339.73</v>
      </c>
      <c r="AA401" s="11">
        <f>IFERROR(__xludf.DUMMYFUNCTION("""COMPUTED_VALUE"""),43630.66666666667)</f>
        <v>43630.66667</v>
      </c>
      <c r="AB401" s="9">
        <f>IFERROR(__xludf.DUMMYFUNCTION("""COMPUTED_VALUE"""),1864.0)</f>
        <v>1864</v>
      </c>
      <c r="AC401" s="11">
        <f>IFERROR(__xludf.DUMMYFUNCTION("""COMPUTED_VALUE"""),43630.66666666667)</f>
        <v>43630.66667</v>
      </c>
      <c r="AD401" s="9">
        <f>IFERROR(__xludf.DUMMYFUNCTION("""COMPUTED_VALUE"""),1869.67)</f>
        <v>1869.67</v>
      </c>
    </row>
    <row r="402">
      <c r="B402" s="11">
        <f>IFERROR(__xludf.DUMMYFUNCTION("""COMPUTED_VALUE"""),43633.66666666667)</f>
        <v>43633.66667</v>
      </c>
      <c r="C402" s="9">
        <f>IFERROR(__xludf.DUMMYFUNCTION("""COMPUTED_VALUE"""),43.1)</f>
        <v>43.1</v>
      </c>
      <c r="D402" s="11">
        <f>IFERROR(__xludf.DUMMYFUNCTION("""COMPUTED_VALUE"""),43633.66666666667)</f>
        <v>43633.66667</v>
      </c>
      <c r="E402" s="9">
        <f>IFERROR(__xludf.DUMMYFUNCTION("""COMPUTED_VALUE"""),45.01)</f>
        <v>45.01</v>
      </c>
      <c r="G402" s="11">
        <f>IFERROR(__xludf.DUMMYFUNCTION("""COMPUTED_VALUE"""),43633.66666666667)</f>
        <v>43633.66667</v>
      </c>
      <c r="H402" s="9">
        <f>IFERROR(__xludf.DUMMYFUNCTION("""COMPUTED_VALUE"""),1086.28)</f>
        <v>1086.28</v>
      </c>
      <c r="I402" s="11">
        <f>IFERROR(__xludf.DUMMYFUNCTION("""COMPUTED_VALUE"""),43633.66666666667)</f>
        <v>43633.66667</v>
      </c>
      <c r="J402" s="9">
        <f>IFERROR(__xludf.DUMMYFUNCTION("""COMPUTED_VALUE"""),1092.5)</f>
        <v>1092.5</v>
      </c>
      <c r="L402" s="11">
        <f>IFERROR(__xludf.DUMMYFUNCTION("""COMPUTED_VALUE"""),43633.66666666667)</f>
        <v>43633.66667</v>
      </c>
      <c r="M402" s="9">
        <f>IFERROR(__xludf.DUMMYFUNCTION("""COMPUTED_VALUE"""),48.23)</f>
        <v>48.23</v>
      </c>
      <c r="N402" s="11">
        <f>IFERROR(__xludf.DUMMYFUNCTION("""COMPUTED_VALUE"""),43633.66666666667)</f>
        <v>43633.66667</v>
      </c>
      <c r="O402" s="9">
        <f>IFERROR(__xludf.DUMMYFUNCTION("""COMPUTED_VALUE"""),48.47)</f>
        <v>48.47</v>
      </c>
      <c r="Q402" s="11">
        <f>IFERROR(__xludf.DUMMYFUNCTION("""COMPUTED_VALUE"""),43633.66666666667)</f>
        <v>43633.66667</v>
      </c>
      <c r="R402" s="9">
        <f>IFERROR(__xludf.DUMMYFUNCTION("""COMPUTED_VALUE"""),185.01)</f>
        <v>185.01</v>
      </c>
      <c r="S402" s="11">
        <f>IFERROR(__xludf.DUMMYFUNCTION("""COMPUTED_VALUE"""),43633.66666666667)</f>
        <v>43633.66667</v>
      </c>
      <c r="T402" s="9">
        <f>IFERROR(__xludf.DUMMYFUNCTION("""COMPUTED_VALUE"""),189.01)</f>
        <v>189.01</v>
      </c>
      <c r="V402" s="11">
        <f>IFERROR(__xludf.DUMMYFUNCTION("""COMPUTED_VALUE"""),43633.66666666667)</f>
        <v>43633.66667</v>
      </c>
      <c r="W402" s="9">
        <f>IFERROR(__xludf.DUMMYFUNCTION("""COMPUTED_VALUE"""),342.69)</f>
        <v>342.69</v>
      </c>
      <c r="X402" s="11">
        <f>IFERROR(__xludf.DUMMYFUNCTION("""COMPUTED_VALUE"""),43633.66666666667)</f>
        <v>43633.66667</v>
      </c>
      <c r="Y402" s="9">
        <f>IFERROR(__xludf.DUMMYFUNCTION("""COMPUTED_VALUE"""),350.62)</f>
        <v>350.62</v>
      </c>
      <c r="AA402" s="11">
        <f>IFERROR(__xludf.DUMMYFUNCTION("""COMPUTED_VALUE"""),43633.66666666667)</f>
        <v>43633.66667</v>
      </c>
      <c r="AB402" s="9">
        <f>IFERROR(__xludf.DUMMYFUNCTION("""COMPUTED_VALUE"""),1876.5)</f>
        <v>1876.5</v>
      </c>
      <c r="AC402" s="11">
        <f>IFERROR(__xludf.DUMMYFUNCTION("""COMPUTED_VALUE"""),43633.66666666667)</f>
        <v>43633.66667</v>
      </c>
      <c r="AD402" s="9">
        <f>IFERROR(__xludf.DUMMYFUNCTION("""COMPUTED_VALUE"""),1886.03)</f>
        <v>1886.03</v>
      </c>
    </row>
    <row r="403">
      <c r="B403" s="11">
        <f>IFERROR(__xludf.DUMMYFUNCTION("""COMPUTED_VALUE"""),43634.66666666667)</f>
        <v>43634.66667</v>
      </c>
      <c r="C403" s="9">
        <f>IFERROR(__xludf.DUMMYFUNCTION("""COMPUTED_VALUE"""),45.74)</f>
        <v>45.74</v>
      </c>
      <c r="D403" s="11">
        <f>IFERROR(__xludf.DUMMYFUNCTION("""COMPUTED_VALUE"""),43634.66666666667)</f>
        <v>43634.66667</v>
      </c>
      <c r="E403" s="9">
        <f>IFERROR(__xludf.DUMMYFUNCTION("""COMPUTED_VALUE"""),44.95)</f>
        <v>44.95</v>
      </c>
      <c r="G403" s="11">
        <f>IFERROR(__xludf.DUMMYFUNCTION("""COMPUTED_VALUE"""),43634.66666666667)</f>
        <v>43634.66667</v>
      </c>
      <c r="H403" s="9">
        <f>IFERROR(__xludf.DUMMYFUNCTION("""COMPUTED_VALUE"""),1109.69)</f>
        <v>1109.69</v>
      </c>
      <c r="I403" s="11">
        <f>IFERROR(__xludf.DUMMYFUNCTION("""COMPUTED_VALUE"""),43634.66666666667)</f>
        <v>43634.66667</v>
      </c>
      <c r="J403" s="9">
        <f>IFERROR(__xludf.DUMMYFUNCTION("""COMPUTED_VALUE"""),1103.6)</f>
        <v>1103.6</v>
      </c>
      <c r="L403" s="11">
        <f>IFERROR(__xludf.DUMMYFUNCTION("""COMPUTED_VALUE"""),43634.66666666667)</f>
        <v>43634.66667</v>
      </c>
      <c r="M403" s="9">
        <f>IFERROR(__xludf.DUMMYFUNCTION("""COMPUTED_VALUE"""),49.01)</f>
        <v>49.01</v>
      </c>
      <c r="N403" s="11">
        <f>IFERROR(__xludf.DUMMYFUNCTION("""COMPUTED_VALUE"""),43634.66666666667)</f>
        <v>43634.66667</v>
      </c>
      <c r="O403" s="9">
        <f>IFERROR(__xludf.DUMMYFUNCTION("""COMPUTED_VALUE"""),49.61)</f>
        <v>49.61</v>
      </c>
      <c r="Q403" s="11">
        <f>IFERROR(__xludf.DUMMYFUNCTION("""COMPUTED_VALUE"""),43634.66666666667)</f>
        <v>43634.66667</v>
      </c>
      <c r="R403" s="9">
        <f>IFERROR(__xludf.DUMMYFUNCTION("""COMPUTED_VALUE"""),194.0)</f>
        <v>194</v>
      </c>
      <c r="S403" s="11">
        <f>IFERROR(__xludf.DUMMYFUNCTION("""COMPUTED_VALUE"""),43634.66666666667)</f>
        <v>43634.66667</v>
      </c>
      <c r="T403" s="9">
        <f>IFERROR(__xludf.DUMMYFUNCTION("""COMPUTED_VALUE"""),188.47)</f>
        <v>188.47</v>
      </c>
      <c r="V403" s="11">
        <f>IFERROR(__xludf.DUMMYFUNCTION("""COMPUTED_VALUE"""),43634.66666666667)</f>
        <v>43634.66667</v>
      </c>
      <c r="W403" s="9">
        <f>IFERROR(__xludf.DUMMYFUNCTION("""COMPUTED_VALUE"""),355.57)</f>
        <v>355.57</v>
      </c>
      <c r="X403" s="11">
        <f>IFERROR(__xludf.DUMMYFUNCTION("""COMPUTED_VALUE"""),43634.66666666667)</f>
        <v>43634.66667</v>
      </c>
      <c r="Y403" s="9">
        <f>IFERROR(__xludf.DUMMYFUNCTION("""COMPUTED_VALUE"""),357.12)</f>
        <v>357.12</v>
      </c>
      <c r="AA403" s="11">
        <f>IFERROR(__xludf.DUMMYFUNCTION("""COMPUTED_VALUE"""),43634.66666666667)</f>
        <v>43634.66667</v>
      </c>
      <c r="AB403" s="9">
        <f>IFERROR(__xludf.DUMMYFUNCTION("""COMPUTED_VALUE"""),1901.35)</f>
        <v>1901.35</v>
      </c>
      <c r="AC403" s="11">
        <f>IFERROR(__xludf.DUMMYFUNCTION("""COMPUTED_VALUE"""),43634.66666666667)</f>
        <v>43634.66667</v>
      </c>
      <c r="AD403" s="9">
        <f>IFERROR(__xludf.DUMMYFUNCTION("""COMPUTED_VALUE"""),1901.37)</f>
        <v>1901.37</v>
      </c>
    </row>
    <row r="404">
      <c r="B404" s="11">
        <f>IFERROR(__xludf.DUMMYFUNCTION("""COMPUTED_VALUE"""),43635.66666666667)</f>
        <v>43635.66667</v>
      </c>
      <c r="C404" s="9">
        <f>IFERROR(__xludf.DUMMYFUNCTION("""COMPUTED_VALUE"""),45.02)</f>
        <v>45.02</v>
      </c>
      <c r="D404" s="11">
        <f>IFERROR(__xludf.DUMMYFUNCTION("""COMPUTED_VALUE"""),43635.66666666667)</f>
        <v>43635.66667</v>
      </c>
      <c r="E404" s="9">
        <f>IFERROR(__xludf.DUMMYFUNCTION("""COMPUTED_VALUE"""),45.29)</f>
        <v>45.29</v>
      </c>
      <c r="G404" s="11">
        <f>IFERROR(__xludf.DUMMYFUNCTION("""COMPUTED_VALUE"""),43635.66666666667)</f>
        <v>43635.66667</v>
      </c>
      <c r="H404" s="9">
        <f>IFERROR(__xludf.DUMMYFUNCTION("""COMPUTED_VALUE"""),1105.6)</f>
        <v>1105.6</v>
      </c>
      <c r="I404" s="11">
        <f>IFERROR(__xludf.DUMMYFUNCTION("""COMPUTED_VALUE"""),43635.66666666667)</f>
        <v>43635.66667</v>
      </c>
      <c r="J404" s="9">
        <f>IFERROR(__xludf.DUMMYFUNCTION("""COMPUTED_VALUE"""),1102.33)</f>
        <v>1102.33</v>
      </c>
      <c r="L404" s="11">
        <f>IFERROR(__xludf.DUMMYFUNCTION("""COMPUTED_VALUE"""),43635.66666666667)</f>
        <v>43635.66667</v>
      </c>
      <c r="M404" s="9">
        <f>IFERROR(__xludf.DUMMYFUNCTION("""COMPUTED_VALUE"""),49.92)</f>
        <v>49.92</v>
      </c>
      <c r="N404" s="11">
        <f>IFERROR(__xludf.DUMMYFUNCTION("""COMPUTED_VALUE"""),43635.66666666667)</f>
        <v>43635.66667</v>
      </c>
      <c r="O404" s="9">
        <f>IFERROR(__xludf.DUMMYFUNCTION("""COMPUTED_VALUE"""),49.47)</f>
        <v>49.47</v>
      </c>
      <c r="Q404" s="11">
        <f>IFERROR(__xludf.DUMMYFUNCTION("""COMPUTED_VALUE"""),43635.66666666667)</f>
        <v>43635.66667</v>
      </c>
      <c r="R404" s="9">
        <f>IFERROR(__xludf.DUMMYFUNCTION("""COMPUTED_VALUE"""),187.0)</f>
        <v>187</v>
      </c>
      <c r="S404" s="11">
        <f>IFERROR(__xludf.DUMMYFUNCTION("""COMPUTED_VALUE"""),43635.66666666667)</f>
        <v>43635.66667</v>
      </c>
      <c r="T404" s="9">
        <f>IFERROR(__xludf.DUMMYFUNCTION("""COMPUTED_VALUE"""),187.48)</f>
        <v>187.48</v>
      </c>
      <c r="V404" s="11">
        <f>IFERROR(__xludf.DUMMYFUNCTION("""COMPUTED_VALUE"""),43635.66666666667)</f>
        <v>43635.66667</v>
      </c>
      <c r="W404" s="9">
        <f>IFERROR(__xludf.DUMMYFUNCTION("""COMPUTED_VALUE"""),361.72)</f>
        <v>361.72</v>
      </c>
      <c r="X404" s="11">
        <f>IFERROR(__xludf.DUMMYFUNCTION("""COMPUTED_VALUE"""),43635.66666666667)</f>
        <v>43635.66667</v>
      </c>
      <c r="Y404" s="9">
        <f>IFERROR(__xludf.DUMMYFUNCTION("""COMPUTED_VALUE"""),363.52)</f>
        <v>363.52</v>
      </c>
      <c r="AA404" s="11">
        <f>IFERROR(__xludf.DUMMYFUNCTION("""COMPUTED_VALUE"""),43635.66666666667)</f>
        <v>43635.66667</v>
      </c>
      <c r="AB404" s="9">
        <f>IFERROR(__xludf.DUMMYFUNCTION("""COMPUTED_VALUE"""),1907.84)</f>
        <v>1907.84</v>
      </c>
      <c r="AC404" s="11">
        <f>IFERROR(__xludf.DUMMYFUNCTION("""COMPUTED_VALUE"""),43635.66666666667)</f>
        <v>43635.66667</v>
      </c>
      <c r="AD404" s="9">
        <f>IFERROR(__xludf.DUMMYFUNCTION("""COMPUTED_VALUE"""),1908.79)</f>
        <v>1908.79</v>
      </c>
    </row>
    <row r="405">
      <c r="B405" s="11">
        <f>IFERROR(__xludf.DUMMYFUNCTION("""COMPUTED_VALUE"""),43636.66666666667)</f>
        <v>43636.66667</v>
      </c>
      <c r="C405" s="9">
        <f>IFERROR(__xludf.DUMMYFUNCTION("""COMPUTED_VALUE"""),44.6)</f>
        <v>44.6</v>
      </c>
      <c r="D405" s="11">
        <f>IFERROR(__xludf.DUMMYFUNCTION("""COMPUTED_VALUE"""),43636.66666666667)</f>
        <v>43636.66667</v>
      </c>
      <c r="E405" s="9">
        <f>IFERROR(__xludf.DUMMYFUNCTION("""COMPUTED_VALUE"""),43.92)</f>
        <v>43.92</v>
      </c>
      <c r="G405" s="11">
        <f>IFERROR(__xludf.DUMMYFUNCTION("""COMPUTED_VALUE"""),43636.66666666667)</f>
        <v>43636.66667</v>
      </c>
      <c r="H405" s="9">
        <f>IFERROR(__xludf.DUMMYFUNCTION("""COMPUTED_VALUE"""),1119.99)</f>
        <v>1119.99</v>
      </c>
      <c r="I405" s="11">
        <f>IFERROR(__xludf.DUMMYFUNCTION("""COMPUTED_VALUE"""),43636.66666666667)</f>
        <v>43636.66667</v>
      </c>
      <c r="J405" s="9">
        <f>IFERROR(__xludf.DUMMYFUNCTION("""COMPUTED_VALUE"""),1111.42)</f>
        <v>1111.42</v>
      </c>
      <c r="L405" s="11">
        <f>IFERROR(__xludf.DUMMYFUNCTION("""COMPUTED_VALUE"""),43636.66666666667)</f>
        <v>43636.66667</v>
      </c>
      <c r="M405" s="9">
        <f>IFERROR(__xludf.DUMMYFUNCTION("""COMPUTED_VALUE"""),50.09)</f>
        <v>50.09</v>
      </c>
      <c r="N405" s="11">
        <f>IFERROR(__xludf.DUMMYFUNCTION("""COMPUTED_VALUE"""),43636.66666666667)</f>
        <v>43636.66667</v>
      </c>
      <c r="O405" s="9">
        <f>IFERROR(__xludf.DUMMYFUNCTION("""COMPUTED_VALUE"""),49.87)</f>
        <v>49.87</v>
      </c>
      <c r="Q405" s="11">
        <f>IFERROR(__xludf.DUMMYFUNCTION("""COMPUTED_VALUE"""),43636.66666666667)</f>
        <v>43636.66667</v>
      </c>
      <c r="R405" s="9">
        <f>IFERROR(__xludf.DUMMYFUNCTION("""COMPUTED_VALUE"""),190.95)</f>
        <v>190.95</v>
      </c>
      <c r="S405" s="11">
        <f>IFERROR(__xludf.DUMMYFUNCTION("""COMPUTED_VALUE"""),43636.66666666667)</f>
        <v>43636.66667</v>
      </c>
      <c r="T405" s="9">
        <f>IFERROR(__xludf.DUMMYFUNCTION("""COMPUTED_VALUE"""),189.53)</f>
        <v>189.53</v>
      </c>
      <c r="V405" s="11">
        <f>IFERROR(__xludf.DUMMYFUNCTION("""COMPUTED_VALUE"""),43636.66666666667)</f>
        <v>43636.66667</v>
      </c>
      <c r="W405" s="9">
        <f>IFERROR(__xludf.DUMMYFUNCTION("""COMPUTED_VALUE"""),365.91)</f>
        <v>365.91</v>
      </c>
      <c r="X405" s="11">
        <f>IFERROR(__xludf.DUMMYFUNCTION("""COMPUTED_VALUE"""),43636.66666666667)</f>
        <v>43636.66667</v>
      </c>
      <c r="Y405" s="9">
        <f>IFERROR(__xludf.DUMMYFUNCTION("""COMPUTED_VALUE"""),365.21)</f>
        <v>365.21</v>
      </c>
      <c r="AA405" s="11">
        <f>IFERROR(__xludf.DUMMYFUNCTION("""COMPUTED_VALUE"""),43636.66666666667)</f>
        <v>43636.66667</v>
      </c>
      <c r="AB405" s="9">
        <f>IFERROR(__xludf.DUMMYFUNCTION("""COMPUTED_VALUE"""),1933.33)</f>
        <v>1933.33</v>
      </c>
      <c r="AC405" s="11">
        <f>IFERROR(__xludf.DUMMYFUNCTION("""COMPUTED_VALUE"""),43636.66666666667)</f>
        <v>43636.66667</v>
      </c>
      <c r="AD405" s="9">
        <f>IFERROR(__xludf.DUMMYFUNCTION("""COMPUTED_VALUE"""),1918.19)</f>
        <v>1918.19</v>
      </c>
    </row>
    <row r="406">
      <c r="B406" s="11">
        <f>IFERROR(__xludf.DUMMYFUNCTION("""COMPUTED_VALUE"""),43637.66666666667)</f>
        <v>43637.66667</v>
      </c>
      <c r="C406" s="9">
        <f>IFERROR(__xludf.DUMMYFUNCTION("""COMPUTED_VALUE"""),43.24)</f>
        <v>43.24</v>
      </c>
      <c r="D406" s="11">
        <f>IFERROR(__xludf.DUMMYFUNCTION("""COMPUTED_VALUE"""),43637.66666666667)</f>
        <v>43637.66667</v>
      </c>
      <c r="E406" s="9">
        <f>IFERROR(__xludf.DUMMYFUNCTION("""COMPUTED_VALUE"""),44.37)</f>
        <v>44.37</v>
      </c>
      <c r="G406" s="11">
        <f>IFERROR(__xludf.DUMMYFUNCTION("""COMPUTED_VALUE"""),43637.66666666667)</f>
        <v>43637.66667</v>
      </c>
      <c r="H406" s="9">
        <f>IFERROR(__xludf.DUMMYFUNCTION("""COMPUTED_VALUE"""),1109.24)</f>
        <v>1109.24</v>
      </c>
      <c r="I406" s="11">
        <f>IFERROR(__xludf.DUMMYFUNCTION("""COMPUTED_VALUE"""),43637.66666666667)</f>
        <v>43637.66667</v>
      </c>
      <c r="J406" s="9">
        <f>IFERROR(__xludf.DUMMYFUNCTION("""COMPUTED_VALUE"""),1121.88)</f>
        <v>1121.88</v>
      </c>
      <c r="L406" s="11">
        <f>IFERROR(__xludf.DUMMYFUNCTION("""COMPUTED_VALUE"""),43637.66666666667)</f>
        <v>43637.66667</v>
      </c>
      <c r="M406" s="9">
        <f>IFERROR(__xludf.DUMMYFUNCTION("""COMPUTED_VALUE"""),49.7)</f>
        <v>49.7</v>
      </c>
      <c r="N406" s="11">
        <f>IFERROR(__xludf.DUMMYFUNCTION("""COMPUTED_VALUE"""),43637.66666666667)</f>
        <v>43637.66667</v>
      </c>
      <c r="O406" s="9">
        <f>IFERROR(__xludf.DUMMYFUNCTION("""COMPUTED_VALUE"""),49.7)</f>
        <v>49.7</v>
      </c>
      <c r="Q406" s="11">
        <f>IFERROR(__xludf.DUMMYFUNCTION("""COMPUTED_VALUE"""),43637.66666666667)</f>
        <v>43637.66667</v>
      </c>
      <c r="R406" s="9">
        <f>IFERROR(__xludf.DUMMYFUNCTION("""COMPUTED_VALUE"""),188.75)</f>
        <v>188.75</v>
      </c>
      <c r="S406" s="11">
        <f>IFERROR(__xludf.DUMMYFUNCTION("""COMPUTED_VALUE"""),43637.66666666667)</f>
        <v>43637.66667</v>
      </c>
      <c r="T406" s="9">
        <f>IFERROR(__xludf.DUMMYFUNCTION("""COMPUTED_VALUE"""),191.14)</f>
        <v>191.14</v>
      </c>
      <c r="V406" s="11">
        <f>IFERROR(__xludf.DUMMYFUNCTION("""COMPUTED_VALUE"""),43637.66666666667)</f>
        <v>43637.66667</v>
      </c>
      <c r="W406" s="9">
        <f>IFERROR(__xludf.DUMMYFUNCTION("""COMPUTED_VALUE"""),365.0)</f>
        <v>365</v>
      </c>
      <c r="X406" s="11">
        <f>IFERROR(__xludf.DUMMYFUNCTION("""COMPUTED_VALUE"""),43637.66666666667)</f>
        <v>43637.66667</v>
      </c>
      <c r="Y406" s="9">
        <f>IFERROR(__xludf.DUMMYFUNCTION("""COMPUTED_VALUE"""),369.21)</f>
        <v>369.21</v>
      </c>
      <c r="AA406" s="11">
        <f>IFERROR(__xludf.DUMMYFUNCTION("""COMPUTED_VALUE"""),43637.66666666667)</f>
        <v>43637.66667</v>
      </c>
      <c r="AB406" s="9">
        <f>IFERROR(__xludf.DUMMYFUNCTION("""COMPUTED_VALUE"""),1916.1)</f>
        <v>1916.1</v>
      </c>
      <c r="AC406" s="11">
        <f>IFERROR(__xludf.DUMMYFUNCTION("""COMPUTED_VALUE"""),43637.66666666667)</f>
        <v>43637.66667</v>
      </c>
      <c r="AD406" s="9">
        <f>IFERROR(__xludf.DUMMYFUNCTION("""COMPUTED_VALUE"""),1911.3)</f>
        <v>1911.3</v>
      </c>
    </row>
    <row r="407">
      <c r="B407" s="11">
        <f>IFERROR(__xludf.DUMMYFUNCTION("""COMPUTED_VALUE"""),43640.66666666667)</f>
        <v>43640.66667</v>
      </c>
      <c r="C407" s="9">
        <f>IFERROR(__xludf.DUMMYFUNCTION("""COMPUTED_VALUE"""),44.65)</f>
        <v>44.65</v>
      </c>
      <c r="D407" s="11">
        <f>IFERROR(__xludf.DUMMYFUNCTION("""COMPUTED_VALUE"""),43640.66666666667)</f>
        <v>43640.66667</v>
      </c>
      <c r="E407" s="9">
        <f>IFERROR(__xludf.DUMMYFUNCTION("""COMPUTED_VALUE"""),44.73)</f>
        <v>44.73</v>
      </c>
      <c r="G407" s="11">
        <f>IFERROR(__xludf.DUMMYFUNCTION("""COMPUTED_VALUE"""),43640.66666666667)</f>
        <v>43640.66667</v>
      </c>
      <c r="H407" s="9">
        <f>IFERROR(__xludf.DUMMYFUNCTION("""COMPUTED_VALUE"""),1119.61)</f>
        <v>1119.61</v>
      </c>
      <c r="I407" s="11">
        <f>IFERROR(__xludf.DUMMYFUNCTION("""COMPUTED_VALUE"""),43640.66666666667)</f>
        <v>43640.66667</v>
      </c>
      <c r="J407" s="9">
        <f>IFERROR(__xludf.DUMMYFUNCTION("""COMPUTED_VALUE"""),1115.52)</f>
        <v>1115.52</v>
      </c>
      <c r="L407" s="11">
        <f>IFERROR(__xludf.DUMMYFUNCTION("""COMPUTED_VALUE"""),43640.66666666667)</f>
        <v>43640.66667</v>
      </c>
      <c r="M407" s="9">
        <f>IFERROR(__xludf.DUMMYFUNCTION("""COMPUTED_VALUE"""),49.64)</f>
        <v>49.64</v>
      </c>
      <c r="N407" s="11">
        <f>IFERROR(__xludf.DUMMYFUNCTION("""COMPUTED_VALUE"""),43640.66666666667)</f>
        <v>43640.66667</v>
      </c>
      <c r="O407" s="9">
        <f>IFERROR(__xludf.DUMMYFUNCTION("""COMPUTED_VALUE"""),49.65)</f>
        <v>49.65</v>
      </c>
      <c r="Q407" s="11">
        <f>IFERROR(__xludf.DUMMYFUNCTION("""COMPUTED_VALUE"""),43640.66666666667)</f>
        <v>43640.66667</v>
      </c>
      <c r="R407" s="9">
        <f>IFERROR(__xludf.DUMMYFUNCTION("""COMPUTED_VALUE"""),192.42)</f>
        <v>192.42</v>
      </c>
      <c r="S407" s="11">
        <f>IFERROR(__xludf.DUMMYFUNCTION("""COMPUTED_VALUE"""),43640.66666666667)</f>
        <v>43640.66667</v>
      </c>
      <c r="T407" s="9">
        <f>IFERROR(__xludf.DUMMYFUNCTION("""COMPUTED_VALUE"""),192.6)</f>
        <v>192.6</v>
      </c>
      <c r="V407" s="11">
        <f>IFERROR(__xludf.DUMMYFUNCTION("""COMPUTED_VALUE"""),43640.66666666667)</f>
        <v>43640.66667</v>
      </c>
      <c r="W407" s="9">
        <f>IFERROR(__xludf.DUMMYFUNCTION("""COMPUTED_VALUE"""),370.27)</f>
        <v>370.27</v>
      </c>
      <c r="X407" s="11">
        <f>IFERROR(__xludf.DUMMYFUNCTION("""COMPUTED_VALUE"""),43640.66666666667)</f>
        <v>43640.66667</v>
      </c>
      <c r="Y407" s="9">
        <f>IFERROR(__xludf.DUMMYFUNCTION("""COMPUTED_VALUE"""),371.04)</f>
        <v>371.04</v>
      </c>
      <c r="AA407" s="11">
        <f>IFERROR(__xludf.DUMMYFUNCTION("""COMPUTED_VALUE"""),43640.66666666667)</f>
        <v>43640.66667</v>
      </c>
      <c r="AB407" s="9">
        <f>IFERROR(__xludf.DUMMYFUNCTION("""COMPUTED_VALUE"""),1912.66)</f>
        <v>1912.66</v>
      </c>
      <c r="AC407" s="11">
        <f>IFERROR(__xludf.DUMMYFUNCTION("""COMPUTED_VALUE"""),43640.66666666667)</f>
        <v>43640.66667</v>
      </c>
      <c r="AD407" s="9">
        <f>IFERROR(__xludf.DUMMYFUNCTION("""COMPUTED_VALUE"""),1913.9)</f>
        <v>1913.9</v>
      </c>
    </row>
    <row r="408">
      <c r="B408" s="11">
        <f>IFERROR(__xludf.DUMMYFUNCTION("""COMPUTED_VALUE"""),43641.66666666667)</f>
        <v>43641.66667</v>
      </c>
      <c r="C408" s="9">
        <f>IFERROR(__xludf.DUMMYFUNCTION("""COMPUTED_VALUE"""),44.88)</f>
        <v>44.88</v>
      </c>
      <c r="D408" s="11">
        <f>IFERROR(__xludf.DUMMYFUNCTION("""COMPUTED_VALUE"""),43641.66666666667)</f>
        <v>43641.66667</v>
      </c>
      <c r="E408" s="9">
        <f>IFERROR(__xludf.DUMMYFUNCTION("""COMPUTED_VALUE"""),43.95)</f>
        <v>43.95</v>
      </c>
      <c r="G408" s="11">
        <f>IFERROR(__xludf.DUMMYFUNCTION("""COMPUTED_VALUE"""),43641.66666666667)</f>
        <v>43641.66667</v>
      </c>
      <c r="H408" s="9">
        <f>IFERROR(__xludf.DUMMYFUNCTION("""COMPUTED_VALUE"""),1112.66)</f>
        <v>1112.66</v>
      </c>
      <c r="I408" s="11">
        <f>IFERROR(__xludf.DUMMYFUNCTION("""COMPUTED_VALUE"""),43641.66666666667)</f>
        <v>43641.66667</v>
      </c>
      <c r="J408" s="9">
        <f>IFERROR(__xludf.DUMMYFUNCTION("""COMPUTED_VALUE"""),1086.35)</f>
        <v>1086.35</v>
      </c>
      <c r="L408" s="11">
        <f>IFERROR(__xludf.DUMMYFUNCTION("""COMPUTED_VALUE"""),43641.66666666667)</f>
        <v>43641.66667</v>
      </c>
      <c r="M408" s="9">
        <f>IFERROR(__xludf.DUMMYFUNCTION("""COMPUTED_VALUE"""),49.61)</f>
        <v>49.61</v>
      </c>
      <c r="N408" s="11">
        <f>IFERROR(__xludf.DUMMYFUNCTION("""COMPUTED_VALUE"""),43641.66666666667)</f>
        <v>43641.66667</v>
      </c>
      <c r="O408" s="9">
        <f>IFERROR(__xludf.DUMMYFUNCTION("""COMPUTED_VALUE"""),48.89)</f>
        <v>48.89</v>
      </c>
      <c r="Q408" s="11">
        <f>IFERROR(__xludf.DUMMYFUNCTION("""COMPUTED_VALUE"""),43641.66666666667)</f>
        <v>43641.66667</v>
      </c>
      <c r="R408" s="9">
        <f>IFERROR(__xludf.DUMMYFUNCTION("""COMPUTED_VALUE"""),192.88)</f>
        <v>192.88</v>
      </c>
      <c r="S408" s="11">
        <f>IFERROR(__xludf.DUMMYFUNCTION("""COMPUTED_VALUE"""),43641.66666666667)</f>
        <v>43641.66667</v>
      </c>
      <c r="T408" s="9">
        <f>IFERROR(__xludf.DUMMYFUNCTION("""COMPUTED_VALUE"""),188.84)</f>
        <v>188.84</v>
      </c>
      <c r="V408" s="11">
        <f>IFERROR(__xludf.DUMMYFUNCTION("""COMPUTED_VALUE"""),43641.66666666667)</f>
        <v>43641.66667</v>
      </c>
      <c r="W408" s="9">
        <f>IFERROR(__xludf.DUMMYFUNCTION("""COMPUTED_VALUE"""),370.75)</f>
        <v>370.75</v>
      </c>
      <c r="X408" s="11">
        <f>IFERROR(__xludf.DUMMYFUNCTION("""COMPUTED_VALUE"""),43641.66666666667)</f>
        <v>43641.66667</v>
      </c>
      <c r="Y408" s="9">
        <f>IFERROR(__xludf.DUMMYFUNCTION("""COMPUTED_VALUE"""),360.3)</f>
        <v>360.3</v>
      </c>
      <c r="AA408" s="11">
        <f>IFERROR(__xludf.DUMMYFUNCTION("""COMPUTED_VALUE"""),43641.66666666667)</f>
        <v>43641.66667</v>
      </c>
      <c r="AB408" s="9">
        <f>IFERROR(__xludf.DUMMYFUNCTION("""COMPUTED_VALUE"""),1911.84)</f>
        <v>1911.84</v>
      </c>
      <c r="AC408" s="11">
        <f>IFERROR(__xludf.DUMMYFUNCTION("""COMPUTED_VALUE"""),43641.66666666667)</f>
        <v>43641.66667</v>
      </c>
      <c r="AD408" s="9">
        <f>IFERROR(__xludf.DUMMYFUNCTION("""COMPUTED_VALUE"""),1878.27)</f>
        <v>1878.27</v>
      </c>
    </row>
    <row r="409">
      <c r="B409" s="11">
        <f>IFERROR(__xludf.DUMMYFUNCTION("""COMPUTED_VALUE"""),43642.66666666667)</f>
        <v>43642.66667</v>
      </c>
      <c r="C409" s="9">
        <f>IFERROR(__xludf.DUMMYFUNCTION("""COMPUTED_VALUE"""),44.06)</f>
        <v>44.06</v>
      </c>
      <c r="D409" s="11">
        <f>IFERROR(__xludf.DUMMYFUNCTION("""COMPUTED_VALUE"""),43642.66666666667)</f>
        <v>43642.66667</v>
      </c>
      <c r="E409" s="9">
        <f>IFERROR(__xludf.DUMMYFUNCTION("""COMPUTED_VALUE"""),43.85)</f>
        <v>43.85</v>
      </c>
      <c r="G409" s="11">
        <f>IFERROR(__xludf.DUMMYFUNCTION("""COMPUTED_VALUE"""),43642.66666666667)</f>
        <v>43642.66667</v>
      </c>
      <c r="H409" s="9">
        <f>IFERROR(__xludf.DUMMYFUNCTION("""COMPUTED_VALUE"""),1086.5)</f>
        <v>1086.5</v>
      </c>
      <c r="I409" s="11">
        <f>IFERROR(__xludf.DUMMYFUNCTION("""COMPUTED_VALUE"""),43642.66666666667)</f>
        <v>43642.66667</v>
      </c>
      <c r="J409" s="9">
        <f>IFERROR(__xludf.DUMMYFUNCTION("""COMPUTED_VALUE"""),1079.8)</f>
        <v>1079.8</v>
      </c>
      <c r="L409" s="11">
        <f>IFERROR(__xludf.DUMMYFUNCTION("""COMPUTED_VALUE"""),43642.66666666667)</f>
        <v>43642.66667</v>
      </c>
      <c r="M409" s="9">
        <f>IFERROR(__xludf.DUMMYFUNCTION("""COMPUTED_VALUE"""),49.44)</f>
        <v>49.44</v>
      </c>
      <c r="N409" s="11">
        <f>IFERROR(__xludf.DUMMYFUNCTION("""COMPUTED_VALUE"""),43642.66666666667)</f>
        <v>43642.66667</v>
      </c>
      <c r="O409" s="9">
        <f>IFERROR(__xludf.DUMMYFUNCTION("""COMPUTED_VALUE"""),49.95)</f>
        <v>49.95</v>
      </c>
      <c r="Q409" s="11">
        <f>IFERROR(__xludf.DUMMYFUNCTION("""COMPUTED_VALUE"""),43642.66666666667)</f>
        <v>43642.66667</v>
      </c>
      <c r="R409" s="9">
        <f>IFERROR(__xludf.DUMMYFUNCTION("""COMPUTED_VALUE"""),189.54)</f>
        <v>189.54</v>
      </c>
      <c r="S409" s="11">
        <f>IFERROR(__xludf.DUMMYFUNCTION("""COMPUTED_VALUE"""),43642.66666666667)</f>
        <v>43642.66667</v>
      </c>
      <c r="T409" s="9">
        <f>IFERROR(__xludf.DUMMYFUNCTION("""COMPUTED_VALUE"""),187.66)</f>
        <v>187.66</v>
      </c>
      <c r="V409" s="11">
        <f>IFERROR(__xludf.DUMMYFUNCTION("""COMPUTED_VALUE"""),43642.66666666667)</f>
        <v>43642.66667</v>
      </c>
      <c r="W409" s="9">
        <f>IFERROR(__xludf.DUMMYFUNCTION("""COMPUTED_VALUE"""),361.6)</f>
        <v>361.6</v>
      </c>
      <c r="X409" s="11">
        <f>IFERROR(__xludf.DUMMYFUNCTION("""COMPUTED_VALUE"""),43642.66666666667)</f>
        <v>43642.66667</v>
      </c>
      <c r="Y409" s="9">
        <f>IFERROR(__xludf.DUMMYFUNCTION("""COMPUTED_VALUE"""),362.2)</f>
        <v>362.2</v>
      </c>
      <c r="AA409" s="11">
        <f>IFERROR(__xludf.DUMMYFUNCTION("""COMPUTED_VALUE"""),43642.66666666667)</f>
        <v>43642.66667</v>
      </c>
      <c r="AB409" s="9">
        <f>IFERROR(__xludf.DUMMYFUNCTION("""COMPUTED_VALUE"""),1892.48)</f>
        <v>1892.48</v>
      </c>
      <c r="AC409" s="11">
        <f>IFERROR(__xludf.DUMMYFUNCTION("""COMPUTED_VALUE"""),43642.66666666667)</f>
        <v>43642.66667</v>
      </c>
      <c r="AD409" s="9">
        <f>IFERROR(__xludf.DUMMYFUNCTION("""COMPUTED_VALUE"""),1897.83)</f>
        <v>1897.83</v>
      </c>
    </row>
    <row r="410">
      <c r="B410" s="11">
        <f>IFERROR(__xludf.DUMMYFUNCTION("""COMPUTED_VALUE"""),43643.66666666667)</f>
        <v>43643.66667</v>
      </c>
      <c r="C410" s="9">
        <f>IFERROR(__xludf.DUMMYFUNCTION("""COMPUTED_VALUE"""),43.89)</f>
        <v>43.89</v>
      </c>
      <c r="D410" s="11">
        <f>IFERROR(__xludf.DUMMYFUNCTION("""COMPUTED_VALUE"""),43643.66666666667)</f>
        <v>43643.66667</v>
      </c>
      <c r="E410" s="9">
        <f>IFERROR(__xludf.DUMMYFUNCTION("""COMPUTED_VALUE"""),44.57)</f>
        <v>44.57</v>
      </c>
      <c r="G410" s="11">
        <f>IFERROR(__xludf.DUMMYFUNCTION("""COMPUTED_VALUE"""),43643.66666666667)</f>
        <v>43643.66667</v>
      </c>
      <c r="H410" s="9">
        <f>IFERROR(__xludf.DUMMYFUNCTION("""COMPUTED_VALUE"""),1084.0)</f>
        <v>1084</v>
      </c>
      <c r="I410" s="11">
        <f>IFERROR(__xludf.DUMMYFUNCTION("""COMPUTED_VALUE"""),43643.66666666667)</f>
        <v>43643.66667</v>
      </c>
      <c r="J410" s="9">
        <f>IFERROR(__xludf.DUMMYFUNCTION("""COMPUTED_VALUE"""),1076.01)</f>
        <v>1076.01</v>
      </c>
      <c r="L410" s="11">
        <f>IFERROR(__xludf.DUMMYFUNCTION("""COMPUTED_VALUE"""),43643.66666666667)</f>
        <v>43643.66667</v>
      </c>
      <c r="M410" s="9">
        <f>IFERROR(__xludf.DUMMYFUNCTION("""COMPUTED_VALUE"""),50.07)</f>
        <v>50.07</v>
      </c>
      <c r="N410" s="11">
        <f>IFERROR(__xludf.DUMMYFUNCTION("""COMPUTED_VALUE"""),43643.66666666667)</f>
        <v>43643.66667</v>
      </c>
      <c r="O410" s="9">
        <f>IFERROR(__xludf.DUMMYFUNCTION("""COMPUTED_VALUE"""),49.94)</f>
        <v>49.94</v>
      </c>
      <c r="Q410" s="11">
        <f>IFERROR(__xludf.DUMMYFUNCTION("""COMPUTED_VALUE"""),43643.66666666667)</f>
        <v>43643.66667</v>
      </c>
      <c r="R410" s="9">
        <f>IFERROR(__xludf.DUMMYFUNCTION("""COMPUTED_VALUE"""),189.88)</f>
        <v>189.88</v>
      </c>
      <c r="S410" s="11">
        <f>IFERROR(__xludf.DUMMYFUNCTION("""COMPUTED_VALUE"""),43643.66666666667)</f>
        <v>43643.66667</v>
      </c>
      <c r="T410" s="9">
        <f>IFERROR(__xludf.DUMMYFUNCTION("""COMPUTED_VALUE"""),189.5)</f>
        <v>189.5</v>
      </c>
      <c r="V410" s="11">
        <f>IFERROR(__xludf.DUMMYFUNCTION("""COMPUTED_VALUE"""),43643.66666666667)</f>
        <v>43643.66667</v>
      </c>
      <c r="W410" s="9">
        <f>IFERROR(__xludf.DUMMYFUNCTION("""COMPUTED_VALUE"""),363.2)</f>
        <v>363.2</v>
      </c>
      <c r="X410" s="11">
        <f>IFERROR(__xludf.DUMMYFUNCTION("""COMPUTED_VALUE"""),43643.66666666667)</f>
        <v>43643.66667</v>
      </c>
      <c r="Y410" s="9">
        <f>IFERROR(__xludf.DUMMYFUNCTION("""COMPUTED_VALUE"""),370.02)</f>
        <v>370.02</v>
      </c>
      <c r="AA410" s="11">
        <f>IFERROR(__xludf.DUMMYFUNCTION("""COMPUTED_VALUE"""),43643.66666666667)</f>
        <v>43643.66667</v>
      </c>
      <c r="AB410" s="9">
        <f>IFERROR(__xludf.DUMMYFUNCTION("""COMPUTED_VALUE"""),1902.0)</f>
        <v>1902</v>
      </c>
      <c r="AC410" s="11">
        <f>IFERROR(__xludf.DUMMYFUNCTION("""COMPUTED_VALUE"""),43643.66666666667)</f>
        <v>43643.66667</v>
      </c>
      <c r="AD410" s="9">
        <f>IFERROR(__xludf.DUMMYFUNCTION("""COMPUTED_VALUE"""),1904.28)</f>
        <v>1904.28</v>
      </c>
    </row>
    <row r="411">
      <c r="B411" s="11">
        <f>IFERROR(__xludf.DUMMYFUNCTION("""COMPUTED_VALUE"""),43644.66666666667)</f>
        <v>43644.66667</v>
      </c>
      <c r="C411" s="9">
        <f>IFERROR(__xludf.DUMMYFUNCTION("""COMPUTED_VALUE"""),44.2)</f>
        <v>44.2</v>
      </c>
      <c r="D411" s="11">
        <f>IFERROR(__xludf.DUMMYFUNCTION("""COMPUTED_VALUE"""),43644.66666666667)</f>
        <v>43644.66667</v>
      </c>
      <c r="E411" s="9">
        <f>IFERROR(__xludf.DUMMYFUNCTION("""COMPUTED_VALUE"""),44.69)</f>
        <v>44.69</v>
      </c>
      <c r="G411" s="11">
        <f>IFERROR(__xludf.DUMMYFUNCTION("""COMPUTED_VALUE"""),43644.66666666667)</f>
        <v>43644.66667</v>
      </c>
      <c r="H411" s="9">
        <f>IFERROR(__xludf.DUMMYFUNCTION("""COMPUTED_VALUE"""),1076.39)</f>
        <v>1076.39</v>
      </c>
      <c r="I411" s="11">
        <f>IFERROR(__xludf.DUMMYFUNCTION("""COMPUTED_VALUE"""),43644.66666666667)</f>
        <v>43644.66667</v>
      </c>
      <c r="J411" s="9">
        <f>IFERROR(__xludf.DUMMYFUNCTION("""COMPUTED_VALUE"""),1080.91)</f>
        <v>1080.91</v>
      </c>
      <c r="L411" s="11">
        <f>IFERROR(__xludf.DUMMYFUNCTION("""COMPUTED_VALUE"""),43644.66666666667)</f>
        <v>43644.66667</v>
      </c>
      <c r="M411" s="9">
        <f>IFERROR(__xludf.DUMMYFUNCTION("""COMPUTED_VALUE"""),49.67)</f>
        <v>49.67</v>
      </c>
      <c r="N411" s="11">
        <f>IFERROR(__xludf.DUMMYFUNCTION("""COMPUTED_VALUE"""),43644.66666666667)</f>
        <v>43644.66667</v>
      </c>
      <c r="O411" s="9">
        <f>IFERROR(__xludf.DUMMYFUNCTION("""COMPUTED_VALUE"""),49.48)</f>
        <v>49.48</v>
      </c>
      <c r="Q411" s="11">
        <f>IFERROR(__xludf.DUMMYFUNCTION("""COMPUTED_VALUE"""),43644.66666666667)</f>
        <v>43644.66667</v>
      </c>
      <c r="R411" s="9">
        <f>IFERROR(__xludf.DUMMYFUNCTION("""COMPUTED_VALUE"""),190.55)</f>
        <v>190.55</v>
      </c>
      <c r="S411" s="11">
        <f>IFERROR(__xludf.DUMMYFUNCTION("""COMPUTED_VALUE"""),43644.66666666667)</f>
        <v>43644.66667</v>
      </c>
      <c r="T411" s="9">
        <f>IFERROR(__xludf.DUMMYFUNCTION("""COMPUTED_VALUE"""),193.0)</f>
        <v>193</v>
      </c>
      <c r="V411" s="11">
        <f>IFERROR(__xludf.DUMMYFUNCTION("""COMPUTED_VALUE"""),43644.66666666667)</f>
        <v>43644.66667</v>
      </c>
      <c r="W411" s="9">
        <f>IFERROR(__xludf.DUMMYFUNCTION("""COMPUTED_VALUE"""),370.26)</f>
        <v>370.26</v>
      </c>
      <c r="X411" s="11">
        <f>IFERROR(__xludf.DUMMYFUNCTION("""COMPUTED_VALUE"""),43644.66666666667)</f>
        <v>43644.66667</v>
      </c>
      <c r="Y411" s="9">
        <f>IFERROR(__xludf.DUMMYFUNCTION("""COMPUTED_VALUE"""),367.32)</f>
        <v>367.32</v>
      </c>
      <c r="AA411" s="11">
        <f>IFERROR(__xludf.DUMMYFUNCTION("""COMPUTED_VALUE"""),43644.66666666667)</f>
        <v>43644.66667</v>
      </c>
      <c r="AB411" s="9">
        <f>IFERROR(__xludf.DUMMYFUNCTION("""COMPUTED_VALUE"""),1909.1)</f>
        <v>1909.1</v>
      </c>
      <c r="AC411" s="11">
        <f>IFERROR(__xludf.DUMMYFUNCTION("""COMPUTED_VALUE"""),43644.66666666667)</f>
        <v>43644.66667</v>
      </c>
      <c r="AD411" s="9">
        <f>IFERROR(__xludf.DUMMYFUNCTION("""COMPUTED_VALUE"""),1893.63)</f>
        <v>1893.63</v>
      </c>
    </row>
    <row r="412">
      <c r="B412" s="11">
        <f>IFERROR(__xludf.DUMMYFUNCTION("""COMPUTED_VALUE"""),43647.66666666667)</f>
        <v>43647.66667</v>
      </c>
      <c r="C412" s="9">
        <f>IFERROR(__xludf.DUMMYFUNCTION("""COMPUTED_VALUE"""),46.04)</f>
        <v>46.04</v>
      </c>
      <c r="D412" s="11">
        <f>IFERROR(__xludf.DUMMYFUNCTION("""COMPUTED_VALUE"""),43647.66666666667)</f>
        <v>43647.66667</v>
      </c>
      <c r="E412" s="9">
        <f>IFERROR(__xludf.DUMMYFUNCTION("""COMPUTED_VALUE"""),45.43)</f>
        <v>45.43</v>
      </c>
      <c r="G412" s="11">
        <f>IFERROR(__xludf.DUMMYFUNCTION("""COMPUTED_VALUE"""),43647.66666666667)</f>
        <v>43647.66667</v>
      </c>
      <c r="H412" s="9">
        <f>IFERROR(__xludf.DUMMYFUNCTION("""COMPUTED_VALUE"""),1098.0)</f>
        <v>1098</v>
      </c>
      <c r="I412" s="11">
        <f>IFERROR(__xludf.DUMMYFUNCTION("""COMPUTED_VALUE"""),43647.66666666667)</f>
        <v>43647.66667</v>
      </c>
      <c r="J412" s="9">
        <f>IFERROR(__xludf.DUMMYFUNCTION("""COMPUTED_VALUE"""),1097.95)</f>
        <v>1097.95</v>
      </c>
      <c r="L412" s="11">
        <f>IFERROR(__xludf.DUMMYFUNCTION("""COMPUTED_VALUE"""),43647.66666666667)</f>
        <v>43647.66667</v>
      </c>
      <c r="M412" s="9">
        <f>IFERROR(__xludf.DUMMYFUNCTION("""COMPUTED_VALUE"""),50.79)</f>
        <v>50.79</v>
      </c>
      <c r="N412" s="11">
        <f>IFERROR(__xludf.DUMMYFUNCTION("""COMPUTED_VALUE"""),43647.66666666667)</f>
        <v>43647.66667</v>
      </c>
      <c r="O412" s="9">
        <f>IFERROR(__xludf.DUMMYFUNCTION("""COMPUTED_VALUE"""),50.39)</f>
        <v>50.39</v>
      </c>
      <c r="Q412" s="11">
        <f>IFERROR(__xludf.DUMMYFUNCTION("""COMPUTED_VALUE"""),43647.66666666667)</f>
        <v>43647.66667</v>
      </c>
      <c r="R412" s="9">
        <f>IFERROR(__xludf.DUMMYFUNCTION("""COMPUTED_VALUE"""),195.21)</f>
        <v>195.21</v>
      </c>
      <c r="S412" s="11">
        <f>IFERROR(__xludf.DUMMYFUNCTION("""COMPUTED_VALUE"""),43647.66666666667)</f>
        <v>43647.66667</v>
      </c>
      <c r="T412" s="9">
        <f>IFERROR(__xludf.DUMMYFUNCTION("""COMPUTED_VALUE"""),193.0)</f>
        <v>193</v>
      </c>
      <c r="V412" s="11">
        <f>IFERROR(__xludf.DUMMYFUNCTION("""COMPUTED_VALUE"""),43647.66666666667)</f>
        <v>43647.66667</v>
      </c>
      <c r="W412" s="9">
        <f>IFERROR(__xludf.DUMMYFUNCTION("""COMPUTED_VALUE"""),373.5)</f>
        <v>373.5</v>
      </c>
      <c r="X412" s="11">
        <f>IFERROR(__xludf.DUMMYFUNCTION("""COMPUTED_VALUE"""),43647.66666666667)</f>
        <v>43647.66667</v>
      </c>
      <c r="Y412" s="9">
        <f>IFERROR(__xludf.DUMMYFUNCTION("""COMPUTED_VALUE"""),374.6)</f>
        <v>374.6</v>
      </c>
      <c r="AA412" s="11">
        <f>IFERROR(__xludf.DUMMYFUNCTION("""COMPUTED_VALUE"""),43647.66666666667)</f>
        <v>43647.66667</v>
      </c>
      <c r="AB412" s="9">
        <f>IFERROR(__xludf.DUMMYFUNCTION("""COMPUTED_VALUE"""),1922.98)</f>
        <v>1922.98</v>
      </c>
      <c r="AC412" s="11">
        <f>IFERROR(__xludf.DUMMYFUNCTION("""COMPUTED_VALUE"""),43647.66666666667)</f>
        <v>43647.66667</v>
      </c>
      <c r="AD412" s="9">
        <f>IFERROR(__xludf.DUMMYFUNCTION("""COMPUTED_VALUE"""),1922.19)</f>
        <v>1922.19</v>
      </c>
    </row>
    <row r="413">
      <c r="B413" s="11">
        <f>IFERROR(__xludf.DUMMYFUNCTION("""COMPUTED_VALUE"""),43648.66666666667)</f>
        <v>43648.66667</v>
      </c>
      <c r="C413" s="9">
        <f>IFERROR(__xludf.DUMMYFUNCTION("""COMPUTED_VALUE"""),45.78)</f>
        <v>45.78</v>
      </c>
      <c r="D413" s="11">
        <f>IFERROR(__xludf.DUMMYFUNCTION("""COMPUTED_VALUE"""),43648.66666666667)</f>
        <v>43648.66667</v>
      </c>
      <c r="E413" s="9">
        <f>IFERROR(__xludf.DUMMYFUNCTION("""COMPUTED_VALUE"""),44.91)</f>
        <v>44.91</v>
      </c>
      <c r="G413" s="11">
        <f>IFERROR(__xludf.DUMMYFUNCTION("""COMPUTED_VALUE"""),43648.66666666667)</f>
        <v>43648.66667</v>
      </c>
      <c r="H413" s="9">
        <f>IFERROR(__xludf.DUMMYFUNCTION("""COMPUTED_VALUE"""),1102.24)</f>
        <v>1102.24</v>
      </c>
      <c r="I413" s="11">
        <f>IFERROR(__xludf.DUMMYFUNCTION("""COMPUTED_VALUE"""),43648.66666666667)</f>
        <v>43648.66667</v>
      </c>
      <c r="J413" s="9">
        <f>IFERROR(__xludf.DUMMYFUNCTION("""COMPUTED_VALUE"""),1111.25)</f>
        <v>1111.25</v>
      </c>
      <c r="L413" s="11">
        <f>IFERROR(__xludf.DUMMYFUNCTION("""COMPUTED_VALUE"""),43648.66666666667)</f>
        <v>43648.66667</v>
      </c>
      <c r="M413" s="9">
        <f>IFERROR(__xludf.DUMMYFUNCTION("""COMPUTED_VALUE"""),50.35)</f>
        <v>50.35</v>
      </c>
      <c r="N413" s="11">
        <f>IFERROR(__xludf.DUMMYFUNCTION("""COMPUTED_VALUE"""),43648.66666666667)</f>
        <v>43648.66667</v>
      </c>
      <c r="O413" s="9">
        <f>IFERROR(__xludf.DUMMYFUNCTION("""COMPUTED_VALUE"""),50.68)</f>
        <v>50.68</v>
      </c>
      <c r="Q413" s="11">
        <f>IFERROR(__xludf.DUMMYFUNCTION("""COMPUTED_VALUE"""),43648.66666666667)</f>
        <v>43648.66667</v>
      </c>
      <c r="R413" s="9">
        <f>IFERROR(__xludf.DUMMYFUNCTION("""COMPUTED_VALUE"""),193.0)</f>
        <v>193</v>
      </c>
      <c r="S413" s="11">
        <f>IFERROR(__xludf.DUMMYFUNCTION("""COMPUTED_VALUE"""),43648.66666666667)</f>
        <v>43648.66667</v>
      </c>
      <c r="T413" s="9">
        <f>IFERROR(__xludf.DUMMYFUNCTION("""COMPUTED_VALUE"""),195.0)</f>
        <v>195</v>
      </c>
      <c r="V413" s="11">
        <f>IFERROR(__xludf.DUMMYFUNCTION("""COMPUTED_VALUE"""),43648.66666666667)</f>
        <v>43648.66667</v>
      </c>
      <c r="W413" s="9">
        <f>IFERROR(__xludf.DUMMYFUNCTION("""COMPUTED_VALUE"""),374.89)</f>
        <v>374.89</v>
      </c>
      <c r="X413" s="11">
        <f>IFERROR(__xludf.DUMMYFUNCTION("""COMPUTED_VALUE"""),43648.66666666667)</f>
        <v>43648.66667</v>
      </c>
      <c r="Y413" s="9">
        <f>IFERROR(__xludf.DUMMYFUNCTION("""COMPUTED_VALUE"""),375.43)</f>
        <v>375.43</v>
      </c>
      <c r="AA413" s="11">
        <f>IFERROR(__xludf.DUMMYFUNCTION("""COMPUTED_VALUE"""),43648.66666666667)</f>
        <v>43648.66667</v>
      </c>
      <c r="AB413" s="9">
        <f>IFERROR(__xludf.DUMMYFUNCTION("""COMPUTED_VALUE"""),1919.38)</f>
        <v>1919.38</v>
      </c>
      <c r="AC413" s="11">
        <f>IFERROR(__xludf.DUMMYFUNCTION("""COMPUTED_VALUE"""),43648.66666666667)</f>
        <v>43648.66667</v>
      </c>
      <c r="AD413" s="9">
        <f>IFERROR(__xludf.DUMMYFUNCTION("""COMPUTED_VALUE"""),1934.31)</f>
        <v>1934.31</v>
      </c>
    </row>
    <row r="414">
      <c r="B414" s="11">
        <f>IFERROR(__xludf.DUMMYFUNCTION("""COMPUTED_VALUE"""),43649.54166666667)</f>
        <v>43649.54167</v>
      </c>
      <c r="C414" s="9">
        <f>IFERROR(__xludf.DUMMYFUNCTION("""COMPUTED_VALUE"""),47.88)</f>
        <v>47.88</v>
      </c>
      <c r="D414" s="11">
        <f>IFERROR(__xludf.DUMMYFUNCTION("""COMPUTED_VALUE"""),43649.54166666667)</f>
        <v>43649.54167</v>
      </c>
      <c r="E414" s="9">
        <f>IFERROR(__xludf.DUMMYFUNCTION("""COMPUTED_VALUE"""),46.98)</f>
        <v>46.98</v>
      </c>
      <c r="G414" s="11">
        <f>IFERROR(__xludf.DUMMYFUNCTION("""COMPUTED_VALUE"""),43649.54166666667)</f>
        <v>43649.54167</v>
      </c>
      <c r="H414" s="9">
        <f>IFERROR(__xludf.DUMMYFUNCTION("""COMPUTED_VALUE"""),1117.41)</f>
        <v>1117.41</v>
      </c>
      <c r="I414" s="11">
        <f>IFERROR(__xludf.DUMMYFUNCTION("""COMPUTED_VALUE"""),43649.54166666667)</f>
        <v>43649.54167</v>
      </c>
      <c r="J414" s="9">
        <f>IFERROR(__xludf.DUMMYFUNCTION("""COMPUTED_VALUE"""),1121.58)</f>
        <v>1121.58</v>
      </c>
      <c r="L414" s="11">
        <f>IFERROR(__xludf.DUMMYFUNCTION("""COMPUTED_VALUE"""),43649.54166666667)</f>
        <v>43649.54167</v>
      </c>
      <c r="M414" s="9">
        <f>IFERROR(__xludf.DUMMYFUNCTION("""COMPUTED_VALUE"""),50.82)</f>
        <v>50.82</v>
      </c>
      <c r="N414" s="11">
        <f>IFERROR(__xludf.DUMMYFUNCTION("""COMPUTED_VALUE"""),43649.54166666667)</f>
        <v>43649.54167</v>
      </c>
      <c r="O414" s="9">
        <f>IFERROR(__xludf.DUMMYFUNCTION("""COMPUTED_VALUE"""),51.1)</f>
        <v>51.1</v>
      </c>
      <c r="Q414" s="11">
        <f>IFERROR(__xludf.DUMMYFUNCTION("""COMPUTED_VALUE"""),43649.54166666667)</f>
        <v>43649.54167</v>
      </c>
      <c r="R414" s="9">
        <f>IFERROR(__xludf.DUMMYFUNCTION("""COMPUTED_VALUE"""),194.16)</f>
        <v>194.16</v>
      </c>
      <c r="S414" s="11">
        <f>IFERROR(__xludf.DUMMYFUNCTION("""COMPUTED_VALUE"""),43649.54166666667)</f>
        <v>43649.54167</v>
      </c>
      <c r="T414" s="9">
        <f>IFERROR(__xludf.DUMMYFUNCTION("""COMPUTED_VALUE"""),197.2)</f>
        <v>197.2</v>
      </c>
      <c r="V414" s="11">
        <f>IFERROR(__xludf.DUMMYFUNCTION("""COMPUTED_VALUE"""),43649.54166666667)</f>
        <v>43649.54167</v>
      </c>
      <c r="W414" s="9">
        <f>IFERROR(__xludf.DUMMYFUNCTION("""COMPUTED_VALUE"""),376.69)</f>
        <v>376.69</v>
      </c>
      <c r="X414" s="11">
        <f>IFERROR(__xludf.DUMMYFUNCTION("""COMPUTED_VALUE"""),43649.54166666667)</f>
        <v>43649.54167</v>
      </c>
      <c r="Y414" s="9">
        <f>IFERROR(__xludf.DUMMYFUNCTION("""COMPUTED_VALUE"""),381.72)</f>
        <v>381.72</v>
      </c>
      <c r="AA414" s="11">
        <f>IFERROR(__xludf.DUMMYFUNCTION("""COMPUTED_VALUE"""),43649.54166666667)</f>
        <v>43649.54167</v>
      </c>
      <c r="AB414" s="9">
        <f>IFERROR(__xludf.DUMMYFUNCTION("""COMPUTED_VALUE"""),1935.89)</f>
        <v>1935.89</v>
      </c>
      <c r="AC414" s="11">
        <f>IFERROR(__xludf.DUMMYFUNCTION("""COMPUTED_VALUE"""),43649.54166666667)</f>
        <v>43649.54167</v>
      </c>
      <c r="AD414" s="9">
        <f>IFERROR(__xludf.DUMMYFUNCTION("""COMPUTED_VALUE"""),1939.0)</f>
        <v>1939</v>
      </c>
    </row>
    <row r="415">
      <c r="B415" s="11">
        <f>IFERROR(__xludf.DUMMYFUNCTION("""COMPUTED_VALUE"""),43651.66666666667)</f>
        <v>43651.66667</v>
      </c>
      <c r="C415" s="9">
        <f>IFERROR(__xludf.DUMMYFUNCTION("""COMPUTED_VALUE"""),46.91)</f>
        <v>46.91</v>
      </c>
      <c r="D415" s="11">
        <f>IFERROR(__xludf.DUMMYFUNCTION("""COMPUTED_VALUE"""),43651.66666666667)</f>
        <v>43651.66667</v>
      </c>
      <c r="E415" s="9">
        <f>IFERROR(__xludf.DUMMYFUNCTION("""COMPUTED_VALUE"""),46.62)</f>
        <v>46.62</v>
      </c>
      <c r="G415" s="11">
        <f>IFERROR(__xludf.DUMMYFUNCTION("""COMPUTED_VALUE"""),43651.66666666667)</f>
        <v>43651.66667</v>
      </c>
      <c r="H415" s="9">
        <f>IFERROR(__xludf.DUMMYFUNCTION("""COMPUTED_VALUE"""),1117.8)</f>
        <v>1117.8</v>
      </c>
      <c r="I415" s="11">
        <f>IFERROR(__xludf.DUMMYFUNCTION("""COMPUTED_VALUE"""),43651.66666666667)</f>
        <v>43651.66667</v>
      </c>
      <c r="J415" s="9">
        <f>IFERROR(__xludf.DUMMYFUNCTION("""COMPUTED_VALUE"""),1131.59)</f>
        <v>1131.59</v>
      </c>
      <c r="L415" s="11">
        <f>IFERROR(__xludf.DUMMYFUNCTION("""COMPUTED_VALUE"""),43651.66666666667)</f>
        <v>43651.66667</v>
      </c>
      <c r="M415" s="9">
        <f>IFERROR(__xludf.DUMMYFUNCTION("""COMPUTED_VALUE"""),50.84)</f>
        <v>50.84</v>
      </c>
      <c r="N415" s="11">
        <f>IFERROR(__xludf.DUMMYFUNCTION("""COMPUTED_VALUE"""),43651.66666666667)</f>
        <v>43651.66667</v>
      </c>
      <c r="O415" s="9">
        <f>IFERROR(__xludf.DUMMYFUNCTION("""COMPUTED_VALUE"""),51.06)</f>
        <v>51.06</v>
      </c>
      <c r="Q415" s="11">
        <f>IFERROR(__xludf.DUMMYFUNCTION("""COMPUTED_VALUE"""),43651.66666666667)</f>
        <v>43651.66667</v>
      </c>
      <c r="R415" s="9">
        <f>IFERROR(__xludf.DUMMYFUNCTION("""COMPUTED_VALUE"""),196.18)</f>
        <v>196.18</v>
      </c>
      <c r="S415" s="11">
        <f>IFERROR(__xludf.DUMMYFUNCTION("""COMPUTED_VALUE"""),43651.66666666667)</f>
        <v>43651.66667</v>
      </c>
      <c r="T415" s="9">
        <f>IFERROR(__xludf.DUMMYFUNCTION("""COMPUTED_VALUE"""),196.4)</f>
        <v>196.4</v>
      </c>
      <c r="V415" s="11">
        <f>IFERROR(__xludf.DUMMYFUNCTION("""COMPUTED_VALUE"""),43651.66666666667)</f>
        <v>43651.66667</v>
      </c>
      <c r="W415" s="9">
        <f>IFERROR(__xludf.DUMMYFUNCTION("""COMPUTED_VALUE"""),378.29)</f>
        <v>378.29</v>
      </c>
      <c r="X415" s="11">
        <f>IFERROR(__xludf.DUMMYFUNCTION("""COMPUTED_VALUE"""),43651.66666666667)</f>
        <v>43651.66667</v>
      </c>
      <c r="Y415" s="9">
        <f>IFERROR(__xludf.DUMMYFUNCTION("""COMPUTED_VALUE"""),380.55)</f>
        <v>380.55</v>
      </c>
      <c r="AA415" s="11">
        <f>IFERROR(__xludf.DUMMYFUNCTION("""COMPUTED_VALUE"""),43651.66666666667)</f>
        <v>43651.66667</v>
      </c>
      <c r="AB415" s="9">
        <f>IFERROR(__xludf.DUMMYFUNCTION("""COMPUTED_VALUE"""),1928.6)</f>
        <v>1928.6</v>
      </c>
      <c r="AC415" s="11">
        <f>IFERROR(__xludf.DUMMYFUNCTION("""COMPUTED_VALUE"""),43651.66666666667)</f>
        <v>43651.66667</v>
      </c>
      <c r="AD415" s="9">
        <f>IFERROR(__xludf.DUMMYFUNCTION("""COMPUTED_VALUE"""),1942.91)</f>
        <v>1942.91</v>
      </c>
    </row>
    <row r="416">
      <c r="B416" s="11">
        <f>IFERROR(__xludf.DUMMYFUNCTION("""COMPUTED_VALUE"""),43654.66666666667)</f>
        <v>43654.66667</v>
      </c>
      <c r="C416" s="9">
        <f>IFERROR(__xludf.DUMMYFUNCTION("""COMPUTED_VALUE"""),46.25)</f>
        <v>46.25</v>
      </c>
      <c r="D416" s="11">
        <f>IFERROR(__xludf.DUMMYFUNCTION("""COMPUTED_VALUE"""),43654.66666666667)</f>
        <v>43654.66667</v>
      </c>
      <c r="E416" s="9">
        <f>IFERROR(__xludf.DUMMYFUNCTION("""COMPUTED_VALUE"""),46.07)</f>
        <v>46.07</v>
      </c>
      <c r="G416" s="11">
        <f>IFERROR(__xludf.DUMMYFUNCTION("""COMPUTED_VALUE"""),43654.66666666667)</f>
        <v>43654.66667</v>
      </c>
      <c r="H416" s="9">
        <f>IFERROR(__xludf.DUMMYFUNCTION("""COMPUTED_VALUE"""),1125.17)</f>
        <v>1125.17</v>
      </c>
      <c r="I416" s="11">
        <f>IFERROR(__xludf.DUMMYFUNCTION("""COMPUTED_VALUE"""),43654.66666666667)</f>
        <v>43654.66667</v>
      </c>
      <c r="J416" s="9">
        <f>IFERROR(__xludf.DUMMYFUNCTION("""COMPUTED_VALUE"""),1116.35)</f>
        <v>1116.35</v>
      </c>
      <c r="L416" s="11">
        <f>IFERROR(__xludf.DUMMYFUNCTION("""COMPUTED_VALUE"""),43654.66666666667)</f>
        <v>43654.66667</v>
      </c>
      <c r="M416" s="9">
        <f>IFERROR(__xludf.DUMMYFUNCTION("""COMPUTED_VALUE"""),50.2)</f>
        <v>50.2</v>
      </c>
      <c r="N416" s="11">
        <f>IFERROR(__xludf.DUMMYFUNCTION("""COMPUTED_VALUE"""),43654.66666666667)</f>
        <v>43654.66667</v>
      </c>
      <c r="O416" s="9">
        <f>IFERROR(__xludf.DUMMYFUNCTION("""COMPUTED_VALUE"""),50.01)</f>
        <v>50.01</v>
      </c>
      <c r="Q416" s="11">
        <f>IFERROR(__xludf.DUMMYFUNCTION("""COMPUTED_VALUE"""),43654.66666666667)</f>
        <v>43654.66667</v>
      </c>
      <c r="R416" s="9">
        <f>IFERROR(__xludf.DUMMYFUNCTION("""COMPUTED_VALUE"""),195.19)</f>
        <v>195.19</v>
      </c>
      <c r="S416" s="11">
        <f>IFERROR(__xludf.DUMMYFUNCTION("""COMPUTED_VALUE"""),43654.66666666667)</f>
        <v>43654.66667</v>
      </c>
      <c r="T416" s="9">
        <f>IFERROR(__xludf.DUMMYFUNCTION("""COMPUTED_VALUE"""),195.76)</f>
        <v>195.76</v>
      </c>
      <c r="V416" s="11">
        <f>IFERROR(__xludf.DUMMYFUNCTION("""COMPUTED_VALUE"""),43654.66666666667)</f>
        <v>43654.66667</v>
      </c>
      <c r="W416" s="9">
        <f>IFERROR(__xludf.DUMMYFUNCTION("""COMPUTED_VALUE"""),378.19)</f>
        <v>378.19</v>
      </c>
      <c r="X416" s="11">
        <f>IFERROR(__xludf.DUMMYFUNCTION("""COMPUTED_VALUE"""),43654.66666666667)</f>
        <v>43654.66667</v>
      </c>
      <c r="Y416" s="9">
        <f>IFERROR(__xludf.DUMMYFUNCTION("""COMPUTED_VALUE"""),376.16)</f>
        <v>376.16</v>
      </c>
      <c r="AA416" s="11">
        <f>IFERROR(__xludf.DUMMYFUNCTION("""COMPUTED_VALUE"""),43654.66666666667)</f>
        <v>43654.66667</v>
      </c>
      <c r="AB416" s="9">
        <f>IFERROR(__xludf.DUMMYFUNCTION("""COMPUTED_VALUE"""),1934.12)</f>
        <v>1934.12</v>
      </c>
      <c r="AC416" s="11">
        <f>IFERROR(__xludf.DUMMYFUNCTION("""COMPUTED_VALUE"""),43654.66666666667)</f>
        <v>43654.66667</v>
      </c>
      <c r="AD416" s="9">
        <f>IFERROR(__xludf.DUMMYFUNCTION("""COMPUTED_VALUE"""),1952.32)</f>
        <v>1952.32</v>
      </c>
    </row>
    <row r="417">
      <c r="B417" s="11">
        <f>IFERROR(__xludf.DUMMYFUNCTION("""COMPUTED_VALUE"""),43655.66666666667)</f>
        <v>43655.66667</v>
      </c>
      <c r="C417" s="9">
        <f>IFERROR(__xludf.DUMMYFUNCTION("""COMPUTED_VALUE"""),45.79)</f>
        <v>45.79</v>
      </c>
      <c r="D417" s="11">
        <f>IFERROR(__xludf.DUMMYFUNCTION("""COMPUTED_VALUE"""),43655.66666666667)</f>
        <v>43655.66667</v>
      </c>
      <c r="E417" s="9">
        <f>IFERROR(__xludf.DUMMYFUNCTION("""COMPUTED_VALUE"""),46.01)</f>
        <v>46.01</v>
      </c>
      <c r="G417" s="11">
        <f>IFERROR(__xludf.DUMMYFUNCTION("""COMPUTED_VALUE"""),43655.66666666667)</f>
        <v>43655.66667</v>
      </c>
      <c r="H417" s="9">
        <f>IFERROR(__xludf.DUMMYFUNCTION("""COMPUTED_VALUE"""),1111.8)</f>
        <v>1111.8</v>
      </c>
      <c r="I417" s="11">
        <f>IFERROR(__xludf.DUMMYFUNCTION("""COMPUTED_VALUE"""),43655.66666666667)</f>
        <v>43655.66667</v>
      </c>
      <c r="J417" s="9">
        <f>IFERROR(__xludf.DUMMYFUNCTION("""COMPUTED_VALUE"""),1124.83)</f>
        <v>1124.83</v>
      </c>
      <c r="L417" s="11">
        <f>IFERROR(__xludf.DUMMYFUNCTION("""COMPUTED_VALUE"""),43655.66666666667)</f>
        <v>43655.66667</v>
      </c>
      <c r="M417" s="9">
        <f>IFERROR(__xludf.DUMMYFUNCTION("""COMPUTED_VALUE"""),49.8)</f>
        <v>49.8</v>
      </c>
      <c r="N417" s="11">
        <f>IFERROR(__xludf.DUMMYFUNCTION("""COMPUTED_VALUE"""),43655.66666666667)</f>
        <v>43655.66667</v>
      </c>
      <c r="O417" s="9">
        <f>IFERROR(__xludf.DUMMYFUNCTION("""COMPUTED_VALUE"""),50.31)</f>
        <v>50.31</v>
      </c>
      <c r="Q417" s="11">
        <f>IFERROR(__xludf.DUMMYFUNCTION("""COMPUTED_VALUE"""),43655.66666666667)</f>
        <v>43655.66667</v>
      </c>
      <c r="R417" s="9">
        <f>IFERROR(__xludf.DUMMYFUNCTION("""COMPUTED_VALUE"""),194.97)</f>
        <v>194.97</v>
      </c>
      <c r="S417" s="11">
        <f>IFERROR(__xludf.DUMMYFUNCTION("""COMPUTED_VALUE"""),43655.66666666667)</f>
        <v>43655.66667</v>
      </c>
      <c r="T417" s="9">
        <f>IFERROR(__xludf.DUMMYFUNCTION("""COMPUTED_VALUE"""),199.21)</f>
        <v>199.21</v>
      </c>
      <c r="V417" s="11">
        <f>IFERROR(__xludf.DUMMYFUNCTION("""COMPUTED_VALUE"""),43655.66666666667)</f>
        <v>43655.66667</v>
      </c>
      <c r="W417" s="9">
        <f>IFERROR(__xludf.DUMMYFUNCTION("""COMPUTED_VALUE"""),379.06)</f>
        <v>379.06</v>
      </c>
      <c r="X417" s="11">
        <f>IFERROR(__xludf.DUMMYFUNCTION("""COMPUTED_VALUE"""),43655.66666666667)</f>
        <v>43655.66667</v>
      </c>
      <c r="Y417" s="9">
        <f>IFERROR(__xludf.DUMMYFUNCTION("""COMPUTED_VALUE"""),379.93)</f>
        <v>379.93</v>
      </c>
      <c r="AA417" s="11">
        <f>IFERROR(__xludf.DUMMYFUNCTION("""COMPUTED_VALUE"""),43655.66666666667)</f>
        <v>43655.66667</v>
      </c>
      <c r="AB417" s="9">
        <f>IFERROR(__xludf.DUMMYFUNCTION("""COMPUTED_VALUE"""),1947.8)</f>
        <v>1947.8</v>
      </c>
      <c r="AC417" s="11">
        <f>IFERROR(__xludf.DUMMYFUNCTION("""COMPUTED_VALUE"""),43655.66666666667)</f>
        <v>43655.66667</v>
      </c>
      <c r="AD417" s="9">
        <f>IFERROR(__xludf.DUMMYFUNCTION("""COMPUTED_VALUE"""),1988.3)</f>
        <v>1988.3</v>
      </c>
    </row>
    <row r="418">
      <c r="B418" s="11">
        <f>IFERROR(__xludf.DUMMYFUNCTION("""COMPUTED_VALUE"""),43656.66666666667)</f>
        <v>43656.66667</v>
      </c>
      <c r="C418" s="9">
        <f>IFERROR(__xludf.DUMMYFUNCTION("""COMPUTED_VALUE"""),46.83)</f>
        <v>46.83</v>
      </c>
      <c r="D418" s="11">
        <f>IFERROR(__xludf.DUMMYFUNCTION("""COMPUTED_VALUE"""),43656.66666666667)</f>
        <v>43656.66667</v>
      </c>
      <c r="E418" s="9">
        <f>IFERROR(__xludf.DUMMYFUNCTION("""COMPUTED_VALUE"""),47.78)</f>
        <v>47.78</v>
      </c>
      <c r="G418" s="11">
        <f>IFERROR(__xludf.DUMMYFUNCTION("""COMPUTED_VALUE"""),43656.66666666667)</f>
        <v>43656.66667</v>
      </c>
      <c r="H418" s="9">
        <f>IFERROR(__xludf.DUMMYFUNCTION("""COMPUTED_VALUE"""),1131.22)</f>
        <v>1131.22</v>
      </c>
      <c r="I418" s="11">
        <f>IFERROR(__xludf.DUMMYFUNCTION("""COMPUTED_VALUE"""),43656.66666666667)</f>
        <v>43656.66667</v>
      </c>
      <c r="J418" s="9">
        <f>IFERROR(__xludf.DUMMYFUNCTION("""COMPUTED_VALUE"""),1140.48)</f>
        <v>1140.48</v>
      </c>
      <c r="L418" s="11">
        <f>IFERROR(__xludf.DUMMYFUNCTION("""COMPUTED_VALUE"""),43656.66666666667)</f>
        <v>43656.66667</v>
      </c>
      <c r="M418" s="9">
        <f>IFERROR(__xludf.DUMMYFUNCTION("""COMPUTED_VALUE"""),50.46)</f>
        <v>50.46</v>
      </c>
      <c r="N418" s="11">
        <f>IFERROR(__xludf.DUMMYFUNCTION("""COMPUTED_VALUE"""),43656.66666666667)</f>
        <v>43656.66667</v>
      </c>
      <c r="O418" s="9">
        <f>IFERROR(__xludf.DUMMYFUNCTION("""COMPUTED_VALUE"""),50.81)</f>
        <v>50.81</v>
      </c>
      <c r="Q418" s="11">
        <f>IFERROR(__xludf.DUMMYFUNCTION("""COMPUTED_VALUE"""),43656.66666666667)</f>
        <v>43656.66667</v>
      </c>
      <c r="R418" s="9">
        <f>IFERROR(__xludf.DUMMYFUNCTION("""COMPUTED_VALUE"""),200.0)</f>
        <v>200</v>
      </c>
      <c r="S418" s="11">
        <f>IFERROR(__xludf.DUMMYFUNCTION("""COMPUTED_VALUE"""),43656.66666666667)</f>
        <v>43656.66667</v>
      </c>
      <c r="T418" s="9">
        <f>IFERROR(__xludf.DUMMYFUNCTION("""COMPUTED_VALUE"""),202.73)</f>
        <v>202.73</v>
      </c>
      <c r="V418" s="11">
        <f>IFERROR(__xludf.DUMMYFUNCTION("""COMPUTED_VALUE"""),43656.66666666667)</f>
        <v>43656.66667</v>
      </c>
      <c r="W418" s="9">
        <f>IFERROR(__xludf.DUMMYFUNCTION("""COMPUTED_VALUE"""),382.77)</f>
        <v>382.77</v>
      </c>
      <c r="X418" s="11">
        <f>IFERROR(__xludf.DUMMYFUNCTION("""COMPUTED_VALUE"""),43656.66666666667)</f>
        <v>43656.66667</v>
      </c>
      <c r="Y418" s="9">
        <f>IFERROR(__xludf.DUMMYFUNCTION("""COMPUTED_VALUE"""),381.0)</f>
        <v>381</v>
      </c>
      <c r="AA418" s="11">
        <f>IFERROR(__xludf.DUMMYFUNCTION("""COMPUTED_VALUE"""),43656.66666666667)</f>
        <v>43656.66667</v>
      </c>
      <c r="AB418" s="9">
        <f>IFERROR(__xludf.DUMMYFUNCTION("""COMPUTED_VALUE"""),1996.51)</f>
        <v>1996.51</v>
      </c>
      <c r="AC418" s="11">
        <f>IFERROR(__xludf.DUMMYFUNCTION("""COMPUTED_VALUE"""),43656.66666666667)</f>
        <v>43656.66667</v>
      </c>
      <c r="AD418" s="9">
        <f>IFERROR(__xludf.DUMMYFUNCTION("""COMPUTED_VALUE"""),2017.41)</f>
        <v>2017.41</v>
      </c>
    </row>
    <row r="419">
      <c r="B419" s="11">
        <f>IFERROR(__xludf.DUMMYFUNCTION("""COMPUTED_VALUE"""),43657.66666666667)</f>
        <v>43657.66667</v>
      </c>
      <c r="C419" s="9">
        <f>IFERROR(__xludf.DUMMYFUNCTION("""COMPUTED_VALUE"""),47.63)</f>
        <v>47.63</v>
      </c>
      <c r="D419" s="11">
        <f>IFERROR(__xludf.DUMMYFUNCTION("""COMPUTED_VALUE"""),43657.66666666667)</f>
        <v>43657.66667</v>
      </c>
      <c r="E419" s="9">
        <f>IFERROR(__xludf.DUMMYFUNCTION("""COMPUTED_VALUE"""),47.72)</f>
        <v>47.72</v>
      </c>
      <c r="G419" s="11">
        <f>IFERROR(__xludf.DUMMYFUNCTION("""COMPUTED_VALUE"""),43657.66666666667)</f>
        <v>43657.66667</v>
      </c>
      <c r="H419" s="9">
        <f>IFERROR(__xludf.DUMMYFUNCTION("""COMPUTED_VALUE"""),1143.25)</f>
        <v>1143.25</v>
      </c>
      <c r="I419" s="11">
        <f>IFERROR(__xludf.DUMMYFUNCTION("""COMPUTED_VALUE"""),43657.66666666667)</f>
        <v>43657.66667</v>
      </c>
      <c r="J419" s="9">
        <f>IFERROR(__xludf.DUMMYFUNCTION("""COMPUTED_VALUE"""),1144.21)</f>
        <v>1144.21</v>
      </c>
      <c r="L419" s="11">
        <f>IFERROR(__xludf.DUMMYFUNCTION("""COMPUTED_VALUE"""),43657.66666666667)</f>
        <v>43657.66667</v>
      </c>
      <c r="M419" s="9">
        <f>IFERROR(__xludf.DUMMYFUNCTION("""COMPUTED_VALUE"""),50.83)</f>
        <v>50.83</v>
      </c>
      <c r="N419" s="11">
        <f>IFERROR(__xludf.DUMMYFUNCTION("""COMPUTED_VALUE"""),43657.66666666667)</f>
        <v>43657.66667</v>
      </c>
      <c r="O419" s="9">
        <f>IFERROR(__xludf.DUMMYFUNCTION("""COMPUTED_VALUE"""),50.44)</f>
        <v>50.44</v>
      </c>
      <c r="Q419" s="11">
        <f>IFERROR(__xludf.DUMMYFUNCTION("""COMPUTED_VALUE"""),43657.66666666667)</f>
        <v>43657.66667</v>
      </c>
      <c r="R419" s="9">
        <f>IFERROR(__xludf.DUMMYFUNCTION("""COMPUTED_VALUE"""),203.26)</f>
        <v>203.26</v>
      </c>
      <c r="S419" s="11">
        <f>IFERROR(__xludf.DUMMYFUNCTION("""COMPUTED_VALUE"""),43657.66666666667)</f>
        <v>43657.66667</v>
      </c>
      <c r="T419" s="9">
        <f>IFERROR(__xludf.DUMMYFUNCTION("""COMPUTED_VALUE"""),201.23)</f>
        <v>201.23</v>
      </c>
      <c r="V419" s="11">
        <f>IFERROR(__xludf.DUMMYFUNCTION("""COMPUTED_VALUE"""),43657.66666666667)</f>
        <v>43657.66667</v>
      </c>
      <c r="W419" s="9">
        <f>IFERROR(__xludf.DUMMYFUNCTION("""COMPUTED_VALUE"""),381.1)</f>
        <v>381.1</v>
      </c>
      <c r="X419" s="11">
        <f>IFERROR(__xludf.DUMMYFUNCTION("""COMPUTED_VALUE"""),43657.66666666667)</f>
        <v>43657.66667</v>
      </c>
      <c r="Y419" s="9">
        <f>IFERROR(__xludf.DUMMYFUNCTION("""COMPUTED_VALUE"""),379.5)</f>
        <v>379.5</v>
      </c>
      <c r="AA419" s="11">
        <f>IFERROR(__xludf.DUMMYFUNCTION("""COMPUTED_VALUE"""),43657.66666666667)</f>
        <v>43657.66667</v>
      </c>
      <c r="AB419" s="9">
        <f>IFERROR(__xludf.DUMMYFUNCTION("""COMPUTED_VALUE"""),2025.62)</f>
        <v>2025.62</v>
      </c>
      <c r="AC419" s="11">
        <f>IFERROR(__xludf.DUMMYFUNCTION("""COMPUTED_VALUE"""),43657.66666666667)</f>
        <v>43657.66667</v>
      </c>
      <c r="AD419" s="9">
        <f>IFERROR(__xludf.DUMMYFUNCTION("""COMPUTED_VALUE"""),2001.07)</f>
        <v>2001.07</v>
      </c>
    </row>
    <row r="420">
      <c r="B420" s="11">
        <f>IFERROR(__xludf.DUMMYFUNCTION("""COMPUTED_VALUE"""),43658.66666666667)</f>
        <v>43658.66667</v>
      </c>
      <c r="C420" s="9">
        <f>IFERROR(__xludf.DUMMYFUNCTION("""COMPUTED_VALUE"""),47.95)</f>
        <v>47.95</v>
      </c>
      <c r="D420" s="11">
        <f>IFERROR(__xludf.DUMMYFUNCTION("""COMPUTED_VALUE"""),43658.66666666667)</f>
        <v>43658.66667</v>
      </c>
      <c r="E420" s="9">
        <f>IFERROR(__xludf.DUMMYFUNCTION("""COMPUTED_VALUE"""),49.02)</f>
        <v>49.02</v>
      </c>
      <c r="G420" s="11">
        <f>IFERROR(__xludf.DUMMYFUNCTION("""COMPUTED_VALUE"""),43658.66666666667)</f>
        <v>43658.66667</v>
      </c>
      <c r="H420" s="9">
        <f>IFERROR(__xludf.DUMMYFUNCTION("""COMPUTED_VALUE"""),1143.99)</f>
        <v>1143.99</v>
      </c>
      <c r="I420" s="11">
        <f>IFERROR(__xludf.DUMMYFUNCTION("""COMPUTED_VALUE"""),43658.66666666667)</f>
        <v>43658.66667</v>
      </c>
      <c r="J420" s="9">
        <f>IFERROR(__xludf.DUMMYFUNCTION("""COMPUTED_VALUE"""),1144.9)</f>
        <v>1144.9</v>
      </c>
      <c r="L420" s="11">
        <f>IFERROR(__xludf.DUMMYFUNCTION("""COMPUTED_VALUE"""),43658.66666666667)</f>
        <v>43658.66667</v>
      </c>
      <c r="M420" s="9">
        <f>IFERROR(__xludf.DUMMYFUNCTION("""COMPUTED_VALUE"""),50.61)</f>
        <v>50.61</v>
      </c>
      <c r="N420" s="11">
        <f>IFERROR(__xludf.DUMMYFUNCTION("""COMPUTED_VALUE"""),43658.66666666667)</f>
        <v>43658.66667</v>
      </c>
      <c r="O420" s="9">
        <f>IFERROR(__xludf.DUMMYFUNCTION("""COMPUTED_VALUE"""),50.83)</f>
        <v>50.83</v>
      </c>
      <c r="Q420" s="11">
        <f>IFERROR(__xludf.DUMMYFUNCTION("""COMPUTED_VALUE"""),43658.66666666667)</f>
        <v>43658.66667</v>
      </c>
      <c r="R420" s="9">
        <f>IFERROR(__xludf.DUMMYFUNCTION("""COMPUTED_VALUE"""),199.68)</f>
        <v>199.68</v>
      </c>
      <c r="S420" s="11">
        <f>IFERROR(__xludf.DUMMYFUNCTION("""COMPUTED_VALUE"""),43658.66666666667)</f>
        <v>43658.66667</v>
      </c>
      <c r="T420" s="9">
        <f>IFERROR(__xludf.DUMMYFUNCTION("""COMPUTED_VALUE"""),204.87)</f>
        <v>204.87</v>
      </c>
      <c r="V420" s="11">
        <f>IFERROR(__xludf.DUMMYFUNCTION("""COMPUTED_VALUE"""),43658.66666666667)</f>
        <v>43658.66667</v>
      </c>
      <c r="W420" s="9">
        <f>IFERROR(__xludf.DUMMYFUNCTION("""COMPUTED_VALUE"""),378.68)</f>
        <v>378.68</v>
      </c>
      <c r="X420" s="11">
        <f>IFERROR(__xludf.DUMMYFUNCTION("""COMPUTED_VALUE"""),43658.66666666667)</f>
        <v>43658.66667</v>
      </c>
      <c r="Y420" s="9">
        <f>IFERROR(__xludf.DUMMYFUNCTION("""COMPUTED_VALUE"""),373.25)</f>
        <v>373.25</v>
      </c>
      <c r="AA420" s="11">
        <f>IFERROR(__xludf.DUMMYFUNCTION("""COMPUTED_VALUE"""),43658.66666666667)</f>
        <v>43658.66667</v>
      </c>
      <c r="AB420" s="9">
        <f>IFERROR(__xludf.DUMMYFUNCTION("""COMPUTED_VALUE"""),2008.27)</f>
        <v>2008.27</v>
      </c>
      <c r="AC420" s="11">
        <f>IFERROR(__xludf.DUMMYFUNCTION("""COMPUTED_VALUE"""),43658.66666666667)</f>
        <v>43658.66667</v>
      </c>
      <c r="AD420" s="9">
        <f>IFERROR(__xludf.DUMMYFUNCTION("""COMPUTED_VALUE"""),2011.0)</f>
        <v>2011</v>
      </c>
    </row>
    <row r="421">
      <c r="B421" s="11">
        <f>IFERROR(__xludf.DUMMYFUNCTION("""COMPUTED_VALUE"""),43661.66666666667)</f>
        <v>43661.66667</v>
      </c>
      <c r="C421" s="9">
        <f>IFERROR(__xludf.DUMMYFUNCTION("""COMPUTED_VALUE"""),49.6)</f>
        <v>49.6</v>
      </c>
      <c r="D421" s="11">
        <f>IFERROR(__xludf.DUMMYFUNCTION("""COMPUTED_VALUE"""),43661.66666666667)</f>
        <v>43661.66667</v>
      </c>
      <c r="E421" s="9">
        <f>IFERROR(__xludf.DUMMYFUNCTION("""COMPUTED_VALUE"""),50.7)</f>
        <v>50.7</v>
      </c>
      <c r="G421" s="11">
        <f>IFERROR(__xludf.DUMMYFUNCTION("""COMPUTED_VALUE"""),43661.66666666667)</f>
        <v>43661.66667</v>
      </c>
      <c r="H421" s="9">
        <f>IFERROR(__xludf.DUMMYFUNCTION("""COMPUTED_VALUE"""),1146.86)</f>
        <v>1146.86</v>
      </c>
      <c r="I421" s="11">
        <f>IFERROR(__xludf.DUMMYFUNCTION("""COMPUTED_VALUE"""),43661.66666666667)</f>
        <v>43661.66667</v>
      </c>
      <c r="J421" s="9">
        <f>IFERROR(__xludf.DUMMYFUNCTION("""COMPUTED_VALUE"""),1150.34)</f>
        <v>1150.34</v>
      </c>
      <c r="L421" s="11">
        <f>IFERROR(__xludf.DUMMYFUNCTION("""COMPUTED_VALUE"""),43661.66666666667)</f>
        <v>43661.66667</v>
      </c>
      <c r="M421" s="9">
        <f>IFERROR(__xludf.DUMMYFUNCTION("""COMPUTED_VALUE"""),51.02)</f>
        <v>51.02</v>
      </c>
      <c r="N421" s="11">
        <f>IFERROR(__xludf.DUMMYFUNCTION("""COMPUTED_VALUE"""),43661.66666666667)</f>
        <v>43661.66667</v>
      </c>
      <c r="O421" s="9">
        <f>IFERROR(__xludf.DUMMYFUNCTION("""COMPUTED_VALUE"""),51.3)</f>
        <v>51.3</v>
      </c>
      <c r="Q421" s="11">
        <f>IFERROR(__xludf.DUMMYFUNCTION("""COMPUTED_VALUE"""),43661.66666666667)</f>
        <v>43661.66667</v>
      </c>
      <c r="R421" s="9">
        <f>IFERROR(__xludf.DUMMYFUNCTION("""COMPUTED_VALUE"""),204.25)</f>
        <v>204.25</v>
      </c>
      <c r="S421" s="11">
        <f>IFERROR(__xludf.DUMMYFUNCTION("""COMPUTED_VALUE"""),43661.66666666667)</f>
        <v>43661.66667</v>
      </c>
      <c r="T421" s="9">
        <f>IFERROR(__xludf.DUMMYFUNCTION("""COMPUTED_VALUE"""),203.91)</f>
        <v>203.91</v>
      </c>
      <c r="V421" s="11">
        <f>IFERROR(__xludf.DUMMYFUNCTION("""COMPUTED_VALUE"""),43661.66666666667)</f>
        <v>43661.66667</v>
      </c>
      <c r="W421" s="9">
        <f>IFERROR(__xludf.DUMMYFUNCTION("""COMPUTED_VALUE"""),372.94)</f>
        <v>372.94</v>
      </c>
      <c r="X421" s="11">
        <f>IFERROR(__xludf.DUMMYFUNCTION("""COMPUTED_VALUE"""),43661.66666666667)</f>
        <v>43661.66667</v>
      </c>
      <c r="Y421" s="9">
        <f>IFERROR(__xludf.DUMMYFUNCTION("""COMPUTED_VALUE"""),366.6)</f>
        <v>366.6</v>
      </c>
      <c r="AA421" s="11">
        <f>IFERROR(__xludf.DUMMYFUNCTION("""COMPUTED_VALUE"""),43661.66666666667)</f>
        <v>43661.66667</v>
      </c>
      <c r="AB421" s="9">
        <f>IFERROR(__xludf.DUMMYFUNCTION("""COMPUTED_VALUE"""),2021.4)</f>
        <v>2021.4</v>
      </c>
      <c r="AC421" s="11">
        <f>IFERROR(__xludf.DUMMYFUNCTION("""COMPUTED_VALUE"""),43661.66666666667)</f>
        <v>43661.66667</v>
      </c>
      <c r="AD421" s="9">
        <f>IFERROR(__xludf.DUMMYFUNCTION("""COMPUTED_VALUE"""),2020.99)</f>
        <v>2020.99</v>
      </c>
    </row>
    <row r="422">
      <c r="B422" s="11">
        <f>IFERROR(__xludf.DUMMYFUNCTION("""COMPUTED_VALUE"""),43662.66666666667)</f>
        <v>43662.66667</v>
      </c>
      <c r="C422" s="9">
        <f>IFERROR(__xludf.DUMMYFUNCTION("""COMPUTED_VALUE"""),49.86)</f>
        <v>49.86</v>
      </c>
      <c r="D422" s="11">
        <f>IFERROR(__xludf.DUMMYFUNCTION("""COMPUTED_VALUE"""),43662.66666666667)</f>
        <v>43662.66667</v>
      </c>
      <c r="E422" s="9">
        <f>IFERROR(__xludf.DUMMYFUNCTION("""COMPUTED_VALUE"""),50.48)</f>
        <v>50.48</v>
      </c>
      <c r="G422" s="11">
        <f>IFERROR(__xludf.DUMMYFUNCTION("""COMPUTED_VALUE"""),43662.66666666667)</f>
        <v>43662.66667</v>
      </c>
      <c r="H422" s="9">
        <f>IFERROR(__xludf.DUMMYFUNCTION("""COMPUTED_VALUE"""),1146.0)</f>
        <v>1146</v>
      </c>
      <c r="I422" s="11">
        <f>IFERROR(__xludf.DUMMYFUNCTION("""COMPUTED_VALUE"""),43662.66666666667)</f>
        <v>43662.66667</v>
      </c>
      <c r="J422" s="9">
        <f>IFERROR(__xludf.DUMMYFUNCTION("""COMPUTED_VALUE"""),1153.58)</f>
        <v>1153.58</v>
      </c>
      <c r="L422" s="11">
        <f>IFERROR(__xludf.DUMMYFUNCTION("""COMPUTED_VALUE"""),43662.66666666667)</f>
        <v>43662.66667</v>
      </c>
      <c r="M422" s="9">
        <f>IFERROR(__xludf.DUMMYFUNCTION("""COMPUTED_VALUE"""),51.15)</f>
        <v>51.15</v>
      </c>
      <c r="N422" s="11">
        <f>IFERROR(__xludf.DUMMYFUNCTION("""COMPUTED_VALUE"""),43662.66666666667)</f>
        <v>43662.66667</v>
      </c>
      <c r="O422" s="9">
        <f>IFERROR(__xludf.DUMMYFUNCTION("""COMPUTED_VALUE"""),51.13)</f>
        <v>51.13</v>
      </c>
      <c r="Q422" s="11">
        <f>IFERROR(__xludf.DUMMYFUNCTION("""COMPUTED_VALUE"""),43662.66666666667)</f>
        <v>43662.66667</v>
      </c>
      <c r="R422" s="9">
        <f>IFERROR(__xludf.DUMMYFUNCTION("""COMPUTED_VALUE"""),203.89)</f>
        <v>203.89</v>
      </c>
      <c r="S422" s="11">
        <f>IFERROR(__xludf.DUMMYFUNCTION("""COMPUTED_VALUE"""),43662.66666666667)</f>
        <v>43662.66667</v>
      </c>
      <c r="T422" s="9">
        <f>IFERROR(__xludf.DUMMYFUNCTION("""COMPUTED_VALUE"""),203.84)</f>
        <v>203.84</v>
      </c>
      <c r="V422" s="11">
        <f>IFERROR(__xludf.DUMMYFUNCTION("""COMPUTED_VALUE"""),43662.66666666667)</f>
        <v>43662.66667</v>
      </c>
      <c r="W422" s="9">
        <f>IFERROR(__xludf.DUMMYFUNCTION("""COMPUTED_VALUE"""),370.09)</f>
        <v>370.09</v>
      </c>
      <c r="X422" s="11">
        <f>IFERROR(__xludf.DUMMYFUNCTION("""COMPUTED_VALUE"""),43662.66666666667)</f>
        <v>43662.66667</v>
      </c>
      <c r="Y422" s="9">
        <f>IFERROR(__xludf.DUMMYFUNCTION("""COMPUTED_VALUE"""),365.99)</f>
        <v>365.99</v>
      </c>
      <c r="AA422" s="11">
        <f>IFERROR(__xludf.DUMMYFUNCTION("""COMPUTED_VALUE"""),43662.66666666667)</f>
        <v>43662.66667</v>
      </c>
      <c r="AB422" s="9">
        <f>IFERROR(__xludf.DUMMYFUNCTION("""COMPUTED_VALUE"""),2010.58)</f>
        <v>2010.58</v>
      </c>
      <c r="AC422" s="11">
        <f>IFERROR(__xludf.DUMMYFUNCTION("""COMPUTED_VALUE"""),43662.66666666667)</f>
        <v>43662.66667</v>
      </c>
      <c r="AD422" s="9">
        <f>IFERROR(__xludf.DUMMYFUNCTION("""COMPUTED_VALUE"""),2009.9)</f>
        <v>2009.9</v>
      </c>
    </row>
    <row r="423">
      <c r="B423" s="11">
        <f>IFERROR(__xludf.DUMMYFUNCTION("""COMPUTED_VALUE"""),43663.66666666667)</f>
        <v>43663.66667</v>
      </c>
      <c r="C423" s="9">
        <f>IFERROR(__xludf.DUMMYFUNCTION("""COMPUTED_VALUE"""),51.13)</f>
        <v>51.13</v>
      </c>
      <c r="D423" s="11">
        <f>IFERROR(__xludf.DUMMYFUNCTION("""COMPUTED_VALUE"""),43663.66666666667)</f>
        <v>43663.66667</v>
      </c>
      <c r="E423" s="9">
        <f>IFERROR(__xludf.DUMMYFUNCTION("""COMPUTED_VALUE"""),50.97)</f>
        <v>50.97</v>
      </c>
      <c r="G423" s="11">
        <f>IFERROR(__xludf.DUMMYFUNCTION("""COMPUTED_VALUE"""),43663.66666666667)</f>
        <v>43663.66667</v>
      </c>
      <c r="H423" s="9">
        <f>IFERROR(__xludf.DUMMYFUNCTION("""COMPUTED_VALUE"""),1150.97)</f>
        <v>1150.97</v>
      </c>
      <c r="I423" s="11">
        <f>IFERROR(__xludf.DUMMYFUNCTION("""COMPUTED_VALUE"""),43663.66666666667)</f>
        <v>43663.66667</v>
      </c>
      <c r="J423" s="9">
        <f>IFERROR(__xludf.DUMMYFUNCTION("""COMPUTED_VALUE"""),1146.35)</f>
        <v>1146.35</v>
      </c>
      <c r="L423" s="11">
        <f>IFERROR(__xludf.DUMMYFUNCTION("""COMPUTED_VALUE"""),43663.66666666667)</f>
        <v>43663.66667</v>
      </c>
      <c r="M423" s="9">
        <f>IFERROR(__xludf.DUMMYFUNCTION("""COMPUTED_VALUE"""),51.01)</f>
        <v>51.01</v>
      </c>
      <c r="N423" s="11">
        <f>IFERROR(__xludf.DUMMYFUNCTION("""COMPUTED_VALUE"""),43663.66666666667)</f>
        <v>43663.66667</v>
      </c>
      <c r="O423" s="9">
        <f>IFERROR(__xludf.DUMMYFUNCTION("""COMPUTED_VALUE"""),50.84)</f>
        <v>50.84</v>
      </c>
      <c r="Q423" s="11">
        <f>IFERROR(__xludf.DUMMYFUNCTION("""COMPUTED_VALUE"""),43663.66666666667)</f>
        <v>43663.66667</v>
      </c>
      <c r="R423" s="9">
        <f>IFERROR(__xludf.DUMMYFUNCTION("""COMPUTED_VALUE"""),204.18)</f>
        <v>204.18</v>
      </c>
      <c r="S423" s="11">
        <f>IFERROR(__xludf.DUMMYFUNCTION("""COMPUTED_VALUE"""),43663.66666666667)</f>
        <v>43663.66667</v>
      </c>
      <c r="T423" s="9">
        <f>IFERROR(__xludf.DUMMYFUNCTION("""COMPUTED_VALUE"""),201.8)</f>
        <v>201.8</v>
      </c>
      <c r="V423" s="11">
        <f>IFERROR(__xludf.DUMMYFUNCTION("""COMPUTED_VALUE"""),43663.66666666667)</f>
        <v>43663.66667</v>
      </c>
      <c r="W423" s="9">
        <f>IFERROR(__xludf.DUMMYFUNCTION("""COMPUTED_VALUE"""),366.25)</f>
        <v>366.25</v>
      </c>
      <c r="X423" s="11">
        <f>IFERROR(__xludf.DUMMYFUNCTION("""COMPUTED_VALUE"""),43663.66666666667)</f>
        <v>43663.66667</v>
      </c>
      <c r="Y423" s="9">
        <f>IFERROR(__xludf.DUMMYFUNCTION("""COMPUTED_VALUE"""),362.44)</f>
        <v>362.44</v>
      </c>
      <c r="AA423" s="11">
        <f>IFERROR(__xludf.DUMMYFUNCTION("""COMPUTED_VALUE"""),43663.66666666667)</f>
        <v>43663.66667</v>
      </c>
      <c r="AB423" s="9">
        <f>IFERROR(__xludf.DUMMYFUNCTION("""COMPUTED_VALUE"""),2007.05)</f>
        <v>2007.05</v>
      </c>
      <c r="AC423" s="11">
        <f>IFERROR(__xludf.DUMMYFUNCTION("""COMPUTED_VALUE"""),43663.66666666667)</f>
        <v>43663.66667</v>
      </c>
      <c r="AD423" s="9">
        <f>IFERROR(__xludf.DUMMYFUNCTION("""COMPUTED_VALUE"""),1992.03)</f>
        <v>1992.03</v>
      </c>
    </row>
    <row r="424">
      <c r="B424" s="11">
        <f>IFERROR(__xludf.DUMMYFUNCTION("""COMPUTED_VALUE"""),43664.66666666667)</f>
        <v>43664.66667</v>
      </c>
      <c r="C424" s="9">
        <f>IFERROR(__xludf.DUMMYFUNCTION("""COMPUTED_VALUE"""),51.01)</f>
        <v>51.01</v>
      </c>
      <c r="D424" s="11">
        <f>IFERROR(__xludf.DUMMYFUNCTION("""COMPUTED_VALUE"""),43664.66666666667)</f>
        <v>43664.66667</v>
      </c>
      <c r="E424" s="9">
        <f>IFERROR(__xludf.DUMMYFUNCTION("""COMPUTED_VALUE"""),50.71)</f>
        <v>50.71</v>
      </c>
      <c r="G424" s="11">
        <f>IFERROR(__xludf.DUMMYFUNCTION("""COMPUTED_VALUE"""),43664.66666666667)</f>
        <v>43664.66667</v>
      </c>
      <c r="H424" s="9">
        <f>IFERROR(__xludf.DUMMYFUNCTION("""COMPUTED_VALUE"""),1141.74)</f>
        <v>1141.74</v>
      </c>
      <c r="I424" s="11">
        <f>IFERROR(__xludf.DUMMYFUNCTION("""COMPUTED_VALUE"""),43664.66666666667)</f>
        <v>43664.66667</v>
      </c>
      <c r="J424" s="9">
        <f>IFERROR(__xludf.DUMMYFUNCTION("""COMPUTED_VALUE"""),1146.33)</f>
        <v>1146.33</v>
      </c>
      <c r="L424" s="11">
        <f>IFERROR(__xludf.DUMMYFUNCTION("""COMPUTED_VALUE"""),43664.66666666667)</f>
        <v>43664.66667</v>
      </c>
      <c r="M424" s="9">
        <f>IFERROR(__xludf.DUMMYFUNCTION("""COMPUTED_VALUE"""),51.0)</f>
        <v>51</v>
      </c>
      <c r="N424" s="11">
        <f>IFERROR(__xludf.DUMMYFUNCTION("""COMPUTED_VALUE"""),43664.66666666667)</f>
        <v>43664.66667</v>
      </c>
      <c r="O424" s="9">
        <f>IFERROR(__xludf.DUMMYFUNCTION("""COMPUTED_VALUE"""),51.42)</f>
        <v>51.42</v>
      </c>
      <c r="Q424" s="11">
        <f>IFERROR(__xludf.DUMMYFUNCTION("""COMPUTED_VALUE"""),43664.66666666667)</f>
        <v>43664.66667</v>
      </c>
      <c r="R424" s="9">
        <f>IFERROR(__xludf.DUMMYFUNCTION("""COMPUTED_VALUE"""),200.15)</f>
        <v>200.15</v>
      </c>
      <c r="S424" s="11">
        <f>IFERROR(__xludf.DUMMYFUNCTION("""COMPUTED_VALUE"""),43664.66666666667)</f>
        <v>43664.66667</v>
      </c>
      <c r="T424" s="9">
        <f>IFERROR(__xludf.DUMMYFUNCTION("""COMPUTED_VALUE"""),200.78)</f>
        <v>200.78</v>
      </c>
      <c r="V424" s="11">
        <f>IFERROR(__xludf.DUMMYFUNCTION("""COMPUTED_VALUE"""),43664.66666666667)</f>
        <v>43664.66667</v>
      </c>
      <c r="W424" s="9">
        <f>IFERROR(__xludf.DUMMYFUNCTION("""COMPUTED_VALUE"""),323.76)</f>
        <v>323.76</v>
      </c>
      <c r="X424" s="11">
        <f>IFERROR(__xludf.DUMMYFUNCTION("""COMPUTED_VALUE"""),43664.66666666667)</f>
        <v>43664.66667</v>
      </c>
      <c r="Y424" s="9">
        <f>IFERROR(__xludf.DUMMYFUNCTION("""COMPUTED_VALUE"""),325.21)</f>
        <v>325.21</v>
      </c>
      <c r="AA424" s="11">
        <f>IFERROR(__xludf.DUMMYFUNCTION("""COMPUTED_VALUE"""),43664.66666666667)</f>
        <v>43664.66667</v>
      </c>
      <c r="AB424" s="9">
        <f>IFERROR(__xludf.DUMMYFUNCTION("""COMPUTED_VALUE"""),1980.01)</f>
        <v>1980.01</v>
      </c>
      <c r="AC424" s="11">
        <f>IFERROR(__xludf.DUMMYFUNCTION("""COMPUTED_VALUE"""),43664.66666666667)</f>
        <v>43664.66667</v>
      </c>
      <c r="AD424" s="9">
        <f>IFERROR(__xludf.DUMMYFUNCTION("""COMPUTED_VALUE"""),1977.9)</f>
        <v>1977.9</v>
      </c>
    </row>
    <row r="425">
      <c r="B425" s="11">
        <f>IFERROR(__xludf.DUMMYFUNCTION("""COMPUTED_VALUE"""),43665.66666666667)</f>
        <v>43665.66667</v>
      </c>
      <c r="C425" s="9">
        <f>IFERROR(__xludf.DUMMYFUNCTION("""COMPUTED_VALUE"""),51.14)</f>
        <v>51.14</v>
      </c>
      <c r="D425" s="11">
        <f>IFERROR(__xludf.DUMMYFUNCTION("""COMPUTED_VALUE"""),43665.66666666667)</f>
        <v>43665.66667</v>
      </c>
      <c r="E425" s="9">
        <f>IFERROR(__xludf.DUMMYFUNCTION("""COMPUTED_VALUE"""),51.64)</f>
        <v>51.64</v>
      </c>
      <c r="G425" s="11">
        <f>IFERROR(__xludf.DUMMYFUNCTION("""COMPUTED_VALUE"""),43665.66666666667)</f>
        <v>43665.66667</v>
      </c>
      <c r="H425" s="9">
        <f>IFERROR(__xludf.DUMMYFUNCTION("""COMPUTED_VALUE"""),1148.19)</f>
        <v>1148.19</v>
      </c>
      <c r="I425" s="11">
        <f>IFERROR(__xludf.DUMMYFUNCTION("""COMPUTED_VALUE"""),43665.66666666667)</f>
        <v>43665.66667</v>
      </c>
      <c r="J425" s="9">
        <f>IFERROR(__xludf.DUMMYFUNCTION("""COMPUTED_VALUE"""),1130.1)</f>
        <v>1130.1</v>
      </c>
      <c r="L425" s="11">
        <f>IFERROR(__xludf.DUMMYFUNCTION("""COMPUTED_VALUE"""),43665.66666666667)</f>
        <v>43665.66667</v>
      </c>
      <c r="M425" s="9">
        <f>IFERROR(__xludf.DUMMYFUNCTION("""COMPUTED_VALUE"""),51.45)</f>
        <v>51.45</v>
      </c>
      <c r="N425" s="11">
        <f>IFERROR(__xludf.DUMMYFUNCTION("""COMPUTED_VALUE"""),43665.66666666667)</f>
        <v>43665.66667</v>
      </c>
      <c r="O425" s="9">
        <f>IFERROR(__xludf.DUMMYFUNCTION("""COMPUTED_VALUE"""),50.65)</f>
        <v>50.65</v>
      </c>
      <c r="Q425" s="11">
        <f>IFERROR(__xludf.DUMMYFUNCTION("""COMPUTED_VALUE"""),43665.66666666667)</f>
        <v>43665.66667</v>
      </c>
      <c r="R425" s="9">
        <f>IFERROR(__xludf.DUMMYFUNCTION("""COMPUTED_VALUE"""),202.18)</f>
        <v>202.18</v>
      </c>
      <c r="S425" s="11">
        <f>IFERROR(__xludf.DUMMYFUNCTION("""COMPUTED_VALUE"""),43665.66666666667)</f>
        <v>43665.66667</v>
      </c>
      <c r="T425" s="9">
        <f>IFERROR(__xludf.DUMMYFUNCTION("""COMPUTED_VALUE"""),198.36)</f>
        <v>198.36</v>
      </c>
      <c r="V425" s="11">
        <f>IFERROR(__xludf.DUMMYFUNCTION("""COMPUTED_VALUE"""),43665.66666666667)</f>
        <v>43665.66667</v>
      </c>
      <c r="W425" s="9">
        <f>IFERROR(__xludf.DUMMYFUNCTION("""COMPUTED_VALUE"""),323.4)</f>
        <v>323.4</v>
      </c>
      <c r="X425" s="11">
        <f>IFERROR(__xludf.DUMMYFUNCTION("""COMPUTED_VALUE"""),43665.66666666667)</f>
        <v>43665.66667</v>
      </c>
      <c r="Y425" s="9">
        <f>IFERROR(__xludf.DUMMYFUNCTION("""COMPUTED_VALUE"""),315.1)</f>
        <v>315.1</v>
      </c>
      <c r="AA425" s="11">
        <f>IFERROR(__xludf.DUMMYFUNCTION("""COMPUTED_VALUE"""),43665.66666666667)</f>
        <v>43665.66667</v>
      </c>
      <c r="AB425" s="9">
        <f>IFERROR(__xludf.DUMMYFUNCTION("""COMPUTED_VALUE"""),1991.21)</f>
        <v>1991.21</v>
      </c>
      <c r="AC425" s="11">
        <f>IFERROR(__xludf.DUMMYFUNCTION("""COMPUTED_VALUE"""),43665.66666666667)</f>
        <v>43665.66667</v>
      </c>
      <c r="AD425" s="9">
        <f>IFERROR(__xludf.DUMMYFUNCTION("""COMPUTED_VALUE"""),1964.52)</f>
        <v>1964.52</v>
      </c>
    </row>
    <row r="426">
      <c r="B426" s="11">
        <f>IFERROR(__xludf.DUMMYFUNCTION("""COMPUTED_VALUE"""),43668.66666666667)</f>
        <v>43668.66667</v>
      </c>
      <c r="C426" s="9">
        <f>IFERROR(__xludf.DUMMYFUNCTION("""COMPUTED_VALUE"""),51.75)</f>
        <v>51.75</v>
      </c>
      <c r="D426" s="11">
        <f>IFERROR(__xludf.DUMMYFUNCTION("""COMPUTED_VALUE"""),43668.66666666667)</f>
        <v>43668.66667</v>
      </c>
      <c r="E426" s="9">
        <f>IFERROR(__xludf.DUMMYFUNCTION("""COMPUTED_VALUE"""),51.14)</f>
        <v>51.14</v>
      </c>
      <c r="G426" s="11">
        <f>IFERROR(__xludf.DUMMYFUNCTION("""COMPUTED_VALUE"""),43668.66666666667)</f>
        <v>43668.66667</v>
      </c>
      <c r="H426" s="9">
        <f>IFERROR(__xludf.DUMMYFUNCTION("""COMPUTED_VALUE"""),1133.45)</f>
        <v>1133.45</v>
      </c>
      <c r="I426" s="11">
        <f>IFERROR(__xludf.DUMMYFUNCTION("""COMPUTED_VALUE"""),43668.66666666667)</f>
        <v>43668.66667</v>
      </c>
      <c r="J426" s="9">
        <f>IFERROR(__xludf.DUMMYFUNCTION("""COMPUTED_VALUE"""),1138.07)</f>
        <v>1138.07</v>
      </c>
      <c r="L426" s="11">
        <f>IFERROR(__xludf.DUMMYFUNCTION("""COMPUTED_VALUE"""),43668.66666666667)</f>
        <v>43668.66667</v>
      </c>
      <c r="M426" s="9">
        <f>IFERROR(__xludf.DUMMYFUNCTION("""COMPUTED_VALUE"""),50.91)</f>
        <v>50.91</v>
      </c>
      <c r="N426" s="11">
        <f>IFERROR(__xludf.DUMMYFUNCTION("""COMPUTED_VALUE"""),43668.66666666667)</f>
        <v>43668.66667</v>
      </c>
      <c r="O426" s="9">
        <f>IFERROR(__xludf.DUMMYFUNCTION("""COMPUTED_VALUE"""),51.81)</f>
        <v>51.81</v>
      </c>
      <c r="Q426" s="11">
        <f>IFERROR(__xludf.DUMMYFUNCTION("""COMPUTED_VALUE"""),43668.66666666667)</f>
        <v>43668.66667</v>
      </c>
      <c r="R426" s="9">
        <f>IFERROR(__xludf.DUMMYFUNCTION("""COMPUTED_VALUE"""),199.91)</f>
        <v>199.91</v>
      </c>
      <c r="S426" s="11">
        <f>IFERROR(__xludf.DUMMYFUNCTION("""COMPUTED_VALUE"""),43668.66666666667)</f>
        <v>43668.66667</v>
      </c>
      <c r="T426" s="9">
        <f>IFERROR(__xludf.DUMMYFUNCTION("""COMPUTED_VALUE"""),202.32)</f>
        <v>202.32</v>
      </c>
      <c r="V426" s="11">
        <f>IFERROR(__xludf.DUMMYFUNCTION("""COMPUTED_VALUE"""),43668.66666666667)</f>
        <v>43668.66667</v>
      </c>
      <c r="W426" s="9">
        <f>IFERROR(__xludf.DUMMYFUNCTION("""COMPUTED_VALUE"""),312.0)</f>
        <v>312</v>
      </c>
      <c r="X426" s="11">
        <f>IFERROR(__xludf.DUMMYFUNCTION("""COMPUTED_VALUE"""),43668.66666666667)</f>
        <v>43668.66667</v>
      </c>
      <c r="Y426" s="9">
        <f>IFERROR(__xludf.DUMMYFUNCTION("""COMPUTED_VALUE"""),310.62)</f>
        <v>310.62</v>
      </c>
      <c r="AA426" s="11">
        <f>IFERROR(__xludf.DUMMYFUNCTION("""COMPUTED_VALUE"""),43668.66666666667)</f>
        <v>43668.66667</v>
      </c>
      <c r="AB426" s="9">
        <f>IFERROR(__xludf.DUMMYFUNCTION("""COMPUTED_VALUE"""),1971.14)</f>
        <v>1971.14</v>
      </c>
      <c r="AC426" s="11">
        <f>IFERROR(__xludf.DUMMYFUNCTION("""COMPUTED_VALUE"""),43668.66666666667)</f>
        <v>43668.66667</v>
      </c>
      <c r="AD426" s="9">
        <f>IFERROR(__xludf.DUMMYFUNCTION("""COMPUTED_VALUE"""),1985.63)</f>
        <v>1985.63</v>
      </c>
    </row>
    <row r="427">
      <c r="B427" s="11">
        <f>IFERROR(__xludf.DUMMYFUNCTION("""COMPUTED_VALUE"""),43669.66666666667)</f>
        <v>43669.66667</v>
      </c>
      <c r="C427" s="9">
        <f>IFERROR(__xludf.DUMMYFUNCTION("""COMPUTED_VALUE"""),51.34)</f>
        <v>51.34</v>
      </c>
      <c r="D427" s="11">
        <f>IFERROR(__xludf.DUMMYFUNCTION("""COMPUTED_VALUE"""),43669.66666666667)</f>
        <v>43669.66667</v>
      </c>
      <c r="E427" s="9">
        <f>IFERROR(__xludf.DUMMYFUNCTION("""COMPUTED_VALUE"""),52.03)</f>
        <v>52.03</v>
      </c>
      <c r="G427" s="11">
        <f>IFERROR(__xludf.DUMMYFUNCTION("""COMPUTED_VALUE"""),43669.66666666667)</f>
        <v>43669.66667</v>
      </c>
      <c r="H427" s="9">
        <f>IFERROR(__xludf.DUMMYFUNCTION("""COMPUTED_VALUE"""),1144.0)</f>
        <v>1144</v>
      </c>
      <c r="I427" s="11">
        <f>IFERROR(__xludf.DUMMYFUNCTION("""COMPUTED_VALUE"""),43669.66666666667)</f>
        <v>43669.66667</v>
      </c>
      <c r="J427" s="9">
        <f>IFERROR(__xludf.DUMMYFUNCTION("""COMPUTED_VALUE"""),1146.21)</f>
        <v>1146.21</v>
      </c>
      <c r="L427" s="11">
        <f>IFERROR(__xludf.DUMMYFUNCTION("""COMPUTED_VALUE"""),43669.66666666667)</f>
        <v>43669.66667</v>
      </c>
      <c r="M427" s="9">
        <f>IFERROR(__xludf.DUMMYFUNCTION("""COMPUTED_VALUE"""),52.12)</f>
        <v>52.12</v>
      </c>
      <c r="N427" s="11">
        <f>IFERROR(__xludf.DUMMYFUNCTION("""COMPUTED_VALUE"""),43669.66666666667)</f>
        <v>43669.66667</v>
      </c>
      <c r="O427" s="9">
        <f>IFERROR(__xludf.DUMMYFUNCTION("""COMPUTED_VALUE"""),52.21)</f>
        <v>52.21</v>
      </c>
      <c r="Q427" s="11">
        <f>IFERROR(__xludf.DUMMYFUNCTION("""COMPUTED_VALUE"""),43669.66666666667)</f>
        <v>43669.66667</v>
      </c>
      <c r="R427" s="9">
        <f>IFERROR(__xludf.DUMMYFUNCTION("""COMPUTED_VALUE"""),202.84)</f>
        <v>202.84</v>
      </c>
      <c r="S427" s="11">
        <f>IFERROR(__xludf.DUMMYFUNCTION("""COMPUTED_VALUE"""),43669.66666666667)</f>
        <v>43669.66667</v>
      </c>
      <c r="T427" s="9">
        <f>IFERROR(__xludf.DUMMYFUNCTION("""COMPUTED_VALUE"""),202.36)</f>
        <v>202.36</v>
      </c>
      <c r="V427" s="11">
        <f>IFERROR(__xludf.DUMMYFUNCTION("""COMPUTED_VALUE"""),43669.66666666667)</f>
        <v>43669.66667</v>
      </c>
      <c r="W427" s="9">
        <f>IFERROR(__xludf.DUMMYFUNCTION("""COMPUTED_VALUE"""),311.44)</f>
        <v>311.44</v>
      </c>
      <c r="X427" s="11">
        <f>IFERROR(__xludf.DUMMYFUNCTION("""COMPUTED_VALUE"""),43669.66666666667)</f>
        <v>43669.66667</v>
      </c>
      <c r="Y427" s="9">
        <f>IFERROR(__xludf.DUMMYFUNCTION("""COMPUTED_VALUE"""),307.3)</f>
        <v>307.3</v>
      </c>
      <c r="AA427" s="11">
        <f>IFERROR(__xludf.DUMMYFUNCTION("""COMPUTED_VALUE"""),43669.66666666667)</f>
        <v>43669.66667</v>
      </c>
      <c r="AB427" s="9">
        <f>IFERROR(__xludf.DUMMYFUNCTION("""COMPUTED_VALUE"""),1995.99)</f>
        <v>1995.99</v>
      </c>
      <c r="AC427" s="11">
        <f>IFERROR(__xludf.DUMMYFUNCTION("""COMPUTED_VALUE"""),43669.66666666667)</f>
        <v>43669.66667</v>
      </c>
      <c r="AD427" s="9">
        <f>IFERROR(__xludf.DUMMYFUNCTION("""COMPUTED_VALUE"""),1994.49)</f>
        <v>1994.49</v>
      </c>
    </row>
    <row r="428">
      <c r="B428" s="11">
        <f>IFERROR(__xludf.DUMMYFUNCTION("""COMPUTED_VALUE"""),43670.66666666667)</f>
        <v>43670.66667</v>
      </c>
      <c r="C428" s="9">
        <f>IFERROR(__xludf.DUMMYFUNCTION("""COMPUTED_VALUE"""),51.83)</f>
        <v>51.83</v>
      </c>
      <c r="D428" s="11">
        <f>IFERROR(__xludf.DUMMYFUNCTION("""COMPUTED_VALUE"""),43670.66666666667)</f>
        <v>43670.66667</v>
      </c>
      <c r="E428" s="9">
        <f>IFERROR(__xludf.DUMMYFUNCTION("""COMPUTED_VALUE"""),52.98)</f>
        <v>52.98</v>
      </c>
      <c r="G428" s="11">
        <f>IFERROR(__xludf.DUMMYFUNCTION("""COMPUTED_VALUE"""),43670.66666666667)</f>
        <v>43670.66667</v>
      </c>
      <c r="H428" s="9">
        <f>IFERROR(__xludf.DUMMYFUNCTION("""COMPUTED_VALUE"""),1131.9)</f>
        <v>1131.9</v>
      </c>
      <c r="I428" s="11">
        <f>IFERROR(__xludf.DUMMYFUNCTION("""COMPUTED_VALUE"""),43670.66666666667)</f>
        <v>43670.66667</v>
      </c>
      <c r="J428" s="9">
        <f>IFERROR(__xludf.DUMMYFUNCTION("""COMPUTED_VALUE"""),1137.81)</f>
        <v>1137.81</v>
      </c>
      <c r="L428" s="11">
        <f>IFERROR(__xludf.DUMMYFUNCTION("""COMPUTED_VALUE"""),43670.66666666667)</f>
        <v>43670.66667</v>
      </c>
      <c r="M428" s="9">
        <f>IFERROR(__xludf.DUMMYFUNCTION("""COMPUTED_VALUE"""),51.92)</f>
        <v>51.92</v>
      </c>
      <c r="N428" s="11">
        <f>IFERROR(__xludf.DUMMYFUNCTION("""COMPUTED_VALUE"""),43670.66666666667)</f>
        <v>43670.66667</v>
      </c>
      <c r="O428" s="9">
        <f>IFERROR(__xludf.DUMMYFUNCTION("""COMPUTED_VALUE"""),52.17)</f>
        <v>52.17</v>
      </c>
      <c r="Q428" s="11">
        <f>IFERROR(__xludf.DUMMYFUNCTION("""COMPUTED_VALUE"""),43670.66666666667)</f>
        <v>43670.66667</v>
      </c>
      <c r="R428" s="9">
        <f>IFERROR(__xludf.DUMMYFUNCTION("""COMPUTED_VALUE"""),197.63)</f>
        <v>197.63</v>
      </c>
      <c r="S428" s="11">
        <f>IFERROR(__xludf.DUMMYFUNCTION("""COMPUTED_VALUE"""),43670.66666666667)</f>
        <v>43670.66667</v>
      </c>
      <c r="T428" s="9">
        <f>IFERROR(__xludf.DUMMYFUNCTION("""COMPUTED_VALUE"""),204.66)</f>
        <v>204.66</v>
      </c>
      <c r="V428" s="11">
        <f>IFERROR(__xludf.DUMMYFUNCTION("""COMPUTED_VALUE"""),43670.66666666667)</f>
        <v>43670.66667</v>
      </c>
      <c r="W428" s="9">
        <f>IFERROR(__xludf.DUMMYFUNCTION("""COMPUTED_VALUE"""),310.51)</f>
        <v>310.51</v>
      </c>
      <c r="X428" s="11">
        <f>IFERROR(__xludf.DUMMYFUNCTION("""COMPUTED_VALUE"""),43670.66666666667)</f>
        <v>43670.66667</v>
      </c>
      <c r="Y428" s="9">
        <f>IFERROR(__xludf.DUMMYFUNCTION("""COMPUTED_VALUE"""),317.94)</f>
        <v>317.94</v>
      </c>
      <c r="AA428" s="11">
        <f>IFERROR(__xludf.DUMMYFUNCTION("""COMPUTED_VALUE"""),43670.66666666667)</f>
        <v>43670.66667</v>
      </c>
      <c r="AB428" s="9">
        <f>IFERROR(__xludf.DUMMYFUNCTION("""COMPUTED_VALUE"""),1969.3)</f>
        <v>1969.3</v>
      </c>
      <c r="AC428" s="11">
        <f>IFERROR(__xludf.DUMMYFUNCTION("""COMPUTED_VALUE"""),43670.66666666667)</f>
        <v>43670.66667</v>
      </c>
      <c r="AD428" s="9">
        <f>IFERROR(__xludf.DUMMYFUNCTION("""COMPUTED_VALUE"""),2000.81)</f>
        <v>2000.81</v>
      </c>
    </row>
    <row r="429">
      <c r="B429" s="11">
        <f>IFERROR(__xludf.DUMMYFUNCTION("""COMPUTED_VALUE"""),43671.66666666667)</f>
        <v>43671.66667</v>
      </c>
      <c r="C429" s="9">
        <f>IFERROR(__xludf.DUMMYFUNCTION("""COMPUTED_VALUE"""),46.7)</f>
        <v>46.7</v>
      </c>
      <c r="D429" s="11">
        <f>IFERROR(__xludf.DUMMYFUNCTION("""COMPUTED_VALUE"""),43671.66666666667)</f>
        <v>43671.66667</v>
      </c>
      <c r="E429" s="9">
        <f>IFERROR(__xludf.DUMMYFUNCTION("""COMPUTED_VALUE"""),45.76)</f>
        <v>45.76</v>
      </c>
      <c r="G429" s="11">
        <f>IFERROR(__xludf.DUMMYFUNCTION("""COMPUTED_VALUE"""),43671.66666666667)</f>
        <v>43671.66667</v>
      </c>
      <c r="H429" s="9">
        <f>IFERROR(__xludf.DUMMYFUNCTION("""COMPUTED_VALUE"""),1137.82)</f>
        <v>1137.82</v>
      </c>
      <c r="I429" s="11">
        <f>IFERROR(__xludf.DUMMYFUNCTION("""COMPUTED_VALUE"""),43671.66666666667)</f>
        <v>43671.66667</v>
      </c>
      <c r="J429" s="9">
        <f>IFERROR(__xludf.DUMMYFUNCTION("""COMPUTED_VALUE"""),1132.12)</f>
        <v>1132.12</v>
      </c>
      <c r="L429" s="11">
        <f>IFERROR(__xludf.DUMMYFUNCTION("""COMPUTED_VALUE"""),43671.66666666667)</f>
        <v>43671.66667</v>
      </c>
      <c r="M429" s="9">
        <f>IFERROR(__xludf.DUMMYFUNCTION("""COMPUTED_VALUE"""),52.22)</f>
        <v>52.22</v>
      </c>
      <c r="N429" s="11">
        <f>IFERROR(__xludf.DUMMYFUNCTION("""COMPUTED_VALUE"""),43671.66666666667)</f>
        <v>43671.66667</v>
      </c>
      <c r="O429" s="9">
        <f>IFERROR(__xludf.DUMMYFUNCTION("""COMPUTED_VALUE"""),51.76)</f>
        <v>51.76</v>
      </c>
      <c r="Q429" s="11">
        <f>IFERROR(__xludf.DUMMYFUNCTION("""COMPUTED_VALUE"""),43671.66666666667)</f>
        <v>43671.66667</v>
      </c>
      <c r="R429" s="9">
        <f>IFERROR(__xludf.DUMMYFUNCTION("""COMPUTED_VALUE"""),206.7)</f>
        <v>206.7</v>
      </c>
      <c r="S429" s="11">
        <f>IFERROR(__xludf.DUMMYFUNCTION("""COMPUTED_VALUE"""),43671.66666666667)</f>
        <v>43671.66667</v>
      </c>
      <c r="T429" s="9">
        <f>IFERROR(__xludf.DUMMYFUNCTION("""COMPUTED_VALUE"""),200.71)</f>
        <v>200.71</v>
      </c>
      <c r="V429" s="11">
        <f>IFERROR(__xludf.DUMMYFUNCTION("""COMPUTED_VALUE"""),43671.66666666667)</f>
        <v>43671.66667</v>
      </c>
      <c r="W429" s="9">
        <f>IFERROR(__xludf.DUMMYFUNCTION("""COMPUTED_VALUE"""),318.86)</f>
        <v>318.86</v>
      </c>
      <c r="X429" s="11">
        <f>IFERROR(__xludf.DUMMYFUNCTION("""COMPUTED_VALUE"""),43671.66666666667)</f>
        <v>43671.66667</v>
      </c>
      <c r="Y429" s="9">
        <f>IFERROR(__xludf.DUMMYFUNCTION("""COMPUTED_VALUE"""),326.46)</f>
        <v>326.46</v>
      </c>
      <c r="AA429" s="11">
        <f>IFERROR(__xludf.DUMMYFUNCTION("""COMPUTED_VALUE"""),43671.66666666667)</f>
        <v>43671.66667</v>
      </c>
      <c r="AB429" s="9">
        <f>IFERROR(__xludf.DUMMYFUNCTION("""COMPUTED_VALUE"""),2001.0)</f>
        <v>2001</v>
      </c>
      <c r="AC429" s="11">
        <f>IFERROR(__xludf.DUMMYFUNCTION("""COMPUTED_VALUE"""),43671.66666666667)</f>
        <v>43671.66667</v>
      </c>
      <c r="AD429" s="9">
        <f>IFERROR(__xludf.DUMMYFUNCTION("""COMPUTED_VALUE"""),1973.82)</f>
        <v>1973.82</v>
      </c>
    </row>
    <row r="430">
      <c r="B430" s="11">
        <f>IFERROR(__xludf.DUMMYFUNCTION("""COMPUTED_VALUE"""),43672.66666666667)</f>
        <v>43672.66667</v>
      </c>
      <c r="C430" s="9">
        <f>IFERROR(__xludf.DUMMYFUNCTION("""COMPUTED_VALUE"""),45.38)</f>
        <v>45.38</v>
      </c>
      <c r="D430" s="11">
        <f>IFERROR(__xludf.DUMMYFUNCTION("""COMPUTED_VALUE"""),43672.66666666667)</f>
        <v>43672.66667</v>
      </c>
      <c r="E430" s="9">
        <f>IFERROR(__xludf.DUMMYFUNCTION("""COMPUTED_VALUE"""),45.61)</f>
        <v>45.61</v>
      </c>
      <c r="G430" s="11">
        <f>IFERROR(__xludf.DUMMYFUNCTION("""COMPUTED_VALUE"""),43672.66666666667)</f>
        <v>43672.66667</v>
      </c>
      <c r="H430" s="9">
        <f>IFERROR(__xludf.DUMMYFUNCTION("""COMPUTED_VALUE"""),1224.04)</f>
        <v>1224.04</v>
      </c>
      <c r="I430" s="11">
        <f>IFERROR(__xludf.DUMMYFUNCTION("""COMPUTED_VALUE"""),43672.66666666667)</f>
        <v>43672.66667</v>
      </c>
      <c r="J430" s="9">
        <f>IFERROR(__xludf.DUMMYFUNCTION("""COMPUTED_VALUE"""),1250.41)</f>
        <v>1250.41</v>
      </c>
      <c r="L430" s="11">
        <f>IFERROR(__xludf.DUMMYFUNCTION("""COMPUTED_VALUE"""),43672.66666666667)</f>
        <v>43672.66667</v>
      </c>
      <c r="M430" s="9">
        <f>IFERROR(__xludf.DUMMYFUNCTION("""COMPUTED_VALUE"""),51.87)</f>
        <v>51.87</v>
      </c>
      <c r="N430" s="11">
        <f>IFERROR(__xludf.DUMMYFUNCTION("""COMPUTED_VALUE"""),43672.66666666667)</f>
        <v>43672.66667</v>
      </c>
      <c r="O430" s="9">
        <f>IFERROR(__xludf.DUMMYFUNCTION("""COMPUTED_VALUE"""),51.94)</f>
        <v>51.94</v>
      </c>
      <c r="Q430" s="11">
        <f>IFERROR(__xludf.DUMMYFUNCTION("""COMPUTED_VALUE"""),43672.66666666667)</f>
        <v>43672.66667</v>
      </c>
      <c r="R430" s="9">
        <f>IFERROR(__xludf.DUMMYFUNCTION("""COMPUTED_VALUE"""),200.19)</f>
        <v>200.19</v>
      </c>
      <c r="S430" s="11">
        <f>IFERROR(__xludf.DUMMYFUNCTION("""COMPUTED_VALUE"""),43672.66666666667)</f>
        <v>43672.66667</v>
      </c>
      <c r="T430" s="9">
        <f>IFERROR(__xludf.DUMMYFUNCTION("""COMPUTED_VALUE"""),199.75)</f>
        <v>199.75</v>
      </c>
      <c r="V430" s="11">
        <f>IFERROR(__xludf.DUMMYFUNCTION("""COMPUTED_VALUE"""),43672.66666666667)</f>
        <v>43672.66667</v>
      </c>
      <c r="W430" s="9">
        <f>IFERROR(__xludf.DUMMYFUNCTION("""COMPUTED_VALUE"""),328.79)</f>
        <v>328.79</v>
      </c>
      <c r="X430" s="11">
        <f>IFERROR(__xludf.DUMMYFUNCTION("""COMPUTED_VALUE"""),43672.66666666667)</f>
        <v>43672.66667</v>
      </c>
      <c r="Y430" s="9">
        <f>IFERROR(__xludf.DUMMYFUNCTION("""COMPUTED_VALUE"""),335.78)</f>
        <v>335.78</v>
      </c>
      <c r="AA430" s="11">
        <f>IFERROR(__xludf.DUMMYFUNCTION("""COMPUTED_VALUE"""),43672.66666666667)</f>
        <v>43672.66667</v>
      </c>
      <c r="AB430" s="9">
        <f>IFERROR(__xludf.DUMMYFUNCTION("""COMPUTED_VALUE"""),1942.0)</f>
        <v>1942</v>
      </c>
      <c r="AC430" s="11">
        <f>IFERROR(__xludf.DUMMYFUNCTION("""COMPUTED_VALUE"""),43672.66666666667)</f>
        <v>43672.66667</v>
      </c>
      <c r="AD430" s="9">
        <f>IFERROR(__xludf.DUMMYFUNCTION("""COMPUTED_VALUE"""),1943.05)</f>
        <v>1943.05</v>
      </c>
    </row>
    <row r="431">
      <c r="B431" s="11">
        <f>IFERROR(__xludf.DUMMYFUNCTION("""COMPUTED_VALUE"""),43675.66666666667)</f>
        <v>43675.66667</v>
      </c>
      <c r="C431" s="9">
        <f>IFERROR(__xludf.DUMMYFUNCTION("""COMPUTED_VALUE"""),45.42)</f>
        <v>45.42</v>
      </c>
      <c r="D431" s="11">
        <f>IFERROR(__xludf.DUMMYFUNCTION("""COMPUTED_VALUE"""),43675.66666666667)</f>
        <v>43675.66667</v>
      </c>
      <c r="E431" s="9">
        <f>IFERROR(__xludf.DUMMYFUNCTION("""COMPUTED_VALUE"""),47.15)</f>
        <v>47.15</v>
      </c>
      <c r="G431" s="11">
        <f>IFERROR(__xludf.DUMMYFUNCTION("""COMPUTED_VALUE"""),43675.66666666667)</f>
        <v>43675.66667</v>
      </c>
      <c r="H431" s="9">
        <f>IFERROR(__xludf.DUMMYFUNCTION("""COMPUTED_VALUE"""),1241.05)</f>
        <v>1241.05</v>
      </c>
      <c r="I431" s="11">
        <f>IFERROR(__xludf.DUMMYFUNCTION("""COMPUTED_VALUE"""),43675.66666666667)</f>
        <v>43675.66667</v>
      </c>
      <c r="J431" s="9">
        <f>IFERROR(__xludf.DUMMYFUNCTION("""COMPUTED_VALUE"""),1239.41)</f>
        <v>1239.41</v>
      </c>
      <c r="L431" s="11">
        <f>IFERROR(__xludf.DUMMYFUNCTION("""COMPUTED_VALUE"""),43675.66666666667)</f>
        <v>43675.66667</v>
      </c>
      <c r="M431" s="9">
        <f>IFERROR(__xludf.DUMMYFUNCTION("""COMPUTED_VALUE"""),52.12)</f>
        <v>52.12</v>
      </c>
      <c r="N431" s="11">
        <f>IFERROR(__xludf.DUMMYFUNCTION("""COMPUTED_VALUE"""),43675.66666666667)</f>
        <v>43675.66667</v>
      </c>
      <c r="O431" s="9">
        <f>IFERROR(__xludf.DUMMYFUNCTION("""COMPUTED_VALUE"""),52.42)</f>
        <v>52.42</v>
      </c>
      <c r="Q431" s="11">
        <f>IFERROR(__xludf.DUMMYFUNCTION("""COMPUTED_VALUE"""),43675.66666666667)</f>
        <v>43675.66667</v>
      </c>
      <c r="R431" s="9">
        <f>IFERROR(__xludf.DUMMYFUNCTION("""COMPUTED_VALUE"""),199.0)</f>
        <v>199</v>
      </c>
      <c r="S431" s="11">
        <f>IFERROR(__xludf.DUMMYFUNCTION("""COMPUTED_VALUE"""),43675.66666666667)</f>
        <v>43675.66667</v>
      </c>
      <c r="T431" s="9">
        <f>IFERROR(__xludf.DUMMYFUNCTION("""COMPUTED_VALUE"""),195.94)</f>
        <v>195.94</v>
      </c>
      <c r="V431" s="11">
        <f>IFERROR(__xludf.DUMMYFUNCTION("""COMPUTED_VALUE"""),43675.66666666667)</f>
        <v>43675.66667</v>
      </c>
      <c r="W431" s="9">
        <f>IFERROR(__xludf.DUMMYFUNCTION("""COMPUTED_VALUE"""),335.98)</f>
        <v>335.98</v>
      </c>
      <c r="X431" s="11">
        <f>IFERROR(__xludf.DUMMYFUNCTION("""COMPUTED_VALUE"""),43675.66666666667)</f>
        <v>43675.66667</v>
      </c>
      <c r="Y431" s="9">
        <f>IFERROR(__xludf.DUMMYFUNCTION("""COMPUTED_VALUE"""),332.7)</f>
        <v>332.7</v>
      </c>
      <c r="AA431" s="11">
        <f>IFERROR(__xludf.DUMMYFUNCTION("""COMPUTED_VALUE"""),43675.66666666667)</f>
        <v>43675.66667</v>
      </c>
      <c r="AB431" s="9">
        <f>IFERROR(__xludf.DUMMYFUNCTION("""COMPUTED_VALUE"""),1930.0)</f>
        <v>1930</v>
      </c>
      <c r="AC431" s="11">
        <f>IFERROR(__xludf.DUMMYFUNCTION("""COMPUTED_VALUE"""),43675.66666666667)</f>
        <v>43675.66667</v>
      </c>
      <c r="AD431" s="9">
        <f>IFERROR(__xludf.DUMMYFUNCTION("""COMPUTED_VALUE"""),1912.45)</f>
        <v>1912.45</v>
      </c>
    </row>
    <row r="432">
      <c r="B432" s="11">
        <f>IFERROR(__xludf.DUMMYFUNCTION("""COMPUTED_VALUE"""),43676.66666666667)</f>
        <v>43676.66667</v>
      </c>
      <c r="C432" s="9">
        <f>IFERROR(__xludf.DUMMYFUNCTION("""COMPUTED_VALUE"""),46.58)</f>
        <v>46.58</v>
      </c>
      <c r="D432" s="11">
        <f>IFERROR(__xludf.DUMMYFUNCTION("""COMPUTED_VALUE"""),43676.66666666667)</f>
        <v>43676.66667</v>
      </c>
      <c r="E432" s="9">
        <f>IFERROR(__xludf.DUMMYFUNCTION("""COMPUTED_VALUE"""),48.45)</f>
        <v>48.45</v>
      </c>
      <c r="G432" s="11">
        <f>IFERROR(__xludf.DUMMYFUNCTION("""COMPUTED_VALUE"""),43676.66666666667)</f>
        <v>43676.66667</v>
      </c>
      <c r="H432" s="9">
        <f>IFERROR(__xludf.DUMMYFUNCTION("""COMPUTED_VALUE"""),1225.41)</f>
        <v>1225.41</v>
      </c>
      <c r="I432" s="11">
        <f>IFERROR(__xludf.DUMMYFUNCTION("""COMPUTED_VALUE"""),43676.66666666667)</f>
        <v>43676.66667</v>
      </c>
      <c r="J432" s="9">
        <f>IFERROR(__xludf.DUMMYFUNCTION("""COMPUTED_VALUE"""),1225.14)</f>
        <v>1225.14</v>
      </c>
      <c r="L432" s="11">
        <f>IFERROR(__xludf.DUMMYFUNCTION("""COMPUTED_VALUE"""),43676.66666666667)</f>
        <v>43676.66667</v>
      </c>
      <c r="M432" s="9">
        <f>IFERROR(__xludf.DUMMYFUNCTION("""COMPUTED_VALUE"""),52.19)</f>
        <v>52.19</v>
      </c>
      <c r="N432" s="11">
        <f>IFERROR(__xludf.DUMMYFUNCTION("""COMPUTED_VALUE"""),43676.66666666667)</f>
        <v>43676.66667</v>
      </c>
      <c r="O432" s="9">
        <f>IFERROR(__xludf.DUMMYFUNCTION("""COMPUTED_VALUE"""),52.2)</f>
        <v>52.2</v>
      </c>
      <c r="Q432" s="11">
        <f>IFERROR(__xludf.DUMMYFUNCTION("""COMPUTED_VALUE"""),43676.66666666667)</f>
        <v>43676.66667</v>
      </c>
      <c r="R432" s="9">
        <f>IFERROR(__xludf.DUMMYFUNCTION("""COMPUTED_VALUE"""),195.39)</f>
        <v>195.39</v>
      </c>
      <c r="S432" s="11">
        <f>IFERROR(__xludf.DUMMYFUNCTION("""COMPUTED_VALUE"""),43676.66666666667)</f>
        <v>43676.66667</v>
      </c>
      <c r="T432" s="9">
        <f>IFERROR(__xludf.DUMMYFUNCTION("""COMPUTED_VALUE"""),197.04)</f>
        <v>197.04</v>
      </c>
      <c r="V432" s="11">
        <f>IFERROR(__xludf.DUMMYFUNCTION("""COMPUTED_VALUE"""),43676.66666666667)</f>
        <v>43676.66667</v>
      </c>
      <c r="W432" s="9">
        <f>IFERROR(__xludf.DUMMYFUNCTION("""COMPUTED_VALUE"""),329.2)</f>
        <v>329.2</v>
      </c>
      <c r="X432" s="11">
        <f>IFERROR(__xludf.DUMMYFUNCTION("""COMPUTED_VALUE"""),43676.66666666667)</f>
        <v>43676.66667</v>
      </c>
      <c r="Y432" s="9">
        <f>IFERROR(__xludf.DUMMYFUNCTION("""COMPUTED_VALUE"""),325.93)</f>
        <v>325.93</v>
      </c>
      <c r="AA432" s="11">
        <f>IFERROR(__xludf.DUMMYFUNCTION("""COMPUTED_VALUE"""),43676.66666666667)</f>
        <v>43676.66667</v>
      </c>
      <c r="AB432" s="9">
        <f>IFERROR(__xludf.DUMMYFUNCTION("""COMPUTED_VALUE"""),1891.12)</f>
        <v>1891.12</v>
      </c>
      <c r="AC432" s="11">
        <f>IFERROR(__xludf.DUMMYFUNCTION("""COMPUTED_VALUE"""),43676.66666666667)</f>
        <v>43676.66667</v>
      </c>
      <c r="AD432" s="9">
        <f>IFERROR(__xludf.DUMMYFUNCTION("""COMPUTED_VALUE"""),1898.53)</f>
        <v>1898.53</v>
      </c>
    </row>
    <row r="433">
      <c r="B433" s="11">
        <f>IFERROR(__xludf.DUMMYFUNCTION("""COMPUTED_VALUE"""),43677.66666666667)</f>
        <v>43677.66667</v>
      </c>
      <c r="C433" s="9">
        <f>IFERROR(__xludf.DUMMYFUNCTION("""COMPUTED_VALUE"""),48.6)</f>
        <v>48.6</v>
      </c>
      <c r="D433" s="11">
        <f>IFERROR(__xludf.DUMMYFUNCTION("""COMPUTED_VALUE"""),43677.66666666667)</f>
        <v>43677.66667</v>
      </c>
      <c r="E433" s="9">
        <f>IFERROR(__xludf.DUMMYFUNCTION("""COMPUTED_VALUE"""),48.32)</f>
        <v>48.32</v>
      </c>
      <c r="G433" s="11">
        <f>IFERROR(__xludf.DUMMYFUNCTION("""COMPUTED_VALUE"""),43677.66666666667)</f>
        <v>43677.66667</v>
      </c>
      <c r="H433" s="9">
        <f>IFERROR(__xludf.DUMMYFUNCTION("""COMPUTED_VALUE"""),1223.0)</f>
        <v>1223</v>
      </c>
      <c r="I433" s="11">
        <f>IFERROR(__xludf.DUMMYFUNCTION("""COMPUTED_VALUE"""),43677.66666666667)</f>
        <v>43677.66667</v>
      </c>
      <c r="J433" s="9">
        <f>IFERROR(__xludf.DUMMYFUNCTION("""COMPUTED_VALUE"""),1216.68)</f>
        <v>1216.68</v>
      </c>
      <c r="L433" s="11">
        <f>IFERROR(__xludf.DUMMYFUNCTION("""COMPUTED_VALUE"""),43677.66666666667)</f>
        <v>43677.66667</v>
      </c>
      <c r="M433" s="9">
        <f>IFERROR(__xludf.DUMMYFUNCTION("""COMPUTED_VALUE"""),54.11)</f>
        <v>54.11</v>
      </c>
      <c r="N433" s="11">
        <f>IFERROR(__xludf.DUMMYFUNCTION("""COMPUTED_VALUE"""),43677.66666666667)</f>
        <v>43677.66667</v>
      </c>
      <c r="O433" s="9">
        <f>IFERROR(__xludf.DUMMYFUNCTION("""COMPUTED_VALUE"""),53.26)</f>
        <v>53.26</v>
      </c>
      <c r="Q433" s="11">
        <f>IFERROR(__xludf.DUMMYFUNCTION("""COMPUTED_VALUE"""),43677.66666666667)</f>
        <v>43677.66667</v>
      </c>
      <c r="R433" s="9">
        <f>IFERROR(__xludf.DUMMYFUNCTION("""COMPUTED_VALUE"""),196.95)</f>
        <v>196.95</v>
      </c>
      <c r="S433" s="11">
        <f>IFERROR(__xludf.DUMMYFUNCTION("""COMPUTED_VALUE"""),43677.66666666667)</f>
        <v>43677.66667</v>
      </c>
      <c r="T433" s="9">
        <f>IFERROR(__xludf.DUMMYFUNCTION("""COMPUTED_VALUE"""),194.23)</f>
        <v>194.23</v>
      </c>
      <c r="V433" s="11">
        <f>IFERROR(__xludf.DUMMYFUNCTION("""COMPUTED_VALUE"""),43677.66666666667)</f>
        <v>43677.66667</v>
      </c>
      <c r="W433" s="9">
        <f>IFERROR(__xludf.DUMMYFUNCTION("""COMPUTED_VALUE"""),325.16)</f>
        <v>325.16</v>
      </c>
      <c r="X433" s="11">
        <f>IFERROR(__xludf.DUMMYFUNCTION("""COMPUTED_VALUE"""),43677.66666666667)</f>
        <v>43677.66667</v>
      </c>
      <c r="Y433" s="9">
        <f>IFERROR(__xludf.DUMMYFUNCTION("""COMPUTED_VALUE"""),322.99)</f>
        <v>322.99</v>
      </c>
      <c r="AA433" s="11">
        <f>IFERROR(__xludf.DUMMYFUNCTION("""COMPUTED_VALUE"""),43677.66666666667)</f>
        <v>43677.66667</v>
      </c>
      <c r="AB433" s="9">
        <f>IFERROR(__xludf.DUMMYFUNCTION("""COMPUTED_VALUE"""),1898.11)</f>
        <v>1898.11</v>
      </c>
      <c r="AC433" s="11">
        <f>IFERROR(__xludf.DUMMYFUNCTION("""COMPUTED_VALUE"""),43677.66666666667)</f>
        <v>43677.66667</v>
      </c>
      <c r="AD433" s="9">
        <f>IFERROR(__xludf.DUMMYFUNCTION("""COMPUTED_VALUE"""),1866.78)</f>
        <v>1866.78</v>
      </c>
    </row>
    <row r="434">
      <c r="B434" s="11">
        <f>IFERROR(__xludf.DUMMYFUNCTION("""COMPUTED_VALUE"""),43678.66666666667)</f>
        <v>43678.66667</v>
      </c>
      <c r="C434" s="9">
        <f>IFERROR(__xludf.DUMMYFUNCTION("""COMPUTED_VALUE"""),48.53)</f>
        <v>48.53</v>
      </c>
      <c r="D434" s="11">
        <f>IFERROR(__xludf.DUMMYFUNCTION("""COMPUTED_VALUE"""),43678.66666666667)</f>
        <v>43678.66667</v>
      </c>
      <c r="E434" s="9">
        <f>IFERROR(__xludf.DUMMYFUNCTION("""COMPUTED_VALUE"""),46.77)</f>
        <v>46.77</v>
      </c>
      <c r="G434" s="11">
        <f>IFERROR(__xludf.DUMMYFUNCTION("""COMPUTED_VALUE"""),43678.66666666667)</f>
        <v>43678.66667</v>
      </c>
      <c r="H434" s="9">
        <f>IFERROR(__xludf.DUMMYFUNCTION("""COMPUTED_VALUE"""),1214.03)</f>
        <v>1214.03</v>
      </c>
      <c r="I434" s="11">
        <f>IFERROR(__xludf.DUMMYFUNCTION("""COMPUTED_VALUE"""),43678.66666666667)</f>
        <v>43678.66667</v>
      </c>
      <c r="J434" s="9">
        <f>IFERROR(__xludf.DUMMYFUNCTION("""COMPUTED_VALUE"""),1209.01)</f>
        <v>1209.01</v>
      </c>
      <c r="L434" s="11">
        <f>IFERROR(__xludf.DUMMYFUNCTION("""COMPUTED_VALUE"""),43678.66666666667)</f>
        <v>43678.66667</v>
      </c>
      <c r="M434" s="9">
        <f>IFERROR(__xludf.DUMMYFUNCTION("""COMPUTED_VALUE"""),53.48)</f>
        <v>53.48</v>
      </c>
      <c r="N434" s="11">
        <f>IFERROR(__xludf.DUMMYFUNCTION("""COMPUTED_VALUE"""),43678.66666666667)</f>
        <v>43678.66667</v>
      </c>
      <c r="O434" s="9">
        <f>IFERROR(__xludf.DUMMYFUNCTION("""COMPUTED_VALUE"""),52.11)</f>
        <v>52.11</v>
      </c>
      <c r="Q434" s="11">
        <f>IFERROR(__xludf.DUMMYFUNCTION("""COMPUTED_VALUE"""),43678.66666666667)</f>
        <v>43678.66667</v>
      </c>
      <c r="R434" s="9">
        <f>IFERROR(__xludf.DUMMYFUNCTION("""COMPUTED_VALUE"""),194.17)</f>
        <v>194.17</v>
      </c>
      <c r="S434" s="11">
        <f>IFERROR(__xludf.DUMMYFUNCTION("""COMPUTED_VALUE"""),43678.66666666667)</f>
        <v>43678.66667</v>
      </c>
      <c r="T434" s="9">
        <f>IFERROR(__xludf.DUMMYFUNCTION("""COMPUTED_VALUE"""),192.73)</f>
        <v>192.73</v>
      </c>
      <c r="V434" s="11">
        <f>IFERROR(__xludf.DUMMYFUNCTION("""COMPUTED_VALUE"""),43678.66666666667)</f>
        <v>43678.66667</v>
      </c>
      <c r="W434" s="9">
        <f>IFERROR(__xludf.DUMMYFUNCTION("""COMPUTED_VALUE"""),324.25)</f>
        <v>324.25</v>
      </c>
      <c r="X434" s="11">
        <f>IFERROR(__xludf.DUMMYFUNCTION("""COMPUTED_VALUE"""),43678.66666666667)</f>
        <v>43678.66667</v>
      </c>
      <c r="Y434" s="9">
        <f>IFERROR(__xludf.DUMMYFUNCTION("""COMPUTED_VALUE"""),319.5)</f>
        <v>319.5</v>
      </c>
      <c r="AA434" s="11">
        <f>IFERROR(__xludf.DUMMYFUNCTION("""COMPUTED_VALUE"""),43678.66666666667)</f>
        <v>43678.66667</v>
      </c>
      <c r="AB434" s="9">
        <f>IFERROR(__xludf.DUMMYFUNCTION("""COMPUTED_VALUE"""),1871.72)</f>
        <v>1871.72</v>
      </c>
      <c r="AC434" s="11">
        <f>IFERROR(__xludf.DUMMYFUNCTION("""COMPUTED_VALUE"""),43678.66666666667)</f>
        <v>43678.66667</v>
      </c>
      <c r="AD434" s="9">
        <f>IFERROR(__xludf.DUMMYFUNCTION("""COMPUTED_VALUE"""),1855.32)</f>
        <v>1855.32</v>
      </c>
    </row>
    <row r="435">
      <c r="B435" s="11">
        <f>IFERROR(__xludf.DUMMYFUNCTION("""COMPUTED_VALUE"""),43679.66666666667)</f>
        <v>43679.66667</v>
      </c>
      <c r="C435" s="9">
        <f>IFERROR(__xludf.DUMMYFUNCTION("""COMPUTED_VALUE"""),46.27)</f>
        <v>46.27</v>
      </c>
      <c r="D435" s="11">
        <f>IFERROR(__xludf.DUMMYFUNCTION("""COMPUTED_VALUE"""),43679.66666666667)</f>
        <v>43679.66667</v>
      </c>
      <c r="E435" s="9">
        <f>IFERROR(__xludf.DUMMYFUNCTION("""COMPUTED_VALUE"""),46.87)</f>
        <v>46.87</v>
      </c>
      <c r="G435" s="11">
        <f>IFERROR(__xludf.DUMMYFUNCTION("""COMPUTED_VALUE"""),43679.66666666667)</f>
        <v>43679.66667</v>
      </c>
      <c r="H435" s="9">
        <f>IFERROR(__xludf.DUMMYFUNCTION("""COMPUTED_VALUE"""),1200.74)</f>
        <v>1200.74</v>
      </c>
      <c r="I435" s="11">
        <f>IFERROR(__xludf.DUMMYFUNCTION("""COMPUTED_VALUE"""),43679.66666666667)</f>
        <v>43679.66667</v>
      </c>
      <c r="J435" s="9">
        <f>IFERROR(__xludf.DUMMYFUNCTION("""COMPUTED_VALUE"""),1193.99)</f>
        <v>1193.99</v>
      </c>
      <c r="L435" s="11">
        <f>IFERROR(__xludf.DUMMYFUNCTION("""COMPUTED_VALUE"""),43679.66666666667)</f>
        <v>43679.66667</v>
      </c>
      <c r="M435" s="9">
        <f>IFERROR(__xludf.DUMMYFUNCTION("""COMPUTED_VALUE"""),51.38)</f>
        <v>51.38</v>
      </c>
      <c r="N435" s="11">
        <f>IFERROR(__xludf.DUMMYFUNCTION("""COMPUTED_VALUE"""),43679.66666666667)</f>
        <v>43679.66667</v>
      </c>
      <c r="O435" s="9">
        <f>IFERROR(__xludf.DUMMYFUNCTION("""COMPUTED_VALUE"""),51.01)</f>
        <v>51.01</v>
      </c>
      <c r="Q435" s="11">
        <f>IFERROR(__xludf.DUMMYFUNCTION("""COMPUTED_VALUE"""),43679.66666666667)</f>
        <v>43679.66667</v>
      </c>
      <c r="R435" s="9">
        <f>IFERROR(__xludf.DUMMYFUNCTION("""COMPUTED_VALUE"""),191.1)</f>
        <v>191.1</v>
      </c>
      <c r="S435" s="11">
        <f>IFERROR(__xludf.DUMMYFUNCTION("""COMPUTED_VALUE"""),43679.66666666667)</f>
        <v>43679.66667</v>
      </c>
      <c r="T435" s="9">
        <f>IFERROR(__xludf.DUMMYFUNCTION("""COMPUTED_VALUE"""),189.02)</f>
        <v>189.02</v>
      </c>
      <c r="V435" s="11">
        <f>IFERROR(__xludf.DUMMYFUNCTION("""COMPUTED_VALUE"""),43679.66666666667)</f>
        <v>43679.66667</v>
      </c>
      <c r="W435" s="9">
        <f>IFERROR(__xludf.DUMMYFUNCTION("""COMPUTED_VALUE"""),317.49)</f>
        <v>317.49</v>
      </c>
      <c r="X435" s="11">
        <f>IFERROR(__xludf.DUMMYFUNCTION("""COMPUTED_VALUE"""),43679.66666666667)</f>
        <v>43679.66667</v>
      </c>
      <c r="Y435" s="9">
        <f>IFERROR(__xludf.DUMMYFUNCTION("""COMPUTED_VALUE"""),318.83)</f>
        <v>318.83</v>
      </c>
      <c r="AA435" s="11">
        <f>IFERROR(__xludf.DUMMYFUNCTION("""COMPUTED_VALUE"""),43679.66666666667)</f>
        <v>43679.66667</v>
      </c>
      <c r="AB435" s="9">
        <f>IFERROR(__xludf.DUMMYFUNCTION("""COMPUTED_VALUE"""),1845.07)</f>
        <v>1845.07</v>
      </c>
      <c r="AC435" s="11">
        <f>IFERROR(__xludf.DUMMYFUNCTION("""COMPUTED_VALUE"""),43679.66666666667)</f>
        <v>43679.66667</v>
      </c>
      <c r="AD435" s="9">
        <f>IFERROR(__xludf.DUMMYFUNCTION("""COMPUTED_VALUE"""),1823.24)</f>
        <v>1823.24</v>
      </c>
    </row>
    <row r="436">
      <c r="B436" s="11">
        <f>IFERROR(__xludf.DUMMYFUNCTION("""COMPUTED_VALUE"""),43682.66666666667)</f>
        <v>43682.66667</v>
      </c>
      <c r="C436" s="9">
        <f>IFERROR(__xludf.DUMMYFUNCTION("""COMPUTED_VALUE"""),45.92)</f>
        <v>45.92</v>
      </c>
      <c r="D436" s="11">
        <f>IFERROR(__xludf.DUMMYFUNCTION("""COMPUTED_VALUE"""),43682.66666666667)</f>
        <v>43682.66667</v>
      </c>
      <c r="E436" s="9">
        <f>IFERROR(__xludf.DUMMYFUNCTION("""COMPUTED_VALUE"""),45.66)</f>
        <v>45.66</v>
      </c>
      <c r="G436" s="11">
        <f>IFERROR(__xludf.DUMMYFUNCTION("""COMPUTED_VALUE"""),43682.66666666667)</f>
        <v>43682.66667</v>
      </c>
      <c r="H436" s="9">
        <f>IFERROR(__xludf.DUMMYFUNCTION("""COMPUTED_VALUE"""),1170.04)</f>
        <v>1170.04</v>
      </c>
      <c r="I436" s="11">
        <f>IFERROR(__xludf.DUMMYFUNCTION("""COMPUTED_VALUE"""),43682.66666666667)</f>
        <v>43682.66667</v>
      </c>
      <c r="J436" s="9">
        <f>IFERROR(__xludf.DUMMYFUNCTION("""COMPUTED_VALUE"""),1152.32)</f>
        <v>1152.32</v>
      </c>
      <c r="L436" s="11">
        <f>IFERROR(__xludf.DUMMYFUNCTION("""COMPUTED_VALUE"""),43682.66666666667)</f>
        <v>43682.66667</v>
      </c>
      <c r="M436" s="9">
        <f>IFERROR(__xludf.DUMMYFUNCTION("""COMPUTED_VALUE"""),49.5)</f>
        <v>49.5</v>
      </c>
      <c r="N436" s="11">
        <f>IFERROR(__xludf.DUMMYFUNCTION("""COMPUTED_VALUE"""),43682.66666666667)</f>
        <v>43682.66667</v>
      </c>
      <c r="O436" s="9">
        <f>IFERROR(__xludf.DUMMYFUNCTION("""COMPUTED_VALUE"""),48.34)</f>
        <v>48.34</v>
      </c>
      <c r="Q436" s="11">
        <f>IFERROR(__xludf.DUMMYFUNCTION("""COMPUTED_VALUE"""),43682.66666666667)</f>
        <v>43682.66667</v>
      </c>
      <c r="R436" s="9">
        <f>IFERROR(__xludf.DUMMYFUNCTION("""COMPUTED_VALUE"""),184.69)</f>
        <v>184.69</v>
      </c>
      <c r="S436" s="11">
        <f>IFERROR(__xludf.DUMMYFUNCTION("""COMPUTED_VALUE"""),43682.66666666667)</f>
        <v>43682.66667</v>
      </c>
      <c r="T436" s="9">
        <f>IFERROR(__xludf.DUMMYFUNCTION("""COMPUTED_VALUE"""),181.73)</f>
        <v>181.73</v>
      </c>
      <c r="V436" s="11">
        <f>IFERROR(__xludf.DUMMYFUNCTION("""COMPUTED_VALUE"""),43682.66666666667)</f>
        <v>43682.66667</v>
      </c>
      <c r="W436" s="9">
        <f>IFERROR(__xludf.DUMMYFUNCTION("""COMPUTED_VALUE"""),310.96)</f>
        <v>310.96</v>
      </c>
      <c r="X436" s="11">
        <f>IFERROR(__xludf.DUMMYFUNCTION("""COMPUTED_VALUE"""),43682.66666666667)</f>
        <v>43682.66667</v>
      </c>
      <c r="Y436" s="9">
        <f>IFERROR(__xludf.DUMMYFUNCTION("""COMPUTED_VALUE"""),307.63)</f>
        <v>307.63</v>
      </c>
      <c r="AA436" s="11">
        <f>IFERROR(__xludf.DUMMYFUNCTION("""COMPUTED_VALUE"""),43682.66666666667)</f>
        <v>43682.66667</v>
      </c>
      <c r="AB436" s="9">
        <f>IFERROR(__xludf.DUMMYFUNCTION("""COMPUTED_VALUE"""),1770.22)</f>
        <v>1770.22</v>
      </c>
      <c r="AC436" s="11">
        <f>IFERROR(__xludf.DUMMYFUNCTION("""COMPUTED_VALUE"""),43682.66666666667)</f>
        <v>43682.66667</v>
      </c>
      <c r="AD436" s="9">
        <f>IFERROR(__xludf.DUMMYFUNCTION("""COMPUTED_VALUE"""),1765.13)</f>
        <v>1765.13</v>
      </c>
    </row>
    <row r="437">
      <c r="B437" s="11">
        <f>IFERROR(__xludf.DUMMYFUNCTION("""COMPUTED_VALUE"""),43683.66666666667)</f>
        <v>43683.66667</v>
      </c>
      <c r="C437" s="9">
        <f>IFERROR(__xludf.DUMMYFUNCTION("""COMPUTED_VALUE"""),46.38)</f>
        <v>46.38</v>
      </c>
      <c r="D437" s="11">
        <f>IFERROR(__xludf.DUMMYFUNCTION("""COMPUTED_VALUE"""),43683.66666666667)</f>
        <v>43683.66667</v>
      </c>
      <c r="E437" s="9">
        <f>IFERROR(__xludf.DUMMYFUNCTION("""COMPUTED_VALUE"""),46.15)</f>
        <v>46.15</v>
      </c>
      <c r="G437" s="11">
        <f>IFERROR(__xludf.DUMMYFUNCTION("""COMPUTED_VALUE"""),43683.66666666667)</f>
        <v>43683.66667</v>
      </c>
      <c r="H437" s="9">
        <f>IFERROR(__xludf.DUMMYFUNCTION("""COMPUTED_VALUE"""),1163.31)</f>
        <v>1163.31</v>
      </c>
      <c r="I437" s="11">
        <f>IFERROR(__xludf.DUMMYFUNCTION("""COMPUTED_VALUE"""),43683.66666666667)</f>
        <v>43683.66667</v>
      </c>
      <c r="J437" s="9">
        <f>IFERROR(__xludf.DUMMYFUNCTION("""COMPUTED_VALUE"""),1169.95)</f>
        <v>1169.95</v>
      </c>
      <c r="L437" s="11">
        <f>IFERROR(__xludf.DUMMYFUNCTION("""COMPUTED_VALUE"""),43683.66666666667)</f>
        <v>43683.66667</v>
      </c>
      <c r="M437" s="9">
        <f>IFERROR(__xludf.DUMMYFUNCTION("""COMPUTED_VALUE"""),49.08)</f>
        <v>49.08</v>
      </c>
      <c r="N437" s="11">
        <f>IFERROR(__xludf.DUMMYFUNCTION("""COMPUTED_VALUE"""),43683.66666666667)</f>
        <v>43683.66667</v>
      </c>
      <c r="O437" s="9">
        <f>IFERROR(__xludf.DUMMYFUNCTION("""COMPUTED_VALUE"""),49.25)</f>
        <v>49.25</v>
      </c>
      <c r="Q437" s="11">
        <f>IFERROR(__xludf.DUMMYFUNCTION("""COMPUTED_VALUE"""),43683.66666666667)</f>
        <v>43683.66667</v>
      </c>
      <c r="R437" s="9">
        <f>IFERROR(__xludf.DUMMYFUNCTION("""COMPUTED_VALUE"""),183.69)</f>
        <v>183.69</v>
      </c>
      <c r="S437" s="11">
        <f>IFERROR(__xludf.DUMMYFUNCTION("""COMPUTED_VALUE"""),43683.66666666667)</f>
        <v>43683.66667</v>
      </c>
      <c r="T437" s="9">
        <f>IFERROR(__xludf.DUMMYFUNCTION("""COMPUTED_VALUE"""),184.51)</f>
        <v>184.51</v>
      </c>
      <c r="V437" s="11">
        <f>IFERROR(__xludf.DUMMYFUNCTION("""COMPUTED_VALUE"""),43683.66666666667)</f>
        <v>43683.66667</v>
      </c>
      <c r="W437" s="9">
        <f>IFERROR(__xludf.DUMMYFUNCTION("""COMPUTED_VALUE"""),310.58)</f>
        <v>310.58</v>
      </c>
      <c r="X437" s="11">
        <f>IFERROR(__xludf.DUMMYFUNCTION("""COMPUTED_VALUE"""),43683.66666666667)</f>
        <v>43683.66667</v>
      </c>
      <c r="Y437" s="9">
        <f>IFERROR(__xludf.DUMMYFUNCTION("""COMPUTED_VALUE"""),310.1)</f>
        <v>310.1</v>
      </c>
      <c r="AA437" s="11">
        <f>IFERROR(__xludf.DUMMYFUNCTION("""COMPUTED_VALUE"""),43683.66666666667)</f>
        <v>43683.66667</v>
      </c>
      <c r="AB437" s="9">
        <f>IFERROR(__xludf.DUMMYFUNCTION("""COMPUTED_VALUE"""),1792.23)</f>
        <v>1792.23</v>
      </c>
      <c r="AC437" s="11">
        <f>IFERROR(__xludf.DUMMYFUNCTION("""COMPUTED_VALUE"""),43683.66666666667)</f>
        <v>43683.66667</v>
      </c>
      <c r="AD437" s="9">
        <f>IFERROR(__xludf.DUMMYFUNCTION("""COMPUTED_VALUE"""),1787.83)</f>
        <v>1787.83</v>
      </c>
    </row>
    <row r="438">
      <c r="B438" s="11">
        <f>IFERROR(__xludf.DUMMYFUNCTION("""COMPUTED_VALUE"""),43684.66666666667)</f>
        <v>43684.66667</v>
      </c>
      <c r="C438" s="9">
        <f>IFERROR(__xludf.DUMMYFUNCTION("""COMPUTED_VALUE"""),45.3)</f>
        <v>45.3</v>
      </c>
      <c r="D438" s="11">
        <f>IFERROR(__xludf.DUMMYFUNCTION("""COMPUTED_VALUE"""),43684.66666666667)</f>
        <v>43684.66667</v>
      </c>
      <c r="E438" s="9">
        <f>IFERROR(__xludf.DUMMYFUNCTION("""COMPUTED_VALUE"""),46.68)</f>
        <v>46.68</v>
      </c>
      <c r="G438" s="11">
        <f>IFERROR(__xludf.DUMMYFUNCTION("""COMPUTED_VALUE"""),43684.66666666667)</f>
        <v>43684.66667</v>
      </c>
      <c r="H438" s="9">
        <f>IFERROR(__xludf.DUMMYFUNCTION("""COMPUTED_VALUE"""),1156.0)</f>
        <v>1156</v>
      </c>
      <c r="I438" s="11">
        <f>IFERROR(__xludf.DUMMYFUNCTION("""COMPUTED_VALUE"""),43684.66666666667)</f>
        <v>43684.66667</v>
      </c>
      <c r="J438" s="9">
        <f>IFERROR(__xludf.DUMMYFUNCTION("""COMPUTED_VALUE"""),1173.99)</f>
        <v>1173.99</v>
      </c>
      <c r="L438" s="11">
        <f>IFERROR(__xludf.DUMMYFUNCTION("""COMPUTED_VALUE"""),43684.66666666667)</f>
        <v>43684.66667</v>
      </c>
      <c r="M438" s="9">
        <f>IFERROR(__xludf.DUMMYFUNCTION("""COMPUTED_VALUE"""),48.85)</f>
        <v>48.85</v>
      </c>
      <c r="N438" s="11">
        <f>IFERROR(__xludf.DUMMYFUNCTION("""COMPUTED_VALUE"""),43684.66666666667)</f>
        <v>43684.66667</v>
      </c>
      <c r="O438" s="9">
        <f>IFERROR(__xludf.DUMMYFUNCTION("""COMPUTED_VALUE"""),49.76)</f>
        <v>49.76</v>
      </c>
      <c r="Q438" s="11">
        <f>IFERROR(__xludf.DUMMYFUNCTION("""COMPUTED_VALUE"""),43684.66666666667)</f>
        <v>43684.66667</v>
      </c>
      <c r="R438" s="9">
        <f>IFERROR(__xludf.DUMMYFUNCTION("""COMPUTED_VALUE"""),183.6)</f>
        <v>183.6</v>
      </c>
      <c r="S438" s="11">
        <f>IFERROR(__xludf.DUMMYFUNCTION("""COMPUTED_VALUE"""),43684.66666666667)</f>
        <v>43684.66667</v>
      </c>
      <c r="T438" s="9">
        <f>IFERROR(__xludf.DUMMYFUNCTION("""COMPUTED_VALUE"""),185.15)</f>
        <v>185.15</v>
      </c>
      <c r="V438" s="11">
        <f>IFERROR(__xludf.DUMMYFUNCTION("""COMPUTED_VALUE"""),43684.66666666667)</f>
        <v>43684.66667</v>
      </c>
      <c r="W438" s="9">
        <f>IFERROR(__xludf.DUMMYFUNCTION("""COMPUTED_VALUE"""),302.56)</f>
        <v>302.56</v>
      </c>
      <c r="X438" s="11">
        <f>IFERROR(__xludf.DUMMYFUNCTION("""COMPUTED_VALUE"""),43684.66666666667)</f>
        <v>43684.66667</v>
      </c>
      <c r="Y438" s="9">
        <f>IFERROR(__xludf.DUMMYFUNCTION("""COMPUTED_VALUE"""),304.29)</f>
        <v>304.29</v>
      </c>
      <c r="AA438" s="11">
        <f>IFERROR(__xludf.DUMMYFUNCTION("""COMPUTED_VALUE"""),43684.66666666667)</f>
        <v>43684.66667</v>
      </c>
      <c r="AB438" s="9">
        <f>IFERROR(__xludf.DUMMYFUNCTION("""COMPUTED_VALUE"""),1773.99)</f>
        <v>1773.99</v>
      </c>
      <c r="AC438" s="11">
        <f>IFERROR(__xludf.DUMMYFUNCTION("""COMPUTED_VALUE"""),43684.66666666667)</f>
        <v>43684.66667</v>
      </c>
      <c r="AD438" s="9">
        <f>IFERROR(__xludf.DUMMYFUNCTION("""COMPUTED_VALUE"""),1793.4)</f>
        <v>1793.4</v>
      </c>
    </row>
    <row r="439">
      <c r="B439" s="11">
        <f>IFERROR(__xludf.DUMMYFUNCTION("""COMPUTED_VALUE"""),43685.66666666667)</f>
        <v>43685.66667</v>
      </c>
      <c r="C439" s="9">
        <f>IFERROR(__xludf.DUMMYFUNCTION("""COMPUTED_VALUE"""),46.89)</f>
        <v>46.89</v>
      </c>
      <c r="D439" s="11">
        <f>IFERROR(__xludf.DUMMYFUNCTION("""COMPUTED_VALUE"""),43685.66666666667)</f>
        <v>43685.66667</v>
      </c>
      <c r="E439" s="9">
        <f>IFERROR(__xludf.DUMMYFUNCTION("""COMPUTED_VALUE"""),47.66)</f>
        <v>47.66</v>
      </c>
      <c r="G439" s="11">
        <f>IFERROR(__xludf.DUMMYFUNCTION("""COMPUTED_VALUE"""),43685.66666666667)</f>
        <v>43685.66667</v>
      </c>
      <c r="H439" s="9">
        <f>IFERROR(__xludf.DUMMYFUNCTION("""COMPUTED_VALUE"""),1182.83)</f>
        <v>1182.83</v>
      </c>
      <c r="I439" s="11">
        <f>IFERROR(__xludf.DUMMYFUNCTION("""COMPUTED_VALUE"""),43685.66666666667)</f>
        <v>43685.66667</v>
      </c>
      <c r="J439" s="9">
        <f>IFERROR(__xludf.DUMMYFUNCTION("""COMPUTED_VALUE"""),1204.8)</f>
        <v>1204.8</v>
      </c>
      <c r="L439" s="11">
        <f>IFERROR(__xludf.DUMMYFUNCTION("""COMPUTED_VALUE"""),43685.66666666667)</f>
        <v>43685.66667</v>
      </c>
      <c r="M439" s="9">
        <f>IFERROR(__xludf.DUMMYFUNCTION("""COMPUTED_VALUE"""),50.05)</f>
        <v>50.05</v>
      </c>
      <c r="N439" s="11">
        <f>IFERROR(__xludf.DUMMYFUNCTION("""COMPUTED_VALUE"""),43685.66666666667)</f>
        <v>43685.66667</v>
      </c>
      <c r="O439" s="9">
        <f>IFERROR(__xludf.DUMMYFUNCTION("""COMPUTED_VALUE"""),50.86)</f>
        <v>50.86</v>
      </c>
      <c r="Q439" s="11">
        <f>IFERROR(__xludf.DUMMYFUNCTION("""COMPUTED_VALUE"""),43685.66666666667)</f>
        <v>43685.66667</v>
      </c>
      <c r="R439" s="9">
        <f>IFERROR(__xludf.DUMMYFUNCTION("""COMPUTED_VALUE"""),186.62)</f>
        <v>186.62</v>
      </c>
      <c r="S439" s="11">
        <f>IFERROR(__xludf.DUMMYFUNCTION("""COMPUTED_VALUE"""),43685.66666666667)</f>
        <v>43685.66667</v>
      </c>
      <c r="T439" s="9">
        <f>IFERROR(__xludf.DUMMYFUNCTION("""COMPUTED_VALUE"""),190.16)</f>
        <v>190.16</v>
      </c>
      <c r="V439" s="11">
        <f>IFERROR(__xludf.DUMMYFUNCTION("""COMPUTED_VALUE"""),43685.66666666667)</f>
        <v>43685.66667</v>
      </c>
      <c r="W439" s="9">
        <f>IFERROR(__xludf.DUMMYFUNCTION("""COMPUTED_VALUE"""),311.03)</f>
        <v>311.03</v>
      </c>
      <c r="X439" s="11">
        <f>IFERROR(__xludf.DUMMYFUNCTION("""COMPUTED_VALUE"""),43685.66666666667)</f>
        <v>43685.66667</v>
      </c>
      <c r="Y439" s="9">
        <f>IFERROR(__xludf.DUMMYFUNCTION("""COMPUTED_VALUE"""),315.9)</f>
        <v>315.9</v>
      </c>
      <c r="AA439" s="11">
        <f>IFERROR(__xludf.DUMMYFUNCTION("""COMPUTED_VALUE"""),43685.66666666667)</f>
        <v>43685.66667</v>
      </c>
      <c r="AB439" s="9">
        <f>IFERROR(__xludf.DUMMYFUNCTION("""COMPUTED_VALUE"""),1806.0)</f>
        <v>1806</v>
      </c>
      <c r="AC439" s="11">
        <f>IFERROR(__xludf.DUMMYFUNCTION("""COMPUTED_VALUE"""),43685.66666666667)</f>
        <v>43685.66667</v>
      </c>
      <c r="AD439" s="9">
        <f>IFERROR(__xludf.DUMMYFUNCTION("""COMPUTED_VALUE"""),1832.89)</f>
        <v>1832.89</v>
      </c>
    </row>
    <row r="440">
      <c r="B440" s="11">
        <f>IFERROR(__xludf.DUMMYFUNCTION("""COMPUTED_VALUE"""),43686.66666666667)</f>
        <v>43686.66667</v>
      </c>
      <c r="C440" s="9">
        <f>IFERROR(__xludf.DUMMYFUNCTION("""COMPUTED_VALUE"""),47.21)</f>
        <v>47.21</v>
      </c>
      <c r="D440" s="11">
        <f>IFERROR(__xludf.DUMMYFUNCTION("""COMPUTED_VALUE"""),43686.66666666667)</f>
        <v>43686.66667</v>
      </c>
      <c r="E440" s="9">
        <f>IFERROR(__xludf.DUMMYFUNCTION("""COMPUTED_VALUE"""),47.0)</f>
        <v>47</v>
      </c>
      <c r="G440" s="11">
        <f>IFERROR(__xludf.DUMMYFUNCTION("""COMPUTED_VALUE"""),43686.66666666667)</f>
        <v>43686.66667</v>
      </c>
      <c r="H440" s="9">
        <f>IFERROR(__xludf.DUMMYFUNCTION("""COMPUTED_VALUE"""),1197.99)</f>
        <v>1197.99</v>
      </c>
      <c r="I440" s="11">
        <f>IFERROR(__xludf.DUMMYFUNCTION("""COMPUTED_VALUE"""),43686.66666666667)</f>
        <v>43686.66667</v>
      </c>
      <c r="J440" s="9">
        <f>IFERROR(__xludf.DUMMYFUNCTION("""COMPUTED_VALUE"""),1188.01)</f>
        <v>1188.01</v>
      </c>
      <c r="L440" s="11">
        <f>IFERROR(__xludf.DUMMYFUNCTION("""COMPUTED_VALUE"""),43686.66666666667)</f>
        <v>43686.66667</v>
      </c>
      <c r="M440" s="9">
        <f>IFERROR(__xludf.DUMMYFUNCTION("""COMPUTED_VALUE"""),50.33)</f>
        <v>50.33</v>
      </c>
      <c r="N440" s="11">
        <f>IFERROR(__xludf.DUMMYFUNCTION("""COMPUTED_VALUE"""),43686.66666666667)</f>
        <v>43686.66667</v>
      </c>
      <c r="O440" s="9">
        <f>IFERROR(__xludf.DUMMYFUNCTION("""COMPUTED_VALUE"""),50.25)</f>
        <v>50.25</v>
      </c>
      <c r="Q440" s="11">
        <f>IFERROR(__xludf.DUMMYFUNCTION("""COMPUTED_VALUE"""),43686.66666666667)</f>
        <v>43686.66667</v>
      </c>
      <c r="R440" s="9">
        <f>IFERROR(__xludf.DUMMYFUNCTION("""COMPUTED_VALUE"""),190.0)</f>
        <v>190</v>
      </c>
      <c r="S440" s="11">
        <f>IFERROR(__xludf.DUMMYFUNCTION("""COMPUTED_VALUE"""),43686.66666666667)</f>
        <v>43686.66667</v>
      </c>
      <c r="T440" s="9">
        <f>IFERROR(__xludf.DUMMYFUNCTION("""COMPUTED_VALUE"""),187.85)</f>
        <v>187.85</v>
      </c>
      <c r="V440" s="11">
        <f>IFERROR(__xludf.DUMMYFUNCTION("""COMPUTED_VALUE"""),43686.66666666667)</f>
        <v>43686.66667</v>
      </c>
      <c r="W440" s="9">
        <f>IFERROR(__xludf.DUMMYFUNCTION("""COMPUTED_VALUE"""),313.74)</f>
        <v>313.74</v>
      </c>
      <c r="X440" s="11">
        <f>IFERROR(__xludf.DUMMYFUNCTION("""COMPUTED_VALUE"""),43686.66666666667)</f>
        <v>43686.66667</v>
      </c>
      <c r="Y440" s="9">
        <f>IFERROR(__xludf.DUMMYFUNCTION("""COMPUTED_VALUE"""),308.93)</f>
        <v>308.93</v>
      </c>
      <c r="AA440" s="11">
        <f>IFERROR(__xludf.DUMMYFUNCTION("""COMPUTED_VALUE"""),43686.66666666667)</f>
        <v>43686.66667</v>
      </c>
      <c r="AB440" s="9">
        <f>IFERROR(__xludf.DUMMYFUNCTION("""COMPUTED_VALUE"""),1828.95)</f>
        <v>1828.95</v>
      </c>
      <c r="AC440" s="11">
        <f>IFERROR(__xludf.DUMMYFUNCTION("""COMPUTED_VALUE"""),43686.66666666667)</f>
        <v>43686.66667</v>
      </c>
      <c r="AD440" s="9">
        <f>IFERROR(__xludf.DUMMYFUNCTION("""COMPUTED_VALUE"""),1807.58)</f>
        <v>1807.58</v>
      </c>
    </row>
    <row r="441">
      <c r="B441" s="11">
        <f>IFERROR(__xludf.DUMMYFUNCTION("""COMPUTED_VALUE"""),43689.66666666667)</f>
        <v>43689.66667</v>
      </c>
      <c r="C441" s="9">
        <f>IFERROR(__xludf.DUMMYFUNCTION("""COMPUTED_VALUE"""),46.6)</f>
        <v>46.6</v>
      </c>
      <c r="D441" s="11">
        <f>IFERROR(__xludf.DUMMYFUNCTION("""COMPUTED_VALUE"""),43689.66666666667)</f>
        <v>43689.66667</v>
      </c>
      <c r="E441" s="9">
        <f>IFERROR(__xludf.DUMMYFUNCTION("""COMPUTED_VALUE"""),45.8)</f>
        <v>45.8</v>
      </c>
      <c r="G441" s="11">
        <f>IFERROR(__xludf.DUMMYFUNCTION("""COMPUTED_VALUE"""),43689.66666666667)</f>
        <v>43689.66667</v>
      </c>
      <c r="H441" s="9">
        <f>IFERROR(__xludf.DUMMYFUNCTION("""COMPUTED_VALUE"""),1179.21)</f>
        <v>1179.21</v>
      </c>
      <c r="I441" s="11">
        <f>IFERROR(__xludf.DUMMYFUNCTION("""COMPUTED_VALUE"""),43689.66666666667)</f>
        <v>43689.66667</v>
      </c>
      <c r="J441" s="9">
        <f>IFERROR(__xludf.DUMMYFUNCTION("""COMPUTED_VALUE"""),1174.71)</f>
        <v>1174.71</v>
      </c>
      <c r="L441" s="11">
        <f>IFERROR(__xludf.DUMMYFUNCTION("""COMPUTED_VALUE"""),43689.66666666667)</f>
        <v>43689.66667</v>
      </c>
      <c r="M441" s="9">
        <f>IFERROR(__xludf.DUMMYFUNCTION("""COMPUTED_VALUE"""),49.91)</f>
        <v>49.91</v>
      </c>
      <c r="N441" s="11">
        <f>IFERROR(__xludf.DUMMYFUNCTION("""COMPUTED_VALUE"""),43689.66666666667)</f>
        <v>43689.66667</v>
      </c>
      <c r="O441" s="9">
        <f>IFERROR(__xludf.DUMMYFUNCTION("""COMPUTED_VALUE"""),50.12)</f>
        <v>50.12</v>
      </c>
      <c r="Q441" s="11">
        <f>IFERROR(__xludf.DUMMYFUNCTION("""COMPUTED_VALUE"""),43689.66666666667)</f>
        <v>43689.66667</v>
      </c>
      <c r="R441" s="9">
        <f>IFERROR(__xludf.DUMMYFUNCTION("""COMPUTED_VALUE"""),186.85)</f>
        <v>186.85</v>
      </c>
      <c r="S441" s="11">
        <f>IFERROR(__xludf.DUMMYFUNCTION("""COMPUTED_VALUE"""),43689.66666666667)</f>
        <v>43689.66667</v>
      </c>
      <c r="T441" s="9">
        <f>IFERROR(__xludf.DUMMYFUNCTION("""COMPUTED_VALUE"""),185.37)</f>
        <v>185.37</v>
      </c>
      <c r="V441" s="11">
        <f>IFERROR(__xludf.DUMMYFUNCTION("""COMPUTED_VALUE"""),43689.66666666667)</f>
        <v>43689.66667</v>
      </c>
      <c r="W441" s="9">
        <f>IFERROR(__xludf.DUMMYFUNCTION("""COMPUTED_VALUE"""),305.46)</f>
        <v>305.46</v>
      </c>
      <c r="X441" s="11">
        <f>IFERROR(__xludf.DUMMYFUNCTION("""COMPUTED_VALUE"""),43689.66666666667)</f>
        <v>43689.66667</v>
      </c>
      <c r="Y441" s="9">
        <f>IFERROR(__xludf.DUMMYFUNCTION("""COMPUTED_VALUE"""),310.83)</f>
        <v>310.83</v>
      </c>
      <c r="AA441" s="11">
        <f>IFERROR(__xludf.DUMMYFUNCTION("""COMPUTED_VALUE"""),43689.66666666667)</f>
        <v>43689.66667</v>
      </c>
      <c r="AB441" s="9">
        <f>IFERROR(__xludf.DUMMYFUNCTION("""COMPUTED_VALUE"""),1795.99)</f>
        <v>1795.99</v>
      </c>
      <c r="AC441" s="11">
        <f>IFERROR(__xludf.DUMMYFUNCTION("""COMPUTED_VALUE"""),43689.66666666667)</f>
        <v>43689.66667</v>
      </c>
      <c r="AD441" s="9">
        <f>IFERROR(__xludf.DUMMYFUNCTION("""COMPUTED_VALUE"""),1784.92)</f>
        <v>1784.92</v>
      </c>
    </row>
    <row r="442">
      <c r="B442" s="11">
        <f>IFERROR(__xludf.DUMMYFUNCTION("""COMPUTED_VALUE"""),43690.66666666667)</f>
        <v>43690.66667</v>
      </c>
      <c r="C442" s="9">
        <f>IFERROR(__xludf.DUMMYFUNCTION("""COMPUTED_VALUE"""),45.76)</f>
        <v>45.76</v>
      </c>
      <c r="D442" s="11">
        <f>IFERROR(__xludf.DUMMYFUNCTION("""COMPUTED_VALUE"""),43690.66666666667)</f>
        <v>43690.66667</v>
      </c>
      <c r="E442" s="9">
        <f>IFERROR(__xludf.DUMMYFUNCTION("""COMPUTED_VALUE"""),47.0)</f>
        <v>47</v>
      </c>
      <c r="G442" s="11">
        <f>IFERROR(__xludf.DUMMYFUNCTION("""COMPUTED_VALUE"""),43690.66666666667)</f>
        <v>43690.66667</v>
      </c>
      <c r="H442" s="9">
        <f>IFERROR(__xludf.DUMMYFUNCTION("""COMPUTED_VALUE"""),1171.46)</f>
        <v>1171.46</v>
      </c>
      <c r="I442" s="11">
        <f>IFERROR(__xludf.DUMMYFUNCTION("""COMPUTED_VALUE"""),43690.66666666667)</f>
        <v>43690.66667</v>
      </c>
      <c r="J442" s="9">
        <f>IFERROR(__xludf.DUMMYFUNCTION("""COMPUTED_VALUE"""),1197.27)</f>
        <v>1197.27</v>
      </c>
      <c r="L442" s="11">
        <f>IFERROR(__xludf.DUMMYFUNCTION("""COMPUTED_VALUE"""),43690.66666666667)</f>
        <v>43690.66667</v>
      </c>
      <c r="M442" s="9">
        <f>IFERROR(__xludf.DUMMYFUNCTION("""COMPUTED_VALUE"""),50.26)</f>
        <v>50.26</v>
      </c>
      <c r="N442" s="11">
        <f>IFERROR(__xludf.DUMMYFUNCTION("""COMPUTED_VALUE"""),43690.66666666667)</f>
        <v>43690.66667</v>
      </c>
      <c r="O442" s="9">
        <f>IFERROR(__xludf.DUMMYFUNCTION("""COMPUTED_VALUE"""),52.24)</f>
        <v>52.24</v>
      </c>
      <c r="Q442" s="11">
        <f>IFERROR(__xludf.DUMMYFUNCTION("""COMPUTED_VALUE"""),43690.66666666667)</f>
        <v>43690.66667</v>
      </c>
      <c r="R442" s="9">
        <f>IFERROR(__xludf.DUMMYFUNCTION("""COMPUTED_VALUE"""),185.52)</f>
        <v>185.52</v>
      </c>
      <c r="S442" s="11">
        <f>IFERROR(__xludf.DUMMYFUNCTION("""COMPUTED_VALUE"""),43690.66666666667)</f>
        <v>43690.66667</v>
      </c>
      <c r="T442" s="9">
        <f>IFERROR(__xludf.DUMMYFUNCTION("""COMPUTED_VALUE"""),188.45)</f>
        <v>188.45</v>
      </c>
      <c r="V442" s="11">
        <f>IFERROR(__xludf.DUMMYFUNCTION("""COMPUTED_VALUE"""),43690.66666666667)</f>
        <v>43690.66667</v>
      </c>
      <c r="W442" s="9">
        <f>IFERROR(__xludf.DUMMYFUNCTION("""COMPUTED_VALUE"""),309.77)</f>
        <v>309.77</v>
      </c>
      <c r="X442" s="11">
        <f>IFERROR(__xludf.DUMMYFUNCTION("""COMPUTED_VALUE"""),43690.66666666667)</f>
        <v>43690.66667</v>
      </c>
      <c r="Y442" s="9">
        <f>IFERROR(__xludf.DUMMYFUNCTION("""COMPUTED_VALUE"""),312.28)</f>
        <v>312.28</v>
      </c>
      <c r="AA442" s="11">
        <f>IFERROR(__xludf.DUMMYFUNCTION("""COMPUTED_VALUE"""),43690.66666666667)</f>
        <v>43690.66667</v>
      </c>
      <c r="AB442" s="9">
        <f>IFERROR(__xludf.DUMMYFUNCTION("""COMPUTED_VALUE"""),1783.0)</f>
        <v>1783</v>
      </c>
      <c r="AC442" s="11">
        <f>IFERROR(__xludf.DUMMYFUNCTION("""COMPUTED_VALUE"""),43690.66666666667)</f>
        <v>43690.66667</v>
      </c>
      <c r="AD442" s="9">
        <f>IFERROR(__xludf.DUMMYFUNCTION("""COMPUTED_VALUE"""),1824.34)</f>
        <v>1824.34</v>
      </c>
    </row>
    <row r="443">
      <c r="B443" s="11">
        <f>IFERROR(__xludf.DUMMYFUNCTION("""COMPUTED_VALUE"""),43691.66666666667)</f>
        <v>43691.66667</v>
      </c>
      <c r="C443" s="9">
        <f>IFERROR(__xludf.DUMMYFUNCTION("""COMPUTED_VALUE"""),46.24)</f>
        <v>46.24</v>
      </c>
      <c r="D443" s="11">
        <f>IFERROR(__xludf.DUMMYFUNCTION("""COMPUTED_VALUE"""),43691.66666666667)</f>
        <v>43691.66667</v>
      </c>
      <c r="E443" s="9">
        <f>IFERROR(__xludf.DUMMYFUNCTION("""COMPUTED_VALUE"""),43.92)</f>
        <v>43.92</v>
      </c>
      <c r="G443" s="11">
        <f>IFERROR(__xludf.DUMMYFUNCTION("""COMPUTED_VALUE"""),43691.66666666667)</f>
        <v>43691.66667</v>
      </c>
      <c r="H443" s="9">
        <f>IFERROR(__xludf.DUMMYFUNCTION("""COMPUTED_VALUE"""),1176.31)</f>
        <v>1176.31</v>
      </c>
      <c r="I443" s="11">
        <f>IFERROR(__xludf.DUMMYFUNCTION("""COMPUTED_VALUE"""),43691.66666666667)</f>
        <v>43691.66667</v>
      </c>
      <c r="J443" s="9">
        <f>IFERROR(__xludf.DUMMYFUNCTION("""COMPUTED_VALUE"""),1164.29)</f>
        <v>1164.29</v>
      </c>
      <c r="L443" s="11">
        <f>IFERROR(__xludf.DUMMYFUNCTION("""COMPUTED_VALUE"""),43691.66666666667)</f>
        <v>43691.66667</v>
      </c>
      <c r="M443" s="9">
        <f>IFERROR(__xludf.DUMMYFUNCTION("""COMPUTED_VALUE"""),50.79)</f>
        <v>50.79</v>
      </c>
      <c r="N443" s="11">
        <f>IFERROR(__xludf.DUMMYFUNCTION("""COMPUTED_VALUE"""),43691.66666666667)</f>
        <v>43691.66667</v>
      </c>
      <c r="O443" s="9">
        <f>IFERROR(__xludf.DUMMYFUNCTION("""COMPUTED_VALUE"""),50.69)</f>
        <v>50.69</v>
      </c>
      <c r="Q443" s="11">
        <f>IFERROR(__xludf.DUMMYFUNCTION("""COMPUTED_VALUE"""),43691.66666666667)</f>
        <v>43691.66667</v>
      </c>
      <c r="R443" s="9">
        <f>IFERROR(__xludf.DUMMYFUNCTION("""COMPUTED_VALUE"""),185.8)</f>
        <v>185.8</v>
      </c>
      <c r="S443" s="11">
        <f>IFERROR(__xludf.DUMMYFUNCTION("""COMPUTED_VALUE"""),43691.66666666667)</f>
        <v>43691.66667</v>
      </c>
      <c r="T443" s="9">
        <f>IFERROR(__xludf.DUMMYFUNCTION("""COMPUTED_VALUE"""),179.71)</f>
        <v>179.71</v>
      </c>
      <c r="V443" s="11">
        <f>IFERROR(__xludf.DUMMYFUNCTION("""COMPUTED_VALUE"""),43691.66666666667)</f>
        <v>43691.66667</v>
      </c>
      <c r="W443" s="9">
        <f>IFERROR(__xludf.DUMMYFUNCTION("""COMPUTED_VALUE"""),308.01)</f>
        <v>308.01</v>
      </c>
      <c r="X443" s="11">
        <f>IFERROR(__xludf.DUMMYFUNCTION("""COMPUTED_VALUE"""),43691.66666666667)</f>
        <v>43691.66667</v>
      </c>
      <c r="Y443" s="9">
        <f>IFERROR(__xludf.DUMMYFUNCTION("""COMPUTED_VALUE"""),299.11)</f>
        <v>299.11</v>
      </c>
      <c r="AA443" s="11">
        <f>IFERROR(__xludf.DUMMYFUNCTION("""COMPUTED_VALUE"""),43691.66666666667)</f>
        <v>43691.66667</v>
      </c>
      <c r="AB443" s="9">
        <f>IFERROR(__xludf.DUMMYFUNCTION("""COMPUTED_VALUE"""),1793.01)</f>
        <v>1793.01</v>
      </c>
      <c r="AC443" s="11">
        <f>IFERROR(__xludf.DUMMYFUNCTION("""COMPUTED_VALUE"""),43691.66666666667)</f>
        <v>43691.66667</v>
      </c>
      <c r="AD443" s="9">
        <f>IFERROR(__xludf.DUMMYFUNCTION("""COMPUTED_VALUE"""),1762.96)</f>
        <v>1762.96</v>
      </c>
    </row>
    <row r="444">
      <c r="B444" s="11">
        <f>IFERROR(__xludf.DUMMYFUNCTION("""COMPUTED_VALUE"""),43692.66666666667)</f>
        <v>43692.66667</v>
      </c>
      <c r="C444" s="9">
        <f>IFERROR(__xludf.DUMMYFUNCTION("""COMPUTED_VALUE"""),44.17)</f>
        <v>44.17</v>
      </c>
      <c r="D444" s="11">
        <f>IFERROR(__xludf.DUMMYFUNCTION("""COMPUTED_VALUE"""),43692.66666666667)</f>
        <v>43692.66667</v>
      </c>
      <c r="E444" s="9">
        <f>IFERROR(__xludf.DUMMYFUNCTION("""COMPUTED_VALUE"""),43.13)</f>
        <v>43.13</v>
      </c>
      <c r="G444" s="11">
        <f>IFERROR(__xludf.DUMMYFUNCTION("""COMPUTED_VALUE"""),43692.66666666667)</f>
        <v>43692.66667</v>
      </c>
      <c r="H444" s="9">
        <f>IFERROR(__xludf.DUMMYFUNCTION("""COMPUTED_VALUE"""),1163.5)</f>
        <v>1163.5</v>
      </c>
      <c r="I444" s="11">
        <f>IFERROR(__xludf.DUMMYFUNCTION("""COMPUTED_VALUE"""),43692.66666666667)</f>
        <v>43692.66667</v>
      </c>
      <c r="J444" s="9">
        <f>IFERROR(__xludf.DUMMYFUNCTION("""COMPUTED_VALUE"""),1167.26)</f>
        <v>1167.26</v>
      </c>
      <c r="L444" s="11">
        <f>IFERROR(__xludf.DUMMYFUNCTION("""COMPUTED_VALUE"""),43692.66666666667)</f>
        <v>43692.66667</v>
      </c>
      <c r="M444" s="9">
        <f>IFERROR(__xludf.DUMMYFUNCTION("""COMPUTED_VALUE"""),50.87)</f>
        <v>50.87</v>
      </c>
      <c r="N444" s="11">
        <f>IFERROR(__xludf.DUMMYFUNCTION("""COMPUTED_VALUE"""),43692.66666666667)</f>
        <v>43692.66667</v>
      </c>
      <c r="O444" s="9">
        <f>IFERROR(__xludf.DUMMYFUNCTION("""COMPUTED_VALUE"""),50.44)</f>
        <v>50.44</v>
      </c>
      <c r="Q444" s="11">
        <f>IFERROR(__xludf.DUMMYFUNCTION("""COMPUTED_VALUE"""),43692.66666666667)</f>
        <v>43692.66667</v>
      </c>
      <c r="R444" s="9">
        <f>IFERROR(__xludf.DUMMYFUNCTION("""COMPUTED_VALUE"""),180.95)</f>
        <v>180.95</v>
      </c>
      <c r="S444" s="11">
        <f>IFERROR(__xludf.DUMMYFUNCTION("""COMPUTED_VALUE"""),43692.66666666667)</f>
        <v>43692.66667</v>
      </c>
      <c r="T444" s="9">
        <f>IFERROR(__xludf.DUMMYFUNCTION("""COMPUTED_VALUE"""),182.59)</f>
        <v>182.59</v>
      </c>
      <c r="V444" s="11">
        <f>IFERROR(__xludf.DUMMYFUNCTION("""COMPUTED_VALUE"""),43692.66666666667)</f>
        <v>43692.66667</v>
      </c>
      <c r="W444" s="9">
        <f>IFERROR(__xludf.DUMMYFUNCTION("""COMPUTED_VALUE"""),299.5)</f>
        <v>299.5</v>
      </c>
      <c r="X444" s="11">
        <f>IFERROR(__xludf.DUMMYFUNCTION("""COMPUTED_VALUE"""),43692.66666666667)</f>
        <v>43692.66667</v>
      </c>
      <c r="Y444" s="9">
        <f>IFERROR(__xludf.DUMMYFUNCTION("""COMPUTED_VALUE"""),295.76)</f>
        <v>295.76</v>
      </c>
      <c r="AA444" s="11">
        <f>IFERROR(__xludf.DUMMYFUNCTION("""COMPUTED_VALUE"""),43692.66666666667)</f>
        <v>43692.66667</v>
      </c>
      <c r="AB444" s="9">
        <f>IFERROR(__xludf.DUMMYFUNCTION("""COMPUTED_VALUE"""),1781.99)</f>
        <v>1781.99</v>
      </c>
      <c r="AC444" s="11">
        <f>IFERROR(__xludf.DUMMYFUNCTION("""COMPUTED_VALUE"""),43692.66666666667)</f>
        <v>43692.66667</v>
      </c>
      <c r="AD444" s="9">
        <f>IFERROR(__xludf.DUMMYFUNCTION("""COMPUTED_VALUE"""),1776.12)</f>
        <v>1776.12</v>
      </c>
    </row>
    <row r="445">
      <c r="B445" s="11">
        <f>IFERROR(__xludf.DUMMYFUNCTION("""COMPUTED_VALUE"""),43693.66666666667)</f>
        <v>43693.66667</v>
      </c>
      <c r="C445" s="9">
        <f>IFERROR(__xludf.DUMMYFUNCTION("""COMPUTED_VALUE"""),43.33)</f>
        <v>43.33</v>
      </c>
      <c r="D445" s="11">
        <f>IFERROR(__xludf.DUMMYFUNCTION("""COMPUTED_VALUE"""),43693.66666666667)</f>
        <v>43693.66667</v>
      </c>
      <c r="E445" s="9">
        <f>IFERROR(__xludf.DUMMYFUNCTION("""COMPUTED_VALUE"""),43.99)</f>
        <v>43.99</v>
      </c>
      <c r="G445" s="11">
        <f>IFERROR(__xludf.DUMMYFUNCTION("""COMPUTED_VALUE"""),43693.66666666667)</f>
        <v>43693.66667</v>
      </c>
      <c r="H445" s="9">
        <f>IFERROR(__xludf.DUMMYFUNCTION("""COMPUTED_VALUE"""),1179.55)</f>
        <v>1179.55</v>
      </c>
      <c r="I445" s="11">
        <f>IFERROR(__xludf.DUMMYFUNCTION("""COMPUTED_VALUE"""),43693.66666666667)</f>
        <v>43693.66667</v>
      </c>
      <c r="J445" s="9">
        <f>IFERROR(__xludf.DUMMYFUNCTION("""COMPUTED_VALUE"""),1177.6)</f>
        <v>1177.6</v>
      </c>
      <c r="L445" s="11">
        <f>IFERROR(__xludf.DUMMYFUNCTION("""COMPUTED_VALUE"""),43693.66666666667)</f>
        <v>43693.66667</v>
      </c>
      <c r="M445" s="9">
        <f>IFERROR(__xludf.DUMMYFUNCTION("""COMPUTED_VALUE"""),51.07)</f>
        <v>51.07</v>
      </c>
      <c r="N445" s="11">
        <f>IFERROR(__xludf.DUMMYFUNCTION("""COMPUTED_VALUE"""),43693.66666666667)</f>
        <v>43693.66667</v>
      </c>
      <c r="O445" s="9">
        <f>IFERROR(__xludf.DUMMYFUNCTION("""COMPUTED_VALUE"""),51.63)</f>
        <v>51.63</v>
      </c>
      <c r="Q445" s="11">
        <f>IFERROR(__xludf.DUMMYFUNCTION("""COMPUTED_VALUE"""),43693.66666666667)</f>
        <v>43693.66667</v>
      </c>
      <c r="R445" s="9">
        <f>IFERROR(__xludf.DUMMYFUNCTION("""COMPUTED_VALUE"""),183.75)</f>
        <v>183.75</v>
      </c>
      <c r="S445" s="11">
        <f>IFERROR(__xludf.DUMMYFUNCTION("""COMPUTED_VALUE"""),43693.66666666667)</f>
        <v>43693.66667</v>
      </c>
      <c r="T445" s="9">
        <f>IFERROR(__xludf.DUMMYFUNCTION("""COMPUTED_VALUE"""),183.7)</f>
        <v>183.7</v>
      </c>
      <c r="V445" s="11">
        <f>IFERROR(__xludf.DUMMYFUNCTION("""COMPUTED_VALUE"""),43693.66666666667)</f>
        <v>43693.66667</v>
      </c>
      <c r="W445" s="9">
        <f>IFERROR(__xludf.DUMMYFUNCTION("""COMPUTED_VALUE"""),298.86)</f>
        <v>298.86</v>
      </c>
      <c r="X445" s="11">
        <f>IFERROR(__xludf.DUMMYFUNCTION("""COMPUTED_VALUE"""),43693.66666666667)</f>
        <v>43693.66667</v>
      </c>
      <c r="Y445" s="9">
        <f>IFERROR(__xludf.DUMMYFUNCTION("""COMPUTED_VALUE"""),302.8)</f>
        <v>302.8</v>
      </c>
      <c r="AA445" s="11">
        <f>IFERROR(__xludf.DUMMYFUNCTION("""COMPUTED_VALUE"""),43693.66666666667)</f>
        <v>43693.66667</v>
      </c>
      <c r="AB445" s="9">
        <f>IFERROR(__xludf.DUMMYFUNCTION("""COMPUTED_VALUE"""),1792.89)</f>
        <v>1792.89</v>
      </c>
      <c r="AC445" s="11">
        <f>IFERROR(__xludf.DUMMYFUNCTION("""COMPUTED_VALUE"""),43693.66666666667)</f>
        <v>43693.66667</v>
      </c>
      <c r="AD445" s="9">
        <f>IFERROR(__xludf.DUMMYFUNCTION("""COMPUTED_VALUE"""),1792.57)</f>
        <v>1792.57</v>
      </c>
    </row>
    <row r="446">
      <c r="B446" s="11">
        <f>IFERROR(__xludf.DUMMYFUNCTION("""COMPUTED_VALUE"""),43696.66666666667)</f>
        <v>43696.66667</v>
      </c>
      <c r="C446" s="9">
        <f>IFERROR(__xludf.DUMMYFUNCTION("""COMPUTED_VALUE"""),44.84)</f>
        <v>44.84</v>
      </c>
      <c r="D446" s="11">
        <f>IFERROR(__xludf.DUMMYFUNCTION("""COMPUTED_VALUE"""),43696.66666666667)</f>
        <v>43696.66667</v>
      </c>
      <c r="E446" s="9">
        <f>IFERROR(__xludf.DUMMYFUNCTION("""COMPUTED_VALUE"""),45.37)</f>
        <v>45.37</v>
      </c>
      <c r="G446" s="11">
        <f>IFERROR(__xludf.DUMMYFUNCTION("""COMPUTED_VALUE"""),43696.66666666667)</f>
        <v>43696.66667</v>
      </c>
      <c r="H446" s="9">
        <f>IFERROR(__xludf.DUMMYFUNCTION("""COMPUTED_VALUE"""),1190.09)</f>
        <v>1190.09</v>
      </c>
      <c r="I446" s="11">
        <f>IFERROR(__xludf.DUMMYFUNCTION("""COMPUTED_VALUE"""),43696.66666666667)</f>
        <v>43696.66667</v>
      </c>
      <c r="J446" s="9">
        <f>IFERROR(__xludf.DUMMYFUNCTION("""COMPUTED_VALUE"""),1198.45)</f>
        <v>1198.45</v>
      </c>
      <c r="L446" s="11">
        <f>IFERROR(__xludf.DUMMYFUNCTION("""COMPUTED_VALUE"""),43696.66666666667)</f>
        <v>43696.66667</v>
      </c>
      <c r="M446" s="9">
        <f>IFERROR(__xludf.DUMMYFUNCTION("""COMPUTED_VALUE"""),52.66)</f>
        <v>52.66</v>
      </c>
      <c r="N446" s="11">
        <f>IFERROR(__xludf.DUMMYFUNCTION("""COMPUTED_VALUE"""),43696.66666666667)</f>
        <v>43696.66667</v>
      </c>
      <c r="O446" s="9">
        <f>IFERROR(__xludf.DUMMYFUNCTION("""COMPUTED_VALUE"""),52.59)</f>
        <v>52.59</v>
      </c>
      <c r="Q446" s="11">
        <f>IFERROR(__xludf.DUMMYFUNCTION("""COMPUTED_VALUE"""),43696.66666666667)</f>
        <v>43696.66667</v>
      </c>
      <c r="R446" s="9">
        <f>IFERROR(__xludf.DUMMYFUNCTION("""COMPUTED_VALUE"""),186.01)</f>
        <v>186.01</v>
      </c>
      <c r="S446" s="11">
        <f>IFERROR(__xludf.DUMMYFUNCTION("""COMPUTED_VALUE"""),43696.66666666667)</f>
        <v>43696.66667</v>
      </c>
      <c r="T446" s="9">
        <f>IFERROR(__xludf.DUMMYFUNCTION("""COMPUTED_VALUE"""),186.17)</f>
        <v>186.17</v>
      </c>
      <c r="V446" s="11">
        <f>IFERROR(__xludf.DUMMYFUNCTION("""COMPUTED_VALUE"""),43696.66666666667)</f>
        <v>43696.66667</v>
      </c>
      <c r="W446" s="9">
        <f>IFERROR(__xludf.DUMMYFUNCTION("""COMPUTED_VALUE"""),306.25)</f>
        <v>306.25</v>
      </c>
      <c r="X446" s="11">
        <f>IFERROR(__xludf.DUMMYFUNCTION("""COMPUTED_VALUE"""),43696.66666666667)</f>
        <v>43696.66667</v>
      </c>
      <c r="Y446" s="9">
        <f>IFERROR(__xludf.DUMMYFUNCTION("""COMPUTED_VALUE"""),309.38)</f>
        <v>309.38</v>
      </c>
      <c r="AA446" s="11">
        <f>IFERROR(__xludf.DUMMYFUNCTION("""COMPUTED_VALUE"""),43696.66666666667)</f>
        <v>43696.66667</v>
      </c>
      <c r="AB446" s="9">
        <f>IFERROR(__xludf.DUMMYFUNCTION("""COMPUTED_VALUE"""),1818.08)</f>
        <v>1818.08</v>
      </c>
      <c r="AC446" s="11">
        <f>IFERROR(__xludf.DUMMYFUNCTION("""COMPUTED_VALUE"""),43696.66666666667)</f>
        <v>43696.66667</v>
      </c>
      <c r="AD446" s="9">
        <f>IFERROR(__xludf.DUMMYFUNCTION("""COMPUTED_VALUE"""),1816.12)</f>
        <v>1816.12</v>
      </c>
    </row>
    <row r="447">
      <c r="B447" s="11">
        <f>IFERROR(__xludf.DUMMYFUNCTION("""COMPUTED_VALUE"""),43697.66666666667)</f>
        <v>43697.66667</v>
      </c>
      <c r="C447" s="9">
        <f>IFERROR(__xludf.DUMMYFUNCTION("""COMPUTED_VALUE"""),45.52)</f>
        <v>45.52</v>
      </c>
      <c r="D447" s="11">
        <f>IFERROR(__xludf.DUMMYFUNCTION("""COMPUTED_VALUE"""),43697.66666666667)</f>
        <v>43697.66667</v>
      </c>
      <c r="E447" s="9">
        <f>IFERROR(__xludf.DUMMYFUNCTION("""COMPUTED_VALUE"""),45.17)</f>
        <v>45.17</v>
      </c>
      <c r="G447" s="11">
        <f>IFERROR(__xludf.DUMMYFUNCTION("""COMPUTED_VALUE"""),43697.66666666667)</f>
        <v>43697.66667</v>
      </c>
      <c r="H447" s="9">
        <f>IFERROR(__xludf.DUMMYFUNCTION("""COMPUTED_VALUE"""),1195.25)</f>
        <v>1195.25</v>
      </c>
      <c r="I447" s="11">
        <f>IFERROR(__xludf.DUMMYFUNCTION("""COMPUTED_VALUE"""),43697.66666666667)</f>
        <v>43697.66667</v>
      </c>
      <c r="J447" s="9">
        <f>IFERROR(__xludf.DUMMYFUNCTION("""COMPUTED_VALUE"""),1182.69)</f>
        <v>1182.69</v>
      </c>
      <c r="L447" s="11">
        <f>IFERROR(__xludf.DUMMYFUNCTION("""COMPUTED_VALUE"""),43697.66666666667)</f>
        <v>43697.66667</v>
      </c>
      <c r="M447" s="9">
        <f>IFERROR(__xludf.DUMMYFUNCTION("""COMPUTED_VALUE"""),52.72)</f>
        <v>52.72</v>
      </c>
      <c r="N447" s="11">
        <f>IFERROR(__xludf.DUMMYFUNCTION("""COMPUTED_VALUE"""),43697.66666666667)</f>
        <v>43697.66667</v>
      </c>
      <c r="O447" s="9">
        <f>IFERROR(__xludf.DUMMYFUNCTION("""COMPUTED_VALUE"""),52.59)</f>
        <v>52.59</v>
      </c>
      <c r="Q447" s="11">
        <f>IFERROR(__xludf.DUMMYFUNCTION("""COMPUTED_VALUE"""),43697.66666666667)</f>
        <v>43697.66667</v>
      </c>
      <c r="R447" s="9">
        <f>IFERROR(__xludf.DUMMYFUNCTION("""COMPUTED_VALUE"""),185.45)</f>
        <v>185.45</v>
      </c>
      <c r="S447" s="11">
        <f>IFERROR(__xludf.DUMMYFUNCTION("""COMPUTED_VALUE"""),43697.66666666667)</f>
        <v>43697.66667</v>
      </c>
      <c r="T447" s="9">
        <f>IFERROR(__xludf.DUMMYFUNCTION("""COMPUTED_VALUE"""),183.81)</f>
        <v>183.81</v>
      </c>
      <c r="V447" s="11">
        <f>IFERROR(__xludf.DUMMYFUNCTION("""COMPUTED_VALUE"""),43697.66666666667)</f>
        <v>43697.66667</v>
      </c>
      <c r="W447" s="9">
        <f>IFERROR(__xludf.DUMMYFUNCTION("""COMPUTED_VALUE"""),304.57)</f>
        <v>304.57</v>
      </c>
      <c r="X447" s="11">
        <f>IFERROR(__xludf.DUMMYFUNCTION("""COMPUTED_VALUE"""),43697.66666666667)</f>
        <v>43697.66667</v>
      </c>
      <c r="Y447" s="9">
        <f>IFERROR(__xludf.DUMMYFUNCTION("""COMPUTED_VALUE"""),298.99)</f>
        <v>298.99</v>
      </c>
      <c r="AA447" s="11">
        <f>IFERROR(__xludf.DUMMYFUNCTION("""COMPUTED_VALUE"""),43697.66666666667)</f>
        <v>43697.66667</v>
      </c>
      <c r="AB447" s="9">
        <f>IFERROR(__xludf.DUMMYFUNCTION("""COMPUTED_VALUE"""),1814.5)</f>
        <v>1814.5</v>
      </c>
      <c r="AC447" s="11">
        <f>IFERROR(__xludf.DUMMYFUNCTION("""COMPUTED_VALUE"""),43697.66666666667)</f>
        <v>43697.66667</v>
      </c>
      <c r="AD447" s="9">
        <f>IFERROR(__xludf.DUMMYFUNCTION("""COMPUTED_VALUE"""),1801.38)</f>
        <v>1801.38</v>
      </c>
    </row>
    <row r="448">
      <c r="B448" s="11">
        <f>IFERROR(__xludf.DUMMYFUNCTION("""COMPUTED_VALUE"""),43698.66666666667)</f>
        <v>43698.66667</v>
      </c>
      <c r="C448" s="9">
        <f>IFERROR(__xludf.DUMMYFUNCTION("""COMPUTED_VALUE"""),44.4)</f>
        <v>44.4</v>
      </c>
      <c r="D448" s="11">
        <f>IFERROR(__xludf.DUMMYFUNCTION("""COMPUTED_VALUE"""),43698.66666666667)</f>
        <v>43698.66667</v>
      </c>
      <c r="E448" s="9">
        <f>IFERROR(__xludf.DUMMYFUNCTION("""COMPUTED_VALUE"""),44.17)</f>
        <v>44.17</v>
      </c>
      <c r="G448" s="11">
        <f>IFERROR(__xludf.DUMMYFUNCTION("""COMPUTED_VALUE"""),43698.66666666667)</f>
        <v>43698.66667</v>
      </c>
      <c r="H448" s="9">
        <f>IFERROR(__xludf.DUMMYFUNCTION("""COMPUTED_VALUE"""),1193.15)</f>
        <v>1193.15</v>
      </c>
      <c r="I448" s="11">
        <f>IFERROR(__xludf.DUMMYFUNCTION("""COMPUTED_VALUE"""),43698.66666666667)</f>
        <v>43698.66667</v>
      </c>
      <c r="J448" s="9">
        <f>IFERROR(__xludf.DUMMYFUNCTION("""COMPUTED_VALUE"""),1191.25)</f>
        <v>1191.25</v>
      </c>
      <c r="L448" s="11">
        <f>IFERROR(__xludf.DUMMYFUNCTION("""COMPUTED_VALUE"""),43698.66666666667)</f>
        <v>43698.66667</v>
      </c>
      <c r="M448" s="9">
        <f>IFERROR(__xludf.DUMMYFUNCTION("""COMPUTED_VALUE"""),53.25)</f>
        <v>53.25</v>
      </c>
      <c r="N448" s="11">
        <f>IFERROR(__xludf.DUMMYFUNCTION("""COMPUTED_VALUE"""),43698.66666666667)</f>
        <v>43698.66667</v>
      </c>
      <c r="O448" s="9">
        <f>IFERROR(__xludf.DUMMYFUNCTION("""COMPUTED_VALUE"""),53.16)</f>
        <v>53.16</v>
      </c>
      <c r="Q448" s="11">
        <f>IFERROR(__xludf.DUMMYFUNCTION("""COMPUTED_VALUE"""),43698.66666666667)</f>
        <v>43698.66667</v>
      </c>
      <c r="R448" s="9">
        <f>IFERROR(__xludf.DUMMYFUNCTION("""COMPUTED_VALUE"""),185.0)</f>
        <v>185</v>
      </c>
      <c r="S448" s="11">
        <f>IFERROR(__xludf.DUMMYFUNCTION("""COMPUTED_VALUE"""),43698.66666666667)</f>
        <v>43698.66667</v>
      </c>
      <c r="T448" s="9">
        <f>IFERROR(__xludf.DUMMYFUNCTION("""COMPUTED_VALUE"""),183.55)</f>
        <v>183.55</v>
      </c>
      <c r="V448" s="11">
        <f>IFERROR(__xludf.DUMMYFUNCTION("""COMPUTED_VALUE"""),43698.66666666667)</f>
        <v>43698.66667</v>
      </c>
      <c r="W448" s="9">
        <f>IFERROR(__xludf.DUMMYFUNCTION("""COMPUTED_VALUE"""),301.61)</f>
        <v>301.61</v>
      </c>
      <c r="X448" s="11">
        <f>IFERROR(__xludf.DUMMYFUNCTION("""COMPUTED_VALUE"""),43698.66666666667)</f>
        <v>43698.66667</v>
      </c>
      <c r="Y448" s="9">
        <f>IFERROR(__xludf.DUMMYFUNCTION("""COMPUTED_VALUE"""),297.81)</f>
        <v>297.81</v>
      </c>
      <c r="AA448" s="11">
        <f>IFERROR(__xludf.DUMMYFUNCTION("""COMPUTED_VALUE"""),43698.66666666667)</f>
        <v>43698.66667</v>
      </c>
      <c r="AB448" s="9">
        <f>IFERROR(__xludf.DUMMYFUNCTION("""COMPUTED_VALUE"""),1819.39)</f>
        <v>1819.39</v>
      </c>
      <c r="AC448" s="11">
        <f>IFERROR(__xludf.DUMMYFUNCTION("""COMPUTED_VALUE"""),43698.66666666667)</f>
        <v>43698.66667</v>
      </c>
      <c r="AD448" s="9">
        <f>IFERROR(__xludf.DUMMYFUNCTION("""COMPUTED_VALUE"""),1823.54)</f>
        <v>1823.54</v>
      </c>
    </row>
    <row r="449">
      <c r="B449" s="11">
        <f>IFERROR(__xludf.DUMMYFUNCTION("""COMPUTED_VALUE"""),43699.66666666667)</f>
        <v>43699.66667</v>
      </c>
      <c r="C449" s="9">
        <f>IFERROR(__xludf.DUMMYFUNCTION("""COMPUTED_VALUE"""),44.56)</f>
        <v>44.56</v>
      </c>
      <c r="D449" s="11">
        <f>IFERROR(__xludf.DUMMYFUNCTION("""COMPUTED_VALUE"""),43699.66666666667)</f>
        <v>43699.66667</v>
      </c>
      <c r="E449" s="9">
        <f>IFERROR(__xludf.DUMMYFUNCTION("""COMPUTED_VALUE"""),44.43)</f>
        <v>44.43</v>
      </c>
      <c r="G449" s="11">
        <f>IFERROR(__xludf.DUMMYFUNCTION("""COMPUTED_VALUE"""),43699.66666666667)</f>
        <v>43699.66667</v>
      </c>
      <c r="H449" s="9">
        <f>IFERROR(__xludf.DUMMYFUNCTION("""COMPUTED_VALUE"""),1194.07)</f>
        <v>1194.07</v>
      </c>
      <c r="I449" s="11">
        <f>IFERROR(__xludf.DUMMYFUNCTION("""COMPUTED_VALUE"""),43699.66666666667)</f>
        <v>43699.66667</v>
      </c>
      <c r="J449" s="9">
        <f>IFERROR(__xludf.DUMMYFUNCTION("""COMPUTED_VALUE"""),1189.53)</f>
        <v>1189.53</v>
      </c>
      <c r="L449" s="11">
        <f>IFERROR(__xludf.DUMMYFUNCTION("""COMPUTED_VALUE"""),43699.66666666667)</f>
        <v>43699.66667</v>
      </c>
      <c r="M449" s="9">
        <f>IFERROR(__xludf.DUMMYFUNCTION("""COMPUTED_VALUE"""),53.3)</f>
        <v>53.3</v>
      </c>
      <c r="N449" s="11">
        <f>IFERROR(__xludf.DUMMYFUNCTION("""COMPUTED_VALUE"""),43699.66666666667)</f>
        <v>43699.66667</v>
      </c>
      <c r="O449" s="9">
        <f>IFERROR(__xludf.DUMMYFUNCTION("""COMPUTED_VALUE"""),53.12)</f>
        <v>53.12</v>
      </c>
      <c r="Q449" s="11">
        <f>IFERROR(__xludf.DUMMYFUNCTION("""COMPUTED_VALUE"""),43699.66666666667)</f>
        <v>43699.66667</v>
      </c>
      <c r="R449" s="9">
        <f>IFERROR(__xludf.DUMMYFUNCTION("""COMPUTED_VALUE"""),183.43)</f>
        <v>183.43</v>
      </c>
      <c r="S449" s="11">
        <f>IFERROR(__xludf.DUMMYFUNCTION("""COMPUTED_VALUE"""),43699.66666666667)</f>
        <v>43699.66667</v>
      </c>
      <c r="T449" s="9">
        <f>IFERROR(__xludf.DUMMYFUNCTION("""COMPUTED_VALUE"""),182.04)</f>
        <v>182.04</v>
      </c>
      <c r="V449" s="11">
        <f>IFERROR(__xludf.DUMMYFUNCTION("""COMPUTED_VALUE"""),43699.66666666667)</f>
        <v>43699.66667</v>
      </c>
      <c r="W449" s="9">
        <f>IFERROR(__xludf.DUMMYFUNCTION("""COMPUTED_VALUE"""),298.65)</f>
        <v>298.65</v>
      </c>
      <c r="X449" s="11">
        <f>IFERROR(__xludf.DUMMYFUNCTION("""COMPUTED_VALUE"""),43699.66666666667)</f>
        <v>43699.66667</v>
      </c>
      <c r="Y449" s="9">
        <f>IFERROR(__xludf.DUMMYFUNCTION("""COMPUTED_VALUE"""),296.93)</f>
        <v>296.93</v>
      </c>
      <c r="AA449" s="11">
        <f>IFERROR(__xludf.DUMMYFUNCTION("""COMPUTED_VALUE"""),43699.66666666667)</f>
        <v>43699.66667</v>
      </c>
      <c r="AB449" s="9">
        <f>IFERROR(__xludf.DUMMYFUNCTION("""COMPUTED_VALUE"""),1828.0)</f>
        <v>1828</v>
      </c>
      <c r="AC449" s="11">
        <f>IFERROR(__xludf.DUMMYFUNCTION("""COMPUTED_VALUE"""),43699.66666666667)</f>
        <v>43699.66667</v>
      </c>
      <c r="AD449" s="9">
        <f>IFERROR(__xludf.DUMMYFUNCTION("""COMPUTED_VALUE"""),1805.6)</f>
        <v>1805.6</v>
      </c>
    </row>
    <row r="450">
      <c r="B450" s="11">
        <f>IFERROR(__xludf.DUMMYFUNCTION("""COMPUTED_VALUE"""),43700.66666666667)</f>
        <v>43700.66667</v>
      </c>
      <c r="C450" s="9">
        <f>IFERROR(__xludf.DUMMYFUNCTION("""COMPUTED_VALUE"""),43.99)</f>
        <v>43.99</v>
      </c>
      <c r="D450" s="11">
        <f>IFERROR(__xludf.DUMMYFUNCTION("""COMPUTED_VALUE"""),43700.66666666667)</f>
        <v>43700.66667</v>
      </c>
      <c r="E450" s="9">
        <f>IFERROR(__xludf.DUMMYFUNCTION("""COMPUTED_VALUE"""),42.28)</f>
        <v>42.28</v>
      </c>
      <c r="G450" s="11">
        <f>IFERROR(__xludf.DUMMYFUNCTION("""COMPUTED_VALUE"""),43700.66666666667)</f>
        <v>43700.66667</v>
      </c>
      <c r="H450" s="9">
        <f>IFERROR(__xludf.DUMMYFUNCTION("""COMPUTED_VALUE"""),1181.99)</f>
        <v>1181.99</v>
      </c>
      <c r="I450" s="11">
        <f>IFERROR(__xludf.DUMMYFUNCTION("""COMPUTED_VALUE"""),43700.66666666667)</f>
        <v>43700.66667</v>
      </c>
      <c r="J450" s="9">
        <f>IFERROR(__xludf.DUMMYFUNCTION("""COMPUTED_VALUE"""),1151.29)</f>
        <v>1151.29</v>
      </c>
      <c r="L450" s="11">
        <f>IFERROR(__xludf.DUMMYFUNCTION("""COMPUTED_VALUE"""),43700.66666666667)</f>
        <v>43700.66667</v>
      </c>
      <c r="M450" s="9">
        <f>IFERROR(__xludf.DUMMYFUNCTION("""COMPUTED_VALUE"""),52.36)</f>
        <v>52.36</v>
      </c>
      <c r="N450" s="11">
        <f>IFERROR(__xludf.DUMMYFUNCTION("""COMPUTED_VALUE"""),43700.66666666667)</f>
        <v>43700.66667</v>
      </c>
      <c r="O450" s="9">
        <f>IFERROR(__xludf.DUMMYFUNCTION("""COMPUTED_VALUE"""),50.66)</f>
        <v>50.66</v>
      </c>
      <c r="Q450" s="11">
        <f>IFERROR(__xludf.DUMMYFUNCTION("""COMPUTED_VALUE"""),43700.66666666667)</f>
        <v>43700.66667</v>
      </c>
      <c r="R450" s="9">
        <f>IFERROR(__xludf.DUMMYFUNCTION("""COMPUTED_VALUE"""),180.84)</f>
        <v>180.84</v>
      </c>
      <c r="S450" s="11">
        <f>IFERROR(__xludf.DUMMYFUNCTION("""COMPUTED_VALUE"""),43700.66666666667)</f>
        <v>43700.66667</v>
      </c>
      <c r="T450" s="9">
        <f>IFERROR(__xludf.DUMMYFUNCTION("""COMPUTED_VALUE"""),177.75)</f>
        <v>177.75</v>
      </c>
      <c r="V450" s="11">
        <f>IFERROR(__xludf.DUMMYFUNCTION("""COMPUTED_VALUE"""),43700.66666666667)</f>
        <v>43700.66667</v>
      </c>
      <c r="W450" s="9">
        <f>IFERROR(__xludf.DUMMYFUNCTION("""COMPUTED_VALUE"""),295.0)</f>
        <v>295</v>
      </c>
      <c r="X450" s="11">
        <f>IFERROR(__xludf.DUMMYFUNCTION("""COMPUTED_VALUE"""),43700.66666666667)</f>
        <v>43700.66667</v>
      </c>
      <c r="Y450" s="9">
        <f>IFERROR(__xludf.DUMMYFUNCTION("""COMPUTED_VALUE"""),291.44)</f>
        <v>291.44</v>
      </c>
      <c r="AA450" s="11">
        <f>IFERROR(__xludf.DUMMYFUNCTION("""COMPUTED_VALUE"""),43700.66666666667)</f>
        <v>43700.66667</v>
      </c>
      <c r="AB450" s="9">
        <f>IFERROR(__xludf.DUMMYFUNCTION("""COMPUTED_VALUE"""),1793.03)</f>
        <v>1793.03</v>
      </c>
      <c r="AC450" s="11">
        <f>IFERROR(__xludf.DUMMYFUNCTION("""COMPUTED_VALUE"""),43700.66666666667)</f>
        <v>43700.66667</v>
      </c>
      <c r="AD450" s="9">
        <f>IFERROR(__xludf.DUMMYFUNCTION("""COMPUTED_VALUE"""),1749.62)</f>
        <v>1749.62</v>
      </c>
    </row>
    <row r="451">
      <c r="B451" s="11">
        <f>IFERROR(__xludf.DUMMYFUNCTION("""COMPUTED_VALUE"""),43703.66666666667)</f>
        <v>43703.66667</v>
      </c>
      <c r="C451" s="9">
        <f>IFERROR(__xludf.DUMMYFUNCTION("""COMPUTED_VALUE"""),42.72)</f>
        <v>42.72</v>
      </c>
      <c r="D451" s="11">
        <f>IFERROR(__xludf.DUMMYFUNCTION("""COMPUTED_VALUE"""),43703.66666666667)</f>
        <v>43703.66667</v>
      </c>
      <c r="E451" s="9">
        <f>IFERROR(__xludf.DUMMYFUNCTION("""COMPUTED_VALUE"""),43.0)</f>
        <v>43</v>
      </c>
      <c r="G451" s="11">
        <f>IFERROR(__xludf.DUMMYFUNCTION("""COMPUTED_VALUE"""),43703.66666666667)</f>
        <v>43703.66667</v>
      </c>
      <c r="H451" s="9">
        <f>IFERROR(__xludf.DUMMYFUNCTION("""COMPUTED_VALUE"""),1157.26)</f>
        <v>1157.26</v>
      </c>
      <c r="I451" s="11">
        <f>IFERROR(__xludf.DUMMYFUNCTION("""COMPUTED_VALUE"""),43703.66666666667)</f>
        <v>43703.66667</v>
      </c>
      <c r="J451" s="9">
        <f>IFERROR(__xludf.DUMMYFUNCTION("""COMPUTED_VALUE"""),1168.89)</f>
        <v>1168.89</v>
      </c>
      <c r="L451" s="11">
        <f>IFERROR(__xludf.DUMMYFUNCTION("""COMPUTED_VALUE"""),43703.66666666667)</f>
        <v>43703.66667</v>
      </c>
      <c r="M451" s="9">
        <f>IFERROR(__xludf.DUMMYFUNCTION("""COMPUTED_VALUE"""),51.47)</f>
        <v>51.47</v>
      </c>
      <c r="N451" s="11">
        <f>IFERROR(__xludf.DUMMYFUNCTION("""COMPUTED_VALUE"""),43703.66666666667)</f>
        <v>43703.66667</v>
      </c>
      <c r="O451" s="9">
        <f>IFERROR(__xludf.DUMMYFUNCTION("""COMPUTED_VALUE"""),51.62)</f>
        <v>51.62</v>
      </c>
      <c r="Q451" s="11">
        <f>IFERROR(__xludf.DUMMYFUNCTION("""COMPUTED_VALUE"""),43703.66666666667)</f>
        <v>43703.66667</v>
      </c>
      <c r="R451" s="9">
        <f>IFERROR(__xludf.DUMMYFUNCTION("""COMPUTED_VALUE"""),179.4)</f>
        <v>179.4</v>
      </c>
      <c r="S451" s="11">
        <f>IFERROR(__xludf.DUMMYFUNCTION("""COMPUTED_VALUE"""),43703.66666666667)</f>
        <v>43703.66667</v>
      </c>
      <c r="T451" s="9">
        <f>IFERROR(__xludf.DUMMYFUNCTION("""COMPUTED_VALUE"""),180.36)</f>
        <v>180.36</v>
      </c>
      <c r="V451" s="11">
        <f>IFERROR(__xludf.DUMMYFUNCTION("""COMPUTED_VALUE"""),43703.66666666667)</f>
        <v>43703.66667</v>
      </c>
      <c r="W451" s="9">
        <f>IFERROR(__xludf.DUMMYFUNCTION("""COMPUTED_VALUE"""),295.24)</f>
        <v>295.24</v>
      </c>
      <c r="X451" s="11">
        <f>IFERROR(__xludf.DUMMYFUNCTION("""COMPUTED_VALUE"""),43703.66666666667)</f>
        <v>43703.66667</v>
      </c>
      <c r="Y451" s="9">
        <f>IFERROR(__xludf.DUMMYFUNCTION("""COMPUTED_VALUE"""),294.98)</f>
        <v>294.98</v>
      </c>
      <c r="AA451" s="11">
        <f>IFERROR(__xludf.DUMMYFUNCTION("""COMPUTED_VALUE"""),43703.66666666667)</f>
        <v>43703.66667</v>
      </c>
      <c r="AB451" s="9">
        <f>IFERROR(__xludf.DUMMYFUNCTION("""COMPUTED_VALUE"""),1766.91)</f>
        <v>1766.91</v>
      </c>
      <c r="AC451" s="11">
        <f>IFERROR(__xludf.DUMMYFUNCTION("""COMPUTED_VALUE"""),43703.66666666667)</f>
        <v>43703.66667</v>
      </c>
      <c r="AD451" s="9">
        <f>IFERROR(__xludf.DUMMYFUNCTION("""COMPUTED_VALUE"""),1768.87)</f>
        <v>1768.87</v>
      </c>
    </row>
    <row r="452">
      <c r="B452" s="11">
        <f>IFERROR(__xludf.DUMMYFUNCTION("""COMPUTED_VALUE"""),43704.66666666667)</f>
        <v>43704.66667</v>
      </c>
      <c r="C452" s="9">
        <f>IFERROR(__xludf.DUMMYFUNCTION("""COMPUTED_VALUE"""),43.15)</f>
        <v>43.15</v>
      </c>
      <c r="D452" s="11">
        <f>IFERROR(__xludf.DUMMYFUNCTION("""COMPUTED_VALUE"""),43704.66666666667)</f>
        <v>43704.66667</v>
      </c>
      <c r="E452" s="9">
        <f>IFERROR(__xludf.DUMMYFUNCTION("""COMPUTED_VALUE"""),42.82)</f>
        <v>42.82</v>
      </c>
      <c r="G452" s="11">
        <f>IFERROR(__xludf.DUMMYFUNCTION("""COMPUTED_VALUE"""),43704.66666666667)</f>
        <v>43704.66667</v>
      </c>
      <c r="H452" s="9">
        <f>IFERROR(__xludf.DUMMYFUNCTION("""COMPUTED_VALUE"""),1180.53)</f>
        <v>1180.53</v>
      </c>
      <c r="I452" s="11">
        <f>IFERROR(__xludf.DUMMYFUNCTION("""COMPUTED_VALUE"""),43704.66666666667)</f>
        <v>43704.66667</v>
      </c>
      <c r="J452" s="9">
        <f>IFERROR(__xludf.DUMMYFUNCTION("""COMPUTED_VALUE"""),1167.84)</f>
        <v>1167.84</v>
      </c>
      <c r="L452" s="11">
        <f>IFERROR(__xludf.DUMMYFUNCTION("""COMPUTED_VALUE"""),43704.66666666667)</f>
        <v>43704.66667</v>
      </c>
      <c r="M452" s="9">
        <f>IFERROR(__xludf.DUMMYFUNCTION("""COMPUTED_VALUE"""),51.97)</f>
        <v>51.97</v>
      </c>
      <c r="N452" s="11">
        <f>IFERROR(__xludf.DUMMYFUNCTION("""COMPUTED_VALUE"""),43704.66666666667)</f>
        <v>43704.66667</v>
      </c>
      <c r="O452" s="9">
        <f>IFERROR(__xludf.DUMMYFUNCTION("""COMPUTED_VALUE"""),51.04)</f>
        <v>51.04</v>
      </c>
      <c r="Q452" s="11">
        <f>IFERROR(__xludf.DUMMYFUNCTION("""COMPUTED_VALUE"""),43704.66666666667)</f>
        <v>43704.66667</v>
      </c>
      <c r="R452" s="9">
        <f>IFERROR(__xludf.DUMMYFUNCTION("""COMPUTED_VALUE"""),181.93)</f>
        <v>181.93</v>
      </c>
      <c r="S452" s="11">
        <f>IFERROR(__xludf.DUMMYFUNCTION("""COMPUTED_VALUE"""),43704.66666666667)</f>
        <v>43704.66667</v>
      </c>
      <c r="T452" s="9">
        <f>IFERROR(__xludf.DUMMYFUNCTION("""COMPUTED_VALUE"""),181.3)</f>
        <v>181.3</v>
      </c>
      <c r="V452" s="11">
        <f>IFERROR(__xludf.DUMMYFUNCTION("""COMPUTED_VALUE"""),43704.66666666667)</f>
        <v>43704.66667</v>
      </c>
      <c r="W452" s="9">
        <f>IFERROR(__xludf.DUMMYFUNCTION("""COMPUTED_VALUE"""),294.54)</f>
        <v>294.54</v>
      </c>
      <c r="X452" s="11">
        <f>IFERROR(__xludf.DUMMYFUNCTION("""COMPUTED_VALUE"""),43704.66666666667)</f>
        <v>43704.66667</v>
      </c>
      <c r="Y452" s="9">
        <f>IFERROR(__xludf.DUMMYFUNCTION("""COMPUTED_VALUE"""),291.03)</f>
        <v>291.03</v>
      </c>
      <c r="AA452" s="11">
        <f>IFERROR(__xludf.DUMMYFUNCTION("""COMPUTED_VALUE"""),43704.66666666667)</f>
        <v>43704.66667</v>
      </c>
      <c r="AB452" s="9">
        <f>IFERROR(__xludf.DUMMYFUNCTION("""COMPUTED_VALUE"""),1775.73)</f>
        <v>1775.73</v>
      </c>
      <c r="AC452" s="11">
        <f>IFERROR(__xludf.DUMMYFUNCTION("""COMPUTED_VALUE"""),43704.66666666667)</f>
        <v>43704.66667</v>
      </c>
      <c r="AD452" s="9">
        <f>IFERROR(__xludf.DUMMYFUNCTION("""COMPUTED_VALUE"""),1761.83)</f>
        <v>1761.83</v>
      </c>
    </row>
    <row r="453">
      <c r="B453" s="11">
        <f>IFERROR(__xludf.DUMMYFUNCTION("""COMPUTED_VALUE"""),43705.66666666667)</f>
        <v>43705.66667</v>
      </c>
      <c r="C453" s="9">
        <f>IFERROR(__xludf.DUMMYFUNCTION("""COMPUTED_VALUE"""),42.74)</f>
        <v>42.74</v>
      </c>
      <c r="D453" s="11">
        <f>IFERROR(__xludf.DUMMYFUNCTION("""COMPUTED_VALUE"""),43705.66666666667)</f>
        <v>43705.66667</v>
      </c>
      <c r="E453" s="9">
        <f>IFERROR(__xludf.DUMMYFUNCTION("""COMPUTED_VALUE"""),43.12)</f>
        <v>43.12</v>
      </c>
      <c r="G453" s="11">
        <f>IFERROR(__xludf.DUMMYFUNCTION("""COMPUTED_VALUE"""),43705.66666666667)</f>
        <v>43705.66667</v>
      </c>
      <c r="H453" s="9">
        <f>IFERROR(__xludf.DUMMYFUNCTION("""COMPUTED_VALUE"""),1161.71)</f>
        <v>1161.71</v>
      </c>
      <c r="I453" s="11">
        <f>IFERROR(__xludf.DUMMYFUNCTION("""COMPUTED_VALUE"""),43705.66666666667)</f>
        <v>43705.66667</v>
      </c>
      <c r="J453" s="9">
        <f>IFERROR(__xludf.DUMMYFUNCTION("""COMPUTED_VALUE"""),1171.02)</f>
        <v>1171.02</v>
      </c>
      <c r="L453" s="11">
        <f>IFERROR(__xludf.DUMMYFUNCTION("""COMPUTED_VALUE"""),43705.66666666667)</f>
        <v>43705.66667</v>
      </c>
      <c r="M453" s="9">
        <f>IFERROR(__xludf.DUMMYFUNCTION("""COMPUTED_VALUE"""),51.03)</f>
        <v>51.03</v>
      </c>
      <c r="N453" s="11">
        <f>IFERROR(__xludf.DUMMYFUNCTION("""COMPUTED_VALUE"""),43705.66666666667)</f>
        <v>43705.66667</v>
      </c>
      <c r="O453" s="9">
        <f>IFERROR(__xludf.DUMMYFUNCTION("""COMPUTED_VALUE"""),51.38)</f>
        <v>51.38</v>
      </c>
      <c r="Q453" s="11">
        <f>IFERROR(__xludf.DUMMYFUNCTION("""COMPUTED_VALUE"""),43705.66666666667)</f>
        <v>43705.66667</v>
      </c>
      <c r="R453" s="9">
        <f>IFERROR(__xludf.DUMMYFUNCTION("""COMPUTED_VALUE"""),180.53)</f>
        <v>180.53</v>
      </c>
      <c r="S453" s="11">
        <f>IFERROR(__xludf.DUMMYFUNCTION("""COMPUTED_VALUE"""),43705.66666666667)</f>
        <v>43705.66667</v>
      </c>
      <c r="T453" s="9">
        <f>IFERROR(__xludf.DUMMYFUNCTION("""COMPUTED_VALUE"""),181.76)</f>
        <v>181.76</v>
      </c>
      <c r="V453" s="11">
        <f>IFERROR(__xludf.DUMMYFUNCTION("""COMPUTED_VALUE"""),43705.66666666667)</f>
        <v>43705.66667</v>
      </c>
      <c r="W453" s="9">
        <f>IFERROR(__xludf.DUMMYFUNCTION("""COMPUTED_VALUE"""),289.47)</f>
        <v>289.47</v>
      </c>
      <c r="X453" s="11">
        <f>IFERROR(__xludf.DUMMYFUNCTION("""COMPUTED_VALUE"""),43705.66666666667)</f>
        <v>43705.66667</v>
      </c>
      <c r="Y453" s="9">
        <f>IFERROR(__xludf.DUMMYFUNCTION("""COMPUTED_VALUE"""),291.77)</f>
        <v>291.77</v>
      </c>
      <c r="AA453" s="11">
        <f>IFERROR(__xludf.DUMMYFUNCTION("""COMPUTED_VALUE"""),43705.66666666667)</f>
        <v>43705.66667</v>
      </c>
      <c r="AB453" s="9">
        <f>IFERROR(__xludf.DUMMYFUNCTION("""COMPUTED_VALUE"""),1755.0)</f>
        <v>1755</v>
      </c>
      <c r="AC453" s="11">
        <f>IFERROR(__xludf.DUMMYFUNCTION("""COMPUTED_VALUE"""),43705.66666666667)</f>
        <v>43705.66667</v>
      </c>
      <c r="AD453" s="9">
        <f>IFERROR(__xludf.DUMMYFUNCTION("""COMPUTED_VALUE"""),1764.25)</f>
        <v>1764.25</v>
      </c>
    </row>
    <row r="454">
      <c r="B454" s="11">
        <f>IFERROR(__xludf.DUMMYFUNCTION("""COMPUTED_VALUE"""),43706.66666666667)</f>
        <v>43706.66667</v>
      </c>
      <c r="C454" s="9">
        <f>IFERROR(__xludf.DUMMYFUNCTION("""COMPUTED_VALUE"""),43.8)</f>
        <v>43.8</v>
      </c>
      <c r="D454" s="11">
        <f>IFERROR(__xludf.DUMMYFUNCTION("""COMPUTED_VALUE"""),43706.66666666667)</f>
        <v>43706.66667</v>
      </c>
      <c r="E454" s="9">
        <f>IFERROR(__xludf.DUMMYFUNCTION("""COMPUTED_VALUE"""),44.34)</f>
        <v>44.34</v>
      </c>
      <c r="G454" s="11">
        <f>IFERROR(__xludf.DUMMYFUNCTION("""COMPUTED_VALUE"""),43706.66666666667)</f>
        <v>43706.66667</v>
      </c>
      <c r="H454" s="9">
        <f>IFERROR(__xludf.DUMMYFUNCTION("""COMPUTED_VALUE"""),1181.12)</f>
        <v>1181.12</v>
      </c>
      <c r="I454" s="11">
        <f>IFERROR(__xludf.DUMMYFUNCTION("""COMPUTED_VALUE"""),43706.66666666667)</f>
        <v>43706.66667</v>
      </c>
      <c r="J454" s="9">
        <f>IFERROR(__xludf.DUMMYFUNCTION("""COMPUTED_VALUE"""),1192.85)</f>
        <v>1192.85</v>
      </c>
      <c r="L454" s="11">
        <f>IFERROR(__xludf.DUMMYFUNCTION("""COMPUTED_VALUE"""),43706.66666666667)</f>
        <v>43706.66667</v>
      </c>
      <c r="M454" s="9">
        <f>IFERROR(__xludf.DUMMYFUNCTION("""COMPUTED_VALUE"""),52.13)</f>
        <v>52.13</v>
      </c>
      <c r="N454" s="11">
        <f>IFERROR(__xludf.DUMMYFUNCTION("""COMPUTED_VALUE"""),43706.66666666667)</f>
        <v>43706.66667</v>
      </c>
      <c r="O454" s="9">
        <f>IFERROR(__xludf.DUMMYFUNCTION("""COMPUTED_VALUE"""),52.25)</f>
        <v>52.25</v>
      </c>
      <c r="Q454" s="11">
        <f>IFERROR(__xludf.DUMMYFUNCTION("""COMPUTED_VALUE"""),43706.66666666667)</f>
        <v>43706.66667</v>
      </c>
      <c r="R454" s="9">
        <f>IFERROR(__xludf.DUMMYFUNCTION("""COMPUTED_VALUE"""),183.77)</f>
        <v>183.77</v>
      </c>
      <c r="S454" s="11">
        <f>IFERROR(__xludf.DUMMYFUNCTION("""COMPUTED_VALUE"""),43706.66666666667)</f>
        <v>43706.66667</v>
      </c>
      <c r="T454" s="9">
        <f>IFERROR(__xludf.DUMMYFUNCTION("""COMPUTED_VALUE"""),185.57)</f>
        <v>185.57</v>
      </c>
      <c r="V454" s="11">
        <f>IFERROR(__xludf.DUMMYFUNCTION("""COMPUTED_VALUE"""),43706.66666666667)</f>
        <v>43706.66667</v>
      </c>
      <c r="W454" s="9">
        <f>IFERROR(__xludf.DUMMYFUNCTION("""COMPUTED_VALUE"""),295.0)</f>
        <v>295</v>
      </c>
      <c r="X454" s="11">
        <f>IFERROR(__xludf.DUMMYFUNCTION("""COMPUTED_VALUE"""),43706.66666666667)</f>
        <v>43706.66667</v>
      </c>
      <c r="Y454" s="9">
        <f>IFERROR(__xludf.DUMMYFUNCTION("""COMPUTED_VALUE"""),296.78)</f>
        <v>296.78</v>
      </c>
      <c r="AA454" s="11">
        <f>IFERROR(__xludf.DUMMYFUNCTION("""COMPUTED_VALUE"""),43706.66666666667)</f>
        <v>43706.66667</v>
      </c>
      <c r="AB454" s="9">
        <f>IFERROR(__xludf.DUMMYFUNCTION("""COMPUTED_VALUE"""),1783.0)</f>
        <v>1783</v>
      </c>
      <c r="AC454" s="11">
        <f>IFERROR(__xludf.DUMMYFUNCTION("""COMPUTED_VALUE"""),43706.66666666667)</f>
        <v>43706.66667</v>
      </c>
      <c r="AD454" s="9">
        <f>IFERROR(__xludf.DUMMYFUNCTION("""COMPUTED_VALUE"""),1786.4)</f>
        <v>1786.4</v>
      </c>
    </row>
    <row r="455">
      <c r="B455" s="11">
        <f>IFERROR(__xludf.DUMMYFUNCTION("""COMPUTED_VALUE"""),43707.66666666667)</f>
        <v>43707.66667</v>
      </c>
      <c r="C455" s="9">
        <f>IFERROR(__xludf.DUMMYFUNCTION("""COMPUTED_VALUE"""),45.83)</f>
        <v>45.83</v>
      </c>
      <c r="D455" s="11">
        <f>IFERROR(__xludf.DUMMYFUNCTION("""COMPUTED_VALUE"""),43707.66666666667)</f>
        <v>43707.66667</v>
      </c>
      <c r="E455" s="9">
        <f>IFERROR(__xludf.DUMMYFUNCTION("""COMPUTED_VALUE"""),45.12)</f>
        <v>45.12</v>
      </c>
      <c r="G455" s="11">
        <f>IFERROR(__xludf.DUMMYFUNCTION("""COMPUTED_VALUE"""),43707.66666666667)</f>
        <v>43707.66667</v>
      </c>
      <c r="H455" s="9">
        <f>IFERROR(__xludf.DUMMYFUNCTION("""COMPUTED_VALUE"""),1198.5)</f>
        <v>1198.5</v>
      </c>
      <c r="I455" s="11">
        <f>IFERROR(__xludf.DUMMYFUNCTION("""COMPUTED_VALUE"""),43707.66666666667)</f>
        <v>43707.66667</v>
      </c>
      <c r="J455" s="9">
        <f>IFERROR(__xludf.DUMMYFUNCTION("""COMPUTED_VALUE"""),1188.1)</f>
        <v>1188.1</v>
      </c>
      <c r="L455" s="11">
        <f>IFERROR(__xludf.DUMMYFUNCTION("""COMPUTED_VALUE"""),43707.66666666667)</f>
        <v>43707.66667</v>
      </c>
      <c r="M455" s="9">
        <f>IFERROR(__xludf.DUMMYFUNCTION("""COMPUTED_VALUE"""),52.54)</f>
        <v>52.54</v>
      </c>
      <c r="N455" s="11">
        <f>IFERROR(__xludf.DUMMYFUNCTION("""COMPUTED_VALUE"""),43707.66666666667)</f>
        <v>43707.66667</v>
      </c>
      <c r="O455" s="9">
        <f>IFERROR(__xludf.DUMMYFUNCTION("""COMPUTED_VALUE"""),52.19)</f>
        <v>52.19</v>
      </c>
      <c r="Q455" s="11">
        <f>IFERROR(__xludf.DUMMYFUNCTION("""COMPUTED_VALUE"""),43707.66666666667)</f>
        <v>43707.66667</v>
      </c>
      <c r="R455" s="9">
        <f>IFERROR(__xludf.DUMMYFUNCTION("""COMPUTED_VALUE"""),186.78)</f>
        <v>186.78</v>
      </c>
      <c r="S455" s="11">
        <f>IFERROR(__xludf.DUMMYFUNCTION("""COMPUTED_VALUE"""),43707.66666666667)</f>
        <v>43707.66667</v>
      </c>
      <c r="T455" s="9">
        <f>IFERROR(__xludf.DUMMYFUNCTION("""COMPUTED_VALUE"""),185.67)</f>
        <v>185.67</v>
      </c>
      <c r="V455" s="11">
        <f>IFERROR(__xludf.DUMMYFUNCTION("""COMPUTED_VALUE"""),43707.66666666667)</f>
        <v>43707.66667</v>
      </c>
      <c r="W455" s="9">
        <f>IFERROR(__xludf.DUMMYFUNCTION("""COMPUTED_VALUE"""),298.78)</f>
        <v>298.78</v>
      </c>
      <c r="X455" s="11">
        <f>IFERROR(__xludf.DUMMYFUNCTION("""COMPUTED_VALUE"""),43707.66666666667)</f>
        <v>43707.66667</v>
      </c>
      <c r="Y455" s="9">
        <f>IFERROR(__xludf.DUMMYFUNCTION("""COMPUTED_VALUE"""),293.75)</f>
        <v>293.75</v>
      </c>
      <c r="AA455" s="11">
        <f>IFERROR(__xludf.DUMMYFUNCTION("""COMPUTED_VALUE"""),43707.66666666667)</f>
        <v>43707.66667</v>
      </c>
      <c r="AB455" s="9">
        <f>IFERROR(__xludf.DUMMYFUNCTION("""COMPUTED_VALUE"""),1797.49)</f>
        <v>1797.49</v>
      </c>
      <c r="AC455" s="11">
        <f>IFERROR(__xludf.DUMMYFUNCTION("""COMPUTED_VALUE"""),43707.66666666667)</f>
        <v>43707.66667</v>
      </c>
      <c r="AD455" s="9">
        <f>IFERROR(__xludf.DUMMYFUNCTION("""COMPUTED_VALUE"""),1776.29)</f>
        <v>1776.29</v>
      </c>
    </row>
    <row r="456">
      <c r="B456" s="11">
        <f>IFERROR(__xludf.DUMMYFUNCTION("""COMPUTED_VALUE"""),43711.66666666667)</f>
        <v>43711.66667</v>
      </c>
      <c r="C456" s="9">
        <f>IFERROR(__xludf.DUMMYFUNCTION("""COMPUTED_VALUE"""),44.82)</f>
        <v>44.82</v>
      </c>
      <c r="D456" s="11">
        <f>IFERROR(__xludf.DUMMYFUNCTION("""COMPUTED_VALUE"""),43711.66666666667)</f>
        <v>43711.66667</v>
      </c>
      <c r="E456" s="9">
        <f>IFERROR(__xludf.DUMMYFUNCTION("""COMPUTED_VALUE"""),45.0)</f>
        <v>45</v>
      </c>
      <c r="G456" s="11">
        <f>IFERROR(__xludf.DUMMYFUNCTION("""COMPUTED_VALUE"""),43711.66666666667)</f>
        <v>43711.66667</v>
      </c>
      <c r="H456" s="9">
        <f>IFERROR(__xludf.DUMMYFUNCTION("""COMPUTED_VALUE"""),1177.03)</f>
        <v>1177.03</v>
      </c>
      <c r="I456" s="11">
        <f>IFERROR(__xludf.DUMMYFUNCTION("""COMPUTED_VALUE"""),43711.66666666667)</f>
        <v>43711.66667</v>
      </c>
      <c r="J456" s="9">
        <f>IFERROR(__xludf.DUMMYFUNCTION("""COMPUTED_VALUE"""),1168.39)</f>
        <v>1168.39</v>
      </c>
      <c r="L456" s="11">
        <f>IFERROR(__xludf.DUMMYFUNCTION("""COMPUTED_VALUE"""),43711.66666666667)</f>
        <v>43711.66667</v>
      </c>
      <c r="M456" s="9">
        <f>IFERROR(__xludf.DUMMYFUNCTION("""COMPUTED_VALUE"""),51.61)</f>
        <v>51.61</v>
      </c>
      <c r="N456" s="11">
        <f>IFERROR(__xludf.DUMMYFUNCTION("""COMPUTED_VALUE"""),43711.66666666667)</f>
        <v>43711.66667</v>
      </c>
      <c r="O456" s="9">
        <f>IFERROR(__xludf.DUMMYFUNCTION("""COMPUTED_VALUE"""),51.43)</f>
        <v>51.43</v>
      </c>
      <c r="Q456" s="11">
        <f>IFERROR(__xludf.DUMMYFUNCTION("""COMPUTED_VALUE"""),43711.66666666667)</f>
        <v>43711.66667</v>
      </c>
      <c r="R456" s="9">
        <f>IFERROR(__xludf.DUMMYFUNCTION("""COMPUTED_VALUE"""),184.0)</f>
        <v>184</v>
      </c>
      <c r="S456" s="11">
        <f>IFERROR(__xludf.DUMMYFUNCTION("""COMPUTED_VALUE"""),43711.66666666667)</f>
        <v>43711.66667</v>
      </c>
      <c r="T456" s="9">
        <f>IFERROR(__xludf.DUMMYFUNCTION("""COMPUTED_VALUE"""),182.39)</f>
        <v>182.39</v>
      </c>
      <c r="V456" s="11">
        <f>IFERROR(__xludf.DUMMYFUNCTION("""COMPUTED_VALUE"""),43711.66666666667)</f>
        <v>43711.66667</v>
      </c>
      <c r="W456" s="9">
        <f>IFERROR(__xludf.DUMMYFUNCTION("""COMPUTED_VALUE"""),290.82)</f>
        <v>290.82</v>
      </c>
      <c r="X456" s="11">
        <f>IFERROR(__xludf.DUMMYFUNCTION("""COMPUTED_VALUE"""),43711.66666666667)</f>
        <v>43711.66667</v>
      </c>
      <c r="Y456" s="9">
        <f>IFERROR(__xludf.DUMMYFUNCTION("""COMPUTED_VALUE"""),289.29)</f>
        <v>289.29</v>
      </c>
      <c r="AA456" s="11">
        <f>IFERROR(__xludf.DUMMYFUNCTION("""COMPUTED_VALUE"""),43711.66666666667)</f>
        <v>43711.66667</v>
      </c>
      <c r="AB456" s="9">
        <f>IFERROR(__xludf.DUMMYFUNCTION("""COMPUTED_VALUE"""),1770.0)</f>
        <v>1770</v>
      </c>
      <c r="AC456" s="11">
        <f>IFERROR(__xludf.DUMMYFUNCTION("""COMPUTED_VALUE"""),43711.66666666667)</f>
        <v>43711.66667</v>
      </c>
      <c r="AD456" s="9">
        <f>IFERROR(__xludf.DUMMYFUNCTION("""COMPUTED_VALUE"""),1789.84)</f>
        <v>1789.84</v>
      </c>
    </row>
    <row r="457">
      <c r="B457" s="11">
        <f>IFERROR(__xludf.DUMMYFUNCTION("""COMPUTED_VALUE"""),43712.66666666667)</f>
        <v>43712.66667</v>
      </c>
      <c r="C457" s="9">
        <f>IFERROR(__xludf.DUMMYFUNCTION("""COMPUTED_VALUE"""),45.38)</f>
        <v>45.38</v>
      </c>
      <c r="D457" s="11">
        <f>IFERROR(__xludf.DUMMYFUNCTION("""COMPUTED_VALUE"""),43712.66666666667)</f>
        <v>43712.66667</v>
      </c>
      <c r="E457" s="9">
        <f>IFERROR(__xludf.DUMMYFUNCTION("""COMPUTED_VALUE"""),44.14)</f>
        <v>44.14</v>
      </c>
      <c r="G457" s="11">
        <f>IFERROR(__xludf.DUMMYFUNCTION("""COMPUTED_VALUE"""),43712.66666666667)</f>
        <v>43712.66667</v>
      </c>
      <c r="H457" s="9">
        <f>IFERROR(__xludf.DUMMYFUNCTION("""COMPUTED_VALUE"""),1176.71)</f>
        <v>1176.71</v>
      </c>
      <c r="I457" s="11">
        <f>IFERROR(__xludf.DUMMYFUNCTION("""COMPUTED_VALUE"""),43712.66666666667)</f>
        <v>43712.66667</v>
      </c>
      <c r="J457" s="9">
        <f>IFERROR(__xludf.DUMMYFUNCTION("""COMPUTED_VALUE"""),1181.41)</f>
        <v>1181.41</v>
      </c>
      <c r="L457" s="11">
        <f>IFERROR(__xludf.DUMMYFUNCTION("""COMPUTED_VALUE"""),43712.66666666667)</f>
        <v>43712.66667</v>
      </c>
      <c r="M457" s="9">
        <f>IFERROR(__xludf.DUMMYFUNCTION("""COMPUTED_VALUE"""),52.1)</f>
        <v>52.1</v>
      </c>
      <c r="N457" s="11">
        <f>IFERROR(__xludf.DUMMYFUNCTION("""COMPUTED_VALUE"""),43712.66666666667)</f>
        <v>43712.66667</v>
      </c>
      <c r="O457" s="9">
        <f>IFERROR(__xludf.DUMMYFUNCTION("""COMPUTED_VALUE"""),52.3)</f>
        <v>52.3</v>
      </c>
      <c r="Q457" s="11">
        <f>IFERROR(__xludf.DUMMYFUNCTION("""COMPUTED_VALUE"""),43712.66666666667)</f>
        <v>43712.66667</v>
      </c>
      <c r="R457" s="9">
        <f>IFERROR(__xludf.DUMMYFUNCTION("""COMPUTED_VALUE"""),184.65)</f>
        <v>184.65</v>
      </c>
      <c r="S457" s="11">
        <f>IFERROR(__xludf.DUMMYFUNCTION("""COMPUTED_VALUE"""),43712.66666666667)</f>
        <v>43712.66667</v>
      </c>
      <c r="T457" s="9">
        <f>IFERROR(__xludf.DUMMYFUNCTION("""COMPUTED_VALUE"""),187.14)</f>
        <v>187.14</v>
      </c>
      <c r="V457" s="11">
        <f>IFERROR(__xludf.DUMMYFUNCTION("""COMPUTED_VALUE"""),43712.66666666667)</f>
        <v>43712.66667</v>
      </c>
      <c r="W457" s="9">
        <f>IFERROR(__xludf.DUMMYFUNCTION("""COMPUTED_VALUE"""),291.25)</f>
        <v>291.25</v>
      </c>
      <c r="X457" s="11">
        <f>IFERROR(__xludf.DUMMYFUNCTION("""COMPUTED_VALUE"""),43712.66666666667)</f>
        <v>43712.66667</v>
      </c>
      <c r="Y457" s="9">
        <f>IFERROR(__xludf.DUMMYFUNCTION("""COMPUTED_VALUE"""),291.52)</f>
        <v>291.52</v>
      </c>
      <c r="AA457" s="11">
        <f>IFERROR(__xludf.DUMMYFUNCTION("""COMPUTED_VALUE"""),43712.66666666667)</f>
        <v>43712.66667</v>
      </c>
      <c r="AB457" s="9">
        <f>IFERROR(__xludf.DUMMYFUNCTION("""COMPUTED_VALUE"""),1805.0)</f>
        <v>1805</v>
      </c>
      <c r="AC457" s="11">
        <f>IFERROR(__xludf.DUMMYFUNCTION("""COMPUTED_VALUE"""),43712.66666666667)</f>
        <v>43712.66667</v>
      </c>
      <c r="AD457" s="9">
        <f>IFERROR(__xludf.DUMMYFUNCTION("""COMPUTED_VALUE"""),1800.62)</f>
        <v>1800.62</v>
      </c>
    </row>
    <row r="458">
      <c r="B458" s="11">
        <f>IFERROR(__xludf.DUMMYFUNCTION("""COMPUTED_VALUE"""),43713.66666666667)</f>
        <v>43713.66667</v>
      </c>
      <c r="C458" s="9">
        <f>IFERROR(__xludf.DUMMYFUNCTION("""COMPUTED_VALUE"""),44.5)</f>
        <v>44.5</v>
      </c>
      <c r="D458" s="11">
        <f>IFERROR(__xludf.DUMMYFUNCTION("""COMPUTED_VALUE"""),43713.66666666667)</f>
        <v>43713.66667</v>
      </c>
      <c r="E458" s="9">
        <f>IFERROR(__xludf.DUMMYFUNCTION("""COMPUTED_VALUE"""),45.92)</f>
        <v>45.92</v>
      </c>
      <c r="G458" s="11">
        <f>IFERROR(__xludf.DUMMYFUNCTION("""COMPUTED_VALUE"""),43713.66666666667)</f>
        <v>43713.66667</v>
      </c>
      <c r="H458" s="9">
        <f>IFERROR(__xludf.DUMMYFUNCTION("""COMPUTED_VALUE"""),1191.53)</f>
        <v>1191.53</v>
      </c>
      <c r="I458" s="11">
        <f>IFERROR(__xludf.DUMMYFUNCTION("""COMPUTED_VALUE"""),43713.66666666667)</f>
        <v>43713.66667</v>
      </c>
      <c r="J458" s="9">
        <f>IFERROR(__xludf.DUMMYFUNCTION("""COMPUTED_VALUE"""),1211.38)</f>
        <v>1211.38</v>
      </c>
      <c r="L458" s="11">
        <f>IFERROR(__xludf.DUMMYFUNCTION("""COMPUTED_VALUE"""),43713.66666666667)</f>
        <v>43713.66667</v>
      </c>
      <c r="M458" s="9">
        <f>IFERROR(__xludf.DUMMYFUNCTION("""COMPUTED_VALUE"""),53.0)</f>
        <v>53</v>
      </c>
      <c r="N458" s="11">
        <f>IFERROR(__xludf.DUMMYFUNCTION("""COMPUTED_VALUE"""),43713.66666666667)</f>
        <v>43713.66667</v>
      </c>
      <c r="O458" s="9">
        <f>IFERROR(__xludf.DUMMYFUNCTION("""COMPUTED_VALUE"""),53.32)</f>
        <v>53.32</v>
      </c>
      <c r="Q458" s="11">
        <f>IFERROR(__xludf.DUMMYFUNCTION("""COMPUTED_VALUE"""),43713.66666666667)</f>
        <v>43713.66667</v>
      </c>
      <c r="R458" s="9">
        <f>IFERROR(__xludf.DUMMYFUNCTION("""COMPUTED_VALUE"""),188.53)</f>
        <v>188.53</v>
      </c>
      <c r="S458" s="11">
        <f>IFERROR(__xludf.DUMMYFUNCTION("""COMPUTED_VALUE"""),43713.66666666667)</f>
        <v>43713.66667</v>
      </c>
      <c r="T458" s="9">
        <f>IFERROR(__xludf.DUMMYFUNCTION("""COMPUTED_VALUE"""),190.9)</f>
        <v>190.9</v>
      </c>
      <c r="V458" s="11">
        <f>IFERROR(__xludf.DUMMYFUNCTION("""COMPUTED_VALUE"""),43713.66666666667)</f>
        <v>43713.66667</v>
      </c>
      <c r="W458" s="9">
        <f>IFERROR(__xludf.DUMMYFUNCTION("""COMPUTED_VALUE"""),285.32)</f>
        <v>285.32</v>
      </c>
      <c r="X458" s="11">
        <f>IFERROR(__xludf.DUMMYFUNCTION("""COMPUTED_VALUE"""),43713.66666666667)</f>
        <v>43713.66667</v>
      </c>
      <c r="Y458" s="9">
        <f>IFERROR(__xludf.DUMMYFUNCTION("""COMPUTED_VALUE"""),293.25)</f>
        <v>293.25</v>
      </c>
      <c r="AA458" s="11">
        <f>IFERROR(__xludf.DUMMYFUNCTION("""COMPUTED_VALUE"""),43713.66666666667)</f>
        <v>43713.66667</v>
      </c>
      <c r="AB458" s="9">
        <f>IFERROR(__xludf.DUMMYFUNCTION("""COMPUTED_VALUE"""),1821.95)</f>
        <v>1821.95</v>
      </c>
      <c r="AC458" s="11">
        <f>IFERROR(__xludf.DUMMYFUNCTION("""COMPUTED_VALUE"""),43713.66666666667)</f>
        <v>43713.66667</v>
      </c>
      <c r="AD458" s="9">
        <f>IFERROR(__xludf.DUMMYFUNCTION("""COMPUTED_VALUE"""),1840.72)</f>
        <v>1840.72</v>
      </c>
    </row>
    <row r="459">
      <c r="B459" s="11">
        <f>IFERROR(__xludf.DUMMYFUNCTION("""COMPUTED_VALUE"""),43714.66666666667)</f>
        <v>43714.66667</v>
      </c>
      <c r="C459" s="9">
        <f>IFERROR(__xludf.DUMMYFUNCTION("""COMPUTED_VALUE"""),45.44)</f>
        <v>45.44</v>
      </c>
      <c r="D459" s="11">
        <f>IFERROR(__xludf.DUMMYFUNCTION("""COMPUTED_VALUE"""),43714.66666666667)</f>
        <v>43714.66667</v>
      </c>
      <c r="E459" s="9">
        <f>IFERROR(__xludf.DUMMYFUNCTION("""COMPUTED_VALUE"""),45.49)</f>
        <v>45.49</v>
      </c>
      <c r="G459" s="11">
        <f>IFERROR(__xludf.DUMMYFUNCTION("""COMPUTED_VALUE"""),43714.66666666667)</f>
        <v>43714.66667</v>
      </c>
      <c r="H459" s="9">
        <f>IFERROR(__xludf.DUMMYFUNCTION("""COMPUTED_VALUE"""),1208.13)</f>
        <v>1208.13</v>
      </c>
      <c r="I459" s="11">
        <f>IFERROR(__xludf.DUMMYFUNCTION("""COMPUTED_VALUE"""),43714.66666666667)</f>
        <v>43714.66667</v>
      </c>
      <c r="J459" s="9">
        <f>IFERROR(__xludf.DUMMYFUNCTION("""COMPUTED_VALUE"""),1204.93)</f>
        <v>1204.93</v>
      </c>
      <c r="L459" s="11">
        <f>IFERROR(__xludf.DUMMYFUNCTION("""COMPUTED_VALUE"""),43714.66666666667)</f>
        <v>43714.66667</v>
      </c>
      <c r="M459" s="9">
        <f>IFERROR(__xludf.DUMMYFUNCTION("""COMPUTED_VALUE"""),53.51)</f>
        <v>53.51</v>
      </c>
      <c r="N459" s="11">
        <f>IFERROR(__xludf.DUMMYFUNCTION("""COMPUTED_VALUE"""),43714.66666666667)</f>
        <v>43714.66667</v>
      </c>
      <c r="O459" s="9">
        <f>IFERROR(__xludf.DUMMYFUNCTION("""COMPUTED_VALUE"""),53.32)</f>
        <v>53.32</v>
      </c>
      <c r="Q459" s="11">
        <f>IFERROR(__xludf.DUMMYFUNCTION("""COMPUTED_VALUE"""),43714.66666666667)</f>
        <v>43714.66667</v>
      </c>
      <c r="R459" s="9">
        <f>IFERROR(__xludf.DUMMYFUNCTION("""COMPUTED_VALUE"""),190.21)</f>
        <v>190.21</v>
      </c>
      <c r="S459" s="11">
        <f>IFERROR(__xludf.DUMMYFUNCTION("""COMPUTED_VALUE"""),43714.66666666667)</f>
        <v>43714.66667</v>
      </c>
      <c r="T459" s="9">
        <f>IFERROR(__xludf.DUMMYFUNCTION("""COMPUTED_VALUE"""),187.49)</f>
        <v>187.49</v>
      </c>
      <c r="V459" s="11">
        <f>IFERROR(__xludf.DUMMYFUNCTION("""COMPUTED_VALUE"""),43714.66666666667)</f>
        <v>43714.66667</v>
      </c>
      <c r="W459" s="9">
        <f>IFERROR(__xludf.DUMMYFUNCTION("""COMPUTED_VALUE"""),293.35)</f>
        <v>293.35</v>
      </c>
      <c r="X459" s="11">
        <f>IFERROR(__xludf.DUMMYFUNCTION("""COMPUTED_VALUE"""),43714.66666666667)</f>
        <v>43714.66667</v>
      </c>
      <c r="Y459" s="9">
        <f>IFERROR(__xludf.DUMMYFUNCTION("""COMPUTED_VALUE"""),290.17)</f>
        <v>290.17</v>
      </c>
      <c r="AA459" s="11">
        <f>IFERROR(__xludf.DUMMYFUNCTION("""COMPUTED_VALUE"""),43714.66666666667)</f>
        <v>43714.66667</v>
      </c>
      <c r="AB459" s="9">
        <f>IFERROR(__xludf.DUMMYFUNCTION("""COMPUTED_VALUE"""),1838.22)</f>
        <v>1838.22</v>
      </c>
      <c r="AC459" s="11">
        <f>IFERROR(__xludf.DUMMYFUNCTION("""COMPUTED_VALUE"""),43714.66666666667)</f>
        <v>43714.66667</v>
      </c>
      <c r="AD459" s="9">
        <f>IFERROR(__xludf.DUMMYFUNCTION("""COMPUTED_VALUE"""),1833.51)</f>
        <v>1833.51</v>
      </c>
    </row>
    <row r="460">
      <c r="B460" s="11">
        <f>IFERROR(__xludf.DUMMYFUNCTION("""COMPUTED_VALUE"""),43717.66666666667)</f>
        <v>43717.66667</v>
      </c>
      <c r="C460" s="9">
        <f>IFERROR(__xludf.DUMMYFUNCTION("""COMPUTED_VALUE"""),46.0)</f>
        <v>46</v>
      </c>
      <c r="D460" s="11">
        <f>IFERROR(__xludf.DUMMYFUNCTION("""COMPUTED_VALUE"""),43717.66666666667)</f>
        <v>43717.66667</v>
      </c>
      <c r="E460" s="9">
        <f>IFERROR(__xludf.DUMMYFUNCTION("""COMPUTED_VALUE"""),46.36)</f>
        <v>46.36</v>
      </c>
      <c r="G460" s="11">
        <f>IFERROR(__xludf.DUMMYFUNCTION("""COMPUTED_VALUE"""),43717.66666666667)</f>
        <v>43717.66667</v>
      </c>
      <c r="H460" s="9">
        <f>IFERROR(__xludf.DUMMYFUNCTION("""COMPUTED_VALUE"""),1204.0)</f>
        <v>1204</v>
      </c>
      <c r="I460" s="11">
        <f>IFERROR(__xludf.DUMMYFUNCTION("""COMPUTED_VALUE"""),43717.66666666667)</f>
        <v>43717.66667</v>
      </c>
      <c r="J460" s="9">
        <f>IFERROR(__xludf.DUMMYFUNCTION("""COMPUTED_VALUE"""),1204.41)</f>
        <v>1204.41</v>
      </c>
      <c r="L460" s="11">
        <f>IFERROR(__xludf.DUMMYFUNCTION("""COMPUTED_VALUE"""),43717.66666666667)</f>
        <v>43717.66667</v>
      </c>
      <c r="M460" s="9">
        <f>IFERROR(__xludf.DUMMYFUNCTION("""COMPUTED_VALUE"""),53.71)</f>
        <v>53.71</v>
      </c>
      <c r="N460" s="11">
        <f>IFERROR(__xludf.DUMMYFUNCTION("""COMPUTED_VALUE"""),43717.66666666667)</f>
        <v>43717.66667</v>
      </c>
      <c r="O460" s="9">
        <f>IFERROR(__xludf.DUMMYFUNCTION("""COMPUTED_VALUE"""),53.54)</f>
        <v>53.54</v>
      </c>
      <c r="Q460" s="11">
        <f>IFERROR(__xludf.DUMMYFUNCTION("""COMPUTED_VALUE"""),43717.66666666667)</f>
        <v>43717.66667</v>
      </c>
      <c r="R460" s="9">
        <f>IFERROR(__xludf.DUMMYFUNCTION("""COMPUTED_VALUE"""),187.73)</f>
        <v>187.73</v>
      </c>
      <c r="S460" s="11">
        <f>IFERROR(__xludf.DUMMYFUNCTION("""COMPUTED_VALUE"""),43717.66666666667)</f>
        <v>43717.66667</v>
      </c>
      <c r="T460" s="9">
        <f>IFERROR(__xludf.DUMMYFUNCTION("""COMPUTED_VALUE"""),188.76)</f>
        <v>188.76</v>
      </c>
      <c r="V460" s="11">
        <f>IFERROR(__xludf.DUMMYFUNCTION("""COMPUTED_VALUE"""),43717.66666666667)</f>
        <v>43717.66667</v>
      </c>
      <c r="W460" s="9">
        <f>IFERROR(__xludf.DUMMYFUNCTION("""COMPUTED_VALUE"""),294.81)</f>
        <v>294.81</v>
      </c>
      <c r="X460" s="11">
        <f>IFERROR(__xludf.DUMMYFUNCTION("""COMPUTED_VALUE"""),43717.66666666667)</f>
        <v>43717.66667</v>
      </c>
      <c r="Y460" s="9">
        <f>IFERROR(__xludf.DUMMYFUNCTION("""COMPUTED_VALUE"""),294.34)</f>
        <v>294.34</v>
      </c>
      <c r="AA460" s="11">
        <f>IFERROR(__xludf.DUMMYFUNCTION("""COMPUTED_VALUE"""),43717.66666666667)</f>
        <v>43717.66667</v>
      </c>
      <c r="AB460" s="9">
        <f>IFERROR(__xludf.DUMMYFUNCTION("""COMPUTED_VALUE"""),1841.0)</f>
        <v>1841</v>
      </c>
      <c r="AC460" s="11">
        <f>IFERROR(__xludf.DUMMYFUNCTION("""COMPUTED_VALUE"""),43717.66666666667)</f>
        <v>43717.66667</v>
      </c>
      <c r="AD460" s="9">
        <f>IFERROR(__xludf.DUMMYFUNCTION("""COMPUTED_VALUE"""),1831.35)</f>
        <v>1831.35</v>
      </c>
    </row>
    <row r="461">
      <c r="B461" s="11">
        <f>IFERROR(__xludf.DUMMYFUNCTION("""COMPUTED_VALUE"""),43718.66666666667)</f>
        <v>43718.66667</v>
      </c>
      <c r="C461" s="9">
        <f>IFERROR(__xludf.DUMMYFUNCTION("""COMPUTED_VALUE"""),46.16)</f>
        <v>46.16</v>
      </c>
      <c r="D461" s="11">
        <f>IFERROR(__xludf.DUMMYFUNCTION("""COMPUTED_VALUE"""),43718.66666666667)</f>
        <v>43718.66667</v>
      </c>
      <c r="E461" s="9">
        <f>IFERROR(__xludf.DUMMYFUNCTION("""COMPUTED_VALUE"""),47.11)</f>
        <v>47.11</v>
      </c>
      <c r="G461" s="11">
        <f>IFERROR(__xludf.DUMMYFUNCTION("""COMPUTED_VALUE"""),43718.66666666667)</f>
        <v>43718.66667</v>
      </c>
      <c r="H461" s="9">
        <f>IFERROR(__xludf.DUMMYFUNCTION("""COMPUTED_VALUE"""),1195.15)</f>
        <v>1195.15</v>
      </c>
      <c r="I461" s="11">
        <f>IFERROR(__xludf.DUMMYFUNCTION("""COMPUTED_VALUE"""),43718.66666666667)</f>
        <v>43718.66667</v>
      </c>
      <c r="J461" s="9">
        <f>IFERROR(__xludf.DUMMYFUNCTION("""COMPUTED_VALUE"""),1206.0)</f>
        <v>1206</v>
      </c>
      <c r="L461" s="11">
        <f>IFERROR(__xludf.DUMMYFUNCTION("""COMPUTED_VALUE"""),43718.66666666667)</f>
        <v>43718.66667</v>
      </c>
      <c r="M461" s="9">
        <f>IFERROR(__xludf.DUMMYFUNCTION("""COMPUTED_VALUE"""),53.47)</f>
        <v>53.47</v>
      </c>
      <c r="N461" s="11">
        <f>IFERROR(__xludf.DUMMYFUNCTION("""COMPUTED_VALUE"""),43718.66666666667)</f>
        <v>43718.66667</v>
      </c>
      <c r="O461" s="9">
        <f>IFERROR(__xludf.DUMMYFUNCTION("""COMPUTED_VALUE"""),54.18)</f>
        <v>54.18</v>
      </c>
      <c r="Q461" s="11">
        <f>IFERROR(__xludf.DUMMYFUNCTION("""COMPUTED_VALUE"""),43718.66666666667)</f>
        <v>43718.66667</v>
      </c>
      <c r="R461" s="9">
        <f>IFERROR(__xludf.DUMMYFUNCTION("""COMPUTED_VALUE"""),187.44)</f>
        <v>187.44</v>
      </c>
      <c r="S461" s="11">
        <f>IFERROR(__xludf.DUMMYFUNCTION("""COMPUTED_VALUE"""),43718.66666666667)</f>
        <v>43718.66667</v>
      </c>
      <c r="T461" s="9">
        <f>IFERROR(__xludf.DUMMYFUNCTION("""COMPUTED_VALUE"""),186.17)</f>
        <v>186.17</v>
      </c>
      <c r="V461" s="11">
        <f>IFERROR(__xludf.DUMMYFUNCTION("""COMPUTED_VALUE"""),43718.66666666667)</f>
        <v>43718.66667</v>
      </c>
      <c r="W461" s="9">
        <f>IFERROR(__xludf.DUMMYFUNCTION("""COMPUTED_VALUE"""),291.16)</f>
        <v>291.16</v>
      </c>
      <c r="X461" s="11">
        <f>IFERROR(__xludf.DUMMYFUNCTION("""COMPUTED_VALUE"""),43718.66666666667)</f>
        <v>43718.66667</v>
      </c>
      <c r="Y461" s="9">
        <f>IFERROR(__xludf.DUMMYFUNCTION("""COMPUTED_VALUE"""),287.99)</f>
        <v>287.99</v>
      </c>
      <c r="AA461" s="11">
        <f>IFERROR(__xludf.DUMMYFUNCTION("""COMPUTED_VALUE"""),43718.66666666667)</f>
        <v>43718.66667</v>
      </c>
      <c r="AB461" s="9">
        <f>IFERROR(__xludf.DUMMYFUNCTION("""COMPUTED_VALUE"""),1822.75)</f>
        <v>1822.75</v>
      </c>
      <c r="AC461" s="11">
        <f>IFERROR(__xludf.DUMMYFUNCTION("""COMPUTED_VALUE"""),43718.66666666667)</f>
        <v>43718.66667</v>
      </c>
      <c r="AD461" s="9">
        <f>IFERROR(__xludf.DUMMYFUNCTION("""COMPUTED_VALUE"""),1820.55)</f>
        <v>1820.55</v>
      </c>
    </row>
    <row r="462">
      <c r="B462" s="11">
        <f>IFERROR(__xludf.DUMMYFUNCTION("""COMPUTED_VALUE"""),43719.66666666667)</f>
        <v>43719.66667</v>
      </c>
      <c r="C462" s="9">
        <f>IFERROR(__xludf.DUMMYFUNCTION("""COMPUTED_VALUE"""),47.48)</f>
        <v>47.48</v>
      </c>
      <c r="D462" s="11">
        <f>IFERROR(__xludf.DUMMYFUNCTION("""COMPUTED_VALUE"""),43719.66666666667)</f>
        <v>43719.66667</v>
      </c>
      <c r="E462" s="9">
        <f>IFERROR(__xludf.DUMMYFUNCTION("""COMPUTED_VALUE"""),49.42)</f>
        <v>49.42</v>
      </c>
      <c r="G462" s="11">
        <f>IFERROR(__xludf.DUMMYFUNCTION("""COMPUTED_VALUE"""),43719.66666666667)</f>
        <v>43719.66667</v>
      </c>
      <c r="H462" s="9">
        <f>IFERROR(__xludf.DUMMYFUNCTION("""COMPUTED_VALUE"""),1203.41)</f>
        <v>1203.41</v>
      </c>
      <c r="I462" s="11">
        <f>IFERROR(__xludf.DUMMYFUNCTION("""COMPUTED_VALUE"""),43719.66666666667)</f>
        <v>43719.66667</v>
      </c>
      <c r="J462" s="9">
        <f>IFERROR(__xludf.DUMMYFUNCTION("""COMPUTED_VALUE"""),1220.17)</f>
        <v>1220.17</v>
      </c>
      <c r="L462" s="11">
        <f>IFERROR(__xludf.DUMMYFUNCTION("""COMPUTED_VALUE"""),43719.66666666667)</f>
        <v>43719.66667</v>
      </c>
      <c r="M462" s="9">
        <f>IFERROR(__xludf.DUMMYFUNCTION("""COMPUTED_VALUE"""),54.52)</f>
        <v>54.52</v>
      </c>
      <c r="N462" s="11">
        <f>IFERROR(__xludf.DUMMYFUNCTION("""COMPUTED_VALUE"""),43719.66666666667)</f>
        <v>43719.66667</v>
      </c>
      <c r="O462" s="9">
        <f>IFERROR(__xludf.DUMMYFUNCTION("""COMPUTED_VALUE"""),55.9)</f>
        <v>55.9</v>
      </c>
      <c r="Q462" s="11">
        <f>IFERROR(__xludf.DUMMYFUNCTION("""COMPUTED_VALUE"""),43719.66666666667)</f>
        <v>43719.66667</v>
      </c>
      <c r="R462" s="9">
        <f>IFERROR(__xludf.DUMMYFUNCTION("""COMPUTED_VALUE"""),186.46)</f>
        <v>186.46</v>
      </c>
      <c r="S462" s="11">
        <f>IFERROR(__xludf.DUMMYFUNCTION("""COMPUTED_VALUE"""),43719.66666666667)</f>
        <v>43719.66667</v>
      </c>
      <c r="T462" s="9">
        <f>IFERROR(__xludf.DUMMYFUNCTION("""COMPUTED_VALUE"""),188.49)</f>
        <v>188.49</v>
      </c>
      <c r="V462" s="11">
        <f>IFERROR(__xludf.DUMMYFUNCTION("""COMPUTED_VALUE"""),43719.66666666667)</f>
        <v>43719.66667</v>
      </c>
      <c r="W462" s="9">
        <f>IFERROR(__xludf.DUMMYFUNCTION("""COMPUTED_VALUE"""),285.7)</f>
        <v>285.7</v>
      </c>
      <c r="X462" s="11">
        <f>IFERROR(__xludf.DUMMYFUNCTION("""COMPUTED_VALUE"""),43719.66666666667)</f>
        <v>43719.66667</v>
      </c>
      <c r="Y462" s="9">
        <f>IFERROR(__xludf.DUMMYFUNCTION("""COMPUTED_VALUE"""),288.27)</f>
        <v>288.27</v>
      </c>
      <c r="AA462" s="11">
        <f>IFERROR(__xludf.DUMMYFUNCTION("""COMPUTED_VALUE"""),43719.66666666667)</f>
        <v>43719.66667</v>
      </c>
      <c r="AB462" s="9">
        <f>IFERROR(__xludf.DUMMYFUNCTION("""COMPUTED_VALUE"""),1812.14)</f>
        <v>1812.14</v>
      </c>
      <c r="AC462" s="11">
        <f>IFERROR(__xludf.DUMMYFUNCTION("""COMPUTED_VALUE"""),43719.66666666667)</f>
        <v>43719.66667</v>
      </c>
      <c r="AD462" s="9">
        <f>IFERROR(__xludf.DUMMYFUNCTION("""COMPUTED_VALUE"""),1822.99)</f>
        <v>1822.99</v>
      </c>
    </row>
    <row r="463">
      <c r="B463" s="11">
        <f>IFERROR(__xludf.DUMMYFUNCTION("""COMPUTED_VALUE"""),43720.66666666667)</f>
        <v>43720.66667</v>
      </c>
      <c r="C463" s="9">
        <f>IFERROR(__xludf.DUMMYFUNCTION("""COMPUTED_VALUE"""),49.54)</f>
        <v>49.54</v>
      </c>
      <c r="D463" s="11">
        <f>IFERROR(__xludf.DUMMYFUNCTION("""COMPUTED_VALUE"""),43720.66666666667)</f>
        <v>43720.66667</v>
      </c>
      <c r="E463" s="9">
        <f>IFERROR(__xludf.DUMMYFUNCTION("""COMPUTED_VALUE"""),49.17)</f>
        <v>49.17</v>
      </c>
      <c r="G463" s="11">
        <f>IFERROR(__xludf.DUMMYFUNCTION("""COMPUTED_VALUE"""),43720.66666666667)</f>
        <v>43720.66667</v>
      </c>
      <c r="H463" s="9">
        <f>IFERROR(__xludf.DUMMYFUNCTION("""COMPUTED_VALUE"""),1224.3)</f>
        <v>1224.3</v>
      </c>
      <c r="I463" s="11">
        <f>IFERROR(__xludf.DUMMYFUNCTION("""COMPUTED_VALUE"""),43720.66666666667)</f>
        <v>43720.66667</v>
      </c>
      <c r="J463" s="9">
        <f>IFERROR(__xludf.DUMMYFUNCTION("""COMPUTED_VALUE"""),1234.25)</f>
        <v>1234.25</v>
      </c>
      <c r="L463" s="11">
        <f>IFERROR(__xludf.DUMMYFUNCTION("""COMPUTED_VALUE"""),43720.66666666667)</f>
        <v>43720.66667</v>
      </c>
      <c r="M463" s="9">
        <f>IFERROR(__xludf.DUMMYFUNCTION("""COMPUTED_VALUE"""),56.2)</f>
        <v>56.2</v>
      </c>
      <c r="N463" s="11">
        <f>IFERROR(__xludf.DUMMYFUNCTION("""COMPUTED_VALUE"""),43720.66666666667)</f>
        <v>43720.66667</v>
      </c>
      <c r="O463" s="9">
        <f>IFERROR(__xludf.DUMMYFUNCTION("""COMPUTED_VALUE"""),55.77)</f>
        <v>55.77</v>
      </c>
      <c r="Q463" s="11">
        <f>IFERROR(__xludf.DUMMYFUNCTION("""COMPUTED_VALUE"""),43720.66666666667)</f>
        <v>43720.66667</v>
      </c>
      <c r="R463" s="9">
        <f>IFERROR(__xludf.DUMMYFUNCTION("""COMPUTED_VALUE"""),189.86)</f>
        <v>189.86</v>
      </c>
      <c r="S463" s="11">
        <f>IFERROR(__xludf.DUMMYFUNCTION("""COMPUTED_VALUE"""),43720.66666666667)</f>
        <v>43720.66667</v>
      </c>
      <c r="T463" s="9">
        <f>IFERROR(__xludf.DUMMYFUNCTION("""COMPUTED_VALUE"""),187.47)</f>
        <v>187.47</v>
      </c>
      <c r="V463" s="11">
        <f>IFERROR(__xludf.DUMMYFUNCTION("""COMPUTED_VALUE"""),43720.66666666667)</f>
        <v>43720.66667</v>
      </c>
      <c r="W463" s="9">
        <f>IFERROR(__xludf.DUMMYFUNCTION("""COMPUTED_VALUE"""),288.1)</f>
        <v>288.1</v>
      </c>
      <c r="X463" s="11">
        <f>IFERROR(__xludf.DUMMYFUNCTION("""COMPUTED_VALUE"""),43720.66666666667)</f>
        <v>43720.66667</v>
      </c>
      <c r="Y463" s="9">
        <f>IFERROR(__xludf.DUMMYFUNCTION("""COMPUTED_VALUE"""),288.86)</f>
        <v>288.86</v>
      </c>
      <c r="AA463" s="11">
        <f>IFERROR(__xludf.DUMMYFUNCTION("""COMPUTED_VALUE"""),43720.66666666667)</f>
        <v>43720.66667</v>
      </c>
      <c r="AB463" s="9">
        <f>IFERROR(__xludf.DUMMYFUNCTION("""COMPUTED_VALUE"""),1837.63)</f>
        <v>1837.63</v>
      </c>
      <c r="AC463" s="11">
        <f>IFERROR(__xludf.DUMMYFUNCTION("""COMPUTED_VALUE"""),43720.66666666667)</f>
        <v>43720.66667</v>
      </c>
      <c r="AD463" s="9">
        <f>IFERROR(__xludf.DUMMYFUNCTION("""COMPUTED_VALUE"""),1843.55)</f>
        <v>1843.55</v>
      </c>
    </row>
    <row r="464">
      <c r="B464" s="11">
        <f>IFERROR(__xludf.DUMMYFUNCTION("""COMPUTED_VALUE"""),43721.66666666667)</f>
        <v>43721.66667</v>
      </c>
      <c r="C464" s="9">
        <f>IFERROR(__xludf.DUMMYFUNCTION("""COMPUTED_VALUE"""),49.39)</f>
        <v>49.39</v>
      </c>
      <c r="D464" s="11">
        <f>IFERROR(__xludf.DUMMYFUNCTION("""COMPUTED_VALUE"""),43721.66666666667)</f>
        <v>43721.66667</v>
      </c>
      <c r="E464" s="9">
        <f>IFERROR(__xludf.DUMMYFUNCTION("""COMPUTED_VALUE"""),49.04)</f>
        <v>49.04</v>
      </c>
      <c r="G464" s="11">
        <f>IFERROR(__xludf.DUMMYFUNCTION("""COMPUTED_VALUE"""),43721.66666666667)</f>
        <v>43721.66667</v>
      </c>
      <c r="H464" s="9">
        <f>IFERROR(__xludf.DUMMYFUNCTION("""COMPUTED_VALUE"""),1231.35)</f>
        <v>1231.35</v>
      </c>
      <c r="I464" s="11">
        <f>IFERROR(__xludf.DUMMYFUNCTION("""COMPUTED_VALUE"""),43721.66666666667)</f>
        <v>43721.66667</v>
      </c>
      <c r="J464" s="9">
        <f>IFERROR(__xludf.DUMMYFUNCTION("""COMPUTED_VALUE"""),1239.56)</f>
        <v>1239.56</v>
      </c>
      <c r="L464" s="11">
        <f>IFERROR(__xludf.DUMMYFUNCTION("""COMPUTED_VALUE"""),43721.66666666667)</f>
        <v>43721.66667</v>
      </c>
      <c r="M464" s="9">
        <f>IFERROR(__xludf.DUMMYFUNCTION("""COMPUTED_VALUE"""),55.0)</f>
        <v>55</v>
      </c>
      <c r="N464" s="11">
        <f>IFERROR(__xludf.DUMMYFUNCTION("""COMPUTED_VALUE"""),43721.66666666667)</f>
        <v>43721.66667</v>
      </c>
      <c r="O464" s="9">
        <f>IFERROR(__xludf.DUMMYFUNCTION("""COMPUTED_VALUE"""),54.69)</f>
        <v>54.69</v>
      </c>
      <c r="Q464" s="11">
        <f>IFERROR(__xludf.DUMMYFUNCTION("""COMPUTED_VALUE"""),43721.66666666667)</f>
        <v>43721.66667</v>
      </c>
      <c r="R464" s="9">
        <f>IFERROR(__xludf.DUMMYFUNCTION("""COMPUTED_VALUE"""),187.33)</f>
        <v>187.33</v>
      </c>
      <c r="S464" s="11">
        <f>IFERROR(__xludf.DUMMYFUNCTION("""COMPUTED_VALUE"""),43721.66666666667)</f>
        <v>43721.66667</v>
      </c>
      <c r="T464" s="9">
        <f>IFERROR(__xludf.DUMMYFUNCTION("""COMPUTED_VALUE"""),187.19)</f>
        <v>187.19</v>
      </c>
      <c r="V464" s="11">
        <f>IFERROR(__xludf.DUMMYFUNCTION("""COMPUTED_VALUE"""),43721.66666666667)</f>
        <v>43721.66667</v>
      </c>
      <c r="W464" s="9">
        <f>IFERROR(__xludf.DUMMYFUNCTION("""COMPUTED_VALUE"""),290.61)</f>
        <v>290.61</v>
      </c>
      <c r="X464" s="11">
        <f>IFERROR(__xludf.DUMMYFUNCTION("""COMPUTED_VALUE"""),43721.66666666667)</f>
        <v>43721.66667</v>
      </c>
      <c r="Y464" s="9">
        <f>IFERROR(__xludf.DUMMYFUNCTION("""COMPUTED_VALUE"""),294.15)</f>
        <v>294.15</v>
      </c>
      <c r="AA464" s="11">
        <f>IFERROR(__xludf.DUMMYFUNCTION("""COMPUTED_VALUE"""),43721.66666666667)</f>
        <v>43721.66667</v>
      </c>
      <c r="AB464" s="9">
        <f>IFERROR(__xludf.DUMMYFUNCTION("""COMPUTED_VALUE"""),1842.01)</f>
        <v>1842.01</v>
      </c>
      <c r="AC464" s="11">
        <f>IFERROR(__xludf.DUMMYFUNCTION("""COMPUTED_VALUE"""),43721.66666666667)</f>
        <v>43721.66667</v>
      </c>
      <c r="AD464" s="9">
        <f>IFERROR(__xludf.DUMMYFUNCTION("""COMPUTED_VALUE"""),1839.34)</f>
        <v>1839.34</v>
      </c>
    </row>
    <row r="465">
      <c r="B465" s="11">
        <f>IFERROR(__xludf.DUMMYFUNCTION("""COMPUTED_VALUE"""),43724.66666666667)</f>
        <v>43724.66667</v>
      </c>
      <c r="C465" s="9">
        <f>IFERROR(__xludf.DUMMYFUNCTION("""COMPUTED_VALUE"""),49.2)</f>
        <v>49.2</v>
      </c>
      <c r="D465" s="11">
        <f>IFERROR(__xludf.DUMMYFUNCTION("""COMPUTED_VALUE"""),43724.66666666667)</f>
        <v>43724.66667</v>
      </c>
      <c r="E465" s="9">
        <f>IFERROR(__xludf.DUMMYFUNCTION("""COMPUTED_VALUE"""),48.56)</f>
        <v>48.56</v>
      </c>
      <c r="G465" s="11">
        <f>IFERROR(__xludf.DUMMYFUNCTION("""COMPUTED_VALUE"""),43724.66666666667)</f>
        <v>43724.66667</v>
      </c>
      <c r="H465" s="9">
        <f>IFERROR(__xludf.DUMMYFUNCTION("""COMPUTED_VALUE"""),1229.52)</f>
        <v>1229.52</v>
      </c>
      <c r="I465" s="11">
        <f>IFERROR(__xludf.DUMMYFUNCTION("""COMPUTED_VALUE"""),43724.66666666667)</f>
        <v>43724.66667</v>
      </c>
      <c r="J465" s="9">
        <f>IFERROR(__xludf.DUMMYFUNCTION("""COMPUTED_VALUE"""),1231.3)</f>
        <v>1231.3</v>
      </c>
      <c r="L465" s="11">
        <f>IFERROR(__xludf.DUMMYFUNCTION("""COMPUTED_VALUE"""),43724.66666666667)</f>
        <v>43724.66667</v>
      </c>
      <c r="M465" s="9">
        <f>IFERROR(__xludf.DUMMYFUNCTION("""COMPUTED_VALUE"""),54.43)</f>
        <v>54.43</v>
      </c>
      <c r="N465" s="11">
        <f>IFERROR(__xludf.DUMMYFUNCTION("""COMPUTED_VALUE"""),43724.66666666667)</f>
        <v>43724.66667</v>
      </c>
      <c r="O465" s="9">
        <f>IFERROR(__xludf.DUMMYFUNCTION("""COMPUTED_VALUE"""),54.98)</f>
        <v>54.98</v>
      </c>
      <c r="Q465" s="11">
        <f>IFERROR(__xludf.DUMMYFUNCTION("""COMPUTED_VALUE"""),43724.66666666667)</f>
        <v>43724.66667</v>
      </c>
      <c r="R465" s="9">
        <f>IFERROR(__xludf.DUMMYFUNCTION("""COMPUTED_VALUE"""),186.93)</f>
        <v>186.93</v>
      </c>
      <c r="S465" s="11">
        <f>IFERROR(__xludf.DUMMYFUNCTION("""COMPUTED_VALUE"""),43724.66666666667)</f>
        <v>43724.66667</v>
      </c>
      <c r="T465" s="9">
        <f>IFERROR(__xludf.DUMMYFUNCTION("""COMPUTED_VALUE"""),186.22)</f>
        <v>186.22</v>
      </c>
      <c r="V465" s="11">
        <f>IFERROR(__xludf.DUMMYFUNCTION("""COMPUTED_VALUE"""),43724.66666666667)</f>
        <v>43724.66667</v>
      </c>
      <c r="W465" s="9">
        <f>IFERROR(__xludf.DUMMYFUNCTION("""COMPUTED_VALUE"""),294.23)</f>
        <v>294.23</v>
      </c>
      <c r="X465" s="11">
        <f>IFERROR(__xludf.DUMMYFUNCTION("""COMPUTED_VALUE"""),43724.66666666667)</f>
        <v>43724.66667</v>
      </c>
      <c r="Y465" s="9">
        <f>IFERROR(__xludf.DUMMYFUNCTION("""COMPUTED_VALUE"""),294.29)</f>
        <v>294.29</v>
      </c>
      <c r="AA465" s="11">
        <f>IFERROR(__xludf.DUMMYFUNCTION("""COMPUTED_VALUE"""),43724.66666666667)</f>
        <v>43724.66667</v>
      </c>
      <c r="AB465" s="9">
        <f>IFERROR(__xludf.DUMMYFUNCTION("""COMPUTED_VALUE"""),1824.02)</f>
        <v>1824.02</v>
      </c>
      <c r="AC465" s="11">
        <f>IFERROR(__xludf.DUMMYFUNCTION("""COMPUTED_VALUE"""),43724.66666666667)</f>
        <v>43724.66667</v>
      </c>
      <c r="AD465" s="9">
        <f>IFERROR(__xludf.DUMMYFUNCTION("""COMPUTED_VALUE"""),1807.84)</f>
        <v>1807.84</v>
      </c>
    </row>
    <row r="466">
      <c r="B466" s="11">
        <f>IFERROR(__xludf.DUMMYFUNCTION("""COMPUTED_VALUE"""),43725.66666666667)</f>
        <v>43725.66667</v>
      </c>
      <c r="C466" s="9">
        <f>IFERROR(__xludf.DUMMYFUNCTION("""COMPUTED_VALUE"""),48.49)</f>
        <v>48.49</v>
      </c>
      <c r="D466" s="11">
        <f>IFERROR(__xludf.DUMMYFUNCTION("""COMPUTED_VALUE"""),43725.66666666667)</f>
        <v>43725.66667</v>
      </c>
      <c r="E466" s="9">
        <f>IFERROR(__xludf.DUMMYFUNCTION("""COMPUTED_VALUE"""),48.96)</f>
        <v>48.96</v>
      </c>
      <c r="G466" s="11">
        <f>IFERROR(__xludf.DUMMYFUNCTION("""COMPUTED_VALUE"""),43725.66666666667)</f>
        <v>43725.66667</v>
      </c>
      <c r="H466" s="9">
        <f>IFERROR(__xludf.DUMMYFUNCTION("""COMPUTED_VALUE"""),1230.4)</f>
        <v>1230.4</v>
      </c>
      <c r="I466" s="11">
        <f>IFERROR(__xludf.DUMMYFUNCTION("""COMPUTED_VALUE"""),43725.66666666667)</f>
        <v>43725.66667</v>
      </c>
      <c r="J466" s="9">
        <f>IFERROR(__xludf.DUMMYFUNCTION("""COMPUTED_VALUE"""),1229.15)</f>
        <v>1229.15</v>
      </c>
      <c r="L466" s="11">
        <f>IFERROR(__xludf.DUMMYFUNCTION("""COMPUTED_VALUE"""),43725.66666666667)</f>
        <v>43725.66667</v>
      </c>
      <c r="M466" s="9">
        <f>IFERROR(__xludf.DUMMYFUNCTION("""COMPUTED_VALUE"""),54.99)</f>
        <v>54.99</v>
      </c>
      <c r="N466" s="11">
        <f>IFERROR(__xludf.DUMMYFUNCTION("""COMPUTED_VALUE"""),43725.66666666667)</f>
        <v>43725.66667</v>
      </c>
      <c r="O466" s="9">
        <f>IFERROR(__xludf.DUMMYFUNCTION("""COMPUTED_VALUE"""),55.18)</f>
        <v>55.18</v>
      </c>
      <c r="Q466" s="11">
        <f>IFERROR(__xludf.DUMMYFUNCTION("""COMPUTED_VALUE"""),43725.66666666667)</f>
        <v>43725.66667</v>
      </c>
      <c r="R466" s="9">
        <f>IFERROR(__xludf.DUMMYFUNCTION("""COMPUTED_VALUE"""),186.66)</f>
        <v>186.66</v>
      </c>
      <c r="S466" s="11">
        <f>IFERROR(__xludf.DUMMYFUNCTION("""COMPUTED_VALUE"""),43725.66666666667)</f>
        <v>43725.66667</v>
      </c>
      <c r="T466" s="9">
        <f>IFERROR(__xludf.DUMMYFUNCTION("""COMPUTED_VALUE"""),188.08)</f>
        <v>188.08</v>
      </c>
      <c r="V466" s="11">
        <f>IFERROR(__xludf.DUMMYFUNCTION("""COMPUTED_VALUE"""),43725.66666666667)</f>
        <v>43725.66667</v>
      </c>
      <c r="W466" s="9">
        <f>IFERROR(__xludf.DUMMYFUNCTION("""COMPUTED_VALUE"""),294.5)</f>
        <v>294.5</v>
      </c>
      <c r="X466" s="11">
        <f>IFERROR(__xludf.DUMMYFUNCTION("""COMPUTED_VALUE"""),43725.66666666667)</f>
        <v>43725.66667</v>
      </c>
      <c r="Y466" s="9">
        <f>IFERROR(__xludf.DUMMYFUNCTION("""COMPUTED_VALUE"""),298.6)</f>
        <v>298.6</v>
      </c>
      <c r="AA466" s="11">
        <f>IFERROR(__xludf.DUMMYFUNCTION("""COMPUTED_VALUE"""),43725.66666666667)</f>
        <v>43725.66667</v>
      </c>
      <c r="AB466" s="9">
        <f>IFERROR(__xludf.DUMMYFUNCTION("""COMPUTED_VALUE"""),1807.08)</f>
        <v>1807.08</v>
      </c>
      <c r="AC466" s="11">
        <f>IFERROR(__xludf.DUMMYFUNCTION("""COMPUTED_VALUE"""),43725.66666666667)</f>
        <v>43725.66667</v>
      </c>
      <c r="AD466" s="9">
        <f>IFERROR(__xludf.DUMMYFUNCTION("""COMPUTED_VALUE"""),1822.55)</f>
        <v>1822.55</v>
      </c>
    </row>
    <row r="467">
      <c r="B467" s="11">
        <f>IFERROR(__xludf.DUMMYFUNCTION("""COMPUTED_VALUE"""),43726.66666666667)</f>
        <v>43726.66667</v>
      </c>
      <c r="C467" s="9">
        <f>IFERROR(__xludf.DUMMYFUNCTION("""COMPUTED_VALUE"""),49.0)</f>
        <v>49</v>
      </c>
      <c r="D467" s="11">
        <f>IFERROR(__xludf.DUMMYFUNCTION("""COMPUTED_VALUE"""),43726.66666666667)</f>
        <v>43726.66667</v>
      </c>
      <c r="E467" s="9">
        <f>IFERROR(__xludf.DUMMYFUNCTION("""COMPUTED_VALUE"""),48.7)</f>
        <v>48.7</v>
      </c>
      <c r="G467" s="11">
        <f>IFERROR(__xludf.DUMMYFUNCTION("""COMPUTED_VALUE"""),43726.66666666667)</f>
        <v>43726.66667</v>
      </c>
      <c r="H467" s="9">
        <f>IFERROR(__xludf.DUMMYFUNCTION("""COMPUTED_VALUE"""),1227.51)</f>
        <v>1227.51</v>
      </c>
      <c r="I467" s="11">
        <f>IFERROR(__xludf.DUMMYFUNCTION("""COMPUTED_VALUE"""),43726.66666666667)</f>
        <v>43726.66667</v>
      </c>
      <c r="J467" s="9">
        <f>IFERROR(__xludf.DUMMYFUNCTION("""COMPUTED_VALUE"""),1232.41)</f>
        <v>1232.41</v>
      </c>
      <c r="L467" s="11">
        <f>IFERROR(__xludf.DUMMYFUNCTION("""COMPUTED_VALUE"""),43726.66666666667)</f>
        <v>43726.66667</v>
      </c>
      <c r="M467" s="9">
        <f>IFERROR(__xludf.DUMMYFUNCTION("""COMPUTED_VALUE"""),55.27)</f>
        <v>55.27</v>
      </c>
      <c r="N467" s="11">
        <f>IFERROR(__xludf.DUMMYFUNCTION("""COMPUTED_VALUE"""),43726.66666666667)</f>
        <v>43726.66667</v>
      </c>
      <c r="O467" s="9">
        <f>IFERROR(__xludf.DUMMYFUNCTION("""COMPUTED_VALUE"""),55.69)</f>
        <v>55.69</v>
      </c>
      <c r="Q467" s="11">
        <f>IFERROR(__xludf.DUMMYFUNCTION("""COMPUTED_VALUE"""),43726.66666666667)</f>
        <v>43726.66667</v>
      </c>
      <c r="R467" s="9">
        <f>IFERROR(__xludf.DUMMYFUNCTION("""COMPUTED_VALUE"""),188.09)</f>
        <v>188.09</v>
      </c>
      <c r="S467" s="11">
        <f>IFERROR(__xludf.DUMMYFUNCTION("""COMPUTED_VALUE"""),43726.66666666667)</f>
        <v>43726.66667</v>
      </c>
      <c r="T467" s="9">
        <f>IFERROR(__xludf.DUMMYFUNCTION("""COMPUTED_VALUE"""),188.14)</f>
        <v>188.14</v>
      </c>
      <c r="V467" s="11">
        <f>IFERROR(__xludf.DUMMYFUNCTION("""COMPUTED_VALUE"""),43726.66666666667)</f>
        <v>43726.66667</v>
      </c>
      <c r="W467" s="9">
        <f>IFERROR(__xludf.DUMMYFUNCTION("""COMPUTED_VALUE"""),294.99)</f>
        <v>294.99</v>
      </c>
      <c r="X467" s="11">
        <f>IFERROR(__xludf.DUMMYFUNCTION("""COMPUTED_VALUE"""),43726.66666666667)</f>
        <v>43726.66667</v>
      </c>
      <c r="Y467" s="9">
        <f>IFERROR(__xludf.DUMMYFUNCTION("""COMPUTED_VALUE"""),291.56)</f>
        <v>291.56</v>
      </c>
      <c r="AA467" s="11">
        <f>IFERROR(__xludf.DUMMYFUNCTION("""COMPUTED_VALUE"""),43726.66666666667)</f>
        <v>43726.66667</v>
      </c>
      <c r="AB467" s="9">
        <f>IFERROR(__xludf.DUMMYFUNCTION("""COMPUTED_VALUE"""),1817.04)</f>
        <v>1817.04</v>
      </c>
      <c r="AC467" s="11">
        <f>IFERROR(__xludf.DUMMYFUNCTION("""COMPUTED_VALUE"""),43726.66666666667)</f>
        <v>43726.66667</v>
      </c>
      <c r="AD467" s="9">
        <f>IFERROR(__xludf.DUMMYFUNCTION("""COMPUTED_VALUE"""),1817.46)</f>
        <v>1817.46</v>
      </c>
    </row>
    <row r="468">
      <c r="B468" s="11">
        <f>IFERROR(__xludf.DUMMYFUNCTION("""COMPUTED_VALUE"""),43727.66666666667)</f>
        <v>43727.66667</v>
      </c>
      <c r="C468" s="9">
        <f>IFERROR(__xludf.DUMMYFUNCTION("""COMPUTED_VALUE"""),49.2)</f>
        <v>49.2</v>
      </c>
      <c r="D468" s="11">
        <f>IFERROR(__xludf.DUMMYFUNCTION("""COMPUTED_VALUE"""),43727.66666666667)</f>
        <v>43727.66667</v>
      </c>
      <c r="E468" s="9">
        <f>IFERROR(__xludf.DUMMYFUNCTION("""COMPUTED_VALUE"""),49.32)</f>
        <v>49.32</v>
      </c>
      <c r="G468" s="11">
        <f>IFERROR(__xludf.DUMMYFUNCTION("""COMPUTED_VALUE"""),43727.66666666667)</f>
        <v>43727.66667</v>
      </c>
      <c r="H468" s="9">
        <f>IFERROR(__xludf.DUMMYFUNCTION("""COMPUTED_VALUE"""),1232.06)</f>
        <v>1232.06</v>
      </c>
      <c r="I468" s="11">
        <f>IFERROR(__xludf.DUMMYFUNCTION("""COMPUTED_VALUE"""),43727.66666666667)</f>
        <v>43727.66667</v>
      </c>
      <c r="J468" s="9">
        <f>IFERROR(__xludf.DUMMYFUNCTION("""COMPUTED_VALUE"""),1238.71)</f>
        <v>1238.71</v>
      </c>
      <c r="L468" s="11">
        <f>IFERROR(__xludf.DUMMYFUNCTION("""COMPUTED_VALUE"""),43727.66666666667)</f>
        <v>43727.66667</v>
      </c>
      <c r="M468" s="9">
        <f>IFERROR(__xludf.DUMMYFUNCTION("""COMPUTED_VALUE"""),55.5)</f>
        <v>55.5</v>
      </c>
      <c r="N468" s="11">
        <f>IFERROR(__xludf.DUMMYFUNCTION("""COMPUTED_VALUE"""),43727.66666666667)</f>
        <v>43727.66667</v>
      </c>
      <c r="O468" s="9">
        <f>IFERROR(__xludf.DUMMYFUNCTION("""COMPUTED_VALUE"""),55.24)</f>
        <v>55.24</v>
      </c>
      <c r="Q468" s="11">
        <f>IFERROR(__xludf.DUMMYFUNCTION("""COMPUTED_VALUE"""),43727.66666666667)</f>
        <v>43727.66667</v>
      </c>
      <c r="R468" s="9">
        <f>IFERROR(__xludf.DUMMYFUNCTION("""COMPUTED_VALUE"""),188.66)</f>
        <v>188.66</v>
      </c>
      <c r="S468" s="11">
        <f>IFERROR(__xludf.DUMMYFUNCTION("""COMPUTED_VALUE"""),43727.66666666667)</f>
        <v>43727.66667</v>
      </c>
      <c r="T468" s="9">
        <f>IFERROR(__xludf.DUMMYFUNCTION("""COMPUTED_VALUE"""),190.14)</f>
        <v>190.14</v>
      </c>
      <c r="V468" s="11">
        <f>IFERROR(__xludf.DUMMYFUNCTION("""COMPUTED_VALUE"""),43727.66666666667)</f>
        <v>43727.66667</v>
      </c>
      <c r="W468" s="9">
        <f>IFERROR(__xludf.DUMMYFUNCTION("""COMPUTED_VALUE"""),291.56)</f>
        <v>291.56</v>
      </c>
      <c r="X468" s="11">
        <f>IFERROR(__xludf.DUMMYFUNCTION("""COMPUTED_VALUE"""),43727.66666666667)</f>
        <v>43727.66667</v>
      </c>
      <c r="Y468" s="9">
        <f>IFERROR(__xludf.DUMMYFUNCTION("""COMPUTED_VALUE"""),286.6)</f>
        <v>286.6</v>
      </c>
      <c r="AA468" s="11">
        <f>IFERROR(__xludf.DUMMYFUNCTION("""COMPUTED_VALUE"""),43727.66666666667)</f>
        <v>43727.66667</v>
      </c>
      <c r="AB468" s="9">
        <f>IFERROR(__xludf.DUMMYFUNCTION("""COMPUTED_VALUE"""),1821.02)</f>
        <v>1821.02</v>
      </c>
      <c r="AC468" s="11">
        <f>IFERROR(__xludf.DUMMYFUNCTION("""COMPUTED_VALUE"""),43727.66666666667)</f>
        <v>43727.66667</v>
      </c>
      <c r="AD468" s="9">
        <f>IFERROR(__xludf.DUMMYFUNCTION("""COMPUTED_VALUE"""),1821.5)</f>
        <v>1821.5</v>
      </c>
    </row>
    <row r="469">
      <c r="B469" s="11">
        <f>IFERROR(__xludf.DUMMYFUNCTION("""COMPUTED_VALUE"""),43728.66666666667)</f>
        <v>43728.66667</v>
      </c>
      <c r="C469" s="9">
        <f>IFERROR(__xludf.DUMMYFUNCTION("""COMPUTED_VALUE"""),49.3)</f>
        <v>49.3</v>
      </c>
      <c r="D469" s="11">
        <f>IFERROR(__xludf.DUMMYFUNCTION("""COMPUTED_VALUE"""),43728.66666666667)</f>
        <v>43728.66667</v>
      </c>
      <c r="E469" s="9">
        <f>IFERROR(__xludf.DUMMYFUNCTION("""COMPUTED_VALUE"""),48.12)</f>
        <v>48.12</v>
      </c>
      <c r="G469" s="11">
        <f>IFERROR(__xludf.DUMMYFUNCTION("""COMPUTED_VALUE"""),43728.66666666667)</f>
        <v>43728.66667</v>
      </c>
      <c r="H469" s="9">
        <f>IFERROR(__xludf.DUMMYFUNCTION("""COMPUTED_VALUE"""),1233.12)</f>
        <v>1233.12</v>
      </c>
      <c r="I469" s="11">
        <f>IFERROR(__xludf.DUMMYFUNCTION("""COMPUTED_VALUE"""),43728.66666666667)</f>
        <v>43728.66667</v>
      </c>
      <c r="J469" s="9">
        <f>IFERROR(__xludf.DUMMYFUNCTION("""COMPUTED_VALUE"""),1229.93)</f>
        <v>1229.93</v>
      </c>
      <c r="L469" s="11">
        <f>IFERROR(__xludf.DUMMYFUNCTION("""COMPUTED_VALUE"""),43728.66666666667)</f>
        <v>43728.66667</v>
      </c>
      <c r="M469" s="9">
        <f>IFERROR(__xludf.DUMMYFUNCTION("""COMPUTED_VALUE"""),55.35)</f>
        <v>55.35</v>
      </c>
      <c r="N469" s="11">
        <f>IFERROR(__xludf.DUMMYFUNCTION("""COMPUTED_VALUE"""),43728.66666666667)</f>
        <v>43728.66667</v>
      </c>
      <c r="O469" s="9">
        <f>IFERROR(__xludf.DUMMYFUNCTION("""COMPUTED_VALUE"""),54.43)</f>
        <v>54.43</v>
      </c>
      <c r="Q469" s="11">
        <f>IFERROR(__xludf.DUMMYFUNCTION("""COMPUTED_VALUE"""),43728.66666666667)</f>
        <v>43728.66667</v>
      </c>
      <c r="R469" s="9">
        <f>IFERROR(__xludf.DUMMYFUNCTION("""COMPUTED_VALUE"""),190.66)</f>
        <v>190.66</v>
      </c>
      <c r="S469" s="11">
        <f>IFERROR(__xludf.DUMMYFUNCTION("""COMPUTED_VALUE"""),43728.66666666667)</f>
        <v>43728.66667</v>
      </c>
      <c r="T469" s="9">
        <f>IFERROR(__xludf.DUMMYFUNCTION("""COMPUTED_VALUE"""),189.93)</f>
        <v>189.93</v>
      </c>
      <c r="V469" s="11">
        <f>IFERROR(__xludf.DUMMYFUNCTION("""COMPUTED_VALUE"""),43728.66666666667)</f>
        <v>43728.66667</v>
      </c>
      <c r="W469" s="9">
        <f>IFERROR(__xludf.DUMMYFUNCTION("""COMPUTED_VALUE"""),280.26)</f>
        <v>280.26</v>
      </c>
      <c r="X469" s="11">
        <f>IFERROR(__xludf.DUMMYFUNCTION("""COMPUTED_VALUE"""),43728.66666666667)</f>
        <v>43728.66667</v>
      </c>
      <c r="Y469" s="9">
        <f>IFERROR(__xludf.DUMMYFUNCTION("""COMPUTED_VALUE"""),270.75)</f>
        <v>270.75</v>
      </c>
      <c r="AA469" s="11">
        <f>IFERROR(__xludf.DUMMYFUNCTION("""COMPUTED_VALUE"""),43728.66666666667)</f>
        <v>43728.66667</v>
      </c>
      <c r="AB469" s="9">
        <f>IFERROR(__xludf.DUMMYFUNCTION("""COMPUTED_VALUE"""),1821.71)</f>
        <v>1821.71</v>
      </c>
      <c r="AC469" s="11">
        <f>IFERROR(__xludf.DUMMYFUNCTION("""COMPUTED_VALUE"""),43728.66666666667)</f>
        <v>43728.66667</v>
      </c>
      <c r="AD469" s="9">
        <f>IFERROR(__xludf.DUMMYFUNCTION("""COMPUTED_VALUE"""),1794.16)</f>
        <v>1794.16</v>
      </c>
    </row>
    <row r="470">
      <c r="B470" s="11">
        <f>IFERROR(__xludf.DUMMYFUNCTION("""COMPUTED_VALUE"""),43731.66666666667)</f>
        <v>43731.66667</v>
      </c>
      <c r="C470" s="9">
        <f>IFERROR(__xludf.DUMMYFUNCTION("""COMPUTED_VALUE"""),48.0)</f>
        <v>48</v>
      </c>
      <c r="D470" s="11">
        <f>IFERROR(__xludf.DUMMYFUNCTION("""COMPUTED_VALUE"""),43731.66666666667)</f>
        <v>43731.66667</v>
      </c>
      <c r="E470" s="9">
        <f>IFERROR(__xludf.DUMMYFUNCTION("""COMPUTED_VALUE"""),48.25)</f>
        <v>48.25</v>
      </c>
      <c r="G470" s="11">
        <f>IFERROR(__xludf.DUMMYFUNCTION("""COMPUTED_VALUE"""),43731.66666666667)</f>
        <v>43731.66667</v>
      </c>
      <c r="H470" s="9">
        <f>IFERROR(__xludf.DUMMYFUNCTION("""COMPUTED_VALUE"""),1226.0)</f>
        <v>1226</v>
      </c>
      <c r="I470" s="11">
        <f>IFERROR(__xludf.DUMMYFUNCTION("""COMPUTED_VALUE"""),43731.66666666667)</f>
        <v>43731.66667</v>
      </c>
      <c r="J470" s="9">
        <f>IFERROR(__xludf.DUMMYFUNCTION("""COMPUTED_VALUE"""),1234.03)</f>
        <v>1234.03</v>
      </c>
      <c r="L470" s="11">
        <f>IFERROR(__xludf.DUMMYFUNCTION("""COMPUTED_VALUE"""),43731.66666666667)</f>
        <v>43731.66667</v>
      </c>
      <c r="M470" s="9">
        <f>IFERROR(__xludf.DUMMYFUNCTION("""COMPUTED_VALUE"""),54.74)</f>
        <v>54.74</v>
      </c>
      <c r="N470" s="11">
        <f>IFERROR(__xludf.DUMMYFUNCTION("""COMPUTED_VALUE"""),43731.66666666667)</f>
        <v>43731.66667</v>
      </c>
      <c r="O470" s="9">
        <f>IFERROR(__xludf.DUMMYFUNCTION("""COMPUTED_VALUE"""),54.68)</f>
        <v>54.68</v>
      </c>
      <c r="Q470" s="11">
        <f>IFERROR(__xludf.DUMMYFUNCTION("""COMPUTED_VALUE"""),43731.66666666667)</f>
        <v>43731.66667</v>
      </c>
      <c r="R470" s="9">
        <f>IFERROR(__xludf.DUMMYFUNCTION("""COMPUTED_VALUE"""),189.34)</f>
        <v>189.34</v>
      </c>
      <c r="S470" s="11">
        <f>IFERROR(__xludf.DUMMYFUNCTION("""COMPUTED_VALUE"""),43731.66666666667)</f>
        <v>43731.66667</v>
      </c>
      <c r="T470" s="9">
        <f>IFERROR(__xludf.DUMMYFUNCTION("""COMPUTED_VALUE"""),186.82)</f>
        <v>186.82</v>
      </c>
      <c r="V470" s="11">
        <f>IFERROR(__xludf.DUMMYFUNCTION("""COMPUTED_VALUE"""),43731.66666666667)</f>
        <v>43731.66667</v>
      </c>
      <c r="W470" s="9">
        <f>IFERROR(__xludf.DUMMYFUNCTION("""COMPUTED_VALUE"""),268.35)</f>
        <v>268.35</v>
      </c>
      <c r="X470" s="11">
        <f>IFERROR(__xludf.DUMMYFUNCTION("""COMPUTED_VALUE"""),43731.66666666667)</f>
        <v>43731.66667</v>
      </c>
      <c r="Y470" s="9">
        <f>IFERROR(__xludf.DUMMYFUNCTION("""COMPUTED_VALUE"""),265.92)</f>
        <v>265.92</v>
      </c>
      <c r="AA470" s="11">
        <f>IFERROR(__xludf.DUMMYFUNCTION("""COMPUTED_VALUE"""),43731.66666666667)</f>
        <v>43731.66667</v>
      </c>
      <c r="AB470" s="9">
        <f>IFERROR(__xludf.DUMMYFUNCTION("""COMPUTED_VALUE"""),1777.0)</f>
        <v>1777</v>
      </c>
      <c r="AC470" s="11">
        <f>IFERROR(__xludf.DUMMYFUNCTION("""COMPUTED_VALUE"""),43731.66666666667)</f>
        <v>43731.66667</v>
      </c>
      <c r="AD470" s="9">
        <f>IFERROR(__xludf.DUMMYFUNCTION("""COMPUTED_VALUE"""),1785.3)</f>
        <v>1785.3</v>
      </c>
    </row>
    <row r="471">
      <c r="B471" s="11">
        <f>IFERROR(__xludf.DUMMYFUNCTION("""COMPUTED_VALUE"""),43732.66666666667)</f>
        <v>43732.66667</v>
      </c>
      <c r="C471" s="9">
        <f>IFERROR(__xludf.DUMMYFUNCTION("""COMPUTED_VALUE"""),48.3)</f>
        <v>48.3</v>
      </c>
      <c r="D471" s="11">
        <f>IFERROR(__xludf.DUMMYFUNCTION("""COMPUTED_VALUE"""),43732.66666666667)</f>
        <v>43732.66667</v>
      </c>
      <c r="E471" s="9">
        <f>IFERROR(__xludf.DUMMYFUNCTION("""COMPUTED_VALUE"""),44.64)</f>
        <v>44.64</v>
      </c>
      <c r="G471" s="11">
        <f>IFERROR(__xludf.DUMMYFUNCTION("""COMPUTED_VALUE"""),43732.66666666667)</f>
        <v>43732.66667</v>
      </c>
      <c r="H471" s="9">
        <f>IFERROR(__xludf.DUMMYFUNCTION("""COMPUTED_VALUE"""),1240.0)</f>
        <v>1240</v>
      </c>
      <c r="I471" s="11">
        <f>IFERROR(__xludf.DUMMYFUNCTION("""COMPUTED_VALUE"""),43732.66666666667)</f>
        <v>43732.66667</v>
      </c>
      <c r="J471" s="9">
        <f>IFERROR(__xludf.DUMMYFUNCTION("""COMPUTED_VALUE"""),1218.76)</f>
        <v>1218.76</v>
      </c>
      <c r="L471" s="11">
        <f>IFERROR(__xludf.DUMMYFUNCTION("""COMPUTED_VALUE"""),43732.66666666667)</f>
        <v>43732.66667</v>
      </c>
      <c r="M471" s="9">
        <f>IFERROR(__xludf.DUMMYFUNCTION("""COMPUTED_VALUE"""),55.26)</f>
        <v>55.26</v>
      </c>
      <c r="N471" s="11">
        <f>IFERROR(__xludf.DUMMYFUNCTION("""COMPUTED_VALUE"""),43732.66666666667)</f>
        <v>43732.66667</v>
      </c>
      <c r="O471" s="9">
        <f>IFERROR(__xludf.DUMMYFUNCTION("""COMPUTED_VALUE"""),54.42)</f>
        <v>54.42</v>
      </c>
      <c r="Q471" s="11">
        <f>IFERROR(__xludf.DUMMYFUNCTION("""COMPUTED_VALUE"""),43732.66666666667)</f>
        <v>43732.66667</v>
      </c>
      <c r="R471" s="9">
        <f>IFERROR(__xludf.DUMMYFUNCTION("""COMPUTED_VALUE"""),187.98)</f>
        <v>187.98</v>
      </c>
      <c r="S471" s="11">
        <f>IFERROR(__xludf.DUMMYFUNCTION("""COMPUTED_VALUE"""),43732.66666666667)</f>
        <v>43732.66667</v>
      </c>
      <c r="T471" s="9">
        <f>IFERROR(__xludf.DUMMYFUNCTION("""COMPUTED_VALUE"""),181.28)</f>
        <v>181.28</v>
      </c>
      <c r="V471" s="11">
        <f>IFERROR(__xludf.DUMMYFUNCTION("""COMPUTED_VALUE"""),43732.66666666667)</f>
        <v>43732.66667</v>
      </c>
      <c r="W471" s="9">
        <f>IFERROR(__xludf.DUMMYFUNCTION("""COMPUTED_VALUE"""),262.5)</f>
        <v>262.5</v>
      </c>
      <c r="X471" s="11">
        <f>IFERROR(__xludf.DUMMYFUNCTION("""COMPUTED_VALUE"""),43732.66666666667)</f>
        <v>43732.66667</v>
      </c>
      <c r="Y471" s="9">
        <f>IFERROR(__xludf.DUMMYFUNCTION("""COMPUTED_VALUE"""),254.59)</f>
        <v>254.59</v>
      </c>
      <c r="AA471" s="11">
        <f>IFERROR(__xludf.DUMMYFUNCTION("""COMPUTED_VALUE"""),43732.66666666667)</f>
        <v>43732.66667</v>
      </c>
      <c r="AB471" s="9">
        <f>IFERROR(__xludf.DUMMYFUNCTION("""COMPUTED_VALUE"""),1790.61)</f>
        <v>1790.61</v>
      </c>
      <c r="AC471" s="11">
        <f>IFERROR(__xludf.DUMMYFUNCTION("""COMPUTED_VALUE"""),43732.66666666667)</f>
        <v>43732.66667</v>
      </c>
      <c r="AD471" s="9">
        <f>IFERROR(__xludf.DUMMYFUNCTION("""COMPUTED_VALUE"""),1741.61)</f>
        <v>1741.61</v>
      </c>
    </row>
    <row r="472">
      <c r="B472" s="11">
        <f>IFERROR(__xludf.DUMMYFUNCTION("""COMPUTED_VALUE"""),43733.66666666667)</f>
        <v>43733.66667</v>
      </c>
      <c r="C472" s="9">
        <f>IFERROR(__xludf.DUMMYFUNCTION("""COMPUTED_VALUE"""),44.91)</f>
        <v>44.91</v>
      </c>
      <c r="D472" s="11">
        <f>IFERROR(__xludf.DUMMYFUNCTION("""COMPUTED_VALUE"""),43733.66666666667)</f>
        <v>43733.66667</v>
      </c>
      <c r="E472" s="9">
        <f>IFERROR(__xludf.DUMMYFUNCTION("""COMPUTED_VALUE"""),45.74)</f>
        <v>45.74</v>
      </c>
      <c r="G472" s="11">
        <f>IFERROR(__xludf.DUMMYFUNCTION("""COMPUTED_VALUE"""),43733.66666666667)</f>
        <v>43733.66667</v>
      </c>
      <c r="H472" s="9">
        <f>IFERROR(__xludf.DUMMYFUNCTION("""COMPUTED_VALUE"""),1215.82)</f>
        <v>1215.82</v>
      </c>
      <c r="I472" s="11">
        <f>IFERROR(__xludf.DUMMYFUNCTION("""COMPUTED_VALUE"""),43733.66666666667)</f>
        <v>43733.66667</v>
      </c>
      <c r="J472" s="9">
        <f>IFERROR(__xludf.DUMMYFUNCTION("""COMPUTED_VALUE"""),1246.52)</f>
        <v>1246.52</v>
      </c>
      <c r="L472" s="11">
        <f>IFERROR(__xludf.DUMMYFUNCTION("""COMPUTED_VALUE"""),43733.66666666667)</f>
        <v>43733.66667</v>
      </c>
      <c r="M472" s="9">
        <f>IFERROR(__xludf.DUMMYFUNCTION("""COMPUTED_VALUE"""),54.64)</f>
        <v>54.64</v>
      </c>
      <c r="N472" s="11">
        <f>IFERROR(__xludf.DUMMYFUNCTION("""COMPUTED_VALUE"""),43733.66666666667)</f>
        <v>43733.66667</v>
      </c>
      <c r="O472" s="9">
        <f>IFERROR(__xludf.DUMMYFUNCTION("""COMPUTED_VALUE"""),55.26)</f>
        <v>55.26</v>
      </c>
      <c r="Q472" s="11">
        <f>IFERROR(__xludf.DUMMYFUNCTION("""COMPUTED_VALUE"""),43733.66666666667)</f>
        <v>43733.66667</v>
      </c>
      <c r="R472" s="9">
        <f>IFERROR(__xludf.DUMMYFUNCTION("""COMPUTED_VALUE"""),181.45)</f>
        <v>181.45</v>
      </c>
      <c r="S472" s="11">
        <f>IFERROR(__xludf.DUMMYFUNCTION("""COMPUTED_VALUE"""),43733.66666666667)</f>
        <v>43733.66667</v>
      </c>
      <c r="T472" s="9">
        <f>IFERROR(__xludf.DUMMYFUNCTION("""COMPUTED_VALUE"""),182.8)</f>
        <v>182.8</v>
      </c>
      <c r="V472" s="11">
        <f>IFERROR(__xludf.DUMMYFUNCTION("""COMPUTED_VALUE"""),43733.66666666667)</f>
        <v>43733.66667</v>
      </c>
      <c r="W472" s="9">
        <f>IFERROR(__xludf.DUMMYFUNCTION("""COMPUTED_VALUE"""),255.71)</f>
        <v>255.71</v>
      </c>
      <c r="X472" s="11">
        <f>IFERROR(__xludf.DUMMYFUNCTION("""COMPUTED_VALUE"""),43733.66666666667)</f>
        <v>43733.66667</v>
      </c>
      <c r="Y472" s="9">
        <f>IFERROR(__xludf.DUMMYFUNCTION("""COMPUTED_VALUE"""),264.75)</f>
        <v>264.75</v>
      </c>
      <c r="AA472" s="11">
        <f>IFERROR(__xludf.DUMMYFUNCTION("""COMPUTED_VALUE"""),43733.66666666667)</f>
        <v>43733.66667</v>
      </c>
      <c r="AB472" s="9">
        <f>IFERROR(__xludf.DUMMYFUNCTION("""COMPUTED_VALUE"""),1747.36)</f>
        <v>1747.36</v>
      </c>
      <c r="AC472" s="11">
        <f>IFERROR(__xludf.DUMMYFUNCTION("""COMPUTED_VALUE"""),43733.66666666667)</f>
        <v>43733.66667</v>
      </c>
      <c r="AD472" s="9">
        <f>IFERROR(__xludf.DUMMYFUNCTION("""COMPUTED_VALUE"""),1768.33)</f>
        <v>1768.33</v>
      </c>
    </row>
    <row r="473">
      <c r="B473" s="11">
        <f>IFERROR(__xludf.DUMMYFUNCTION("""COMPUTED_VALUE"""),43734.66666666667)</f>
        <v>43734.66667</v>
      </c>
      <c r="C473" s="9">
        <f>IFERROR(__xludf.DUMMYFUNCTION("""COMPUTED_VALUE"""),46.13)</f>
        <v>46.13</v>
      </c>
      <c r="D473" s="11">
        <f>IFERROR(__xludf.DUMMYFUNCTION("""COMPUTED_VALUE"""),43734.66666666667)</f>
        <v>43734.66667</v>
      </c>
      <c r="E473" s="9">
        <f>IFERROR(__xludf.DUMMYFUNCTION("""COMPUTED_VALUE"""),48.51)</f>
        <v>48.51</v>
      </c>
      <c r="G473" s="11">
        <f>IFERROR(__xludf.DUMMYFUNCTION("""COMPUTED_VALUE"""),43734.66666666667)</f>
        <v>43734.66667</v>
      </c>
      <c r="H473" s="9">
        <f>IFERROR(__xludf.DUMMYFUNCTION("""COMPUTED_VALUE"""),1241.96)</f>
        <v>1241.96</v>
      </c>
      <c r="I473" s="11">
        <f>IFERROR(__xludf.DUMMYFUNCTION("""COMPUTED_VALUE"""),43734.66666666667)</f>
        <v>43734.66667</v>
      </c>
      <c r="J473" s="9">
        <f>IFERROR(__xludf.DUMMYFUNCTION("""COMPUTED_VALUE"""),1241.39)</f>
        <v>1241.39</v>
      </c>
      <c r="L473" s="11">
        <f>IFERROR(__xludf.DUMMYFUNCTION("""COMPUTED_VALUE"""),43734.66666666667)</f>
        <v>43734.66667</v>
      </c>
      <c r="M473" s="9">
        <f>IFERROR(__xludf.DUMMYFUNCTION("""COMPUTED_VALUE"""),55.0)</f>
        <v>55</v>
      </c>
      <c r="N473" s="11">
        <f>IFERROR(__xludf.DUMMYFUNCTION("""COMPUTED_VALUE"""),43734.66666666667)</f>
        <v>43734.66667</v>
      </c>
      <c r="O473" s="9">
        <f>IFERROR(__xludf.DUMMYFUNCTION("""COMPUTED_VALUE"""),54.97)</f>
        <v>54.97</v>
      </c>
      <c r="Q473" s="11">
        <f>IFERROR(__xludf.DUMMYFUNCTION("""COMPUTED_VALUE"""),43734.66666666667)</f>
        <v>43734.66667</v>
      </c>
      <c r="R473" s="9">
        <f>IFERROR(__xludf.DUMMYFUNCTION("""COMPUTED_VALUE"""),181.33)</f>
        <v>181.33</v>
      </c>
      <c r="S473" s="11">
        <f>IFERROR(__xludf.DUMMYFUNCTION("""COMPUTED_VALUE"""),43734.66666666667)</f>
        <v>43734.66667</v>
      </c>
      <c r="T473" s="9">
        <f>IFERROR(__xludf.DUMMYFUNCTION("""COMPUTED_VALUE"""),180.11)</f>
        <v>180.11</v>
      </c>
      <c r="V473" s="11">
        <f>IFERROR(__xludf.DUMMYFUNCTION("""COMPUTED_VALUE"""),43734.66666666667)</f>
        <v>43734.66667</v>
      </c>
      <c r="W473" s="9">
        <f>IFERROR(__xludf.DUMMYFUNCTION("""COMPUTED_VALUE"""),266.42)</f>
        <v>266.42</v>
      </c>
      <c r="X473" s="11">
        <f>IFERROR(__xludf.DUMMYFUNCTION("""COMPUTED_VALUE"""),43734.66666666667)</f>
        <v>43734.66667</v>
      </c>
      <c r="Y473" s="9">
        <f>IFERROR(__xludf.DUMMYFUNCTION("""COMPUTED_VALUE"""),263.31)</f>
        <v>263.31</v>
      </c>
      <c r="AA473" s="11">
        <f>IFERROR(__xludf.DUMMYFUNCTION("""COMPUTED_VALUE"""),43734.66666666667)</f>
        <v>43734.66667</v>
      </c>
      <c r="AB473" s="9">
        <f>IFERROR(__xludf.DUMMYFUNCTION("""COMPUTED_VALUE"""),1762.79)</f>
        <v>1762.79</v>
      </c>
      <c r="AC473" s="11">
        <f>IFERROR(__xludf.DUMMYFUNCTION("""COMPUTED_VALUE"""),43734.66666666667)</f>
        <v>43734.66667</v>
      </c>
      <c r="AD473" s="9">
        <f>IFERROR(__xludf.DUMMYFUNCTION("""COMPUTED_VALUE"""),1739.84)</f>
        <v>1739.84</v>
      </c>
    </row>
    <row r="474">
      <c r="B474" s="11">
        <f>IFERROR(__xludf.DUMMYFUNCTION("""COMPUTED_VALUE"""),43735.66666666667)</f>
        <v>43735.66667</v>
      </c>
      <c r="C474" s="9">
        <f>IFERROR(__xludf.DUMMYFUNCTION("""COMPUTED_VALUE"""),48.44)</f>
        <v>48.44</v>
      </c>
      <c r="D474" s="11">
        <f>IFERROR(__xludf.DUMMYFUNCTION("""COMPUTED_VALUE"""),43735.66666666667)</f>
        <v>43735.66667</v>
      </c>
      <c r="E474" s="9">
        <f>IFERROR(__xludf.DUMMYFUNCTION("""COMPUTED_VALUE"""),48.43)</f>
        <v>48.43</v>
      </c>
      <c r="G474" s="11">
        <f>IFERROR(__xludf.DUMMYFUNCTION("""COMPUTED_VALUE"""),43735.66666666667)</f>
        <v>43735.66667</v>
      </c>
      <c r="H474" s="9">
        <f>IFERROR(__xludf.DUMMYFUNCTION("""COMPUTED_VALUE"""),1243.01)</f>
        <v>1243.01</v>
      </c>
      <c r="I474" s="11">
        <f>IFERROR(__xludf.DUMMYFUNCTION("""COMPUTED_VALUE"""),43735.66666666667)</f>
        <v>43735.66667</v>
      </c>
      <c r="J474" s="9">
        <f>IFERROR(__xludf.DUMMYFUNCTION("""COMPUTED_VALUE"""),1225.09)</f>
        <v>1225.09</v>
      </c>
      <c r="L474" s="11">
        <f>IFERROR(__xludf.DUMMYFUNCTION("""COMPUTED_VALUE"""),43735.66666666667)</f>
        <v>43735.66667</v>
      </c>
      <c r="M474" s="9">
        <f>IFERROR(__xludf.DUMMYFUNCTION("""COMPUTED_VALUE"""),55.14)</f>
        <v>55.14</v>
      </c>
      <c r="N474" s="11">
        <f>IFERROR(__xludf.DUMMYFUNCTION("""COMPUTED_VALUE"""),43735.66666666667)</f>
        <v>43735.66667</v>
      </c>
      <c r="O474" s="9">
        <f>IFERROR(__xludf.DUMMYFUNCTION("""COMPUTED_VALUE"""),54.71)</f>
        <v>54.71</v>
      </c>
      <c r="Q474" s="11">
        <f>IFERROR(__xludf.DUMMYFUNCTION("""COMPUTED_VALUE"""),43735.66666666667)</f>
        <v>43735.66667</v>
      </c>
      <c r="R474" s="9">
        <f>IFERROR(__xludf.DUMMYFUNCTION("""COMPUTED_VALUE"""),180.49)</f>
        <v>180.49</v>
      </c>
      <c r="S474" s="11">
        <f>IFERROR(__xludf.DUMMYFUNCTION("""COMPUTED_VALUE"""),43735.66666666667)</f>
        <v>43735.66667</v>
      </c>
      <c r="T474" s="9">
        <f>IFERROR(__xludf.DUMMYFUNCTION("""COMPUTED_VALUE"""),177.1)</f>
        <v>177.1</v>
      </c>
      <c r="V474" s="11">
        <f>IFERROR(__xludf.DUMMYFUNCTION("""COMPUTED_VALUE"""),43735.66666666667)</f>
        <v>43735.66667</v>
      </c>
      <c r="W474" s="9">
        <f>IFERROR(__xludf.DUMMYFUNCTION("""COMPUTED_VALUE"""),266.18)</f>
        <v>266.18</v>
      </c>
      <c r="X474" s="11">
        <f>IFERROR(__xludf.DUMMYFUNCTION("""COMPUTED_VALUE"""),43735.66666666667)</f>
        <v>43735.66667</v>
      </c>
      <c r="Y474" s="9">
        <f>IFERROR(__xludf.DUMMYFUNCTION("""COMPUTED_VALUE"""),263.08)</f>
        <v>263.08</v>
      </c>
      <c r="AA474" s="11">
        <f>IFERROR(__xludf.DUMMYFUNCTION("""COMPUTED_VALUE"""),43735.66666666667)</f>
        <v>43735.66667</v>
      </c>
      <c r="AB474" s="9">
        <f>IFERROR(__xludf.DUMMYFUNCTION("""COMPUTED_VALUE"""),1748.0)</f>
        <v>1748</v>
      </c>
      <c r="AC474" s="11">
        <f>IFERROR(__xludf.DUMMYFUNCTION("""COMPUTED_VALUE"""),43735.66666666667)</f>
        <v>43735.66667</v>
      </c>
      <c r="AD474" s="9">
        <f>IFERROR(__xludf.DUMMYFUNCTION("""COMPUTED_VALUE"""),1725.45)</f>
        <v>1725.45</v>
      </c>
    </row>
    <row r="475">
      <c r="B475" s="11">
        <f>IFERROR(__xludf.DUMMYFUNCTION("""COMPUTED_VALUE"""),43738.66666666667)</f>
        <v>43738.66667</v>
      </c>
      <c r="C475" s="9">
        <f>IFERROR(__xludf.DUMMYFUNCTION("""COMPUTED_VALUE"""),48.6)</f>
        <v>48.6</v>
      </c>
      <c r="D475" s="11">
        <f>IFERROR(__xludf.DUMMYFUNCTION("""COMPUTED_VALUE"""),43738.66666666667)</f>
        <v>43738.66667</v>
      </c>
      <c r="E475" s="9">
        <f>IFERROR(__xludf.DUMMYFUNCTION("""COMPUTED_VALUE"""),48.17)</f>
        <v>48.17</v>
      </c>
      <c r="G475" s="11">
        <f>IFERROR(__xludf.DUMMYFUNCTION("""COMPUTED_VALUE"""),43738.66666666667)</f>
        <v>43738.66667</v>
      </c>
      <c r="H475" s="9">
        <f>IFERROR(__xludf.DUMMYFUNCTION("""COMPUTED_VALUE"""),1220.97)</f>
        <v>1220.97</v>
      </c>
      <c r="I475" s="11">
        <f>IFERROR(__xludf.DUMMYFUNCTION("""COMPUTED_VALUE"""),43738.66666666667)</f>
        <v>43738.66667</v>
      </c>
      <c r="J475" s="9">
        <f>IFERROR(__xludf.DUMMYFUNCTION("""COMPUTED_VALUE"""),1219.0)</f>
        <v>1219</v>
      </c>
      <c r="L475" s="11">
        <f>IFERROR(__xludf.DUMMYFUNCTION("""COMPUTED_VALUE"""),43738.66666666667)</f>
        <v>43738.66667</v>
      </c>
      <c r="M475" s="9">
        <f>IFERROR(__xludf.DUMMYFUNCTION("""COMPUTED_VALUE"""),55.23)</f>
        <v>55.23</v>
      </c>
      <c r="N475" s="11">
        <f>IFERROR(__xludf.DUMMYFUNCTION("""COMPUTED_VALUE"""),43738.66666666667)</f>
        <v>43738.66667</v>
      </c>
      <c r="O475" s="9">
        <f>IFERROR(__xludf.DUMMYFUNCTION("""COMPUTED_VALUE"""),55.99)</f>
        <v>55.99</v>
      </c>
      <c r="Q475" s="11">
        <f>IFERROR(__xludf.DUMMYFUNCTION("""COMPUTED_VALUE"""),43738.66666666667)</f>
        <v>43738.66667</v>
      </c>
      <c r="R475" s="9">
        <f>IFERROR(__xludf.DUMMYFUNCTION("""COMPUTED_VALUE"""),177.87)</f>
        <v>177.87</v>
      </c>
      <c r="S475" s="11">
        <f>IFERROR(__xludf.DUMMYFUNCTION("""COMPUTED_VALUE"""),43738.66666666667)</f>
        <v>43738.66667</v>
      </c>
      <c r="T475" s="9">
        <f>IFERROR(__xludf.DUMMYFUNCTION("""COMPUTED_VALUE"""),178.08)</f>
        <v>178.08</v>
      </c>
      <c r="V475" s="11">
        <f>IFERROR(__xludf.DUMMYFUNCTION("""COMPUTED_VALUE"""),43738.66666666667)</f>
        <v>43738.66667</v>
      </c>
      <c r="W475" s="9">
        <f>IFERROR(__xludf.DUMMYFUNCTION("""COMPUTED_VALUE"""),264.0)</f>
        <v>264</v>
      </c>
      <c r="X475" s="11">
        <f>IFERROR(__xludf.DUMMYFUNCTION("""COMPUTED_VALUE"""),43738.66666666667)</f>
        <v>43738.66667</v>
      </c>
      <c r="Y475" s="9">
        <f>IFERROR(__xludf.DUMMYFUNCTION("""COMPUTED_VALUE"""),267.62)</f>
        <v>267.62</v>
      </c>
      <c r="AA475" s="11">
        <f>IFERROR(__xludf.DUMMYFUNCTION("""COMPUTED_VALUE"""),43738.66666666667)</f>
        <v>43738.66667</v>
      </c>
      <c r="AB475" s="9">
        <f>IFERROR(__xludf.DUMMYFUNCTION("""COMPUTED_VALUE"""),1726.99)</f>
        <v>1726.99</v>
      </c>
      <c r="AC475" s="11">
        <f>IFERROR(__xludf.DUMMYFUNCTION("""COMPUTED_VALUE"""),43738.66666666667)</f>
        <v>43738.66667</v>
      </c>
      <c r="AD475" s="9">
        <f>IFERROR(__xludf.DUMMYFUNCTION("""COMPUTED_VALUE"""),1735.91)</f>
        <v>1735.91</v>
      </c>
    </row>
    <row r="476">
      <c r="B476" s="11">
        <f>IFERROR(__xludf.DUMMYFUNCTION("""COMPUTED_VALUE"""),43739.66666666667)</f>
        <v>43739.66667</v>
      </c>
      <c r="C476" s="9">
        <f>IFERROR(__xludf.DUMMYFUNCTION("""COMPUTED_VALUE"""),48.3)</f>
        <v>48.3</v>
      </c>
      <c r="D476" s="11">
        <f>IFERROR(__xludf.DUMMYFUNCTION("""COMPUTED_VALUE"""),43739.66666666667)</f>
        <v>43739.66667</v>
      </c>
      <c r="E476" s="9">
        <f>IFERROR(__xludf.DUMMYFUNCTION("""COMPUTED_VALUE"""),48.94)</f>
        <v>48.94</v>
      </c>
      <c r="G476" s="11">
        <f>IFERROR(__xludf.DUMMYFUNCTION("""COMPUTED_VALUE"""),43739.66666666667)</f>
        <v>43739.66667</v>
      </c>
      <c r="H476" s="9">
        <f>IFERROR(__xludf.DUMMYFUNCTION("""COMPUTED_VALUE"""),1219.0)</f>
        <v>1219</v>
      </c>
      <c r="I476" s="11">
        <f>IFERROR(__xludf.DUMMYFUNCTION("""COMPUTED_VALUE"""),43739.66666666667)</f>
        <v>43739.66667</v>
      </c>
      <c r="J476" s="9">
        <f>IFERROR(__xludf.DUMMYFUNCTION("""COMPUTED_VALUE"""),1205.1)</f>
        <v>1205.1</v>
      </c>
      <c r="L476" s="11">
        <f>IFERROR(__xludf.DUMMYFUNCTION("""COMPUTED_VALUE"""),43739.66666666667)</f>
        <v>43739.66667</v>
      </c>
      <c r="M476" s="9">
        <f>IFERROR(__xludf.DUMMYFUNCTION("""COMPUTED_VALUE"""),56.27)</f>
        <v>56.27</v>
      </c>
      <c r="N476" s="11">
        <f>IFERROR(__xludf.DUMMYFUNCTION("""COMPUTED_VALUE"""),43739.66666666667)</f>
        <v>43739.66667</v>
      </c>
      <c r="O476" s="9">
        <f>IFERROR(__xludf.DUMMYFUNCTION("""COMPUTED_VALUE"""),56.15)</f>
        <v>56.15</v>
      </c>
      <c r="Q476" s="11">
        <f>IFERROR(__xludf.DUMMYFUNCTION("""COMPUTED_VALUE"""),43739.66666666667)</f>
        <v>43739.66667</v>
      </c>
      <c r="R476" s="9">
        <f>IFERROR(__xludf.DUMMYFUNCTION("""COMPUTED_VALUE"""),179.15)</f>
        <v>179.15</v>
      </c>
      <c r="S476" s="11">
        <f>IFERROR(__xludf.DUMMYFUNCTION("""COMPUTED_VALUE"""),43739.66666666667)</f>
        <v>43739.66667</v>
      </c>
      <c r="T476" s="9">
        <f>IFERROR(__xludf.DUMMYFUNCTION("""COMPUTED_VALUE"""),175.81)</f>
        <v>175.81</v>
      </c>
      <c r="V476" s="11">
        <f>IFERROR(__xludf.DUMMYFUNCTION("""COMPUTED_VALUE"""),43739.66666666667)</f>
        <v>43739.66667</v>
      </c>
      <c r="W476" s="9">
        <f>IFERROR(__xludf.DUMMYFUNCTION("""COMPUTED_VALUE"""),267.35)</f>
        <v>267.35</v>
      </c>
      <c r="X476" s="11">
        <f>IFERROR(__xludf.DUMMYFUNCTION("""COMPUTED_VALUE"""),43739.66666666667)</f>
        <v>43739.66667</v>
      </c>
      <c r="Y476" s="9">
        <f>IFERROR(__xludf.DUMMYFUNCTION("""COMPUTED_VALUE"""),269.58)</f>
        <v>269.58</v>
      </c>
      <c r="AA476" s="11">
        <f>IFERROR(__xludf.DUMMYFUNCTION("""COMPUTED_VALUE"""),43739.66666666667)</f>
        <v>43739.66667</v>
      </c>
      <c r="AB476" s="9">
        <f>IFERROR(__xludf.DUMMYFUNCTION("""COMPUTED_VALUE"""),1746.0)</f>
        <v>1746</v>
      </c>
      <c r="AC476" s="11">
        <f>IFERROR(__xludf.DUMMYFUNCTION("""COMPUTED_VALUE"""),43739.66666666667)</f>
        <v>43739.66667</v>
      </c>
      <c r="AD476" s="9">
        <f>IFERROR(__xludf.DUMMYFUNCTION("""COMPUTED_VALUE"""),1735.65)</f>
        <v>1735.65</v>
      </c>
    </row>
    <row r="477">
      <c r="B477" s="11">
        <f>IFERROR(__xludf.DUMMYFUNCTION("""COMPUTED_VALUE"""),43740.66666666667)</f>
        <v>43740.66667</v>
      </c>
      <c r="C477" s="9">
        <f>IFERROR(__xludf.DUMMYFUNCTION("""COMPUTED_VALUE"""),48.66)</f>
        <v>48.66</v>
      </c>
      <c r="D477" s="11">
        <f>IFERROR(__xludf.DUMMYFUNCTION("""COMPUTED_VALUE"""),43740.66666666667)</f>
        <v>43740.66667</v>
      </c>
      <c r="E477" s="9">
        <f>IFERROR(__xludf.DUMMYFUNCTION("""COMPUTED_VALUE"""),48.63)</f>
        <v>48.63</v>
      </c>
      <c r="G477" s="11">
        <f>IFERROR(__xludf.DUMMYFUNCTION("""COMPUTED_VALUE"""),43740.66666666667)</f>
        <v>43740.66667</v>
      </c>
      <c r="H477" s="9">
        <f>IFERROR(__xludf.DUMMYFUNCTION("""COMPUTED_VALUE"""),1196.98)</f>
        <v>1196.98</v>
      </c>
      <c r="I477" s="11">
        <f>IFERROR(__xludf.DUMMYFUNCTION("""COMPUTED_VALUE"""),43740.66666666667)</f>
        <v>43740.66667</v>
      </c>
      <c r="J477" s="9">
        <f>IFERROR(__xludf.DUMMYFUNCTION("""COMPUTED_VALUE"""),1176.63)</f>
        <v>1176.63</v>
      </c>
      <c r="L477" s="11">
        <f>IFERROR(__xludf.DUMMYFUNCTION("""COMPUTED_VALUE"""),43740.66666666667)</f>
        <v>43740.66667</v>
      </c>
      <c r="M477" s="9">
        <f>IFERROR(__xludf.DUMMYFUNCTION("""COMPUTED_VALUE"""),55.77)</f>
        <v>55.77</v>
      </c>
      <c r="N477" s="11">
        <f>IFERROR(__xludf.DUMMYFUNCTION("""COMPUTED_VALUE"""),43740.66666666667)</f>
        <v>43740.66667</v>
      </c>
      <c r="O477" s="9">
        <f>IFERROR(__xludf.DUMMYFUNCTION("""COMPUTED_VALUE"""),54.74)</f>
        <v>54.74</v>
      </c>
      <c r="Q477" s="11">
        <f>IFERROR(__xludf.DUMMYFUNCTION("""COMPUTED_VALUE"""),43740.66666666667)</f>
        <v>43740.66667</v>
      </c>
      <c r="R477" s="9">
        <f>IFERROR(__xludf.DUMMYFUNCTION("""COMPUTED_VALUE"""),174.84)</f>
        <v>174.84</v>
      </c>
      <c r="S477" s="11">
        <f>IFERROR(__xludf.DUMMYFUNCTION("""COMPUTED_VALUE"""),43740.66666666667)</f>
        <v>43740.66667</v>
      </c>
      <c r="T477" s="9">
        <f>IFERROR(__xludf.DUMMYFUNCTION("""COMPUTED_VALUE"""),174.6)</f>
        <v>174.6</v>
      </c>
      <c r="V477" s="11">
        <f>IFERROR(__xludf.DUMMYFUNCTION("""COMPUTED_VALUE"""),43740.66666666667)</f>
        <v>43740.66667</v>
      </c>
      <c r="W477" s="9">
        <f>IFERROR(__xludf.DUMMYFUNCTION("""COMPUTED_VALUE"""),263.61)</f>
        <v>263.61</v>
      </c>
      <c r="X477" s="11">
        <f>IFERROR(__xludf.DUMMYFUNCTION("""COMPUTED_VALUE"""),43740.66666666667)</f>
        <v>43740.66667</v>
      </c>
      <c r="Y477" s="9">
        <f>IFERROR(__xludf.DUMMYFUNCTION("""COMPUTED_VALUE"""),268.03)</f>
        <v>268.03</v>
      </c>
      <c r="AA477" s="11">
        <f>IFERROR(__xludf.DUMMYFUNCTION("""COMPUTED_VALUE"""),43740.66666666667)</f>
        <v>43740.66667</v>
      </c>
      <c r="AB477" s="9">
        <f>IFERROR(__xludf.DUMMYFUNCTION("""COMPUTED_VALUE"""),1727.74)</f>
        <v>1727.74</v>
      </c>
      <c r="AC477" s="11">
        <f>IFERROR(__xludf.DUMMYFUNCTION("""COMPUTED_VALUE"""),43740.66666666667)</f>
        <v>43740.66667</v>
      </c>
      <c r="AD477" s="9">
        <f>IFERROR(__xludf.DUMMYFUNCTION("""COMPUTED_VALUE"""),1713.23)</f>
        <v>1713.23</v>
      </c>
    </row>
    <row r="478">
      <c r="B478" s="11">
        <f>IFERROR(__xludf.DUMMYFUNCTION("""COMPUTED_VALUE"""),43741.66666666667)</f>
        <v>43741.66667</v>
      </c>
      <c r="C478" s="9">
        <f>IFERROR(__xludf.DUMMYFUNCTION("""COMPUTED_VALUE"""),46.37)</f>
        <v>46.37</v>
      </c>
      <c r="D478" s="11">
        <f>IFERROR(__xludf.DUMMYFUNCTION("""COMPUTED_VALUE"""),43741.66666666667)</f>
        <v>43741.66667</v>
      </c>
      <c r="E478" s="9">
        <f>IFERROR(__xludf.DUMMYFUNCTION("""COMPUTED_VALUE"""),46.61)</f>
        <v>46.61</v>
      </c>
      <c r="G478" s="11">
        <f>IFERROR(__xludf.DUMMYFUNCTION("""COMPUTED_VALUE"""),43741.66666666667)</f>
        <v>43741.66667</v>
      </c>
      <c r="H478" s="9">
        <f>IFERROR(__xludf.DUMMYFUNCTION("""COMPUTED_VALUE"""),1180.0)</f>
        <v>1180</v>
      </c>
      <c r="I478" s="11">
        <f>IFERROR(__xludf.DUMMYFUNCTION("""COMPUTED_VALUE"""),43741.66666666667)</f>
        <v>43741.66667</v>
      </c>
      <c r="J478" s="9">
        <f>IFERROR(__xludf.DUMMYFUNCTION("""COMPUTED_VALUE"""),1187.83)</f>
        <v>1187.83</v>
      </c>
      <c r="L478" s="11">
        <f>IFERROR(__xludf.DUMMYFUNCTION("""COMPUTED_VALUE"""),43741.66666666667)</f>
        <v>43741.66667</v>
      </c>
      <c r="M478" s="9">
        <f>IFERROR(__xludf.DUMMYFUNCTION("""COMPUTED_VALUE"""),54.61)</f>
        <v>54.61</v>
      </c>
      <c r="N478" s="11">
        <f>IFERROR(__xludf.DUMMYFUNCTION("""COMPUTED_VALUE"""),43741.66666666667)</f>
        <v>43741.66667</v>
      </c>
      <c r="O478" s="9">
        <f>IFERROR(__xludf.DUMMYFUNCTION("""COMPUTED_VALUE"""),55.21)</f>
        <v>55.21</v>
      </c>
      <c r="Q478" s="11">
        <f>IFERROR(__xludf.DUMMYFUNCTION("""COMPUTED_VALUE"""),43741.66666666667)</f>
        <v>43741.66667</v>
      </c>
      <c r="R478" s="9">
        <f>IFERROR(__xludf.DUMMYFUNCTION("""COMPUTED_VALUE"""),175.57)</f>
        <v>175.57</v>
      </c>
      <c r="S478" s="11">
        <f>IFERROR(__xludf.DUMMYFUNCTION("""COMPUTED_VALUE"""),43741.66666666667)</f>
        <v>43741.66667</v>
      </c>
      <c r="T478" s="9">
        <f>IFERROR(__xludf.DUMMYFUNCTION("""COMPUTED_VALUE"""),179.38)</f>
        <v>179.38</v>
      </c>
      <c r="V478" s="11">
        <f>IFERROR(__xludf.DUMMYFUNCTION("""COMPUTED_VALUE"""),43741.66666666667)</f>
        <v>43741.66667</v>
      </c>
      <c r="W478" s="9">
        <f>IFERROR(__xludf.DUMMYFUNCTION("""COMPUTED_VALUE"""),267.78)</f>
        <v>267.78</v>
      </c>
      <c r="X478" s="11">
        <f>IFERROR(__xludf.DUMMYFUNCTION("""COMPUTED_VALUE"""),43741.66666666667)</f>
        <v>43741.66667</v>
      </c>
      <c r="Y478" s="9">
        <f>IFERROR(__xludf.DUMMYFUNCTION("""COMPUTED_VALUE"""),268.15)</f>
        <v>268.15</v>
      </c>
      <c r="AA478" s="11">
        <f>IFERROR(__xludf.DUMMYFUNCTION("""COMPUTED_VALUE"""),43741.66666666667)</f>
        <v>43741.66667</v>
      </c>
      <c r="AB478" s="9">
        <f>IFERROR(__xludf.DUMMYFUNCTION("""COMPUTED_VALUE"""),1713.0)</f>
        <v>1713</v>
      </c>
      <c r="AC478" s="11">
        <f>IFERROR(__xludf.DUMMYFUNCTION("""COMPUTED_VALUE"""),43741.66666666667)</f>
        <v>43741.66667</v>
      </c>
      <c r="AD478" s="9">
        <f>IFERROR(__xludf.DUMMYFUNCTION("""COMPUTED_VALUE"""),1724.42)</f>
        <v>1724.42</v>
      </c>
    </row>
    <row r="479">
      <c r="B479" s="11">
        <f>IFERROR(__xludf.DUMMYFUNCTION("""COMPUTED_VALUE"""),43742.66666666667)</f>
        <v>43742.66667</v>
      </c>
      <c r="C479" s="9">
        <f>IFERROR(__xludf.DUMMYFUNCTION("""COMPUTED_VALUE"""),46.32)</f>
        <v>46.32</v>
      </c>
      <c r="D479" s="11">
        <f>IFERROR(__xludf.DUMMYFUNCTION("""COMPUTED_VALUE"""),43742.66666666667)</f>
        <v>43742.66667</v>
      </c>
      <c r="E479" s="9">
        <f>IFERROR(__xludf.DUMMYFUNCTION("""COMPUTED_VALUE"""),46.29)</f>
        <v>46.29</v>
      </c>
      <c r="G479" s="11">
        <f>IFERROR(__xludf.DUMMYFUNCTION("""COMPUTED_VALUE"""),43742.66666666667)</f>
        <v>43742.66667</v>
      </c>
      <c r="H479" s="9">
        <f>IFERROR(__xludf.DUMMYFUNCTION("""COMPUTED_VALUE"""),1191.89)</f>
        <v>1191.89</v>
      </c>
      <c r="I479" s="11">
        <f>IFERROR(__xludf.DUMMYFUNCTION("""COMPUTED_VALUE"""),43742.66666666667)</f>
        <v>43742.66667</v>
      </c>
      <c r="J479" s="9">
        <f>IFERROR(__xludf.DUMMYFUNCTION("""COMPUTED_VALUE"""),1209.0)</f>
        <v>1209</v>
      </c>
      <c r="L479" s="11">
        <f>IFERROR(__xludf.DUMMYFUNCTION("""COMPUTED_VALUE"""),43742.66666666667)</f>
        <v>43742.66667</v>
      </c>
      <c r="M479" s="9">
        <f>IFERROR(__xludf.DUMMYFUNCTION("""COMPUTED_VALUE"""),56.41)</f>
        <v>56.41</v>
      </c>
      <c r="N479" s="11">
        <f>IFERROR(__xludf.DUMMYFUNCTION("""COMPUTED_VALUE"""),43742.66666666667)</f>
        <v>43742.66667</v>
      </c>
      <c r="O479" s="9">
        <f>IFERROR(__xludf.DUMMYFUNCTION("""COMPUTED_VALUE"""),56.75)</f>
        <v>56.75</v>
      </c>
      <c r="Q479" s="11">
        <f>IFERROR(__xludf.DUMMYFUNCTION("""COMPUTED_VALUE"""),43742.66666666667)</f>
        <v>43742.66667</v>
      </c>
      <c r="R479" s="9">
        <f>IFERROR(__xludf.DUMMYFUNCTION("""COMPUTED_VALUE"""),179.55)</f>
        <v>179.55</v>
      </c>
      <c r="S479" s="11">
        <f>IFERROR(__xludf.DUMMYFUNCTION("""COMPUTED_VALUE"""),43742.66666666667)</f>
        <v>43742.66667</v>
      </c>
      <c r="T479" s="9">
        <f>IFERROR(__xludf.DUMMYFUNCTION("""COMPUTED_VALUE"""),180.45)</f>
        <v>180.45</v>
      </c>
      <c r="V479" s="11">
        <f>IFERROR(__xludf.DUMMYFUNCTION("""COMPUTED_VALUE"""),43742.66666666667)</f>
        <v>43742.66667</v>
      </c>
      <c r="W479" s="9">
        <f>IFERROR(__xludf.DUMMYFUNCTION("""COMPUTED_VALUE"""),268.2)</f>
        <v>268.2</v>
      </c>
      <c r="X479" s="11">
        <f>IFERROR(__xludf.DUMMYFUNCTION("""COMPUTED_VALUE"""),43742.66666666667)</f>
        <v>43742.66667</v>
      </c>
      <c r="Y479" s="9">
        <f>IFERROR(__xludf.DUMMYFUNCTION("""COMPUTED_VALUE"""),272.79)</f>
        <v>272.79</v>
      </c>
      <c r="AA479" s="11">
        <f>IFERROR(__xludf.DUMMYFUNCTION("""COMPUTED_VALUE"""),43742.66666666667)</f>
        <v>43742.66667</v>
      </c>
      <c r="AB479" s="9">
        <f>IFERROR(__xludf.DUMMYFUNCTION("""COMPUTED_VALUE"""),1726.02)</f>
        <v>1726.02</v>
      </c>
      <c r="AC479" s="11">
        <f>IFERROR(__xludf.DUMMYFUNCTION("""COMPUTED_VALUE"""),43742.66666666667)</f>
        <v>43742.66667</v>
      </c>
      <c r="AD479" s="9">
        <f>IFERROR(__xludf.DUMMYFUNCTION("""COMPUTED_VALUE"""),1739.65)</f>
        <v>1739.65</v>
      </c>
    </row>
    <row r="480">
      <c r="B480" s="11">
        <f>IFERROR(__xludf.DUMMYFUNCTION("""COMPUTED_VALUE"""),43745.66666666667)</f>
        <v>43745.66667</v>
      </c>
      <c r="C480" s="9">
        <f>IFERROR(__xludf.DUMMYFUNCTION("""COMPUTED_VALUE"""),45.96)</f>
        <v>45.96</v>
      </c>
      <c r="D480" s="11">
        <f>IFERROR(__xludf.DUMMYFUNCTION("""COMPUTED_VALUE"""),43745.66666666667)</f>
        <v>43745.66667</v>
      </c>
      <c r="E480" s="9">
        <f>IFERROR(__xludf.DUMMYFUNCTION("""COMPUTED_VALUE"""),47.54)</f>
        <v>47.54</v>
      </c>
      <c r="G480" s="11">
        <f>IFERROR(__xludf.DUMMYFUNCTION("""COMPUTED_VALUE"""),43745.66666666667)</f>
        <v>43745.66667</v>
      </c>
      <c r="H480" s="9">
        <f>IFERROR(__xludf.DUMMYFUNCTION("""COMPUTED_VALUE"""),1204.4)</f>
        <v>1204.4</v>
      </c>
      <c r="I480" s="11">
        <f>IFERROR(__xludf.DUMMYFUNCTION("""COMPUTED_VALUE"""),43745.66666666667)</f>
        <v>43745.66667</v>
      </c>
      <c r="J480" s="9">
        <f>IFERROR(__xludf.DUMMYFUNCTION("""COMPUTED_VALUE"""),1207.68)</f>
        <v>1207.68</v>
      </c>
      <c r="L480" s="11">
        <f>IFERROR(__xludf.DUMMYFUNCTION("""COMPUTED_VALUE"""),43745.66666666667)</f>
        <v>43745.66667</v>
      </c>
      <c r="M480" s="9">
        <f>IFERROR(__xludf.DUMMYFUNCTION("""COMPUTED_VALUE"""),56.57)</f>
        <v>56.57</v>
      </c>
      <c r="N480" s="11">
        <f>IFERROR(__xludf.DUMMYFUNCTION("""COMPUTED_VALUE"""),43745.66666666667)</f>
        <v>43745.66667</v>
      </c>
      <c r="O480" s="9">
        <f>IFERROR(__xludf.DUMMYFUNCTION("""COMPUTED_VALUE"""),56.77)</f>
        <v>56.77</v>
      </c>
      <c r="Q480" s="11">
        <f>IFERROR(__xludf.DUMMYFUNCTION("""COMPUTED_VALUE"""),43745.66666666667)</f>
        <v>43745.66667</v>
      </c>
      <c r="R480" s="9">
        <f>IFERROR(__xludf.DUMMYFUNCTION("""COMPUTED_VALUE"""),180.0)</f>
        <v>180</v>
      </c>
      <c r="S480" s="11">
        <f>IFERROR(__xludf.DUMMYFUNCTION("""COMPUTED_VALUE"""),43745.66666666667)</f>
        <v>43745.66667</v>
      </c>
      <c r="T480" s="9">
        <f>IFERROR(__xludf.DUMMYFUNCTION("""COMPUTED_VALUE"""),179.68)</f>
        <v>179.68</v>
      </c>
      <c r="V480" s="11">
        <f>IFERROR(__xludf.DUMMYFUNCTION("""COMPUTED_VALUE"""),43745.66666666667)</f>
        <v>43745.66667</v>
      </c>
      <c r="W480" s="9">
        <f>IFERROR(__xludf.DUMMYFUNCTION("""COMPUTED_VALUE"""),271.99)</f>
        <v>271.99</v>
      </c>
      <c r="X480" s="11">
        <f>IFERROR(__xludf.DUMMYFUNCTION("""COMPUTED_VALUE"""),43745.66666666667)</f>
        <v>43745.66667</v>
      </c>
      <c r="Y480" s="9">
        <f>IFERROR(__xludf.DUMMYFUNCTION("""COMPUTED_VALUE"""),274.46)</f>
        <v>274.46</v>
      </c>
      <c r="AA480" s="11">
        <f>IFERROR(__xludf.DUMMYFUNCTION("""COMPUTED_VALUE"""),43745.66666666667)</f>
        <v>43745.66667</v>
      </c>
      <c r="AB480" s="9">
        <f>IFERROR(__xludf.DUMMYFUNCTION("""COMPUTED_VALUE"""),1731.63)</f>
        <v>1731.63</v>
      </c>
      <c r="AC480" s="11">
        <f>IFERROR(__xludf.DUMMYFUNCTION("""COMPUTED_VALUE"""),43745.66666666667)</f>
        <v>43745.66667</v>
      </c>
      <c r="AD480" s="9">
        <f>IFERROR(__xludf.DUMMYFUNCTION("""COMPUTED_VALUE"""),1732.66)</f>
        <v>1732.66</v>
      </c>
    </row>
    <row r="481">
      <c r="B481" s="11">
        <f>IFERROR(__xludf.DUMMYFUNCTION("""COMPUTED_VALUE"""),43746.66666666667)</f>
        <v>43746.66667</v>
      </c>
      <c r="C481" s="9">
        <f>IFERROR(__xludf.DUMMYFUNCTION("""COMPUTED_VALUE"""),47.17)</f>
        <v>47.17</v>
      </c>
      <c r="D481" s="11">
        <f>IFERROR(__xludf.DUMMYFUNCTION("""COMPUTED_VALUE"""),43746.66666666667)</f>
        <v>43746.66667</v>
      </c>
      <c r="E481" s="9">
        <f>IFERROR(__xludf.DUMMYFUNCTION("""COMPUTED_VALUE"""),48.01)</f>
        <v>48.01</v>
      </c>
      <c r="G481" s="11">
        <f>IFERROR(__xludf.DUMMYFUNCTION("""COMPUTED_VALUE"""),43746.66666666667)</f>
        <v>43746.66667</v>
      </c>
      <c r="H481" s="9">
        <f>IFERROR(__xludf.DUMMYFUNCTION("""COMPUTED_VALUE"""),1197.59)</f>
        <v>1197.59</v>
      </c>
      <c r="I481" s="11">
        <f>IFERROR(__xludf.DUMMYFUNCTION("""COMPUTED_VALUE"""),43746.66666666667)</f>
        <v>43746.66667</v>
      </c>
      <c r="J481" s="9">
        <f>IFERROR(__xludf.DUMMYFUNCTION("""COMPUTED_VALUE"""),1189.13)</f>
        <v>1189.13</v>
      </c>
      <c r="L481" s="11">
        <f>IFERROR(__xludf.DUMMYFUNCTION("""COMPUTED_VALUE"""),43746.66666666667)</f>
        <v>43746.66667</v>
      </c>
      <c r="M481" s="9">
        <f>IFERROR(__xludf.DUMMYFUNCTION("""COMPUTED_VALUE"""),56.46)</f>
        <v>56.46</v>
      </c>
      <c r="N481" s="11">
        <f>IFERROR(__xludf.DUMMYFUNCTION("""COMPUTED_VALUE"""),43746.66666666667)</f>
        <v>43746.66667</v>
      </c>
      <c r="O481" s="9">
        <f>IFERROR(__xludf.DUMMYFUNCTION("""COMPUTED_VALUE"""),56.1)</f>
        <v>56.1</v>
      </c>
      <c r="Q481" s="11">
        <f>IFERROR(__xludf.DUMMYFUNCTION("""COMPUTED_VALUE"""),43746.66666666667)</f>
        <v>43746.66667</v>
      </c>
      <c r="R481" s="9">
        <f>IFERROR(__xludf.DUMMYFUNCTION("""COMPUTED_VALUE"""),178.26)</f>
        <v>178.26</v>
      </c>
      <c r="S481" s="11">
        <f>IFERROR(__xludf.DUMMYFUNCTION("""COMPUTED_VALUE"""),43746.66666666667)</f>
        <v>43746.66667</v>
      </c>
      <c r="T481" s="9">
        <f>IFERROR(__xludf.DUMMYFUNCTION("""COMPUTED_VALUE"""),177.75)</f>
        <v>177.75</v>
      </c>
      <c r="V481" s="11">
        <f>IFERROR(__xludf.DUMMYFUNCTION("""COMPUTED_VALUE"""),43746.66666666667)</f>
        <v>43746.66667</v>
      </c>
      <c r="W481" s="9">
        <f>IFERROR(__xludf.DUMMYFUNCTION("""COMPUTED_VALUE"""),273.03)</f>
        <v>273.03</v>
      </c>
      <c r="X481" s="11">
        <f>IFERROR(__xludf.DUMMYFUNCTION("""COMPUTED_VALUE"""),43746.66666666667)</f>
        <v>43746.66667</v>
      </c>
      <c r="Y481" s="9">
        <f>IFERROR(__xludf.DUMMYFUNCTION("""COMPUTED_VALUE"""),270.72)</f>
        <v>270.72</v>
      </c>
      <c r="AA481" s="11">
        <f>IFERROR(__xludf.DUMMYFUNCTION("""COMPUTED_VALUE"""),43746.66666666667)</f>
        <v>43746.66667</v>
      </c>
      <c r="AB481" s="9">
        <f>IFERROR(__xludf.DUMMYFUNCTION("""COMPUTED_VALUE"""),1722.49)</f>
        <v>1722.49</v>
      </c>
      <c r="AC481" s="11">
        <f>IFERROR(__xludf.DUMMYFUNCTION("""COMPUTED_VALUE"""),43746.66666666667)</f>
        <v>43746.66667</v>
      </c>
      <c r="AD481" s="9">
        <f>IFERROR(__xludf.DUMMYFUNCTION("""COMPUTED_VALUE"""),1705.51)</f>
        <v>1705.51</v>
      </c>
    </row>
    <row r="482">
      <c r="B482" s="11">
        <f>IFERROR(__xludf.DUMMYFUNCTION("""COMPUTED_VALUE"""),43747.66666666667)</f>
        <v>43747.66667</v>
      </c>
      <c r="C482" s="9">
        <f>IFERROR(__xludf.DUMMYFUNCTION("""COMPUTED_VALUE"""),48.26)</f>
        <v>48.26</v>
      </c>
      <c r="D482" s="11">
        <f>IFERROR(__xludf.DUMMYFUNCTION("""COMPUTED_VALUE"""),43747.66666666667)</f>
        <v>43747.66667</v>
      </c>
      <c r="E482" s="9">
        <f>IFERROR(__xludf.DUMMYFUNCTION("""COMPUTED_VALUE"""),48.91)</f>
        <v>48.91</v>
      </c>
      <c r="G482" s="11">
        <f>IFERROR(__xludf.DUMMYFUNCTION("""COMPUTED_VALUE"""),43747.66666666667)</f>
        <v>43747.66667</v>
      </c>
      <c r="H482" s="9">
        <f>IFERROR(__xludf.DUMMYFUNCTION("""COMPUTED_VALUE"""),1199.35)</f>
        <v>1199.35</v>
      </c>
      <c r="I482" s="11">
        <f>IFERROR(__xludf.DUMMYFUNCTION("""COMPUTED_VALUE"""),43747.66666666667)</f>
        <v>43747.66667</v>
      </c>
      <c r="J482" s="9">
        <f>IFERROR(__xludf.DUMMYFUNCTION("""COMPUTED_VALUE"""),1202.31)</f>
        <v>1202.31</v>
      </c>
      <c r="L482" s="11">
        <f>IFERROR(__xludf.DUMMYFUNCTION("""COMPUTED_VALUE"""),43747.66666666667)</f>
        <v>43747.66667</v>
      </c>
      <c r="M482" s="9">
        <f>IFERROR(__xludf.DUMMYFUNCTION("""COMPUTED_VALUE"""),56.76)</f>
        <v>56.76</v>
      </c>
      <c r="N482" s="11">
        <f>IFERROR(__xludf.DUMMYFUNCTION("""COMPUTED_VALUE"""),43747.66666666667)</f>
        <v>43747.66667</v>
      </c>
      <c r="O482" s="9">
        <f>IFERROR(__xludf.DUMMYFUNCTION("""COMPUTED_VALUE"""),56.76)</f>
        <v>56.76</v>
      </c>
      <c r="Q482" s="11">
        <f>IFERROR(__xludf.DUMMYFUNCTION("""COMPUTED_VALUE"""),43747.66666666667)</f>
        <v>43747.66667</v>
      </c>
      <c r="R482" s="9">
        <f>IFERROR(__xludf.DUMMYFUNCTION("""COMPUTED_VALUE"""),179.16)</f>
        <v>179.16</v>
      </c>
      <c r="S482" s="11">
        <f>IFERROR(__xludf.DUMMYFUNCTION("""COMPUTED_VALUE"""),43747.66666666667)</f>
        <v>43747.66667</v>
      </c>
      <c r="T482" s="9">
        <f>IFERROR(__xludf.DUMMYFUNCTION("""COMPUTED_VALUE"""),179.85)</f>
        <v>179.85</v>
      </c>
      <c r="V482" s="11">
        <f>IFERROR(__xludf.DUMMYFUNCTION("""COMPUTED_VALUE"""),43747.66666666667)</f>
        <v>43747.66667</v>
      </c>
      <c r="W482" s="9">
        <f>IFERROR(__xludf.DUMMYFUNCTION("""COMPUTED_VALUE"""),270.02)</f>
        <v>270.02</v>
      </c>
      <c r="X482" s="11">
        <f>IFERROR(__xludf.DUMMYFUNCTION("""COMPUTED_VALUE"""),43747.66666666667)</f>
        <v>43747.66667</v>
      </c>
      <c r="Y482" s="9">
        <f>IFERROR(__xludf.DUMMYFUNCTION("""COMPUTED_VALUE"""),267.53)</f>
        <v>267.53</v>
      </c>
      <c r="AA482" s="11">
        <f>IFERROR(__xludf.DUMMYFUNCTION("""COMPUTED_VALUE"""),43747.66666666667)</f>
        <v>43747.66667</v>
      </c>
      <c r="AB482" s="9">
        <f>IFERROR(__xludf.DUMMYFUNCTION("""COMPUTED_VALUE"""),1719.61)</f>
        <v>1719.61</v>
      </c>
      <c r="AC482" s="11">
        <f>IFERROR(__xludf.DUMMYFUNCTION("""COMPUTED_VALUE"""),43747.66666666667)</f>
        <v>43747.66667</v>
      </c>
      <c r="AD482" s="9">
        <f>IFERROR(__xludf.DUMMYFUNCTION("""COMPUTED_VALUE"""),1721.99)</f>
        <v>1721.99</v>
      </c>
    </row>
    <row r="483">
      <c r="B483" s="11">
        <f>IFERROR(__xludf.DUMMYFUNCTION("""COMPUTED_VALUE"""),43748.66666666667)</f>
        <v>43748.66667</v>
      </c>
      <c r="C483" s="9">
        <f>IFERROR(__xludf.DUMMYFUNCTION("""COMPUTED_VALUE"""),49.06)</f>
        <v>49.06</v>
      </c>
      <c r="D483" s="11">
        <f>IFERROR(__xludf.DUMMYFUNCTION("""COMPUTED_VALUE"""),43748.66666666667)</f>
        <v>43748.66667</v>
      </c>
      <c r="E483" s="9">
        <f>IFERROR(__xludf.DUMMYFUNCTION("""COMPUTED_VALUE"""),48.95)</f>
        <v>48.95</v>
      </c>
      <c r="G483" s="11">
        <f>IFERROR(__xludf.DUMMYFUNCTION("""COMPUTED_VALUE"""),43748.66666666667)</f>
        <v>43748.66667</v>
      </c>
      <c r="H483" s="9">
        <f>IFERROR(__xludf.DUMMYFUNCTION("""COMPUTED_VALUE"""),1198.58)</f>
        <v>1198.58</v>
      </c>
      <c r="I483" s="11">
        <f>IFERROR(__xludf.DUMMYFUNCTION("""COMPUTED_VALUE"""),43748.66666666667)</f>
        <v>43748.66667</v>
      </c>
      <c r="J483" s="9">
        <f>IFERROR(__xludf.DUMMYFUNCTION("""COMPUTED_VALUE"""),1208.67)</f>
        <v>1208.67</v>
      </c>
      <c r="L483" s="11">
        <f>IFERROR(__xludf.DUMMYFUNCTION("""COMPUTED_VALUE"""),43748.66666666667)</f>
        <v>43748.66667</v>
      </c>
      <c r="M483" s="9">
        <f>IFERROR(__xludf.DUMMYFUNCTION("""COMPUTED_VALUE"""),56.98)</f>
        <v>56.98</v>
      </c>
      <c r="N483" s="11">
        <f>IFERROR(__xludf.DUMMYFUNCTION("""COMPUTED_VALUE"""),43748.66666666667)</f>
        <v>43748.66667</v>
      </c>
      <c r="O483" s="9">
        <f>IFERROR(__xludf.DUMMYFUNCTION("""COMPUTED_VALUE"""),57.52)</f>
        <v>57.52</v>
      </c>
      <c r="Q483" s="11">
        <f>IFERROR(__xludf.DUMMYFUNCTION("""COMPUTED_VALUE"""),43748.66666666667)</f>
        <v>43748.66667</v>
      </c>
      <c r="R483" s="9">
        <f>IFERROR(__xludf.DUMMYFUNCTION("""COMPUTED_VALUE"""),180.32)</f>
        <v>180.32</v>
      </c>
      <c r="S483" s="11">
        <f>IFERROR(__xludf.DUMMYFUNCTION("""COMPUTED_VALUE"""),43748.66666666667)</f>
        <v>43748.66667</v>
      </c>
      <c r="T483" s="9">
        <f>IFERROR(__xludf.DUMMYFUNCTION("""COMPUTED_VALUE"""),180.03)</f>
        <v>180.03</v>
      </c>
      <c r="V483" s="11">
        <f>IFERROR(__xludf.DUMMYFUNCTION("""COMPUTED_VALUE"""),43748.66666666667)</f>
        <v>43748.66667</v>
      </c>
      <c r="W483" s="9">
        <f>IFERROR(__xludf.DUMMYFUNCTION("""COMPUTED_VALUE"""),265.97)</f>
        <v>265.97</v>
      </c>
      <c r="X483" s="11">
        <f>IFERROR(__xludf.DUMMYFUNCTION("""COMPUTED_VALUE"""),43748.66666666667)</f>
        <v>43748.66667</v>
      </c>
      <c r="Y483" s="9">
        <f>IFERROR(__xludf.DUMMYFUNCTION("""COMPUTED_VALUE"""),280.48)</f>
        <v>280.48</v>
      </c>
      <c r="AA483" s="11">
        <f>IFERROR(__xludf.DUMMYFUNCTION("""COMPUTED_VALUE"""),43748.66666666667)</f>
        <v>43748.66667</v>
      </c>
      <c r="AB483" s="9">
        <f>IFERROR(__xludf.DUMMYFUNCTION("""COMPUTED_VALUE"""),1725.24)</f>
        <v>1725.24</v>
      </c>
      <c r="AC483" s="11">
        <f>IFERROR(__xludf.DUMMYFUNCTION("""COMPUTED_VALUE"""),43748.66666666667)</f>
        <v>43748.66667</v>
      </c>
      <c r="AD483" s="9">
        <f>IFERROR(__xludf.DUMMYFUNCTION("""COMPUTED_VALUE"""),1720.26)</f>
        <v>1720.26</v>
      </c>
    </row>
    <row r="484">
      <c r="B484" s="11">
        <f>IFERROR(__xludf.DUMMYFUNCTION("""COMPUTED_VALUE"""),43749.66666666667)</f>
        <v>43749.66667</v>
      </c>
      <c r="C484" s="9">
        <f>IFERROR(__xludf.DUMMYFUNCTION("""COMPUTED_VALUE"""),49.43)</f>
        <v>49.43</v>
      </c>
      <c r="D484" s="11">
        <f>IFERROR(__xludf.DUMMYFUNCTION("""COMPUTED_VALUE"""),43749.66666666667)</f>
        <v>43749.66667</v>
      </c>
      <c r="E484" s="9">
        <f>IFERROR(__xludf.DUMMYFUNCTION("""COMPUTED_VALUE"""),49.58)</f>
        <v>49.58</v>
      </c>
      <c r="G484" s="11">
        <f>IFERROR(__xludf.DUMMYFUNCTION("""COMPUTED_VALUE"""),43749.66666666667)</f>
        <v>43749.66667</v>
      </c>
      <c r="H484" s="9">
        <f>IFERROR(__xludf.DUMMYFUNCTION("""COMPUTED_VALUE"""),1222.21)</f>
        <v>1222.21</v>
      </c>
      <c r="I484" s="11">
        <f>IFERROR(__xludf.DUMMYFUNCTION("""COMPUTED_VALUE"""),43749.66666666667)</f>
        <v>43749.66667</v>
      </c>
      <c r="J484" s="9">
        <f>IFERROR(__xludf.DUMMYFUNCTION("""COMPUTED_VALUE"""),1215.45)</f>
        <v>1215.45</v>
      </c>
      <c r="L484" s="11">
        <f>IFERROR(__xludf.DUMMYFUNCTION("""COMPUTED_VALUE"""),43749.66666666667)</f>
        <v>43749.66667</v>
      </c>
      <c r="M484" s="9">
        <f>IFERROR(__xludf.DUMMYFUNCTION("""COMPUTED_VALUE"""),58.24)</f>
        <v>58.24</v>
      </c>
      <c r="N484" s="11">
        <f>IFERROR(__xludf.DUMMYFUNCTION("""COMPUTED_VALUE"""),43749.66666666667)</f>
        <v>43749.66667</v>
      </c>
      <c r="O484" s="9">
        <f>IFERROR(__xludf.DUMMYFUNCTION("""COMPUTED_VALUE"""),59.05)</f>
        <v>59.05</v>
      </c>
      <c r="Q484" s="11">
        <f>IFERROR(__xludf.DUMMYFUNCTION("""COMPUTED_VALUE"""),43749.66666666667)</f>
        <v>43749.66667</v>
      </c>
      <c r="R484" s="9">
        <f>IFERROR(__xludf.DUMMYFUNCTION("""COMPUTED_VALUE"""),182.15)</f>
        <v>182.15</v>
      </c>
      <c r="S484" s="11">
        <f>IFERROR(__xludf.DUMMYFUNCTION("""COMPUTED_VALUE"""),43749.66666666667)</f>
        <v>43749.66667</v>
      </c>
      <c r="T484" s="9">
        <f>IFERROR(__xludf.DUMMYFUNCTION("""COMPUTED_VALUE"""),184.19)</f>
        <v>184.19</v>
      </c>
      <c r="V484" s="11">
        <f>IFERROR(__xludf.DUMMYFUNCTION("""COMPUTED_VALUE"""),43749.66666666667)</f>
        <v>43749.66667</v>
      </c>
      <c r="W484" s="9">
        <f>IFERROR(__xludf.DUMMYFUNCTION("""COMPUTED_VALUE"""),284.8)</f>
        <v>284.8</v>
      </c>
      <c r="X484" s="11">
        <f>IFERROR(__xludf.DUMMYFUNCTION("""COMPUTED_VALUE"""),43749.66666666667)</f>
        <v>43749.66667</v>
      </c>
      <c r="Y484" s="9">
        <f>IFERROR(__xludf.DUMMYFUNCTION("""COMPUTED_VALUE"""),282.93)</f>
        <v>282.93</v>
      </c>
      <c r="AA484" s="11">
        <f>IFERROR(__xludf.DUMMYFUNCTION("""COMPUTED_VALUE"""),43749.66666666667)</f>
        <v>43749.66667</v>
      </c>
      <c r="AB484" s="9">
        <f>IFERROR(__xludf.DUMMYFUNCTION("""COMPUTED_VALUE"""),1742.92)</f>
        <v>1742.92</v>
      </c>
      <c r="AC484" s="11">
        <f>IFERROR(__xludf.DUMMYFUNCTION("""COMPUTED_VALUE"""),43749.66666666667)</f>
        <v>43749.66667</v>
      </c>
      <c r="AD484" s="9">
        <f>IFERROR(__xludf.DUMMYFUNCTION("""COMPUTED_VALUE"""),1731.92)</f>
        <v>1731.92</v>
      </c>
    </row>
    <row r="485">
      <c r="B485" s="11">
        <f>IFERROR(__xludf.DUMMYFUNCTION("""COMPUTED_VALUE"""),43752.66666666667)</f>
        <v>43752.66667</v>
      </c>
      <c r="C485" s="9">
        <f>IFERROR(__xludf.DUMMYFUNCTION("""COMPUTED_VALUE"""),49.58)</f>
        <v>49.58</v>
      </c>
      <c r="D485" s="11">
        <f>IFERROR(__xludf.DUMMYFUNCTION("""COMPUTED_VALUE"""),43752.66666666667)</f>
        <v>43752.66667</v>
      </c>
      <c r="E485" s="9">
        <f>IFERROR(__xludf.DUMMYFUNCTION("""COMPUTED_VALUE"""),51.39)</f>
        <v>51.39</v>
      </c>
      <c r="G485" s="11">
        <f>IFERROR(__xludf.DUMMYFUNCTION("""COMPUTED_VALUE"""),43752.66666666667)</f>
        <v>43752.66667</v>
      </c>
      <c r="H485" s="9">
        <f>IFERROR(__xludf.DUMMYFUNCTION("""COMPUTED_VALUE"""),1212.34)</f>
        <v>1212.34</v>
      </c>
      <c r="I485" s="11">
        <f>IFERROR(__xludf.DUMMYFUNCTION("""COMPUTED_VALUE"""),43752.66666666667)</f>
        <v>43752.66667</v>
      </c>
      <c r="J485" s="9">
        <f>IFERROR(__xludf.DUMMYFUNCTION("""COMPUTED_VALUE"""),1217.14)</f>
        <v>1217.14</v>
      </c>
      <c r="L485" s="11">
        <f>IFERROR(__xludf.DUMMYFUNCTION("""COMPUTED_VALUE"""),43752.66666666667)</f>
        <v>43752.66667</v>
      </c>
      <c r="M485" s="9">
        <f>IFERROR(__xludf.DUMMYFUNCTION("""COMPUTED_VALUE"""),58.73)</f>
        <v>58.73</v>
      </c>
      <c r="N485" s="11">
        <f>IFERROR(__xludf.DUMMYFUNCTION("""COMPUTED_VALUE"""),43752.66666666667)</f>
        <v>43752.66667</v>
      </c>
      <c r="O485" s="9">
        <f>IFERROR(__xludf.DUMMYFUNCTION("""COMPUTED_VALUE"""),58.97)</f>
        <v>58.97</v>
      </c>
      <c r="Q485" s="11">
        <f>IFERROR(__xludf.DUMMYFUNCTION("""COMPUTED_VALUE"""),43752.66666666667)</f>
        <v>43752.66667</v>
      </c>
      <c r="R485" s="9">
        <f>IFERROR(__xludf.DUMMYFUNCTION("""COMPUTED_VALUE"""),184.2)</f>
        <v>184.2</v>
      </c>
      <c r="S485" s="11">
        <f>IFERROR(__xludf.DUMMYFUNCTION("""COMPUTED_VALUE"""),43752.66666666667)</f>
        <v>43752.66667</v>
      </c>
      <c r="T485" s="9">
        <f>IFERROR(__xludf.DUMMYFUNCTION("""COMPUTED_VALUE"""),183.28)</f>
        <v>183.28</v>
      </c>
      <c r="V485" s="11">
        <f>IFERROR(__xludf.DUMMYFUNCTION("""COMPUTED_VALUE"""),43752.66666666667)</f>
        <v>43752.66667</v>
      </c>
      <c r="W485" s="9">
        <f>IFERROR(__xludf.DUMMYFUNCTION("""COMPUTED_VALUE"""),283.93)</f>
        <v>283.93</v>
      </c>
      <c r="X485" s="11">
        <f>IFERROR(__xludf.DUMMYFUNCTION("""COMPUTED_VALUE"""),43752.66666666667)</f>
        <v>43752.66667</v>
      </c>
      <c r="Y485" s="9">
        <f>IFERROR(__xludf.DUMMYFUNCTION("""COMPUTED_VALUE"""),285.53)</f>
        <v>285.53</v>
      </c>
      <c r="AA485" s="11">
        <f>IFERROR(__xludf.DUMMYFUNCTION("""COMPUTED_VALUE"""),43752.66666666667)</f>
        <v>43752.66667</v>
      </c>
      <c r="AB485" s="9">
        <f>IFERROR(__xludf.DUMMYFUNCTION("""COMPUTED_VALUE"""),1728.91)</f>
        <v>1728.91</v>
      </c>
      <c r="AC485" s="11">
        <f>IFERROR(__xludf.DUMMYFUNCTION("""COMPUTED_VALUE"""),43752.66666666667)</f>
        <v>43752.66667</v>
      </c>
      <c r="AD485" s="9">
        <f>IFERROR(__xludf.DUMMYFUNCTION("""COMPUTED_VALUE"""),1736.43)</f>
        <v>1736.43</v>
      </c>
    </row>
    <row r="486">
      <c r="B486" s="11">
        <f>IFERROR(__xludf.DUMMYFUNCTION("""COMPUTED_VALUE"""),43753.66666666667)</f>
        <v>43753.66667</v>
      </c>
      <c r="C486" s="9">
        <f>IFERROR(__xludf.DUMMYFUNCTION("""COMPUTED_VALUE"""),51.54)</f>
        <v>51.54</v>
      </c>
      <c r="D486" s="11">
        <f>IFERROR(__xludf.DUMMYFUNCTION("""COMPUTED_VALUE"""),43753.66666666667)</f>
        <v>43753.66667</v>
      </c>
      <c r="E486" s="9">
        <f>IFERROR(__xludf.DUMMYFUNCTION("""COMPUTED_VALUE"""),51.58)</f>
        <v>51.58</v>
      </c>
      <c r="G486" s="11">
        <f>IFERROR(__xludf.DUMMYFUNCTION("""COMPUTED_VALUE"""),43753.66666666667)</f>
        <v>43753.66667</v>
      </c>
      <c r="H486" s="9">
        <f>IFERROR(__xludf.DUMMYFUNCTION("""COMPUTED_VALUE"""),1220.4)</f>
        <v>1220.4</v>
      </c>
      <c r="I486" s="11">
        <f>IFERROR(__xludf.DUMMYFUNCTION("""COMPUTED_VALUE"""),43753.66666666667)</f>
        <v>43753.66667</v>
      </c>
      <c r="J486" s="9">
        <f>IFERROR(__xludf.DUMMYFUNCTION("""COMPUTED_VALUE"""),1243.01)</f>
        <v>1243.01</v>
      </c>
      <c r="L486" s="11">
        <f>IFERROR(__xludf.DUMMYFUNCTION("""COMPUTED_VALUE"""),43753.66666666667)</f>
        <v>43753.66667</v>
      </c>
      <c r="M486" s="9">
        <f>IFERROR(__xludf.DUMMYFUNCTION("""COMPUTED_VALUE"""),59.1)</f>
        <v>59.1</v>
      </c>
      <c r="N486" s="11">
        <f>IFERROR(__xludf.DUMMYFUNCTION("""COMPUTED_VALUE"""),43753.66666666667)</f>
        <v>43753.66667</v>
      </c>
      <c r="O486" s="9">
        <f>IFERROR(__xludf.DUMMYFUNCTION("""COMPUTED_VALUE"""),58.83)</f>
        <v>58.83</v>
      </c>
      <c r="Q486" s="11">
        <f>IFERROR(__xludf.DUMMYFUNCTION("""COMPUTED_VALUE"""),43753.66666666667)</f>
        <v>43753.66667</v>
      </c>
      <c r="R486" s="9">
        <f>IFERROR(__xludf.DUMMYFUNCTION("""COMPUTED_VALUE"""),183.8)</f>
        <v>183.8</v>
      </c>
      <c r="S486" s="11">
        <f>IFERROR(__xludf.DUMMYFUNCTION("""COMPUTED_VALUE"""),43753.66666666667)</f>
        <v>43753.66667</v>
      </c>
      <c r="T486" s="9">
        <f>IFERROR(__xludf.DUMMYFUNCTION("""COMPUTED_VALUE"""),188.89)</f>
        <v>188.89</v>
      </c>
      <c r="V486" s="11">
        <f>IFERROR(__xludf.DUMMYFUNCTION("""COMPUTED_VALUE"""),43753.66666666667)</f>
        <v>43753.66667</v>
      </c>
      <c r="W486" s="9">
        <f>IFERROR(__xludf.DUMMYFUNCTION("""COMPUTED_VALUE"""),283.82)</f>
        <v>283.82</v>
      </c>
      <c r="X486" s="11">
        <f>IFERROR(__xludf.DUMMYFUNCTION("""COMPUTED_VALUE"""),43753.66666666667)</f>
        <v>43753.66667</v>
      </c>
      <c r="Y486" s="9">
        <f>IFERROR(__xludf.DUMMYFUNCTION("""COMPUTED_VALUE"""),284.25)</f>
        <v>284.25</v>
      </c>
      <c r="AA486" s="11">
        <f>IFERROR(__xludf.DUMMYFUNCTION("""COMPUTED_VALUE"""),43753.66666666667)</f>
        <v>43753.66667</v>
      </c>
      <c r="AB486" s="9">
        <f>IFERROR(__xludf.DUMMYFUNCTION("""COMPUTED_VALUE"""),1742.14)</f>
        <v>1742.14</v>
      </c>
      <c r="AC486" s="11">
        <f>IFERROR(__xludf.DUMMYFUNCTION("""COMPUTED_VALUE"""),43753.66666666667)</f>
        <v>43753.66667</v>
      </c>
      <c r="AD486" s="9">
        <f>IFERROR(__xludf.DUMMYFUNCTION("""COMPUTED_VALUE"""),1767.38)</f>
        <v>1767.38</v>
      </c>
    </row>
    <row r="487">
      <c r="B487" s="11">
        <f>IFERROR(__xludf.DUMMYFUNCTION("""COMPUTED_VALUE"""),43754.66666666667)</f>
        <v>43754.66667</v>
      </c>
      <c r="C487" s="9">
        <f>IFERROR(__xludf.DUMMYFUNCTION("""COMPUTED_VALUE"""),51.48)</f>
        <v>51.48</v>
      </c>
      <c r="D487" s="11">
        <f>IFERROR(__xludf.DUMMYFUNCTION("""COMPUTED_VALUE"""),43754.66666666667)</f>
        <v>43754.66667</v>
      </c>
      <c r="E487" s="9">
        <f>IFERROR(__xludf.DUMMYFUNCTION("""COMPUTED_VALUE"""),51.95)</f>
        <v>51.95</v>
      </c>
      <c r="G487" s="11">
        <f>IFERROR(__xludf.DUMMYFUNCTION("""COMPUTED_VALUE"""),43754.66666666667)</f>
        <v>43754.66667</v>
      </c>
      <c r="H487" s="9">
        <f>IFERROR(__xludf.DUMMYFUNCTION("""COMPUTED_VALUE"""),1241.17)</f>
        <v>1241.17</v>
      </c>
      <c r="I487" s="11">
        <f>IFERROR(__xludf.DUMMYFUNCTION("""COMPUTED_VALUE"""),43754.66666666667)</f>
        <v>43754.66667</v>
      </c>
      <c r="J487" s="9">
        <f>IFERROR(__xludf.DUMMYFUNCTION("""COMPUTED_VALUE"""),1243.64)</f>
        <v>1243.64</v>
      </c>
      <c r="L487" s="11">
        <f>IFERROR(__xludf.DUMMYFUNCTION("""COMPUTED_VALUE"""),43754.66666666667)</f>
        <v>43754.66667</v>
      </c>
      <c r="M487" s="9">
        <f>IFERROR(__xludf.DUMMYFUNCTION("""COMPUTED_VALUE"""),58.34)</f>
        <v>58.34</v>
      </c>
      <c r="N487" s="11">
        <f>IFERROR(__xludf.DUMMYFUNCTION("""COMPUTED_VALUE"""),43754.66666666667)</f>
        <v>43754.66667</v>
      </c>
      <c r="O487" s="9">
        <f>IFERROR(__xludf.DUMMYFUNCTION("""COMPUTED_VALUE"""),58.59)</f>
        <v>58.59</v>
      </c>
      <c r="Q487" s="11">
        <f>IFERROR(__xludf.DUMMYFUNCTION("""COMPUTED_VALUE"""),43754.66666666667)</f>
        <v>43754.66667</v>
      </c>
      <c r="R487" s="9">
        <f>IFERROR(__xludf.DUMMYFUNCTION("""COMPUTED_VALUE"""),188.32)</f>
        <v>188.32</v>
      </c>
      <c r="S487" s="11">
        <f>IFERROR(__xludf.DUMMYFUNCTION("""COMPUTED_VALUE"""),43754.66666666667)</f>
        <v>43754.66667</v>
      </c>
      <c r="T487" s="9">
        <f>IFERROR(__xludf.DUMMYFUNCTION("""COMPUTED_VALUE"""),189.55)</f>
        <v>189.55</v>
      </c>
      <c r="V487" s="11">
        <f>IFERROR(__xludf.DUMMYFUNCTION("""COMPUTED_VALUE"""),43754.66666666667)</f>
        <v>43754.66667</v>
      </c>
      <c r="W487" s="9">
        <f>IFERROR(__xludf.DUMMYFUNCTION("""COMPUTED_VALUE"""),283.12)</f>
        <v>283.12</v>
      </c>
      <c r="X487" s="11">
        <f>IFERROR(__xludf.DUMMYFUNCTION("""COMPUTED_VALUE"""),43754.66666666667)</f>
        <v>43754.66667</v>
      </c>
      <c r="Y487" s="9">
        <f>IFERROR(__xludf.DUMMYFUNCTION("""COMPUTED_VALUE"""),286.28)</f>
        <v>286.28</v>
      </c>
      <c r="AA487" s="11">
        <f>IFERROR(__xludf.DUMMYFUNCTION("""COMPUTED_VALUE"""),43754.66666666667)</f>
        <v>43754.66667</v>
      </c>
      <c r="AB487" s="9">
        <f>IFERROR(__xludf.DUMMYFUNCTION("""COMPUTED_VALUE"""),1773.33)</f>
        <v>1773.33</v>
      </c>
      <c r="AC487" s="11">
        <f>IFERROR(__xludf.DUMMYFUNCTION("""COMPUTED_VALUE"""),43754.66666666667)</f>
        <v>43754.66667</v>
      </c>
      <c r="AD487" s="9">
        <f>IFERROR(__xludf.DUMMYFUNCTION("""COMPUTED_VALUE"""),1777.43)</f>
        <v>1777.43</v>
      </c>
    </row>
    <row r="488">
      <c r="B488" s="11">
        <f>IFERROR(__xludf.DUMMYFUNCTION("""COMPUTED_VALUE"""),43755.66666666667)</f>
        <v>43755.66667</v>
      </c>
      <c r="C488" s="9">
        <f>IFERROR(__xludf.DUMMYFUNCTION("""COMPUTED_VALUE"""),52.5)</f>
        <v>52.5</v>
      </c>
      <c r="D488" s="11">
        <f>IFERROR(__xludf.DUMMYFUNCTION("""COMPUTED_VALUE"""),43755.66666666667)</f>
        <v>43755.66667</v>
      </c>
      <c r="E488" s="9">
        <f>IFERROR(__xludf.DUMMYFUNCTION("""COMPUTED_VALUE"""),52.39)</f>
        <v>52.39</v>
      </c>
      <c r="G488" s="11">
        <f>IFERROR(__xludf.DUMMYFUNCTION("""COMPUTED_VALUE"""),43755.66666666667)</f>
        <v>43755.66667</v>
      </c>
      <c r="H488" s="9">
        <f>IFERROR(__xludf.DUMMYFUNCTION("""COMPUTED_VALUE"""),1250.93)</f>
        <v>1250.93</v>
      </c>
      <c r="I488" s="11">
        <f>IFERROR(__xludf.DUMMYFUNCTION("""COMPUTED_VALUE"""),43755.66666666667)</f>
        <v>43755.66667</v>
      </c>
      <c r="J488" s="9">
        <f>IFERROR(__xludf.DUMMYFUNCTION("""COMPUTED_VALUE"""),1253.07)</f>
        <v>1253.07</v>
      </c>
      <c r="L488" s="11">
        <f>IFERROR(__xludf.DUMMYFUNCTION("""COMPUTED_VALUE"""),43755.66666666667)</f>
        <v>43755.66667</v>
      </c>
      <c r="M488" s="9">
        <f>IFERROR(__xludf.DUMMYFUNCTION("""COMPUTED_VALUE"""),58.77)</f>
        <v>58.77</v>
      </c>
      <c r="N488" s="11">
        <f>IFERROR(__xludf.DUMMYFUNCTION("""COMPUTED_VALUE"""),43755.66666666667)</f>
        <v>43755.66667</v>
      </c>
      <c r="O488" s="9">
        <f>IFERROR(__xludf.DUMMYFUNCTION("""COMPUTED_VALUE"""),58.82)</f>
        <v>58.82</v>
      </c>
      <c r="Q488" s="11">
        <f>IFERROR(__xludf.DUMMYFUNCTION("""COMPUTED_VALUE"""),43755.66666666667)</f>
        <v>43755.66667</v>
      </c>
      <c r="R488" s="9">
        <f>IFERROR(__xludf.DUMMYFUNCTION("""COMPUTED_VALUE"""),190.3)</f>
        <v>190.3</v>
      </c>
      <c r="S488" s="11">
        <f>IFERROR(__xludf.DUMMYFUNCTION("""COMPUTED_VALUE"""),43755.66666666667)</f>
        <v>43755.66667</v>
      </c>
      <c r="T488" s="9">
        <f>IFERROR(__xludf.DUMMYFUNCTION("""COMPUTED_VALUE"""),190.39)</f>
        <v>190.39</v>
      </c>
      <c r="V488" s="11">
        <f>IFERROR(__xludf.DUMMYFUNCTION("""COMPUTED_VALUE"""),43755.66666666667)</f>
        <v>43755.66667</v>
      </c>
      <c r="W488" s="9">
        <f>IFERROR(__xludf.DUMMYFUNCTION("""COMPUTED_VALUE"""),304.49)</f>
        <v>304.49</v>
      </c>
      <c r="X488" s="11">
        <f>IFERROR(__xludf.DUMMYFUNCTION("""COMPUTED_VALUE"""),43755.66666666667)</f>
        <v>43755.66667</v>
      </c>
      <c r="Y488" s="9">
        <f>IFERROR(__xludf.DUMMYFUNCTION("""COMPUTED_VALUE"""),293.35)</f>
        <v>293.35</v>
      </c>
      <c r="AA488" s="11">
        <f>IFERROR(__xludf.DUMMYFUNCTION("""COMPUTED_VALUE"""),43755.66666666667)</f>
        <v>43755.66667</v>
      </c>
      <c r="AB488" s="9">
        <f>IFERROR(__xludf.DUMMYFUNCTION("""COMPUTED_VALUE"""),1796.49)</f>
        <v>1796.49</v>
      </c>
      <c r="AC488" s="11">
        <f>IFERROR(__xludf.DUMMYFUNCTION("""COMPUTED_VALUE"""),43755.66666666667)</f>
        <v>43755.66667</v>
      </c>
      <c r="AD488" s="9">
        <f>IFERROR(__xludf.DUMMYFUNCTION("""COMPUTED_VALUE"""),1787.48)</f>
        <v>1787.48</v>
      </c>
    </row>
    <row r="489">
      <c r="B489" s="11">
        <f>IFERROR(__xludf.DUMMYFUNCTION("""COMPUTED_VALUE"""),43756.66666666667)</f>
        <v>43756.66667</v>
      </c>
      <c r="C489" s="9">
        <f>IFERROR(__xludf.DUMMYFUNCTION("""COMPUTED_VALUE"""),52.14)</f>
        <v>52.14</v>
      </c>
      <c r="D489" s="11">
        <f>IFERROR(__xludf.DUMMYFUNCTION("""COMPUTED_VALUE"""),43756.66666666667)</f>
        <v>43756.66667</v>
      </c>
      <c r="E489" s="9">
        <f>IFERROR(__xludf.DUMMYFUNCTION("""COMPUTED_VALUE"""),51.39)</f>
        <v>51.39</v>
      </c>
      <c r="G489" s="11">
        <f>IFERROR(__xludf.DUMMYFUNCTION("""COMPUTED_VALUE"""),43756.66666666667)</f>
        <v>43756.66667</v>
      </c>
      <c r="H489" s="9">
        <f>IFERROR(__xludf.DUMMYFUNCTION("""COMPUTED_VALUE"""),1253.46)</f>
        <v>1253.46</v>
      </c>
      <c r="I489" s="11">
        <f>IFERROR(__xludf.DUMMYFUNCTION("""COMPUTED_VALUE"""),43756.66666666667)</f>
        <v>43756.66667</v>
      </c>
      <c r="J489" s="9">
        <f>IFERROR(__xludf.DUMMYFUNCTION("""COMPUTED_VALUE"""),1245.49)</f>
        <v>1245.49</v>
      </c>
      <c r="L489" s="11">
        <f>IFERROR(__xludf.DUMMYFUNCTION("""COMPUTED_VALUE"""),43756.66666666667)</f>
        <v>43756.66667</v>
      </c>
      <c r="M489" s="9">
        <f>IFERROR(__xludf.DUMMYFUNCTION("""COMPUTED_VALUE"""),58.65)</f>
        <v>58.65</v>
      </c>
      <c r="N489" s="11">
        <f>IFERROR(__xludf.DUMMYFUNCTION("""COMPUTED_VALUE"""),43756.66666666667)</f>
        <v>43756.66667</v>
      </c>
      <c r="O489" s="9">
        <f>IFERROR(__xludf.DUMMYFUNCTION("""COMPUTED_VALUE"""),59.1)</f>
        <v>59.1</v>
      </c>
      <c r="Q489" s="11">
        <f>IFERROR(__xludf.DUMMYFUNCTION("""COMPUTED_VALUE"""),43756.66666666667)</f>
        <v>43756.66667</v>
      </c>
      <c r="R489" s="9">
        <f>IFERROR(__xludf.DUMMYFUNCTION("""COMPUTED_VALUE"""),190.23)</f>
        <v>190.23</v>
      </c>
      <c r="S489" s="11">
        <f>IFERROR(__xludf.DUMMYFUNCTION("""COMPUTED_VALUE"""),43756.66666666667)</f>
        <v>43756.66667</v>
      </c>
      <c r="T489" s="9">
        <f>IFERROR(__xludf.DUMMYFUNCTION("""COMPUTED_VALUE"""),185.85)</f>
        <v>185.85</v>
      </c>
      <c r="V489" s="11">
        <f>IFERROR(__xludf.DUMMYFUNCTION("""COMPUTED_VALUE"""),43756.66666666667)</f>
        <v>43756.66667</v>
      </c>
      <c r="W489" s="9">
        <f>IFERROR(__xludf.DUMMYFUNCTION("""COMPUTED_VALUE"""),289.36)</f>
        <v>289.36</v>
      </c>
      <c r="X489" s="11">
        <f>IFERROR(__xludf.DUMMYFUNCTION("""COMPUTED_VALUE"""),43756.66666666667)</f>
        <v>43756.66667</v>
      </c>
      <c r="Y489" s="9">
        <f>IFERROR(__xludf.DUMMYFUNCTION("""COMPUTED_VALUE"""),275.3)</f>
        <v>275.3</v>
      </c>
      <c r="AA489" s="11">
        <f>IFERROR(__xludf.DUMMYFUNCTION("""COMPUTED_VALUE"""),43756.66666666667)</f>
        <v>43756.66667</v>
      </c>
      <c r="AB489" s="9">
        <f>IFERROR(__xludf.DUMMYFUNCTION("""COMPUTED_VALUE"""),1787.8)</f>
        <v>1787.8</v>
      </c>
      <c r="AC489" s="11">
        <f>IFERROR(__xludf.DUMMYFUNCTION("""COMPUTED_VALUE"""),43756.66666666667)</f>
        <v>43756.66667</v>
      </c>
      <c r="AD489" s="9">
        <f>IFERROR(__xludf.DUMMYFUNCTION("""COMPUTED_VALUE"""),1757.51)</f>
        <v>1757.51</v>
      </c>
    </row>
    <row r="490">
      <c r="B490" s="11">
        <f>IFERROR(__xludf.DUMMYFUNCTION("""COMPUTED_VALUE"""),43759.66666666667)</f>
        <v>43759.66667</v>
      </c>
      <c r="C490" s="9">
        <f>IFERROR(__xludf.DUMMYFUNCTION("""COMPUTED_VALUE"""),51.67)</f>
        <v>51.67</v>
      </c>
      <c r="D490" s="11">
        <f>IFERROR(__xludf.DUMMYFUNCTION("""COMPUTED_VALUE"""),43759.66666666667)</f>
        <v>43759.66667</v>
      </c>
      <c r="E490" s="9">
        <f>IFERROR(__xludf.DUMMYFUNCTION("""COMPUTED_VALUE"""),50.7)</f>
        <v>50.7</v>
      </c>
      <c r="G490" s="11">
        <f>IFERROR(__xludf.DUMMYFUNCTION("""COMPUTED_VALUE"""),43759.66666666667)</f>
        <v>43759.66667</v>
      </c>
      <c r="H490" s="9">
        <f>IFERROR(__xludf.DUMMYFUNCTION("""COMPUTED_VALUE"""),1252.26)</f>
        <v>1252.26</v>
      </c>
      <c r="I490" s="11">
        <f>IFERROR(__xludf.DUMMYFUNCTION("""COMPUTED_VALUE"""),43759.66666666667)</f>
        <v>43759.66667</v>
      </c>
      <c r="J490" s="9">
        <f>IFERROR(__xludf.DUMMYFUNCTION("""COMPUTED_VALUE"""),1246.15)</f>
        <v>1246.15</v>
      </c>
      <c r="L490" s="11">
        <f>IFERROR(__xludf.DUMMYFUNCTION("""COMPUTED_VALUE"""),43759.66666666667)</f>
        <v>43759.66667</v>
      </c>
      <c r="M490" s="9">
        <f>IFERROR(__xludf.DUMMYFUNCTION("""COMPUTED_VALUE"""),59.38)</f>
        <v>59.38</v>
      </c>
      <c r="N490" s="11">
        <f>IFERROR(__xludf.DUMMYFUNCTION("""COMPUTED_VALUE"""),43759.66666666667)</f>
        <v>43759.66667</v>
      </c>
      <c r="O490" s="9">
        <f>IFERROR(__xludf.DUMMYFUNCTION("""COMPUTED_VALUE"""),60.13)</f>
        <v>60.13</v>
      </c>
      <c r="Q490" s="11">
        <f>IFERROR(__xludf.DUMMYFUNCTION("""COMPUTED_VALUE"""),43759.66666666667)</f>
        <v>43759.66667</v>
      </c>
      <c r="R490" s="9">
        <f>IFERROR(__xludf.DUMMYFUNCTION("""COMPUTED_VALUE"""),187.04)</f>
        <v>187.04</v>
      </c>
      <c r="S490" s="11">
        <f>IFERROR(__xludf.DUMMYFUNCTION("""COMPUTED_VALUE"""),43759.66666666667)</f>
        <v>43759.66667</v>
      </c>
      <c r="T490" s="9">
        <f>IFERROR(__xludf.DUMMYFUNCTION("""COMPUTED_VALUE"""),189.76)</f>
        <v>189.76</v>
      </c>
      <c r="V490" s="11">
        <f>IFERROR(__xludf.DUMMYFUNCTION("""COMPUTED_VALUE"""),43759.66666666667)</f>
        <v>43759.66667</v>
      </c>
      <c r="W490" s="9">
        <f>IFERROR(__xludf.DUMMYFUNCTION("""COMPUTED_VALUE"""),272.89)</f>
        <v>272.89</v>
      </c>
      <c r="X490" s="11">
        <f>IFERROR(__xludf.DUMMYFUNCTION("""COMPUTED_VALUE"""),43759.66666666667)</f>
        <v>43759.66667</v>
      </c>
      <c r="Y490" s="9">
        <f>IFERROR(__xludf.DUMMYFUNCTION("""COMPUTED_VALUE"""),278.05)</f>
        <v>278.05</v>
      </c>
      <c r="AA490" s="11">
        <f>IFERROR(__xludf.DUMMYFUNCTION("""COMPUTED_VALUE"""),43759.66666666667)</f>
        <v>43759.66667</v>
      </c>
      <c r="AB490" s="9">
        <f>IFERROR(__xludf.DUMMYFUNCTION("""COMPUTED_VALUE"""),1769.66)</f>
        <v>1769.66</v>
      </c>
      <c r="AC490" s="11">
        <f>IFERROR(__xludf.DUMMYFUNCTION("""COMPUTED_VALUE"""),43759.66666666667)</f>
        <v>43759.66667</v>
      </c>
      <c r="AD490" s="9">
        <f>IFERROR(__xludf.DUMMYFUNCTION("""COMPUTED_VALUE"""),1785.66)</f>
        <v>1785.66</v>
      </c>
    </row>
    <row r="491">
      <c r="B491" s="11">
        <f>IFERROR(__xludf.DUMMYFUNCTION("""COMPUTED_VALUE"""),43760.66666666667)</f>
        <v>43760.66667</v>
      </c>
      <c r="C491" s="9">
        <f>IFERROR(__xludf.DUMMYFUNCTION("""COMPUTED_VALUE"""),50.86)</f>
        <v>50.86</v>
      </c>
      <c r="D491" s="11">
        <f>IFERROR(__xludf.DUMMYFUNCTION("""COMPUTED_VALUE"""),43760.66666666667)</f>
        <v>43760.66667</v>
      </c>
      <c r="E491" s="9">
        <f>IFERROR(__xludf.DUMMYFUNCTION("""COMPUTED_VALUE"""),51.12)</f>
        <v>51.12</v>
      </c>
      <c r="G491" s="11">
        <f>IFERROR(__xludf.DUMMYFUNCTION("""COMPUTED_VALUE"""),43760.66666666667)</f>
        <v>43760.66667</v>
      </c>
      <c r="H491" s="9">
        <f>IFERROR(__xludf.DUMMYFUNCTION("""COMPUTED_VALUE"""),1247.85)</f>
        <v>1247.85</v>
      </c>
      <c r="I491" s="11">
        <f>IFERROR(__xludf.DUMMYFUNCTION("""COMPUTED_VALUE"""),43760.66666666667)</f>
        <v>43760.66667</v>
      </c>
      <c r="J491" s="9">
        <f>IFERROR(__xludf.DUMMYFUNCTION("""COMPUTED_VALUE"""),1242.8)</f>
        <v>1242.8</v>
      </c>
      <c r="L491" s="11">
        <f>IFERROR(__xludf.DUMMYFUNCTION("""COMPUTED_VALUE"""),43760.66666666667)</f>
        <v>43760.66667</v>
      </c>
      <c r="M491" s="9">
        <f>IFERROR(__xludf.DUMMYFUNCTION("""COMPUTED_VALUE"""),60.29)</f>
        <v>60.29</v>
      </c>
      <c r="N491" s="11">
        <f>IFERROR(__xludf.DUMMYFUNCTION("""COMPUTED_VALUE"""),43760.66666666667)</f>
        <v>43760.66667</v>
      </c>
      <c r="O491" s="9">
        <f>IFERROR(__xludf.DUMMYFUNCTION("""COMPUTED_VALUE"""),59.99)</f>
        <v>59.99</v>
      </c>
      <c r="Q491" s="11">
        <f>IFERROR(__xludf.DUMMYFUNCTION("""COMPUTED_VALUE"""),43760.66666666667)</f>
        <v>43760.66667</v>
      </c>
      <c r="R491" s="9">
        <f>IFERROR(__xludf.DUMMYFUNCTION("""COMPUTED_VALUE"""),190.0)</f>
        <v>190</v>
      </c>
      <c r="S491" s="11">
        <f>IFERROR(__xludf.DUMMYFUNCTION("""COMPUTED_VALUE"""),43760.66666666667)</f>
        <v>43760.66667</v>
      </c>
      <c r="T491" s="9">
        <f>IFERROR(__xludf.DUMMYFUNCTION("""COMPUTED_VALUE"""),182.34)</f>
        <v>182.34</v>
      </c>
      <c r="V491" s="11">
        <f>IFERROR(__xludf.DUMMYFUNCTION("""COMPUTED_VALUE"""),43760.66666666667)</f>
        <v>43760.66667</v>
      </c>
      <c r="W491" s="9">
        <f>IFERROR(__xludf.DUMMYFUNCTION("""COMPUTED_VALUE"""),271.16)</f>
        <v>271.16</v>
      </c>
      <c r="X491" s="11">
        <f>IFERROR(__xludf.DUMMYFUNCTION("""COMPUTED_VALUE"""),43760.66666666667)</f>
        <v>43760.66667</v>
      </c>
      <c r="Y491" s="9">
        <f>IFERROR(__xludf.DUMMYFUNCTION("""COMPUTED_VALUE"""),266.69)</f>
        <v>266.69</v>
      </c>
      <c r="AA491" s="11">
        <f>IFERROR(__xludf.DUMMYFUNCTION("""COMPUTED_VALUE"""),43760.66666666667)</f>
        <v>43760.66667</v>
      </c>
      <c r="AB491" s="9">
        <f>IFERROR(__xludf.DUMMYFUNCTION("""COMPUTED_VALUE"""),1788.15)</f>
        <v>1788.15</v>
      </c>
      <c r="AC491" s="11">
        <f>IFERROR(__xludf.DUMMYFUNCTION("""COMPUTED_VALUE"""),43760.66666666667)</f>
        <v>43760.66667</v>
      </c>
      <c r="AD491" s="9">
        <f>IFERROR(__xludf.DUMMYFUNCTION("""COMPUTED_VALUE"""),1765.73)</f>
        <v>1765.73</v>
      </c>
    </row>
    <row r="492">
      <c r="B492" s="11">
        <f>IFERROR(__xludf.DUMMYFUNCTION("""COMPUTED_VALUE"""),43761.66666666667)</f>
        <v>43761.66667</v>
      </c>
      <c r="C492" s="9">
        <f>IFERROR(__xludf.DUMMYFUNCTION("""COMPUTED_VALUE"""),50.9)</f>
        <v>50.9</v>
      </c>
      <c r="D492" s="11">
        <f>IFERROR(__xludf.DUMMYFUNCTION("""COMPUTED_VALUE"""),43761.66666666667)</f>
        <v>43761.66667</v>
      </c>
      <c r="E492" s="9">
        <f>IFERROR(__xludf.DUMMYFUNCTION("""COMPUTED_VALUE"""),50.94)</f>
        <v>50.94</v>
      </c>
      <c r="G492" s="11">
        <f>IFERROR(__xludf.DUMMYFUNCTION("""COMPUTED_VALUE"""),43761.66666666667)</f>
        <v>43761.66667</v>
      </c>
      <c r="H492" s="9">
        <f>IFERROR(__xludf.DUMMYFUNCTION("""COMPUTED_VALUE"""),1242.36)</f>
        <v>1242.36</v>
      </c>
      <c r="I492" s="11">
        <f>IFERROR(__xludf.DUMMYFUNCTION("""COMPUTED_VALUE"""),43761.66666666667)</f>
        <v>43761.66667</v>
      </c>
      <c r="J492" s="9">
        <f>IFERROR(__xludf.DUMMYFUNCTION("""COMPUTED_VALUE"""),1259.13)</f>
        <v>1259.13</v>
      </c>
      <c r="L492" s="11">
        <f>IFERROR(__xludf.DUMMYFUNCTION("""COMPUTED_VALUE"""),43761.66666666667)</f>
        <v>43761.66667</v>
      </c>
      <c r="M492" s="9">
        <f>IFERROR(__xludf.DUMMYFUNCTION("""COMPUTED_VALUE"""),60.53)</f>
        <v>60.53</v>
      </c>
      <c r="N492" s="11">
        <f>IFERROR(__xludf.DUMMYFUNCTION("""COMPUTED_VALUE"""),43761.66666666667)</f>
        <v>43761.66667</v>
      </c>
      <c r="O492" s="9">
        <f>IFERROR(__xludf.DUMMYFUNCTION("""COMPUTED_VALUE"""),60.8)</f>
        <v>60.8</v>
      </c>
      <c r="Q492" s="11">
        <f>IFERROR(__xludf.DUMMYFUNCTION("""COMPUTED_VALUE"""),43761.66666666667)</f>
        <v>43761.66667</v>
      </c>
      <c r="R492" s="9">
        <f>IFERROR(__xludf.DUMMYFUNCTION("""COMPUTED_VALUE"""),182.01)</f>
        <v>182.01</v>
      </c>
      <c r="S492" s="11">
        <f>IFERROR(__xludf.DUMMYFUNCTION("""COMPUTED_VALUE"""),43761.66666666667)</f>
        <v>43761.66667</v>
      </c>
      <c r="T492" s="9">
        <f>IFERROR(__xludf.DUMMYFUNCTION("""COMPUTED_VALUE"""),186.15)</f>
        <v>186.15</v>
      </c>
      <c r="V492" s="11">
        <f>IFERROR(__xludf.DUMMYFUNCTION("""COMPUTED_VALUE"""),43761.66666666667)</f>
        <v>43761.66667</v>
      </c>
      <c r="W492" s="9">
        <f>IFERROR(__xludf.DUMMYFUNCTION("""COMPUTED_VALUE"""),268.06)</f>
        <v>268.06</v>
      </c>
      <c r="X492" s="11">
        <f>IFERROR(__xludf.DUMMYFUNCTION("""COMPUTED_VALUE"""),43761.66666666667)</f>
        <v>43761.66667</v>
      </c>
      <c r="Y492" s="9">
        <f>IFERROR(__xludf.DUMMYFUNCTION("""COMPUTED_VALUE"""),271.27)</f>
        <v>271.27</v>
      </c>
      <c r="AA492" s="11">
        <f>IFERROR(__xludf.DUMMYFUNCTION("""COMPUTED_VALUE"""),43761.66666666667)</f>
        <v>43761.66667</v>
      </c>
      <c r="AB492" s="9">
        <f>IFERROR(__xludf.DUMMYFUNCTION("""COMPUTED_VALUE"""),1761.3)</f>
        <v>1761.3</v>
      </c>
      <c r="AC492" s="11">
        <f>IFERROR(__xludf.DUMMYFUNCTION("""COMPUTED_VALUE"""),43761.66666666667)</f>
        <v>43761.66667</v>
      </c>
      <c r="AD492" s="9">
        <f>IFERROR(__xludf.DUMMYFUNCTION("""COMPUTED_VALUE"""),1762.17)</f>
        <v>1762.17</v>
      </c>
    </row>
    <row r="493">
      <c r="B493" s="11">
        <f>IFERROR(__xludf.DUMMYFUNCTION("""COMPUTED_VALUE"""),43762.66666666667)</f>
        <v>43762.66667</v>
      </c>
      <c r="C493" s="9">
        <f>IFERROR(__xludf.DUMMYFUNCTION("""COMPUTED_VALUE"""),59.67)</f>
        <v>59.67</v>
      </c>
      <c r="D493" s="11">
        <f>IFERROR(__xludf.DUMMYFUNCTION("""COMPUTED_VALUE"""),43762.66666666667)</f>
        <v>43762.66667</v>
      </c>
      <c r="E493" s="9">
        <f>IFERROR(__xludf.DUMMYFUNCTION("""COMPUTED_VALUE"""),59.94)</f>
        <v>59.94</v>
      </c>
      <c r="G493" s="11">
        <f>IFERROR(__xludf.DUMMYFUNCTION("""COMPUTED_VALUE"""),43762.66666666667)</f>
        <v>43762.66667</v>
      </c>
      <c r="H493" s="9">
        <f>IFERROR(__xludf.DUMMYFUNCTION("""COMPUTED_VALUE"""),1260.9)</f>
        <v>1260.9</v>
      </c>
      <c r="I493" s="11">
        <f>IFERROR(__xludf.DUMMYFUNCTION("""COMPUTED_VALUE"""),43762.66666666667)</f>
        <v>43762.66667</v>
      </c>
      <c r="J493" s="9">
        <f>IFERROR(__xludf.DUMMYFUNCTION("""COMPUTED_VALUE"""),1260.99)</f>
        <v>1260.99</v>
      </c>
      <c r="L493" s="11">
        <f>IFERROR(__xludf.DUMMYFUNCTION("""COMPUTED_VALUE"""),43762.66666666667)</f>
        <v>43762.66667</v>
      </c>
      <c r="M493" s="9">
        <f>IFERROR(__xludf.DUMMYFUNCTION("""COMPUTED_VALUE"""),61.13)</f>
        <v>61.13</v>
      </c>
      <c r="N493" s="11">
        <f>IFERROR(__xludf.DUMMYFUNCTION("""COMPUTED_VALUE"""),43762.66666666667)</f>
        <v>43762.66667</v>
      </c>
      <c r="O493" s="9">
        <f>IFERROR(__xludf.DUMMYFUNCTION("""COMPUTED_VALUE"""),60.9)</f>
        <v>60.9</v>
      </c>
      <c r="Q493" s="11">
        <f>IFERROR(__xludf.DUMMYFUNCTION("""COMPUTED_VALUE"""),43762.66666666667)</f>
        <v>43762.66667</v>
      </c>
      <c r="R493" s="9">
        <f>IFERROR(__xludf.DUMMYFUNCTION("""COMPUTED_VALUE"""),184.62)</f>
        <v>184.62</v>
      </c>
      <c r="S493" s="11">
        <f>IFERROR(__xludf.DUMMYFUNCTION("""COMPUTED_VALUE"""),43762.66666666667)</f>
        <v>43762.66667</v>
      </c>
      <c r="T493" s="9">
        <f>IFERROR(__xludf.DUMMYFUNCTION("""COMPUTED_VALUE"""),186.38)</f>
        <v>186.38</v>
      </c>
      <c r="V493" s="11">
        <f>IFERROR(__xludf.DUMMYFUNCTION("""COMPUTED_VALUE"""),43762.66666666667)</f>
        <v>43762.66667</v>
      </c>
      <c r="W493" s="9">
        <f>IFERROR(__xludf.DUMMYFUNCTION("""COMPUTED_VALUE"""),271.81)</f>
        <v>271.81</v>
      </c>
      <c r="X493" s="11">
        <f>IFERROR(__xludf.DUMMYFUNCTION("""COMPUTED_VALUE"""),43762.66666666667)</f>
        <v>43762.66667</v>
      </c>
      <c r="Y493" s="9">
        <f>IFERROR(__xludf.DUMMYFUNCTION("""COMPUTED_VALUE"""),271.5)</f>
        <v>271.5</v>
      </c>
      <c r="AA493" s="11">
        <f>IFERROR(__xludf.DUMMYFUNCTION("""COMPUTED_VALUE"""),43762.66666666667)</f>
        <v>43762.66667</v>
      </c>
      <c r="AB493" s="9">
        <f>IFERROR(__xludf.DUMMYFUNCTION("""COMPUTED_VALUE"""),1771.09)</f>
        <v>1771.09</v>
      </c>
      <c r="AC493" s="11">
        <f>IFERROR(__xludf.DUMMYFUNCTION("""COMPUTED_VALUE"""),43762.66666666667)</f>
        <v>43762.66667</v>
      </c>
      <c r="AD493" s="9">
        <f>IFERROR(__xludf.DUMMYFUNCTION("""COMPUTED_VALUE"""),1780.78)</f>
        <v>1780.78</v>
      </c>
    </row>
    <row r="494">
      <c r="B494" s="11">
        <f>IFERROR(__xludf.DUMMYFUNCTION("""COMPUTED_VALUE"""),43763.66666666667)</f>
        <v>43763.66667</v>
      </c>
      <c r="C494" s="9">
        <f>IFERROR(__xludf.DUMMYFUNCTION("""COMPUTED_VALUE"""),59.54)</f>
        <v>59.54</v>
      </c>
      <c r="D494" s="11">
        <f>IFERROR(__xludf.DUMMYFUNCTION("""COMPUTED_VALUE"""),43763.66666666667)</f>
        <v>43763.66667</v>
      </c>
      <c r="E494" s="9">
        <f>IFERROR(__xludf.DUMMYFUNCTION("""COMPUTED_VALUE"""),65.63)</f>
        <v>65.63</v>
      </c>
      <c r="G494" s="11">
        <f>IFERROR(__xludf.DUMMYFUNCTION("""COMPUTED_VALUE"""),43763.66666666667)</f>
        <v>43763.66667</v>
      </c>
      <c r="H494" s="9">
        <f>IFERROR(__xludf.DUMMYFUNCTION("""COMPUTED_VALUE"""),1251.03)</f>
        <v>1251.03</v>
      </c>
      <c r="I494" s="11">
        <f>IFERROR(__xludf.DUMMYFUNCTION("""COMPUTED_VALUE"""),43763.66666666667)</f>
        <v>43763.66667</v>
      </c>
      <c r="J494" s="9">
        <f>IFERROR(__xludf.DUMMYFUNCTION("""COMPUTED_VALUE"""),1265.13)</f>
        <v>1265.13</v>
      </c>
      <c r="L494" s="11">
        <f>IFERROR(__xludf.DUMMYFUNCTION("""COMPUTED_VALUE"""),43763.66666666667)</f>
        <v>43763.66667</v>
      </c>
      <c r="M494" s="9">
        <f>IFERROR(__xludf.DUMMYFUNCTION("""COMPUTED_VALUE"""),60.79)</f>
        <v>60.79</v>
      </c>
      <c r="N494" s="11">
        <f>IFERROR(__xludf.DUMMYFUNCTION("""COMPUTED_VALUE"""),43763.66666666667)</f>
        <v>43763.66667</v>
      </c>
      <c r="O494" s="9">
        <f>IFERROR(__xludf.DUMMYFUNCTION("""COMPUTED_VALUE"""),61.65)</f>
        <v>61.65</v>
      </c>
      <c r="Q494" s="11">
        <f>IFERROR(__xludf.DUMMYFUNCTION("""COMPUTED_VALUE"""),43763.66666666667)</f>
        <v>43763.66667</v>
      </c>
      <c r="R494" s="9">
        <f>IFERROR(__xludf.DUMMYFUNCTION("""COMPUTED_VALUE"""),185.83)</f>
        <v>185.83</v>
      </c>
      <c r="S494" s="11">
        <f>IFERROR(__xludf.DUMMYFUNCTION("""COMPUTED_VALUE"""),43763.66666666667)</f>
        <v>43763.66667</v>
      </c>
      <c r="T494" s="9">
        <f>IFERROR(__xludf.DUMMYFUNCTION("""COMPUTED_VALUE"""),187.89)</f>
        <v>187.89</v>
      </c>
      <c r="V494" s="11">
        <f>IFERROR(__xludf.DUMMYFUNCTION("""COMPUTED_VALUE"""),43763.66666666667)</f>
        <v>43763.66667</v>
      </c>
      <c r="W494" s="9">
        <f>IFERROR(__xludf.DUMMYFUNCTION("""COMPUTED_VALUE"""),270.68)</f>
        <v>270.68</v>
      </c>
      <c r="X494" s="11">
        <f>IFERROR(__xludf.DUMMYFUNCTION("""COMPUTED_VALUE"""),43763.66666666667)</f>
        <v>43763.66667</v>
      </c>
      <c r="Y494" s="9">
        <f>IFERROR(__xludf.DUMMYFUNCTION("""COMPUTED_VALUE"""),276.82)</f>
        <v>276.82</v>
      </c>
      <c r="AA494" s="11">
        <f>IFERROR(__xludf.DUMMYFUNCTION("""COMPUTED_VALUE"""),43763.66666666667)</f>
        <v>43763.66667</v>
      </c>
      <c r="AB494" s="9">
        <f>IFERROR(__xludf.DUMMYFUNCTION("""COMPUTED_VALUE"""),1697.55)</f>
        <v>1697.55</v>
      </c>
      <c r="AC494" s="11">
        <f>IFERROR(__xludf.DUMMYFUNCTION("""COMPUTED_VALUE"""),43763.66666666667)</f>
        <v>43763.66667</v>
      </c>
      <c r="AD494" s="9">
        <f>IFERROR(__xludf.DUMMYFUNCTION("""COMPUTED_VALUE"""),1761.33)</f>
        <v>1761.33</v>
      </c>
    </row>
    <row r="495">
      <c r="B495" s="11">
        <f>IFERROR(__xludf.DUMMYFUNCTION("""COMPUTED_VALUE"""),43766.66666666667)</f>
        <v>43766.66667</v>
      </c>
      <c r="C495" s="9">
        <f>IFERROR(__xludf.DUMMYFUNCTION("""COMPUTED_VALUE"""),65.51)</f>
        <v>65.51</v>
      </c>
      <c r="D495" s="11">
        <f>IFERROR(__xludf.DUMMYFUNCTION("""COMPUTED_VALUE"""),43766.66666666667)</f>
        <v>43766.66667</v>
      </c>
      <c r="E495" s="9">
        <f>IFERROR(__xludf.DUMMYFUNCTION("""COMPUTED_VALUE"""),65.54)</f>
        <v>65.54</v>
      </c>
      <c r="G495" s="11">
        <f>IFERROR(__xludf.DUMMYFUNCTION("""COMPUTED_VALUE"""),43766.66666666667)</f>
        <v>43766.66667</v>
      </c>
      <c r="H495" s="9">
        <f>IFERROR(__xludf.DUMMYFUNCTION("""COMPUTED_VALUE"""),1275.45)</f>
        <v>1275.45</v>
      </c>
      <c r="I495" s="11">
        <f>IFERROR(__xludf.DUMMYFUNCTION("""COMPUTED_VALUE"""),43766.66666666667)</f>
        <v>43766.66667</v>
      </c>
      <c r="J495" s="9">
        <f>IFERROR(__xludf.DUMMYFUNCTION("""COMPUTED_VALUE"""),1290.0)</f>
        <v>1290</v>
      </c>
      <c r="L495" s="11">
        <f>IFERROR(__xludf.DUMMYFUNCTION("""COMPUTED_VALUE"""),43766.66666666667)</f>
        <v>43766.66667</v>
      </c>
      <c r="M495" s="9">
        <f>IFERROR(__xludf.DUMMYFUNCTION("""COMPUTED_VALUE"""),61.86)</f>
        <v>61.86</v>
      </c>
      <c r="N495" s="11">
        <f>IFERROR(__xludf.DUMMYFUNCTION("""COMPUTED_VALUE"""),43766.66666666667)</f>
        <v>43766.66667</v>
      </c>
      <c r="O495" s="9">
        <f>IFERROR(__xludf.DUMMYFUNCTION("""COMPUTED_VALUE"""),62.26)</f>
        <v>62.26</v>
      </c>
      <c r="Q495" s="11">
        <f>IFERROR(__xludf.DUMMYFUNCTION("""COMPUTED_VALUE"""),43766.66666666667)</f>
        <v>43766.66667</v>
      </c>
      <c r="R495" s="9">
        <f>IFERROR(__xludf.DUMMYFUNCTION("""COMPUTED_VALUE"""),187.2)</f>
        <v>187.2</v>
      </c>
      <c r="S495" s="11">
        <f>IFERROR(__xludf.DUMMYFUNCTION("""COMPUTED_VALUE"""),43766.66666666667)</f>
        <v>43766.66667</v>
      </c>
      <c r="T495" s="9">
        <f>IFERROR(__xludf.DUMMYFUNCTION("""COMPUTED_VALUE"""),189.4)</f>
        <v>189.4</v>
      </c>
      <c r="V495" s="11">
        <f>IFERROR(__xludf.DUMMYFUNCTION("""COMPUTED_VALUE"""),43766.66666666667)</f>
        <v>43766.66667</v>
      </c>
      <c r="W495" s="9">
        <f>IFERROR(__xludf.DUMMYFUNCTION("""COMPUTED_VALUE"""),278.05)</f>
        <v>278.05</v>
      </c>
      <c r="X495" s="11">
        <f>IFERROR(__xludf.DUMMYFUNCTION("""COMPUTED_VALUE"""),43766.66666666667)</f>
        <v>43766.66667</v>
      </c>
      <c r="Y495" s="9">
        <f>IFERROR(__xludf.DUMMYFUNCTION("""COMPUTED_VALUE"""),281.86)</f>
        <v>281.86</v>
      </c>
      <c r="AA495" s="11">
        <f>IFERROR(__xludf.DUMMYFUNCTION("""COMPUTED_VALUE"""),43766.66666666667)</f>
        <v>43766.66667</v>
      </c>
      <c r="AB495" s="9">
        <f>IFERROR(__xludf.DUMMYFUNCTION("""COMPUTED_VALUE"""),1748.06)</f>
        <v>1748.06</v>
      </c>
      <c r="AC495" s="11">
        <f>IFERROR(__xludf.DUMMYFUNCTION("""COMPUTED_VALUE"""),43766.66666666667)</f>
        <v>43766.66667</v>
      </c>
      <c r="AD495" s="9">
        <f>IFERROR(__xludf.DUMMYFUNCTION("""COMPUTED_VALUE"""),1777.08)</f>
        <v>1777.08</v>
      </c>
    </row>
    <row r="496">
      <c r="B496" s="11">
        <f>IFERROR(__xludf.DUMMYFUNCTION("""COMPUTED_VALUE"""),43767.66666666667)</f>
        <v>43767.66667</v>
      </c>
      <c r="C496" s="9">
        <f>IFERROR(__xludf.DUMMYFUNCTION("""COMPUTED_VALUE"""),64.0)</f>
        <v>64</v>
      </c>
      <c r="D496" s="11">
        <f>IFERROR(__xludf.DUMMYFUNCTION("""COMPUTED_VALUE"""),43767.66666666667)</f>
        <v>43767.66667</v>
      </c>
      <c r="E496" s="9">
        <f>IFERROR(__xludf.DUMMYFUNCTION("""COMPUTED_VALUE"""),63.24)</f>
        <v>63.24</v>
      </c>
      <c r="G496" s="11">
        <f>IFERROR(__xludf.DUMMYFUNCTION("""COMPUTED_VALUE"""),43767.66666666667)</f>
        <v>43767.66667</v>
      </c>
      <c r="H496" s="9">
        <f>IFERROR(__xludf.DUMMYFUNCTION("""COMPUTED_VALUE"""),1276.23)</f>
        <v>1276.23</v>
      </c>
      <c r="I496" s="11">
        <f>IFERROR(__xludf.DUMMYFUNCTION("""COMPUTED_VALUE"""),43767.66666666667)</f>
        <v>43767.66667</v>
      </c>
      <c r="J496" s="9">
        <f>IFERROR(__xludf.DUMMYFUNCTION("""COMPUTED_VALUE"""),1262.62)</f>
        <v>1262.62</v>
      </c>
      <c r="L496" s="11">
        <f>IFERROR(__xludf.DUMMYFUNCTION("""COMPUTED_VALUE"""),43767.66666666667)</f>
        <v>43767.66667</v>
      </c>
      <c r="M496" s="9">
        <f>IFERROR(__xludf.DUMMYFUNCTION("""COMPUTED_VALUE"""),62.24)</f>
        <v>62.24</v>
      </c>
      <c r="N496" s="11">
        <f>IFERROR(__xludf.DUMMYFUNCTION("""COMPUTED_VALUE"""),43767.66666666667)</f>
        <v>43767.66667</v>
      </c>
      <c r="O496" s="9">
        <f>IFERROR(__xludf.DUMMYFUNCTION("""COMPUTED_VALUE"""),60.82)</f>
        <v>60.82</v>
      </c>
      <c r="Q496" s="11">
        <f>IFERROR(__xludf.DUMMYFUNCTION("""COMPUTED_VALUE"""),43767.66666666667)</f>
        <v>43767.66667</v>
      </c>
      <c r="R496" s="9">
        <f>IFERROR(__xludf.DUMMYFUNCTION("""COMPUTED_VALUE"""),191.69)</f>
        <v>191.69</v>
      </c>
      <c r="S496" s="11">
        <f>IFERROR(__xludf.DUMMYFUNCTION("""COMPUTED_VALUE"""),43767.66666666667)</f>
        <v>43767.66667</v>
      </c>
      <c r="T496" s="9">
        <f>IFERROR(__xludf.DUMMYFUNCTION("""COMPUTED_VALUE"""),189.31)</f>
        <v>189.31</v>
      </c>
      <c r="V496" s="11">
        <f>IFERROR(__xludf.DUMMYFUNCTION("""COMPUTED_VALUE"""),43767.66666666667)</f>
        <v>43767.66667</v>
      </c>
      <c r="W496" s="9">
        <f>IFERROR(__xludf.DUMMYFUNCTION("""COMPUTED_VALUE"""),281.87)</f>
        <v>281.87</v>
      </c>
      <c r="X496" s="11">
        <f>IFERROR(__xludf.DUMMYFUNCTION("""COMPUTED_VALUE"""),43767.66666666667)</f>
        <v>43767.66667</v>
      </c>
      <c r="Y496" s="9">
        <f>IFERROR(__xludf.DUMMYFUNCTION("""COMPUTED_VALUE"""),281.21)</f>
        <v>281.21</v>
      </c>
      <c r="AA496" s="11">
        <f>IFERROR(__xludf.DUMMYFUNCTION("""COMPUTED_VALUE"""),43767.66666666667)</f>
        <v>43767.66667</v>
      </c>
      <c r="AB496" s="9">
        <f>IFERROR(__xludf.DUMMYFUNCTION("""COMPUTED_VALUE"""),1774.81)</f>
        <v>1774.81</v>
      </c>
      <c r="AC496" s="11">
        <f>IFERROR(__xludf.DUMMYFUNCTION("""COMPUTED_VALUE"""),43767.66666666667)</f>
        <v>43767.66667</v>
      </c>
      <c r="AD496" s="9">
        <f>IFERROR(__xludf.DUMMYFUNCTION("""COMPUTED_VALUE"""),1762.71)</f>
        <v>1762.71</v>
      </c>
    </row>
    <row r="497">
      <c r="B497" s="11">
        <f>IFERROR(__xludf.DUMMYFUNCTION("""COMPUTED_VALUE"""),43768.66666666667)</f>
        <v>43768.66667</v>
      </c>
      <c r="C497" s="9">
        <f>IFERROR(__xludf.DUMMYFUNCTION("""COMPUTED_VALUE"""),62.6)</f>
        <v>62.6</v>
      </c>
      <c r="D497" s="11">
        <f>IFERROR(__xludf.DUMMYFUNCTION("""COMPUTED_VALUE"""),43768.66666666667)</f>
        <v>43768.66667</v>
      </c>
      <c r="E497" s="9">
        <f>IFERROR(__xludf.DUMMYFUNCTION("""COMPUTED_VALUE"""),63.0)</f>
        <v>63</v>
      </c>
      <c r="G497" s="11">
        <f>IFERROR(__xludf.DUMMYFUNCTION("""COMPUTED_VALUE"""),43768.66666666667)</f>
        <v>43768.66667</v>
      </c>
      <c r="H497" s="9">
        <f>IFERROR(__xludf.DUMMYFUNCTION("""COMPUTED_VALUE"""),1252.97)</f>
        <v>1252.97</v>
      </c>
      <c r="I497" s="11">
        <f>IFERROR(__xludf.DUMMYFUNCTION("""COMPUTED_VALUE"""),43768.66666666667)</f>
        <v>43768.66667</v>
      </c>
      <c r="J497" s="9">
        <f>IFERROR(__xludf.DUMMYFUNCTION("""COMPUTED_VALUE"""),1261.29)</f>
        <v>1261.29</v>
      </c>
      <c r="L497" s="11">
        <f>IFERROR(__xludf.DUMMYFUNCTION("""COMPUTED_VALUE"""),43768.66666666667)</f>
        <v>43768.66667</v>
      </c>
      <c r="M497" s="9">
        <f>IFERROR(__xludf.DUMMYFUNCTION("""COMPUTED_VALUE"""),61.19)</f>
        <v>61.19</v>
      </c>
      <c r="N497" s="11">
        <f>IFERROR(__xludf.DUMMYFUNCTION("""COMPUTED_VALUE"""),43768.66666666667)</f>
        <v>43768.66667</v>
      </c>
      <c r="O497" s="9">
        <f>IFERROR(__xludf.DUMMYFUNCTION("""COMPUTED_VALUE"""),60.82)</f>
        <v>60.82</v>
      </c>
      <c r="Q497" s="11">
        <f>IFERROR(__xludf.DUMMYFUNCTION("""COMPUTED_VALUE"""),43768.66666666667)</f>
        <v>43768.66667</v>
      </c>
      <c r="R497" s="9">
        <f>IFERROR(__xludf.DUMMYFUNCTION("""COMPUTED_VALUE"""),189.56)</f>
        <v>189.56</v>
      </c>
      <c r="S497" s="11">
        <f>IFERROR(__xludf.DUMMYFUNCTION("""COMPUTED_VALUE"""),43768.66666666667)</f>
        <v>43768.66667</v>
      </c>
      <c r="T497" s="9">
        <f>IFERROR(__xludf.DUMMYFUNCTION("""COMPUTED_VALUE"""),188.25)</f>
        <v>188.25</v>
      </c>
      <c r="V497" s="11">
        <f>IFERROR(__xludf.DUMMYFUNCTION("""COMPUTED_VALUE"""),43768.66666666667)</f>
        <v>43768.66667</v>
      </c>
      <c r="W497" s="9">
        <f>IFERROR(__xludf.DUMMYFUNCTION("""COMPUTED_VALUE"""),284.34)</f>
        <v>284.34</v>
      </c>
      <c r="X497" s="11">
        <f>IFERROR(__xludf.DUMMYFUNCTION("""COMPUTED_VALUE"""),43768.66666666667)</f>
        <v>43768.66667</v>
      </c>
      <c r="Y497" s="9">
        <f>IFERROR(__xludf.DUMMYFUNCTION("""COMPUTED_VALUE"""),291.45)</f>
        <v>291.45</v>
      </c>
      <c r="AA497" s="11">
        <f>IFERROR(__xludf.DUMMYFUNCTION("""COMPUTED_VALUE"""),43768.66666666667)</f>
        <v>43768.66667</v>
      </c>
      <c r="AB497" s="9">
        <f>IFERROR(__xludf.DUMMYFUNCTION("""COMPUTED_VALUE"""),1760.24)</f>
        <v>1760.24</v>
      </c>
      <c r="AC497" s="11">
        <f>IFERROR(__xludf.DUMMYFUNCTION("""COMPUTED_VALUE"""),43768.66666666667)</f>
        <v>43768.66667</v>
      </c>
      <c r="AD497" s="9">
        <f>IFERROR(__xludf.DUMMYFUNCTION("""COMPUTED_VALUE"""),1779.99)</f>
        <v>1779.99</v>
      </c>
    </row>
    <row r="498">
      <c r="B498" s="11">
        <f>IFERROR(__xludf.DUMMYFUNCTION("""COMPUTED_VALUE"""),43769.66666666667)</f>
        <v>43769.66667</v>
      </c>
      <c r="C498" s="9">
        <f>IFERROR(__xludf.DUMMYFUNCTION("""COMPUTED_VALUE"""),62.62)</f>
        <v>62.62</v>
      </c>
      <c r="D498" s="11">
        <f>IFERROR(__xludf.DUMMYFUNCTION("""COMPUTED_VALUE"""),43769.66666666667)</f>
        <v>43769.66667</v>
      </c>
      <c r="E498" s="9">
        <f>IFERROR(__xludf.DUMMYFUNCTION("""COMPUTED_VALUE"""),62.98)</f>
        <v>62.98</v>
      </c>
      <c r="G498" s="11">
        <f>IFERROR(__xludf.DUMMYFUNCTION("""COMPUTED_VALUE"""),43769.66666666667)</f>
        <v>43769.66667</v>
      </c>
      <c r="H498" s="9">
        <f>IFERROR(__xludf.DUMMYFUNCTION("""COMPUTED_VALUE"""),1261.28)</f>
        <v>1261.28</v>
      </c>
      <c r="I498" s="11">
        <f>IFERROR(__xludf.DUMMYFUNCTION("""COMPUTED_VALUE"""),43769.66666666667)</f>
        <v>43769.66667</v>
      </c>
      <c r="J498" s="9">
        <f>IFERROR(__xludf.DUMMYFUNCTION("""COMPUTED_VALUE"""),1260.11)</f>
        <v>1260.11</v>
      </c>
      <c r="L498" s="11">
        <f>IFERROR(__xludf.DUMMYFUNCTION("""COMPUTED_VALUE"""),43769.66666666667)</f>
        <v>43769.66667</v>
      </c>
      <c r="M498" s="9">
        <f>IFERROR(__xludf.DUMMYFUNCTION("""COMPUTED_VALUE"""),61.81)</f>
        <v>61.81</v>
      </c>
      <c r="N498" s="11">
        <f>IFERROR(__xludf.DUMMYFUNCTION("""COMPUTED_VALUE"""),43769.66666666667)</f>
        <v>43769.66667</v>
      </c>
      <c r="O498" s="9">
        <f>IFERROR(__xludf.DUMMYFUNCTION("""COMPUTED_VALUE"""),62.19)</f>
        <v>62.19</v>
      </c>
      <c r="Q498" s="11">
        <f>IFERROR(__xludf.DUMMYFUNCTION("""COMPUTED_VALUE"""),43769.66666666667)</f>
        <v>43769.66667</v>
      </c>
      <c r="R498" s="9">
        <f>IFERROR(__xludf.DUMMYFUNCTION("""COMPUTED_VALUE"""),196.7)</f>
        <v>196.7</v>
      </c>
      <c r="S498" s="11">
        <f>IFERROR(__xludf.DUMMYFUNCTION("""COMPUTED_VALUE"""),43769.66666666667)</f>
        <v>43769.66667</v>
      </c>
      <c r="T498" s="9">
        <f>IFERROR(__xludf.DUMMYFUNCTION("""COMPUTED_VALUE"""),191.65)</f>
        <v>191.65</v>
      </c>
      <c r="V498" s="11">
        <f>IFERROR(__xludf.DUMMYFUNCTION("""COMPUTED_VALUE"""),43769.66666666667)</f>
        <v>43769.66667</v>
      </c>
      <c r="W498" s="9">
        <f>IFERROR(__xludf.DUMMYFUNCTION("""COMPUTED_VALUE"""),291.0)</f>
        <v>291</v>
      </c>
      <c r="X498" s="11">
        <f>IFERROR(__xludf.DUMMYFUNCTION("""COMPUTED_VALUE"""),43769.66666666667)</f>
        <v>43769.66667</v>
      </c>
      <c r="Y498" s="9">
        <f>IFERROR(__xludf.DUMMYFUNCTION("""COMPUTED_VALUE"""),287.41)</f>
        <v>287.41</v>
      </c>
      <c r="AA498" s="11">
        <f>IFERROR(__xludf.DUMMYFUNCTION("""COMPUTED_VALUE"""),43769.66666666667)</f>
        <v>43769.66667</v>
      </c>
      <c r="AB498" s="9">
        <f>IFERROR(__xludf.DUMMYFUNCTION("""COMPUTED_VALUE"""),1775.99)</f>
        <v>1775.99</v>
      </c>
      <c r="AC498" s="11">
        <f>IFERROR(__xludf.DUMMYFUNCTION("""COMPUTED_VALUE"""),43769.66666666667)</f>
        <v>43769.66667</v>
      </c>
      <c r="AD498" s="9">
        <f>IFERROR(__xludf.DUMMYFUNCTION("""COMPUTED_VALUE"""),1776.66)</f>
        <v>1776.66</v>
      </c>
    </row>
    <row r="499">
      <c r="B499" s="11">
        <f>IFERROR(__xludf.DUMMYFUNCTION("""COMPUTED_VALUE"""),43770.66666666667)</f>
        <v>43770.66667</v>
      </c>
      <c r="C499" s="9">
        <f>IFERROR(__xludf.DUMMYFUNCTION("""COMPUTED_VALUE"""),63.26)</f>
        <v>63.26</v>
      </c>
      <c r="D499" s="11">
        <f>IFERROR(__xludf.DUMMYFUNCTION("""COMPUTED_VALUE"""),43770.66666666667)</f>
        <v>43770.66667</v>
      </c>
      <c r="E499" s="9">
        <f>IFERROR(__xludf.DUMMYFUNCTION("""COMPUTED_VALUE"""),62.66)</f>
        <v>62.66</v>
      </c>
      <c r="G499" s="11">
        <f>IFERROR(__xludf.DUMMYFUNCTION("""COMPUTED_VALUE"""),43770.66666666667)</f>
        <v>43770.66667</v>
      </c>
      <c r="H499" s="9">
        <f>IFERROR(__xludf.DUMMYFUNCTION("""COMPUTED_VALUE"""),1265.0)</f>
        <v>1265</v>
      </c>
      <c r="I499" s="11">
        <f>IFERROR(__xludf.DUMMYFUNCTION("""COMPUTED_VALUE"""),43770.66666666667)</f>
        <v>43770.66667</v>
      </c>
      <c r="J499" s="9">
        <f>IFERROR(__xludf.DUMMYFUNCTION("""COMPUTED_VALUE"""),1273.74)</f>
        <v>1273.74</v>
      </c>
      <c r="L499" s="11">
        <f>IFERROR(__xludf.DUMMYFUNCTION("""COMPUTED_VALUE"""),43770.66666666667)</f>
        <v>43770.66667</v>
      </c>
      <c r="M499" s="9">
        <f>IFERROR(__xludf.DUMMYFUNCTION("""COMPUTED_VALUE"""),62.39)</f>
        <v>62.39</v>
      </c>
      <c r="N499" s="11">
        <f>IFERROR(__xludf.DUMMYFUNCTION("""COMPUTED_VALUE"""),43770.66666666667)</f>
        <v>43770.66667</v>
      </c>
      <c r="O499" s="9">
        <f>IFERROR(__xludf.DUMMYFUNCTION("""COMPUTED_VALUE"""),63.96)</f>
        <v>63.96</v>
      </c>
      <c r="Q499" s="11">
        <f>IFERROR(__xludf.DUMMYFUNCTION("""COMPUTED_VALUE"""),43770.66666666667)</f>
        <v>43770.66667</v>
      </c>
      <c r="R499" s="9">
        <f>IFERROR(__xludf.DUMMYFUNCTION("""COMPUTED_VALUE"""),192.85)</f>
        <v>192.85</v>
      </c>
      <c r="S499" s="11">
        <f>IFERROR(__xludf.DUMMYFUNCTION("""COMPUTED_VALUE"""),43770.66666666667)</f>
        <v>43770.66667</v>
      </c>
      <c r="T499" s="9">
        <f>IFERROR(__xludf.DUMMYFUNCTION("""COMPUTED_VALUE"""),193.62)</f>
        <v>193.62</v>
      </c>
      <c r="V499" s="11">
        <f>IFERROR(__xludf.DUMMYFUNCTION("""COMPUTED_VALUE"""),43770.66666666667)</f>
        <v>43770.66667</v>
      </c>
      <c r="W499" s="9">
        <f>IFERROR(__xludf.DUMMYFUNCTION("""COMPUTED_VALUE"""),288.7)</f>
        <v>288.7</v>
      </c>
      <c r="X499" s="11">
        <f>IFERROR(__xludf.DUMMYFUNCTION("""COMPUTED_VALUE"""),43770.66666666667)</f>
        <v>43770.66667</v>
      </c>
      <c r="Y499" s="9">
        <f>IFERROR(__xludf.DUMMYFUNCTION("""COMPUTED_VALUE"""),286.81)</f>
        <v>286.81</v>
      </c>
      <c r="AA499" s="11">
        <f>IFERROR(__xludf.DUMMYFUNCTION("""COMPUTED_VALUE"""),43770.66666666667)</f>
        <v>43770.66667</v>
      </c>
      <c r="AB499" s="9">
        <f>IFERROR(__xludf.DUMMYFUNCTION("""COMPUTED_VALUE"""),1788.01)</f>
        <v>1788.01</v>
      </c>
      <c r="AC499" s="11">
        <f>IFERROR(__xludf.DUMMYFUNCTION("""COMPUTED_VALUE"""),43770.66666666667)</f>
        <v>43770.66667</v>
      </c>
      <c r="AD499" s="9">
        <f>IFERROR(__xludf.DUMMYFUNCTION("""COMPUTED_VALUE"""),1791.44)</f>
        <v>1791.44</v>
      </c>
    </row>
    <row r="500">
      <c r="B500" s="11">
        <f>IFERROR(__xludf.DUMMYFUNCTION("""COMPUTED_VALUE"""),43773.66666666667)</f>
        <v>43773.66667</v>
      </c>
      <c r="C500" s="9">
        <f>IFERROR(__xludf.DUMMYFUNCTION("""COMPUTED_VALUE"""),62.96)</f>
        <v>62.96</v>
      </c>
      <c r="D500" s="11">
        <f>IFERROR(__xludf.DUMMYFUNCTION("""COMPUTED_VALUE"""),43773.66666666667)</f>
        <v>43773.66667</v>
      </c>
      <c r="E500" s="9">
        <f>IFERROR(__xludf.DUMMYFUNCTION("""COMPUTED_VALUE"""),63.49)</f>
        <v>63.49</v>
      </c>
      <c r="G500" s="11">
        <f>IFERROR(__xludf.DUMMYFUNCTION("""COMPUTED_VALUE"""),43773.66666666667)</f>
        <v>43773.66667</v>
      </c>
      <c r="H500" s="9">
        <f>IFERROR(__xludf.DUMMYFUNCTION("""COMPUTED_VALUE"""),1276.45)</f>
        <v>1276.45</v>
      </c>
      <c r="I500" s="11">
        <f>IFERROR(__xludf.DUMMYFUNCTION("""COMPUTED_VALUE"""),43773.66666666667)</f>
        <v>43773.66667</v>
      </c>
      <c r="J500" s="9">
        <f>IFERROR(__xludf.DUMMYFUNCTION("""COMPUTED_VALUE"""),1291.37)</f>
        <v>1291.37</v>
      </c>
      <c r="L500" s="11">
        <f>IFERROR(__xludf.DUMMYFUNCTION("""COMPUTED_VALUE"""),43773.66666666667)</f>
        <v>43773.66667</v>
      </c>
      <c r="M500" s="9">
        <f>IFERROR(__xludf.DUMMYFUNCTION("""COMPUTED_VALUE"""),64.33)</f>
        <v>64.33</v>
      </c>
      <c r="N500" s="11">
        <f>IFERROR(__xludf.DUMMYFUNCTION("""COMPUTED_VALUE"""),43773.66666666667)</f>
        <v>43773.66667</v>
      </c>
      <c r="O500" s="9">
        <f>IFERROR(__xludf.DUMMYFUNCTION("""COMPUTED_VALUE"""),64.38)</f>
        <v>64.38</v>
      </c>
      <c r="Q500" s="11">
        <f>IFERROR(__xludf.DUMMYFUNCTION("""COMPUTED_VALUE"""),43773.66666666667)</f>
        <v>43773.66667</v>
      </c>
      <c r="R500" s="9">
        <f>IFERROR(__xludf.DUMMYFUNCTION("""COMPUTED_VALUE"""),194.55)</f>
        <v>194.55</v>
      </c>
      <c r="S500" s="11">
        <f>IFERROR(__xludf.DUMMYFUNCTION("""COMPUTED_VALUE"""),43773.66666666667)</f>
        <v>43773.66667</v>
      </c>
      <c r="T500" s="9">
        <f>IFERROR(__xludf.DUMMYFUNCTION("""COMPUTED_VALUE"""),194.72)</f>
        <v>194.72</v>
      </c>
      <c r="V500" s="11">
        <f>IFERROR(__xludf.DUMMYFUNCTION("""COMPUTED_VALUE"""),43773.66666666667)</f>
        <v>43773.66667</v>
      </c>
      <c r="W500" s="9">
        <f>IFERROR(__xludf.DUMMYFUNCTION("""COMPUTED_VALUE"""),288.0)</f>
        <v>288</v>
      </c>
      <c r="X500" s="11">
        <f>IFERROR(__xludf.DUMMYFUNCTION("""COMPUTED_VALUE"""),43773.66666666667)</f>
        <v>43773.66667</v>
      </c>
      <c r="Y500" s="9">
        <f>IFERROR(__xludf.DUMMYFUNCTION("""COMPUTED_VALUE"""),292.86)</f>
        <v>292.86</v>
      </c>
      <c r="AA500" s="11">
        <f>IFERROR(__xludf.DUMMYFUNCTION("""COMPUTED_VALUE"""),43773.66666666667)</f>
        <v>43773.66667</v>
      </c>
      <c r="AB500" s="9">
        <f>IFERROR(__xludf.DUMMYFUNCTION("""COMPUTED_VALUE"""),1801.01)</f>
        <v>1801.01</v>
      </c>
      <c r="AC500" s="11">
        <f>IFERROR(__xludf.DUMMYFUNCTION("""COMPUTED_VALUE"""),43773.66666666667)</f>
        <v>43773.66667</v>
      </c>
      <c r="AD500" s="9">
        <f>IFERROR(__xludf.DUMMYFUNCTION("""COMPUTED_VALUE"""),1804.66)</f>
        <v>1804.66</v>
      </c>
    </row>
    <row r="501">
      <c r="B501" s="11">
        <f>IFERROR(__xludf.DUMMYFUNCTION("""COMPUTED_VALUE"""),43774.66666666667)</f>
        <v>43774.66667</v>
      </c>
      <c r="C501" s="9">
        <f>IFERROR(__xludf.DUMMYFUNCTION("""COMPUTED_VALUE"""),63.92)</f>
        <v>63.92</v>
      </c>
      <c r="D501" s="11">
        <f>IFERROR(__xludf.DUMMYFUNCTION("""COMPUTED_VALUE"""),43774.66666666667)</f>
        <v>43774.66667</v>
      </c>
      <c r="E501" s="9">
        <f>IFERROR(__xludf.DUMMYFUNCTION("""COMPUTED_VALUE"""),63.44)</f>
        <v>63.44</v>
      </c>
      <c r="G501" s="11">
        <f>IFERROR(__xludf.DUMMYFUNCTION("""COMPUTED_VALUE"""),43774.66666666667)</f>
        <v>43774.66667</v>
      </c>
      <c r="H501" s="9">
        <f>IFERROR(__xludf.DUMMYFUNCTION("""COMPUTED_VALUE"""),1292.89)</f>
        <v>1292.89</v>
      </c>
      <c r="I501" s="11">
        <f>IFERROR(__xludf.DUMMYFUNCTION("""COMPUTED_VALUE"""),43774.66666666667)</f>
        <v>43774.66667</v>
      </c>
      <c r="J501" s="9">
        <f>IFERROR(__xludf.DUMMYFUNCTION("""COMPUTED_VALUE"""),1292.03)</f>
        <v>1292.03</v>
      </c>
      <c r="L501" s="11">
        <f>IFERROR(__xludf.DUMMYFUNCTION("""COMPUTED_VALUE"""),43774.66666666667)</f>
        <v>43774.66667</v>
      </c>
      <c r="M501" s="9">
        <f>IFERROR(__xludf.DUMMYFUNCTION("""COMPUTED_VALUE"""),64.26)</f>
        <v>64.26</v>
      </c>
      <c r="N501" s="11">
        <f>IFERROR(__xludf.DUMMYFUNCTION("""COMPUTED_VALUE"""),43774.66666666667)</f>
        <v>43774.66667</v>
      </c>
      <c r="O501" s="9">
        <f>IFERROR(__xludf.DUMMYFUNCTION("""COMPUTED_VALUE"""),64.28)</f>
        <v>64.28</v>
      </c>
      <c r="Q501" s="11">
        <f>IFERROR(__xludf.DUMMYFUNCTION("""COMPUTED_VALUE"""),43774.66666666667)</f>
        <v>43774.66667</v>
      </c>
      <c r="R501" s="9">
        <f>IFERROR(__xludf.DUMMYFUNCTION("""COMPUTED_VALUE"""),195.37)</f>
        <v>195.37</v>
      </c>
      <c r="S501" s="11">
        <f>IFERROR(__xludf.DUMMYFUNCTION("""COMPUTED_VALUE"""),43774.66666666667)</f>
        <v>43774.66667</v>
      </c>
      <c r="T501" s="9">
        <f>IFERROR(__xludf.DUMMYFUNCTION("""COMPUTED_VALUE"""),194.32)</f>
        <v>194.32</v>
      </c>
      <c r="V501" s="11">
        <f>IFERROR(__xludf.DUMMYFUNCTION("""COMPUTED_VALUE"""),43774.66666666667)</f>
        <v>43774.66667</v>
      </c>
      <c r="W501" s="9">
        <f>IFERROR(__xludf.DUMMYFUNCTION("""COMPUTED_VALUE"""),289.99)</f>
        <v>289.99</v>
      </c>
      <c r="X501" s="11">
        <f>IFERROR(__xludf.DUMMYFUNCTION("""COMPUTED_VALUE"""),43774.66666666667)</f>
        <v>43774.66667</v>
      </c>
      <c r="Y501" s="9">
        <f>IFERROR(__xludf.DUMMYFUNCTION("""COMPUTED_VALUE"""),288.03)</f>
        <v>288.03</v>
      </c>
      <c r="AA501" s="11">
        <f>IFERROR(__xludf.DUMMYFUNCTION("""COMPUTED_VALUE"""),43774.66666666667)</f>
        <v>43774.66667</v>
      </c>
      <c r="AB501" s="9">
        <f>IFERROR(__xludf.DUMMYFUNCTION("""COMPUTED_VALUE"""),1809.16)</f>
        <v>1809.16</v>
      </c>
      <c r="AC501" s="11">
        <f>IFERROR(__xludf.DUMMYFUNCTION("""COMPUTED_VALUE"""),43774.66666666667)</f>
        <v>43774.66667</v>
      </c>
      <c r="AD501" s="9">
        <f>IFERROR(__xludf.DUMMYFUNCTION("""COMPUTED_VALUE"""),1801.71)</f>
        <v>1801.71</v>
      </c>
    </row>
    <row r="502">
      <c r="B502" s="11">
        <f>IFERROR(__xludf.DUMMYFUNCTION("""COMPUTED_VALUE"""),43775.66666666667)</f>
        <v>43775.66667</v>
      </c>
      <c r="C502" s="9">
        <f>IFERROR(__xludf.DUMMYFUNCTION("""COMPUTED_VALUE"""),63.6)</f>
        <v>63.6</v>
      </c>
      <c r="D502" s="11">
        <f>IFERROR(__xludf.DUMMYFUNCTION("""COMPUTED_VALUE"""),43775.66666666667)</f>
        <v>43775.66667</v>
      </c>
      <c r="E502" s="9">
        <f>IFERROR(__xludf.DUMMYFUNCTION("""COMPUTED_VALUE"""),65.32)</f>
        <v>65.32</v>
      </c>
      <c r="G502" s="11">
        <f>IFERROR(__xludf.DUMMYFUNCTION("""COMPUTED_VALUE"""),43775.66666666667)</f>
        <v>43775.66667</v>
      </c>
      <c r="H502" s="9">
        <f>IFERROR(__xludf.DUMMYFUNCTION("""COMPUTED_VALUE"""),1289.46)</f>
        <v>1289.46</v>
      </c>
      <c r="I502" s="11">
        <f>IFERROR(__xludf.DUMMYFUNCTION("""COMPUTED_VALUE"""),43775.66666666667)</f>
        <v>43775.66667</v>
      </c>
      <c r="J502" s="9">
        <f>IFERROR(__xludf.DUMMYFUNCTION("""COMPUTED_VALUE"""),1291.8)</f>
        <v>1291.8</v>
      </c>
      <c r="L502" s="11">
        <f>IFERROR(__xludf.DUMMYFUNCTION("""COMPUTED_VALUE"""),43775.66666666667)</f>
        <v>43775.66667</v>
      </c>
      <c r="M502" s="9">
        <f>IFERROR(__xludf.DUMMYFUNCTION("""COMPUTED_VALUE"""),64.19)</f>
        <v>64.19</v>
      </c>
      <c r="N502" s="11">
        <f>IFERROR(__xludf.DUMMYFUNCTION("""COMPUTED_VALUE"""),43775.66666666667)</f>
        <v>43775.66667</v>
      </c>
      <c r="O502" s="9">
        <f>IFERROR(__xludf.DUMMYFUNCTION("""COMPUTED_VALUE"""),64.31)</f>
        <v>64.31</v>
      </c>
      <c r="Q502" s="11">
        <f>IFERROR(__xludf.DUMMYFUNCTION("""COMPUTED_VALUE"""),43775.66666666667)</f>
        <v>43775.66667</v>
      </c>
      <c r="R502" s="9">
        <f>IFERROR(__xludf.DUMMYFUNCTION("""COMPUTED_VALUE"""),194.03)</f>
        <v>194.03</v>
      </c>
      <c r="S502" s="11">
        <f>IFERROR(__xludf.DUMMYFUNCTION("""COMPUTED_VALUE"""),43775.66666666667)</f>
        <v>43775.66667</v>
      </c>
      <c r="T502" s="9">
        <f>IFERROR(__xludf.DUMMYFUNCTION("""COMPUTED_VALUE"""),191.55)</f>
        <v>191.55</v>
      </c>
      <c r="V502" s="11">
        <f>IFERROR(__xludf.DUMMYFUNCTION("""COMPUTED_VALUE"""),43775.66666666667)</f>
        <v>43775.66667</v>
      </c>
      <c r="W502" s="9">
        <f>IFERROR(__xludf.DUMMYFUNCTION("""COMPUTED_VALUE"""),288.19)</f>
        <v>288.19</v>
      </c>
      <c r="X502" s="11">
        <f>IFERROR(__xludf.DUMMYFUNCTION("""COMPUTED_VALUE"""),43775.66666666667)</f>
        <v>43775.66667</v>
      </c>
      <c r="Y502" s="9">
        <f>IFERROR(__xludf.DUMMYFUNCTION("""COMPUTED_VALUE"""),288.59)</f>
        <v>288.59</v>
      </c>
      <c r="AA502" s="11">
        <f>IFERROR(__xludf.DUMMYFUNCTION("""COMPUTED_VALUE"""),43775.66666666667)</f>
        <v>43775.66667</v>
      </c>
      <c r="AB502" s="9">
        <f>IFERROR(__xludf.DUMMYFUNCTION("""COMPUTED_VALUE"""),1801.0)</f>
        <v>1801</v>
      </c>
      <c r="AC502" s="11">
        <f>IFERROR(__xludf.DUMMYFUNCTION("""COMPUTED_VALUE"""),43775.66666666667)</f>
        <v>43775.66667</v>
      </c>
      <c r="AD502" s="9">
        <f>IFERROR(__xludf.DUMMYFUNCTION("""COMPUTED_VALUE"""),1795.77)</f>
        <v>1795.77</v>
      </c>
    </row>
    <row r="503">
      <c r="B503" s="11">
        <f>IFERROR(__xludf.DUMMYFUNCTION("""COMPUTED_VALUE"""),43776.66666666667)</f>
        <v>43776.66667</v>
      </c>
      <c r="C503" s="9">
        <f>IFERROR(__xludf.DUMMYFUNCTION("""COMPUTED_VALUE"""),65.83)</f>
        <v>65.83</v>
      </c>
      <c r="D503" s="11">
        <f>IFERROR(__xludf.DUMMYFUNCTION("""COMPUTED_VALUE"""),43776.66666666667)</f>
        <v>43776.66667</v>
      </c>
      <c r="E503" s="9">
        <f>IFERROR(__xludf.DUMMYFUNCTION("""COMPUTED_VALUE"""),67.11)</f>
        <v>67.11</v>
      </c>
      <c r="G503" s="11">
        <f>IFERROR(__xludf.DUMMYFUNCTION("""COMPUTED_VALUE"""),43776.66666666667)</f>
        <v>43776.66667</v>
      </c>
      <c r="H503" s="9">
        <f>IFERROR(__xludf.DUMMYFUNCTION("""COMPUTED_VALUE"""),1294.28)</f>
        <v>1294.28</v>
      </c>
      <c r="I503" s="11">
        <f>IFERROR(__xludf.DUMMYFUNCTION("""COMPUTED_VALUE"""),43776.66666666667)</f>
        <v>43776.66667</v>
      </c>
      <c r="J503" s="9">
        <f>IFERROR(__xludf.DUMMYFUNCTION("""COMPUTED_VALUE"""),1308.86)</f>
        <v>1308.86</v>
      </c>
      <c r="L503" s="11">
        <f>IFERROR(__xludf.DUMMYFUNCTION("""COMPUTED_VALUE"""),43776.66666666667)</f>
        <v>43776.66667</v>
      </c>
      <c r="M503" s="9">
        <f>IFERROR(__xludf.DUMMYFUNCTION("""COMPUTED_VALUE"""),64.69)</f>
        <v>64.69</v>
      </c>
      <c r="N503" s="11">
        <f>IFERROR(__xludf.DUMMYFUNCTION("""COMPUTED_VALUE"""),43776.66666666667)</f>
        <v>43776.66667</v>
      </c>
      <c r="O503" s="9">
        <f>IFERROR(__xludf.DUMMYFUNCTION("""COMPUTED_VALUE"""),64.86)</f>
        <v>64.86</v>
      </c>
      <c r="Q503" s="11">
        <f>IFERROR(__xludf.DUMMYFUNCTION("""COMPUTED_VALUE"""),43776.66666666667)</f>
        <v>43776.66667</v>
      </c>
      <c r="R503" s="9">
        <f>IFERROR(__xludf.DUMMYFUNCTION("""COMPUTED_VALUE"""),191.91)</f>
        <v>191.91</v>
      </c>
      <c r="S503" s="11">
        <f>IFERROR(__xludf.DUMMYFUNCTION("""COMPUTED_VALUE"""),43776.66666666667)</f>
        <v>43776.66667</v>
      </c>
      <c r="T503" s="9">
        <f>IFERROR(__xludf.DUMMYFUNCTION("""COMPUTED_VALUE"""),190.42)</f>
        <v>190.42</v>
      </c>
      <c r="V503" s="11">
        <f>IFERROR(__xludf.DUMMYFUNCTION("""COMPUTED_VALUE"""),43776.66666666667)</f>
        <v>43776.66667</v>
      </c>
      <c r="W503" s="9">
        <f>IFERROR(__xludf.DUMMYFUNCTION("""COMPUTED_VALUE"""),290.7)</f>
        <v>290.7</v>
      </c>
      <c r="X503" s="11">
        <f>IFERROR(__xludf.DUMMYFUNCTION("""COMPUTED_VALUE"""),43776.66666666667)</f>
        <v>43776.66667</v>
      </c>
      <c r="Y503" s="9">
        <f>IFERROR(__xludf.DUMMYFUNCTION("""COMPUTED_VALUE"""),289.57)</f>
        <v>289.57</v>
      </c>
      <c r="AA503" s="11">
        <f>IFERROR(__xludf.DUMMYFUNCTION("""COMPUTED_VALUE"""),43776.66666666667)</f>
        <v>43776.66667</v>
      </c>
      <c r="AB503" s="9">
        <f>IFERROR(__xludf.DUMMYFUNCTION("""COMPUTED_VALUE"""),1803.76)</f>
        <v>1803.76</v>
      </c>
      <c r="AC503" s="11">
        <f>IFERROR(__xludf.DUMMYFUNCTION("""COMPUTED_VALUE"""),43776.66666666667)</f>
        <v>43776.66667</v>
      </c>
      <c r="AD503" s="9">
        <f>IFERROR(__xludf.DUMMYFUNCTION("""COMPUTED_VALUE"""),1788.2)</f>
        <v>1788.2</v>
      </c>
    </row>
    <row r="504">
      <c r="B504" s="11">
        <f>IFERROR(__xludf.DUMMYFUNCTION("""COMPUTED_VALUE"""),43777.66666666667)</f>
        <v>43777.66667</v>
      </c>
      <c r="C504" s="9">
        <f>IFERROR(__xludf.DUMMYFUNCTION("""COMPUTED_VALUE"""),66.9)</f>
        <v>66.9</v>
      </c>
      <c r="D504" s="11">
        <f>IFERROR(__xludf.DUMMYFUNCTION("""COMPUTED_VALUE"""),43777.66666666667)</f>
        <v>43777.66667</v>
      </c>
      <c r="E504" s="9">
        <f>IFERROR(__xludf.DUMMYFUNCTION("""COMPUTED_VALUE"""),67.43)</f>
        <v>67.43</v>
      </c>
      <c r="G504" s="11">
        <f>IFERROR(__xludf.DUMMYFUNCTION("""COMPUTED_VALUE"""),43777.66666666667)</f>
        <v>43777.66667</v>
      </c>
      <c r="H504" s="9">
        <f>IFERROR(__xludf.DUMMYFUNCTION("""COMPUTED_VALUE"""),1305.28)</f>
        <v>1305.28</v>
      </c>
      <c r="I504" s="11">
        <f>IFERROR(__xludf.DUMMYFUNCTION("""COMPUTED_VALUE"""),43777.66666666667)</f>
        <v>43777.66667</v>
      </c>
      <c r="J504" s="9">
        <f>IFERROR(__xludf.DUMMYFUNCTION("""COMPUTED_VALUE"""),1311.37)</f>
        <v>1311.37</v>
      </c>
      <c r="L504" s="11">
        <f>IFERROR(__xludf.DUMMYFUNCTION("""COMPUTED_VALUE"""),43777.66666666667)</f>
        <v>43777.66667</v>
      </c>
      <c r="M504" s="9">
        <f>IFERROR(__xludf.DUMMYFUNCTION("""COMPUTED_VALUE"""),64.67)</f>
        <v>64.67</v>
      </c>
      <c r="N504" s="11">
        <f>IFERROR(__xludf.DUMMYFUNCTION("""COMPUTED_VALUE"""),43777.66666666667)</f>
        <v>43777.66667</v>
      </c>
      <c r="O504" s="9">
        <f>IFERROR(__xludf.DUMMYFUNCTION("""COMPUTED_VALUE"""),65.04)</f>
        <v>65.04</v>
      </c>
      <c r="Q504" s="11">
        <f>IFERROR(__xludf.DUMMYFUNCTION("""COMPUTED_VALUE"""),43777.66666666667)</f>
        <v>43777.66667</v>
      </c>
      <c r="R504" s="9">
        <f>IFERROR(__xludf.DUMMYFUNCTION("""COMPUTED_VALUE"""),190.0)</f>
        <v>190</v>
      </c>
      <c r="S504" s="11">
        <f>IFERROR(__xludf.DUMMYFUNCTION("""COMPUTED_VALUE"""),43777.66666666667)</f>
        <v>43777.66667</v>
      </c>
      <c r="T504" s="9">
        <f>IFERROR(__xludf.DUMMYFUNCTION("""COMPUTED_VALUE"""),190.84)</f>
        <v>190.84</v>
      </c>
      <c r="V504" s="11">
        <f>IFERROR(__xludf.DUMMYFUNCTION("""COMPUTED_VALUE"""),43777.66666666667)</f>
        <v>43777.66667</v>
      </c>
      <c r="W504" s="9">
        <f>IFERROR(__xludf.DUMMYFUNCTION("""COMPUTED_VALUE"""),288.73)</f>
        <v>288.73</v>
      </c>
      <c r="X504" s="11">
        <f>IFERROR(__xludf.DUMMYFUNCTION("""COMPUTED_VALUE"""),43777.66666666667)</f>
        <v>43777.66667</v>
      </c>
      <c r="Y504" s="9">
        <f>IFERROR(__xludf.DUMMYFUNCTION("""COMPUTED_VALUE"""),291.57)</f>
        <v>291.57</v>
      </c>
      <c r="AA504" s="11">
        <f>IFERROR(__xludf.DUMMYFUNCTION("""COMPUTED_VALUE"""),43777.66666666667)</f>
        <v>43777.66667</v>
      </c>
      <c r="AB504" s="9">
        <f>IFERROR(__xludf.DUMMYFUNCTION("""COMPUTED_VALUE"""),1787.89)</f>
        <v>1787.89</v>
      </c>
      <c r="AC504" s="11">
        <f>IFERROR(__xludf.DUMMYFUNCTION("""COMPUTED_VALUE"""),43777.66666666667)</f>
        <v>43777.66667</v>
      </c>
      <c r="AD504" s="9">
        <f>IFERROR(__xludf.DUMMYFUNCTION("""COMPUTED_VALUE"""),1785.88)</f>
        <v>1785.88</v>
      </c>
    </row>
    <row r="505">
      <c r="B505" s="11">
        <f>IFERROR(__xludf.DUMMYFUNCTION("""COMPUTED_VALUE"""),43780.66666666667)</f>
        <v>43780.66667</v>
      </c>
      <c r="C505" s="9">
        <f>IFERROR(__xludf.DUMMYFUNCTION("""COMPUTED_VALUE"""),68.79)</f>
        <v>68.79</v>
      </c>
      <c r="D505" s="11">
        <f>IFERROR(__xludf.DUMMYFUNCTION("""COMPUTED_VALUE"""),43780.66666666667)</f>
        <v>43780.66667</v>
      </c>
      <c r="E505" s="9">
        <f>IFERROR(__xludf.DUMMYFUNCTION("""COMPUTED_VALUE"""),69.02)</f>
        <v>69.02</v>
      </c>
      <c r="G505" s="11">
        <f>IFERROR(__xludf.DUMMYFUNCTION("""COMPUTED_VALUE"""),43780.66666666667)</f>
        <v>43780.66667</v>
      </c>
      <c r="H505" s="9">
        <f>IFERROR(__xludf.DUMMYFUNCTION("""COMPUTED_VALUE"""),1303.18)</f>
        <v>1303.18</v>
      </c>
      <c r="I505" s="11">
        <f>IFERROR(__xludf.DUMMYFUNCTION("""COMPUTED_VALUE"""),43780.66666666667)</f>
        <v>43780.66667</v>
      </c>
      <c r="J505" s="9">
        <f>IFERROR(__xludf.DUMMYFUNCTION("""COMPUTED_VALUE"""),1299.19)</f>
        <v>1299.19</v>
      </c>
      <c r="L505" s="11">
        <f>IFERROR(__xludf.DUMMYFUNCTION("""COMPUTED_VALUE"""),43780.66666666667)</f>
        <v>43780.66667</v>
      </c>
      <c r="M505" s="9">
        <f>IFERROR(__xludf.DUMMYFUNCTION("""COMPUTED_VALUE"""),64.58)</f>
        <v>64.58</v>
      </c>
      <c r="N505" s="11">
        <f>IFERROR(__xludf.DUMMYFUNCTION("""COMPUTED_VALUE"""),43780.66666666667)</f>
        <v>43780.66667</v>
      </c>
      <c r="O505" s="9">
        <f>IFERROR(__xludf.DUMMYFUNCTION("""COMPUTED_VALUE"""),65.55)</f>
        <v>65.55</v>
      </c>
      <c r="Q505" s="11">
        <f>IFERROR(__xludf.DUMMYFUNCTION("""COMPUTED_VALUE"""),43780.66666666667)</f>
        <v>43780.66667</v>
      </c>
      <c r="R505" s="9">
        <f>IFERROR(__xludf.DUMMYFUNCTION("""COMPUTED_VALUE"""),189.93)</f>
        <v>189.93</v>
      </c>
      <c r="S505" s="11">
        <f>IFERROR(__xludf.DUMMYFUNCTION("""COMPUTED_VALUE"""),43780.66666666667)</f>
        <v>43780.66667</v>
      </c>
      <c r="T505" s="9">
        <f>IFERROR(__xludf.DUMMYFUNCTION("""COMPUTED_VALUE"""),189.61)</f>
        <v>189.61</v>
      </c>
      <c r="V505" s="11">
        <f>IFERROR(__xludf.DUMMYFUNCTION("""COMPUTED_VALUE"""),43780.66666666667)</f>
        <v>43780.66667</v>
      </c>
      <c r="W505" s="9">
        <f>IFERROR(__xludf.DUMMYFUNCTION("""COMPUTED_VALUE"""),289.16)</f>
        <v>289.16</v>
      </c>
      <c r="X505" s="11">
        <f>IFERROR(__xludf.DUMMYFUNCTION("""COMPUTED_VALUE"""),43780.66666666667)</f>
        <v>43780.66667</v>
      </c>
      <c r="Y505" s="9">
        <f>IFERROR(__xludf.DUMMYFUNCTION("""COMPUTED_VALUE"""),294.18)</f>
        <v>294.18</v>
      </c>
      <c r="AA505" s="11">
        <f>IFERROR(__xludf.DUMMYFUNCTION("""COMPUTED_VALUE"""),43780.66666666667)</f>
        <v>43780.66667</v>
      </c>
      <c r="AB505" s="9">
        <f>IFERROR(__xludf.DUMMYFUNCTION("""COMPUTED_VALUE"""),1778.0)</f>
        <v>1778</v>
      </c>
      <c r="AC505" s="11">
        <f>IFERROR(__xludf.DUMMYFUNCTION("""COMPUTED_VALUE"""),43780.66666666667)</f>
        <v>43780.66667</v>
      </c>
      <c r="AD505" s="9">
        <f>IFERROR(__xludf.DUMMYFUNCTION("""COMPUTED_VALUE"""),1771.65)</f>
        <v>1771.65</v>
      </c>
    </row>
    <row r="506">
      <c r="B506" s="11">
        <f>IFERROR(__xludf.DUMMYFUNCTION("""COMPUTED_VALUE"""),43781.66666666667)</f>
        <v>43781.66667</v>
      </c>
      <c r="C506" s="9">
        <f>IFERROR(__xludf.DUMMYFUNCTION("""COMPUTED_VALUE"""),69.38)</f>
        <v>69.38</v>
      </c>
      <c r="D506" s="11">
        <f>IFERROR(__xludf.DUMMYFUNCTION("""COMPUTED_VALUE"""),43781.66666666667)</f>
        <v>43781.66667</v>
      </c>
      <c r="E506" s="9">
        <f>IFERROR(__xludf.DUMMYFUNCTION("""COMPUTED_VALUE"""),69.99)</f>
        <v>69.99</v>
      </c>
      <c r="G506" s="11">
        <f>IFERROR(__xludf.DUMMYFUNCTION("""COMPUTED_VALUE"""),43781.66666666667)</f>
        <v>43781.66667</v>
      </c>
      <c r="H506" s="9">
        <f>IFERROR(__xludf.DUMMYFUNCTION("""COMPUTED_VALUE"""),1300.0)</f>
        <v>1300</v>
      </c>
      <c r="I506" s="11">
        <f>IFERROR(__xludf.DUMMYFUNCTION("""COMPUTED_VALUE"""),43781.66666666667)</f>
        <v>43781.66667</v>
      </c>
      <c r="J506" s="9">
        <f>IFERROR(__xludf.DUMMYFUNCTION("""COMPUTED_VALUE"""),1298.8)</f>
        <v>1298.8</v>
      </c>
      <c r="L506" s="11">
        <f>IFERROR(__xludf.DUMMYFUNCTION("""COMPUTED_VALUE"""),43781.66666666667)</f>
        <v>43781.66667</v>
      </c>
      <c r="M506" s="9">
        <f>IFERROR(__xludf.DUMMYFUNCTION("""COMPUTED_VALUE"""),65.39)</f>
        <v>65.39</v>
      </c>
      <c r="N506" s="11">
        <f>IFERROR(__xludf.DUMMYFUNCTION("""COMPUTED_VALUE"""),43781.66666666667)</f>
        <v>43781.66667</v>
      </c>
      <c r="O506" s="9">
        <f>IFERROR(__xludf.DUMMYFUNCTION("""COMPUTED_VALUE"""),65.49)</f>
        <v>65.49</v>
      </c>
      <c r="Q506" s="11">
        <f>IFERROR(__xludf.DUMMYFUNCTION("""COMPUTED_VALUE"""),43781.66666666667)</f>
        <v>43781.66667</v>
      </c>
      <c r="R506" s="9">
        <f>IFERROR(__xludf.DUMMYFUNCTION("""COMPUTED_VALUE"""),190.0)</f>
        <v>190</v>
      </c>
      <c r="S506" s="11">
        <f>IFERROR(__xludf.DUMMYFUNCTION("""COMPUTED_VALUE"""),43781.66666666667)</f>
        <v>43781.66667</v>
      </c>
      <c r="T506" s="9">
        <f>IFERROR(__xludf.DUMMYFUNCTION("""COMPUTED_VALUE"""),194.47)</f>
        <v>194.47</v>
      </c>
      <c r="V506" s="11">
        <f>IFERROR(__xludf.DUMMYFUNCTION("""COMPUTED_VALUE"""),43781.66666666667)</f>
        <v>43781.66667</v>
      </c>
      <c r="W506" s="9">
        <f>IFERROR(__xludf.DUMMYFUNCTION("""COMPUTED_VALUE"""),295.32)</f>
        <v>295.32</v>
      </c>
      <c r="X506" s="11">
        <f>IFERROR(__xludf.DUMMYFUNCTION("""COMPUTED_VALUE"""),43781.66666666667)</f>
        <v>43781.66667</v>
      </c>
      <c r="Y506" s="9">
        <f>IFERROR(__xludf.DUMMYFUNCTION("""COMPUTED_VALUE"""),292.01)</f>
        <v>292.01</v>
      </c>
      <c r="AA506" s="11">
        <f>IFERROR(__xludf.DUMMYFUNCTION("""COMPUTED_VALUE"""),43781.66666666667)</f>
        <v>43781.66667</v>
      </c>
      <c r="AB506" s="9">
        <f>IFERROR(__xludf.DUMMYFUNCTION("""COMPUTED_VALUE"""),1774.66)</f>
        <v>1774.66</v>
      </c>
      <c r="AC506" s="11">
        <f>IFERROR(__xludf.DUMMYFUNCTION("""COMPUTED_VALUE"""),43781.66666666667)</f>
        <v>43781.66667</v>
      </c>
      <c r="AD506" s="9">
        <f>IFERROR(__xludf.DUMMYFUNCTION("""COMPUTED_VALUE"""),1778.0)</f>
        <v>1778</v>
      </c>
    </row>
    <row r="507">
      <c r="B507" s="11">
        <f>IFERROR(__xludf.DUMMYFUNCTION("""COMPUTED_VALUE"""),43782.66666666667)</f>
        <v>43782.66667</v>
      </c>
      <c r="C507" s="9">
        <f>IFERROR(__xludf.DUMMYFUNCTION("""COMPUTED_VALUE"""),71.0)</f>
        <v>71</v>
      </c>
      <c r="D507" s="11">
        <f>IFERROR(__xludf.DUMMYFUNCTION("""COMPUTED_VALUE"""),43782.66666666667)</f>
        <v>43782.66667</v>
      </c>
      <c r="E507" s="9">
        <f>IFERROR(__xludf.DUMMYFUNCTION("""COMPUTED_VALUE"""),69.22)</f>
        <v>69.22</v>
      </c>
      <c r="G507" s="11">
        <f>IFERROR(__xludf.DUMMYFUNCTION("""COMPUTED_VALUE"""),43782.66666666667)</f>
        <v>43782.66667</v>
      </c>
      <c r="H507" s="9">
        <f>IFERROR(__xludf.DUMMYFUNCTION("""COMPUTED_VALUE"""),1294.07)</f>
        <v>1294.07</v>
      </c>
      <c r="I507" s="11">
        <f>IFERROR(__xludf.DUMMYFUNCTION("""COMPUTED_VALUE"""),43782.66666666667)</f>
        <v>43782.66667</v>
      </c>
      <c r="J507" s="9">
        <f>IFERROR(__xludf.DUMMYFUNCTION("""COMPUTED_VALUE"""),1298.0)</f>
        <v>1298</v>
      </c>
      <c r="L507" s="11">
        <f>IFERROR(__xludf.DUMMYFUNCTION("""COMPUTED_VALUE"""),43782.66666666667)</f>
        <v>43782.66667</v>
      </c>
      <c r="M507" s="9">
        <f>IFERROR(__xludf.DUMMYFUNCTION("""COMPUTED_VALUE"""),65.28)</f>
        <v>65.28</v>
      </c>
      <c r="N507" s="11">
        <f>IFERROR(__xludf.DUMMYFUNCTION("""COMPUTED_VALUE"""),43782.66666666667)</f>
        <v>43782.66667</v>
      </c>
      <c r="O507" s="9">
        <f>IFERROR(__xludf.DUMMYFUNCTION("""COMPUTED_VALUE"""),66.12)</f>
        <v>66.12</v>
      </c>
      <c r="Q507" s="11">
        <f>IFERROR(__xludf.DUMMYFUNCTION("""COMPUTED_VALUE"""),43782.66666666667)</f>
        <v>43782.66667</v>
      </c>
      <c r="R507" s="9">
        <f>IFERROR(__xludf.DUMMYFUNCTION("""COMPUTED_VALUE"""),194.7)</f>
        <v>194.7</v>
      </c>
      <c r="S507" s="11">
        <f>IFERROR(__xludf.DUMMYFUNCTION("""COMPUTED_VALUE"""),43782.66666666667)</f>
        <v>43782.66667</v>
      </c>
      <c r="T507" s="9">
        <f>IFERROR(__xludf.DUMMYFUNCTION("""COMPUTED_VALUE"""),193.19)</f>
        <v>193.19</v>
      </c>
      <c r="V507" s="11">
        <f>IFERROR(__xludf.DUMMYFUNCTION("""COMPUTED_VALUE"""),43782.66666666667)</f>
        <v>43782.66667</v>
      </c>
      <c r="W507" s="9">
        <f>IFERROR(__xludf.DUMMYFUNCTION("""COMPUTED_VALUE"""),291.03)</f>
        <v>291.03</v>
      </c>
      <c r="X507" s="11">
        <f>IFERROR(__xludf.DUMMYFUNCTION("""COMPUTED_VALUE"""),43782.66666666667)</f>
        <v>43782.66667</v>
      </c>
      <c r="Y507" s="9">
        <f>IFERROR(__xludf.DUMMYFUNCTION("""COMPUTED_VALUE"""),283.11)</f>
        <v>283.11</v>
      </c>
      <c r="AA507" s="11">
        <f>IFERROR(__xludf.DUMMYFUNCTION("""COMPUTED_VALUE"""),43782.66666666667)</f>
        <v>43782.66667</v>
      </c>
      <c r="AB507" s="9">
        <f>IFERROR(__xludf.DUMMYFUNCTION("""COMPUTED_VALUE"""),1773.39)</f>
        <v>1773.39</v>
      </c>
      <c r="AC507" s="11">
        <f>IFERROR(__xludf.DUMMYFUNCTION("""COMPUTED_VALUE"""),43782.66666666667)</f>
        <v>43782.66667</v>
      </c>
      <c r="AD507" s="9">
        <f>IFERROR(__xludf.DUMMYFUNCTION("""COMPUTED_VALUE"""),1753.11)</f>
        <v>1753.11</v>
      </c>
    </row>
    <row r="508">
      <c r="B508" s="11">
        <f>IFERROR(__xludf.DUMMYFUNCTION("""COMPUTED_VALUE"""),43783.66666666667)</f>
        <v>43783.66667</v>
      </c>
      <c r="C508" s="9">
        <f>IFERROR(__xludf.DUMMYFUNCTION("""COMPUTED_VALUE"""),69.22)</f>
        <v>69.22</v>
      </c>
      <c r="D508" s="11">
        <f>IFERROR(__xludf.DUMMYFUNCTION("""COMPUTED_VALUE"""),43783.66666666667)</f>
        <v>43783.66667</v>
      </c>
      <c r="E508" s="9">
        <f>IFERROR(__xludf.DUMMYFUNCTION("""COMPUTED_VALUE"""),69.87)</f>
        <v>69.87</v>
      </c>
      <c r="G508" s="11">
        <f>IFERROR(__xludf.DUMMYFUNCTION("""COMPUTED_VALUE"""),43783.66666666667)</f>
        <v>43783.66667</v>
      </c>
      <c r="H508" s="9">
        <f>IFERROR(__xludf.DUMMYFUNCTION("""COMPUTED_VALUE"""),1297.5)</f>
        <v>1297.5</v>
      </c>
      <c r="I508" s="11">
        <f>IFERROR(__xludf.DUMMYFUNCTION("""COMPUTED_VALUE"""),43783.66666666667)</f>
        <v>43783.66667</v>
      </c>
      <c r="J508" s="9">
        <f>IFERROR(__xludf.DUMMYFUNCTION("""COMPUTED_VALUE"""),1311.46)</f>
        <v>1311.46</v>
      </c>
      <c r="L508" s="11">
        <f>IFERROR(__xludf.DUMMYFUNCTION("""COMPUTED_VALUE"""),43783.66666666667)</f>
        <v>43783.66667</v>
      </c>
      <c r="M508" s="9">
        <f>IFERROR(__xludf.DUMMYFUNCTION("""COMPUTED_VALUE"""),65.94)</f>
        <v>65.94</v>
      </c>
      <c r="N508" s="11">
        <f>IFERROR(__xludf.DUMMYFUNCTION("""COMPUTED_VALUE"""),43783.66666666667)</f>
        <v>43783.66667</v>
      </c>
      <c r="O508" s="9">
        <f>IFERROR(__xludf.DUMMYFUNCTION("""COMPUTED_VALUE"""),65.66)</f>
        <v>65.66</v>
      </c>
      <c r="Q508" s="11">
        <f>IFERROR(__xludf.DUMMYFUNCTION("""COMPUTED_VALUE"""),43783.66666666667)</f>
        <v>43783.66667</v>
      </c>
      <c r="R508" s="9">
        <f>IFERROR(__xludf.DUMMYFUNCTION("""COMPUTED_VALUE"""),192.93)</f>
        <v>192.93</v>
      </c>
      <c r="S508" s="11">
        <f>IFERROR(__xludf.DUMMYFUNCTION("""COMPUTED_VALUE"""),43783.66666666667)</f>
        <v>43783.66667</v>
      </c>
      <c r="T508" s="9">
        <f>IFERROR(__xludf.DUMMYFUNCTION("""COMPUTED_VALUE"""),193.15)</f>
        <v>193.15</v>
      </c>
      <c r="V508" s="11">
        <f>IFERROR(__xludf.DUMMYFUNCTION("""COMPUTED_VALUE"""),43783.66666666667)</f>
        <v>43783.66667</v>
      </c>
      <c r="W508" s="9">
        <f>IFERROR(__xludf.DUMMYFUNCTION("""COMPUTED_VALUE"""),283.25)</f>
        <v>283.25</v>
      </c>
      <c r="X508" s="11">
        <f>IFERROR(__xludf.DUMMYFUNCTION("""COMPUTED_VALUE"""),43783.66666666667)</f>
        <v>43783.66667</v>
      </c>
      <c r="Y508" s="9">
        <f>IFERROR(__xludf.DUMMYFUNCTION("""COMPUTED_VALUE"""),289.62)</f>
        <v>289.62</v>
      </c>
      <c r="AA508" s="11">
        <f>IFERROR(__xludf.DUMMYFUNCTION("""COMPUTED_VALUE"""),43783.66666666667)</f>
        <v>43783.66667</v>
      </c>
      <c r="AB508" s="9">
        <f>IFERROR(__xludf.DUMMYFUNCTION("""COMPUTED_VALUE"""),1751.43)</f>
        <v>1751.43</v>
      </c>
      <c r="AC508" s="11">
        <f>IFERROR(__xludf.DUMMYFUNCTION("""COMPUTED_VALUE"""),43783.66666666667)</f>
        <v>43783.66667</v>
      </c>
      <c r="AD508" s="9">
        <f>IFERROR(__xludf.DUMMYFUNCTION("""COMPUTED_VALUE"""),1754.6)</f>
        <v>1754.6</v>
      </c>
    </row>
    <row r="509">
      <c r="B509" s="11">
        <f>IFERROR(__xludf.DUMMYFUNCTION("""COMPUTED_VALUE"""),43784.66666666667)</f>
        <v>43784.66667</v>
      </c>
      <c r="C509" s="9">
        <f>IFERROR(__xludf.DUMMYFUNCTION("""COMPUTED_VALUE"""),70.13)</f>
        <v>70.13</v>
      </c>
      <c r="D509" s="11">
        <f>IFERROR(__xludf.DUMMYFUNCTION("""COMPUTED_VALUE"""),43784.66666666667)</f>
        <v>43784.66667</v>
      </c>
      <c r="E509" s="9">
        <f>IFERROR(__xludf.DUMMYFUNCTION("""COMPUTED_VALUE"""),70.43)</f>
        <v>70.43</v>
      </c>
      <c r="G509" s="11">
        <f>IFERROR(__xludf.DUMMYFUNCTION("""COMPUTED_VALUE"""),43784.66666666667)</f>
        <v>43784.66667</v>
      </c>
      <c r="H509" s="9">
        <f>IFERROR(__xludf.DUMMYFUNCTION("""COMPUTED_VALUE"""),1318.94)</f>
        <v>1318.94</v>
      </c>
      <c r="I509" s="11">
        <f>IFERROR(__xludf.DUMMYFUNCTION("""COMPUTED_VALUE"""),43784.66666666667)</f>
        <v>43784.66667</v>
      </c>
      <c r="J509" s="9">
        <f>IFERROR(__xludf.DUMMYFUNCTION("""COMPUTED_VALUE"""),1334.87)</f>
        <v>1334.87</v>
      </c>
      <c r="L509" s="11">
        <f>IFERROR(__xludf.DUMMYFUNCTION("""COMPUTED_VALUE"""),43784.66666666667)</f>
        <v>43784.66667</v>
      </c>
      <c r="M509" s="9">
        <f>IFERROR(__xludf.DUMMYFUNCTION("""COMPUTED_VALUE"""),65.92)</f>
        <v>65.92</v>
      </c>
      <c r="N509" s="11">
        <f>IFERROR(__xludf.DUMMYFUNCTION("""COMPUTED_VALUE"""),43784.66666666667)</f>
        <v>43784.66667</v>
      </c>
      <c r="O509" s="9">
        <f>IFERROR(__xludf.DUMMYFUNCTION("""COMPUTED_VALUE"""),66.44)</f>
        <v>66.44</v>
      </c>
      <c r="Q509" s="11">
        <f>IFERROR(__xludf.DUMMYFUNCTION("""COMPUTED_VALUE"""),43784.66666666667)</f>
        <v>43784.66667</v>
      </c>
      <c r="R509" s="9">
        <f>IFERROR(__xludf.DUMMYFUNCTION("""COMPUTED_VALUE"""),194.26)</f>
        <v>194.26</v>
      </c>
      <c r="S509" s="11">
        <f>IFERROR(__xludf.DUMMYFUNCTION("""COMPUTED_VALUE"""),43784.66666666667)</f>
        <v>43784.66667</v>
      </c>
      <c r="T509" s="9">
        <f>IFERROR(__xludf.DUMMYFUNCTION("""COMPUTED_VALUE"""),195.1)</f>
        <v>195.1</v>
      </c>
      <c r="V509" s="11">
        <f>IFERROR(__xludf.DUMMYFUNCTION("""COMPUTED_VALUE"""),43784.66666666667)</f>
        <v>43784.66667</v>
      </c>
      <c r="W509" s="9">
        <f>IFERROR(__xludf.DUMMYFUNCTION("""COMPUTED_VALUE"""),290.59)</f>
        <v>290.59</v>
      </c>
      <c r="X509" s="11">
        <f>IFERROR(__xludf.DUMMYFUNCTION("""COMPUTED_VALUE"""),43784.66666666667)</f>
        <v>43784.66667</v>
      </c>
      <c r="Y509" s="9">
        <f>IFERROR(__xludf.DUMMYFUNCTION("""COMPUTED_VALUE"""),295.03)</f>
        <v>295.03</v>
      </c>
      <c r="AA509" s="11">
        <f>IFERROR(__xludf.DUMMYFUNCTION("""COMPUTED_VALUE"""),43784.66666666667)</f>
        <v>43784.66667</v>
      </c>
      <c r="AB509" s="9">
        <f>IFERROR(__xludf.DUMMYFUNCTION("""COMPUTED_VALUE"""),1760.05)</f>
        <v>1760.05</v>
      </c>
      <c r="AC509" s="11">
        <f>IFERROR(__xludf.DUMMYFUNCTION("""COMPUTED_VALUE"""),43784.66666666667)</f>
        <v>43784.66667</v>
      </c>
      <c r="AD509" s="9">
        <f>IFERROR(__xludf.DUMMYFUNCTION("""COMPUTED_VALUE"""),1739.49)</f>
        <v>1739.49</v>
      </c>
    </row>
    <row r="510">
      <c r="B510" s="11">
        <f>IFERROR(__xludf.DUMMYFUNCTION("""COMPUTED_VALUE"""),43787.66666666667)</f>
        <v>43787.66667</v>
      </c>
      <c r="C510" s="9">
        <f>IFERROR(__xludf.DUMMYFUNCTION("""COMPUTED_VALUE"""),70.58)</f>
        <v>70.58</v>
      </c>
      <c r="D510" s="11">
        <f>IFERROR(__xludf.DUMMYFUNCTION("""COMPUTED_VALUE"""),43787.66666666667)</f>
        <v>43787.66667</v>
      </c>
      <c r="E510" s="9">
        <f>IFERROR(__xludf.DUMMYFUNCTION("""COMPUTED_VALUE"""),70.0)</f>
        <v>70</v>
      </c>
      <c r="G510" s="11">
        <f>IFERROR(__xludf.DUMMYFUNCTION("""COMPUTED_VALUE"""),43787.66666666667)</f>
        <v>43787.66667</v>
      </c>
      <c r="H510" s="9">
        <f>IFERROR(__xludf.DUMMYFUNCTION("""COMPUTED_VALUE"""),1332.22)</f>
        <v>1332.22</v>
      </c>
      <c r="I510" s="11">
        <f>IFERROR(__xludf.DUMMYFUNCTION("""COMPUTED_VALUE"""),43787.66666666667)</f>
        <v>43787.66667</v>
      </c>
      <c r="J510" s="9">
        <f>IFERROR(__xludf.DUMMYFUNCTION("""COMPUTED_VALUE"""),1320.7)</f>
        <v>1320.7</v>
      </c>
      <c r="L510" s="11">
        <f>IFERROR(__xludf.DUMMYFUNCTION("""COMPUTED_VALUE"""),43787.66666666667)</f>
        <v>43787.66667</v>
      </c>
      <c r="M510" s="9">
        <f>IFERROR(__xludf.DUMMYFUNCTION("""COMPUTED_VALUE"""),66.45)</f>
        <v>66.45</v>
      </c>
      <c r="N510" s="11">
        <f>IFERROR(__xludf.DUMMYFUNCTION("""COMPUTED_VALUE"""),43787.66666666667)</f>
        <v>43787.66667</v>
      </c>
      <c r="O510" s="9">
        <f>IFERROR(__xludf.DUMMYFUNCTION("""COMPUTED_VALUE"""),66.78)</f>
        <v>66.78</v>
      </c>
      <c r="Q510" s="11">
        <f>IFERROR(__xludf.DUMMYFUNCTION("""COMPUTED_VALUE"""),43787.66666666667)</f>
        <v>43787.66667</v>
      </c>
      <c r="R510" s="9">
        <f>IFERROR(__xludf.DUMMYFUNCTION("""COMPUTED_VALUE"""),194.56)</f>
        <v>194.56</v>
      </c>
      <c r="S510" s="11">
        <f>IFERROR(__xludf.DUMMYFUNCTION("""COMPUTED_VALUE"""),43787.66666666667)</f>
        <v>43787.66667</v>
      </c>
      <c r="T510" s="9">
        <f>IFERROR(__xludf.DUMMYFUNCTION("""COMPUTED_VALUE"""),197.4)</f>
        <v>197.4</v>
      </c>
      <c r="V510" s="11">
        <f>IFERROR(__xludf.DUMMYFUNCTION("""COMPUTED_VALUE"""),43787.66666666667)</f>
        <v>43787.66667</v>
      </c>
      <c r="W510" s="9">
        <f>IFERROR(__xludf.DUMMYFUNCTION("""COMPUTED_VALUE"""),296.0)</f>
        <v>296</v>
      </c>
      <c r="X510" s="11">
        <f>IFERROR(__xludf.DUMMYFUNCTION("""COMPUTED_VALUE"""),43787.66666666667)</f>
        <v>43787.66667</v>
      </c>
      <c r="Y510" s="9">
        <f>IFERROR(__xludf.DUMMYFUNCTION("""COMPUTED_VALUE"""),302.57)</f>
        <v>302.57</v>
      </c>
      <c r="AA510" s="11">
        <f>IFERROR(__xludf.DUMMYFUNCTION("""COMPUTED_VALUE"""),43787.66666666667)</f>
        <v>43787.66667</v>
      </c>
      <c r="AB510" s="9">
        <f>IFERROR(__xludf.DUMMYFUNCTION("""COMPUTED_VALUE"""),1738.3)</f>
        <v>1738.3</v>
      </c>
      <c r="AC510" s="11">
        <f>IFERROR(__xludf.DUMMYFUNCTION("""COMPUTED_VALUE"""),43787.66666666667)</f>
        <v>43787.66667</v>
      </c>
      <c r="AD510" s="9">
        <f>IFERROR(__xludf.DUMMYFUNCTION("""COMPUTED_VALUE"""),1752.53)</f>
        <v>1752.53</v>
      </c>
    </row>
    <row r="511">
      <c r="B511" s="11">
        <f>IFERROR(__xludf.DUMMYFUNCTION("""COMPUTED_VALUE"""),43788.66666666667)</f>
        <v>43788.66667</v>
      </c>
      <c r="C511" s="9">
        <f>IFERROR(__xludf.DUMMYFUNCTION("""COMPUTED_VALUE"""),70.35)</f>
        <v>70.35</v>
      </c>
      <c r="D511" s="11">
        <f>IFERROR(__xludf.DUMMYFUNCTION("""COMPUTED_VALUE"""),43788.66666666667)</f>
        <v>43788.66667</v>
      </c>
      <c r="E511" s="9">
        <f>IFERROR(__xludf.DUMMYFUNCTION("""COMPUTED_VALUE"""),71.9)</f>
        <v>71.9</v>
      </c>
      <c r="G511" s="11">
        <f>IFERROR(__xludf.DUMMYFUNCTION("""COMPUTED_VALUE"""),43788.66666666667)</f>
        <v>43788.66667</v>
      </c>
      <c r="H511" s="9">
        <f>IFERROR(__xludf.DUMMYFUNCTION("""COMPUTED_VALUE"""),1327.7)</f>
        <v>1327.7</v>
      </c>
      <c r="I511" s="11">
        <f>IFERROR(__xludf.DUMMYFUNCTION("""COMPUTED_VALUE"""),43788.66666666667)</f>
        <v>43788.66667</v>
      </c>
      <c r="J511" s="9">
        <f>IFERROR(__xludf.DUMMYFUNCTION("""COMPUTED_VALUE"""),1315.46)</f>
        <v>1315.46</v>
      </c>
      <c r="L511" s="11">
        <f>IFERROR(__xludf.DUMMYFUNCTION("""COMPUTED_VALUE"""),43788.66666666667)</f>
        <v>43788.66667</v>
      </c>
      <c r="M511" s="9">
        <f>IFERROR(__xludf.DUMMYFUNCTION("""COMPUTED_VALUE"""),66.97)</f>
        <v>66.97</v>
      </c>
      <c r="N511" s="11">
        <f>IFERROR(__xludf.DUMMYFUNCTION("""COMPUTED_VALUE"""),43788.66666666667)</f>
        <v>43788.66667</v>
      </c>
      <c r="O511" s="9">
        <f>IFERROR(__xludf.DUMMYFUNCTION("""COMPUTED_VALUE"""),66.57)</f>
        <v>66.57</v>
      </c>
      <c r="Q511" s="11">
        <f>IFERROR(__xludf.DUMMYFUNCTION("""COMPUTED_VALUE"""),43788.66666666667)</f>
        <v>43788.66667</v>
      </c>
      <c r="R511" s="9">
        <f>IFERROR(__xludf.DUMMYFUNCTION("""COMPUTED_VALUE"""),197.4)</f>
        <v>197.4</v>
      </c>
      <c r="S511" s="11">
        <f>IFERROR(__xludf.DUMMYFUNCTION("""COMPUTED_VALUE"""),43788.66666666667)</f>
        <v>43788.66667</v>
      </c>
      <c r="T511" s="9">
        <f>IFERROR(__xludf.DUMMYFUNCTION("""COMPUTED_VALUE"""),199.32)</f>
        <v>199.32</v>
      </c>
      <c r="V511" s="11">
        <f>IFERROR(__xludf.DUMMYFUNCTION("""COMPUTED_VALUE"""),43788.66666666667)</f>
        <v>43788.66667</v>
      </c>
      <c r="W511" s="9">
        <f>IFERROR(__xludf.DUMMYFUNCTION("""COMPUTED_VALUE"""),304.01)</f>
        <v>304.01</v>
      </c>
      <c r="X511" s="11">
        <f>IFERROR(__xludf.DUMMYFUNCTION("""COMPUTED_VALUE"""),43788.66666666667)</f>
        <v>43788.66667</v>
      </c>
      <c r="Y511" s="9">
        <f>IFERROR(__xludf.DUMMYFUNCTION("""COMPUTED_VALUE"""),302.6)</f>
        <v>302.6</v>
      </c>
      <c r="AA511" s="11">
        <f>IFERROR(__xludf.DUMMYFUNCTION("""COMPUTED_VALUE"""),43788.66666666667)</f>
        <v>43788.66667</v>
      </c>
      <c r="AB511" s="9">
        <f>IFERROR(__xludf.DUMMYFUNCTION("""COMPUTED_VALUE"""),1756.99)</f>
        <v>1756.99</v>
      </c>
      <c r="AC511" s="11">
        <f>IFERROR(__xludf.DUMMYFUNCTION("""COMPUTED_VALUE"""),43788.66666666667)</f>
        <v>43788.66667</v>
      </c>
      <c r="AD511" s="9">
        <f>IFERROR(__xludf.DUMMYFUNCTION("""COMPUTED_VALUE"""),1752.79)</f>
        <v>1752.79</v>
      </c>
    </row>
    <row r="512">
      <c r="B512" s="11">
        <f>IFERROR(__xludf.DUMMYFUNCTION("""COMPUTED_VALUE"""),43789.66666666667)</f>
        <v>43789.66667</v>
      </c>
      <c r="C512" s="9">
        <f>IFERROR(__xludf.DUMMYFUNCTION("""COMPUTED_VALUE"""),72.0)</f>
        <v>72</v>
      </c>
      <c r="D512" s="11">
        <f>IFERROR(__xludf.DUMMYFUNCTION("""COMPUTED_VALUE"""),43789.66666666667)</f>
        <v>43789.66667</v>
      </c>
      <c r="E512" s="9">
        <f>IFERROR(__xludf.DUMMYFUNCTION("""COMPUTED_VALUE"""),70.44)</f>
        <v>70.44</v>
      </c>
      <c r="G512" s="11">
        <f>IFERROR(__xludf.DUMMYFUNCTION("""COMPUTED_VALUE"""),43789.66666666667)</f>
        <v>43789.66667</v>
      </c>
      <c r="H512" s="9">
        <f>IFERROR(__xludf.DUMMYFUNCTION("""COMPUTED_VALUE"""),1311.74)</f>
        <v>1311.74</v>
      </c>
      <c r="I512" s="11">
        <f>IFERROR(__xludf.DUMMYFUNCTION("""COMPUTED_VALUE"""),43789.66666666667)</f>
        <v>43789.66667</v>
      </c>
      <c r="J512" s="9">
        <f>IFERROR(__xludf.DUMMYFUNCTION("""COMPUTED_VALUE"""),1303.05)</f>
        <v>1303.05</v>
      </c>
      <c r="L512" s="11">
        <f>IFERROR(__xludf.DUMMYFUNCTION("""COMPUTED_VALUE"""),43789.66666666667)</f>
        <v>43789.66667</v>
      </c>
      <c r="M512" s="9">
        <f>IFERROR(__xludf.DUMMYFUNCTION("""COMPUTED_VALUE"""),66.39)</f>
        <v>66.39</v>
      </c>
      <c r="N512" s="11">
        <f>IFERROR(__xludf.DUMMYFUNCTION("""COMPUTED_VALUE"""),43789.66666666667)</f>
        <v>43789.66667</v>
      </c>
      <c r="O512" s="9">
        <f>IFERROR(__xludf.DUMMYFUNCTION("""COMPUTED_VALUE"""),65.8)</f>
        <v>65.8</v>
      </c>
      <c r="Q512" s="11">
        <f>IFERROR(__xludf.DUMMYFUNCTION("""COMPUTED_VALUE"""),43789.66666666667)</f>
        <v>43789.66667</v>
      </c>
      <c r="R512" s="9">
        <f>IFERROR(__xludf.DUMMYFUNCTION("""COMPUTED_VALUE"""),198.58)</f>
        <v>198.58</v>
      </c>
      <c r="S512" s="11">
        <f>IFERROR(__xludf.DUMMYFUNCTION("""COMPUTED_VALUE"""),43789.66666666667)</f>
        <v>43789.66667</v>
      </c>
      <c r="T512" s="9">
        <f>IFERROR(__xludf.DUMMYFUNCTION("""COMPUTED_VALUE"""),197.51)</f>
        <v>197.51</v>
      </c>
      <c r="V512" s="11">
        <f>IFERROR(__xludf.DUMMYFUNCTION("""COMPUTED_VALUE"""),43789.66666666667)</f>
        <v>43789.66667</v>
      </c>
      <c r="W512" s="9">
        <f>IFERROR(__xludf.DUMMYFUNCTION("""COMPUTED_VALUE"""),301.01)</f>
        <v>301.01</v>
      </c>
      <c r="X512" s="11">
        <f>IFERROR(__xludf.DUMMYFUNCTION("""COMPUTED_VALUE"""),43789.66666666667)</f>
        <v>43789.66667</v>
      </c>
      <c r="Y512" s="9">
        <f>IFERROR(__xludf.DUMMYFUNCTION("""COMPUTED_VALUE"""),305.16)</f>
        <v>305.16</v>
      </c>
      <c r="AA512" s="11">
        <f>IFERROR(__xludf.DUMMYFUNCTION("""COMPUTED_VALUE"""),43789.66666666667)</f>
        <v>43789.66667</v>
      </c>
      <c r="AB512" s="9">
        <f>IFERROR(__xludf.DUMMYFUNCTION("""COMPUTED_VALUE"""),1749.14)</f>
        <v>1749.14</v>
      </c>
      <c r="AC512" s="11">
        <f>IFERROR(__xludf.DUMMYFUNCTION("""COMPUTED_VALUE"""),43789.66666666667)</f>
        <v>43789.66667</v>
      </c>
      <c r="AD512" s="9">
        <f>IFERROR(__xludf.DUMMYFUNCTION("""COMPUTED_VALUE"""),1745.53)</f>
        <v>1745.53</v>
      </c>
    </row>
    <row r="513">
      <c r="B513" s="11">
        <f>IFERROR(__xludf.DUMMYFUNCTION("""COMPUTED_VALUE"""),43790.66666666667)</f>
        <v>43790.66667</v>
      </c>
      <c r="C513" s="9">
        <f>IFERROR(__xludf.DUMMYFUNCTION("""COMPUTED_VALUE"""),70.9)</f>
        <v>70.9</v>
      </c>
      <c r="D513" s="11">
        <f>IFERROR(__xludf.DUMMYFUNCTION("""COMPUTED_VALUE"""),43790.66666666667)</f>
        <v>43790.66667</v>
      </c>
      <c r="E513" s="9">
        <f>IFERROR(__xludf.DUMMYFUNCTION("""COMPUTED_VALUE"""),70.97)</f>
        <v>70.97</v>
      </c>
      <c r="G513" s="11">
        <f>IFERROR(__xludf.DUMMYFUNCTION("""COMPUTED_VALUE"""),43790.66666666667)</f>
        <v>43790.66667</v>
      </c>
      <c r="H513" s="9">
        <f>IFERROR(__xludf.DUMMYFUNCTION("""COMPUTED_VALUE"""),1301.48)</f>
        <v>1301.48</v>
      </c>
      <c r="I513" s="11">
        <f>IFERROR(__xludf.DUMMYFUNCTION("""COMPUTED_VALUE"""),43790.66666666667)</f>
        <v>43790.66667</v>
      </c>
      <c r="J513" s="9">
        <f>IFERROR(__xludf.DUMMYFUNCTION("""COMPUTED_VALUE"""),1301.35)</f>
        <v>1301.35</v>
      </c>
      <c r="L513" s="11">
        <f>IFERROR(__xludf.DUMMYFUNCTION("""COMPUTED_VALUE"""),43790.66666666667)</f>
        <v>43790.66667</v>
      </c>
      <c r="M513" s="9">
        <f>IFERROR(__xludf.DUMMYFUNCTION("""COMPUTED_VALUE"""),65.92)</f>
        <v>65.92</v>
      </c>
      <c r="N513" s="11">
        <f>IFERROR(__xludf.DUMMYFUNCTION("""COMPUTED_VALUE"""),43790.66666666667)</f>
        <v>43790.66667</v>
      </c>
      <c r="O513" s="9">
        <f>IFERROR(__xludf.DUMMYFUNCTION("""COMPUTED_VALUE"""),65.5)</f>
        <v>65.5</v>
      </c>
      <c r="Q513" s="11">
        <f>IFERROR(__xludf.DUMMYFUNCTION("""COMPUTED_VALUE"""),43790.66666666667)</f>
        <v>43790.66667</v>
      </c>
      <c r="R513" s="9">
        <f>IFERROR(__xludf.DUMMYFUNCTION("""COMPUTED_VALUE"""),197.42)</f>
        <v>197.42</v>
      </c>
      <c r="S513" s="11">
        <f>IFERROR(__xludf.DUMMYFUNCTION("""COMPUTED_VALUE"""),43790.66666666667)</f>
        <v>43790.66667</v>
      </c>
      <c r="T513" s="9">
        <f>IFERROR(__xludf.DUMMYFUNCTION("""COMPUTED_VALUE"""),197.93)</f>
        <v>197.93</v>
      </c>
      <c r="V513" s="11">
        <f>IFERROR(__xludf.DUMMYFUNCTION("""COMPUTED_VALUE"""),43790.66666666667)</f>
        <v>43790.66667</v>
      </c>
      <c r="W513" s="9">
        <f>IFERROR(__xludf.DUMMYFUNCTION("""COMPUTED_VALUE"""),306.0)</f>
        <v>306</v>
      </c>
      <c r="X513" s="11">
        <f>IFERROR(__xludf.DUMMYFUNCTION("""COMPUTED_VALUE"""),43790.66666666667)</f>
        <v>43790.66667</v>
      </c>
      <c r="Y513" s="9">
        <f>IFERROR(__xludf.DUMMYFUNCTION("""COMPUTED_VALUE"""),311.69)</f>
        <v>311.69</v>
      </c>
      <c r="AA513" s="11">
        <f>IFERROR(__xludf.DUMMYFUNCTION("""COMPUTED_VALUE"""),43790.66666666667)</f>
        <v>43790.66667</v>
      </c>
      <c r="AB513" s="9">
        <f>IFERROR(__xludf.DUMMYFUNCTION("""COMPUTED_VALUE"""),1743.0)</f>
        <v>1743</v>
      </c>
      <c r="AC513" s="11">
        <f>IFERROR(__xludf.DUMMYFUNCTION("""COMPUTED_VALUE"""),43790.66666666667)</f>
        <v>43790.66667</v>
      </c>
      <c r="AD513" s="9">
        <f>IFERROR(__xludf.DUMMYFUNCTION("""COMPUTED_VALUE"""),1734.71)</f>
        <v>1734.71</v>
      </c>
    </row>
    <row r="514">
      <c r="B514" s="11">
        <f>IFERROR(__xludf.DUMMYFUNCTION("""COMPUTED_VALUE"""),43791.66666666667)</f>
        <v>43791.66667</v>
      </c>
      <c r="C514" s="9">
        <f>IFERROR(__xludf.DUMMYFUNCTION("""COMPUTED_VALUE"""),68.03)</f>
        <v>68.03</v>
      </c>
      <c r="D514" s="11">
        <f>IFERROR(__xludf.DUMMYFUNCTION("""COMPUTED_VALUE"""),43791.66666666667)</f>
        <v>43791.66667</v>
      </c>
      <c r="E514" s="9">
        <f>IFERROR(__xludf.DUMMYFUNCTION("""COMPUTED_VALUE"""),66.61)</f>
        <v>66.61</v>
      </c>
      <c r="G514" s="11">
        <f>IFERROR(__xludf.DUMMYFUNCTION("""COMPUTED_VALUE"""),43791.66666666667)</f>
        <v>43791.66667</v>
      </c>
      <c r="H514" s="9">
        <f>IFERROR(__xludf.DUMMYFUNCTION("""COMPUTED_VALUE"""),1305.62)</f>
        <v>1305.62</v>
      </c>
      <c r="I514" s="11">
        <f>IFERROR(__xludf.DUMMYFUNCTION("""COMPUTED_VALUE"""),43791.66666666667)</f>
        <v>43791.66667</v>
      </c>
      <c r="J514" s="9">
        <f>IFERROR(__xludf.DUMMYFUNCTION("""COMPUTED_VALUE"""),1295.34)</f>
        <v>1295.34</v>
      </c>
      <c r="L514" s="11">
        <f>IFERROR(__xludf.DUMMYFUNCTION("""COMPUTED_VALUE"""),43791.66666666667)</f>
        <v>43791.66667</v>
      </c>
      <c r="M514" s="9">
        <f>IFERROR(__xludf.DUMMYFUNCTION("""COMPUTED_VALUE"""),65.65)</f>
        <v>65.65</v>
      </c>
      <c r="N514" s="11">
        <f>IFERROR(__xludf.DUMMYFUNCTION("""COMPUTED_VALUE"""),43791.66666666667)</f>
        <v>43791.66667</v>
      </c>
      <c r="O514" s="9">
        <f>IFERROR(__xludf.DUMMYFUNCTION("""COMPUTED_VALUE"""),65.44)</f>
        <v>65.44</v>
      </c>
      <c r="Q514" s="11">
        <f>IFERROR(__xludf.DUMMYFUNCTION("""COMPUTED_VALUE"""),43791.66666666667)</f>
        <v>43791.66667</v>
      </c>
      <c r="R514" s="9">
        <f>IFERROR(__xludf.DUMMYFUNCTION("""COMPUTED_VALUE"""),198.38)</f>
        <v>198.38</v>
      </c>
      <c r="S514" s="11">
        <f>IFERROR(__xludf.DUMMYFUNCTION("""COMPUTED_VALUE"""),43791.66666666667)</f>
        <v>43791.66667</v>
      </c>
      <c r="T514" s="9">
        <f>IFERROR(__xludf.DUMMYFUNCTION("""COMPUTED_VALUE"""),198.82)</f>
        <v>198.82</v>
      </c>
      <c r="V514" s="11">
        <f>IFERROR(__xludf.DUMMYFUNCTION("""COMPUTED_VALUE"""),43791.66666666667)</f>
        <v>43791.66667</v>
      </c>
      <c r="W514" s="9">
        <f>IFERROR(__xludf.DUMMYFUNCTION("""COMPUTED_VALUE"""),309.1)</f>
        <v>309.1</v>
      </c>
      <c r="X514" s="11">
        <f>IFERROR(__xludf.DUMMYFUNCTION("""COMPUTED_VALUE"""),43791.66666666667)</f>
        <v>43791.66667</v>
      </c>
      <c r="Y514" s="9">
        <f>IFERROR(__xludf.DUMMYFUNCTION("""COMPUTED_VALUE"""),310.48)</f>
        <v>310.48</v>
      </c>
      <c r="AA514" s="11">
        <f>IFERROR(__xludf.DUMMYFUNCTION("""COMPUTED_VALUE"""),43791.66666666667)</f>
        <v>43791.66667</v>
      </c>
      <c r="AB514" s="9">
        <f>IFERROR(__xludf.DUMMYFUNCTION("""COMPUTED_VALUE"""),1739.02)</f>
        <v>1739.02</v>
      </c>
      <c r="AC514" s="11">
        <f>IFERROR(__xludf.DUMMYFUNCTION("""COMPUTED_VALUE"""),43791.66666666667)</f>
        <v>43791.66667</v>
      </c>
      <c r="AD514" s="9">
        <f>IFERROR(__xludf.DUMMYFUNCTION("""COMPUTED_VALUE"""),1745.72)</f>
        <v>1745.72</v>
      </c>
    </row>
    <row r="515">
      <c r="B515" s="11">
        <f>IFERROR(__xludf.DUMMYFUNCTION("""COMPUTED_VALUE"""),43794.66666666667)</f>
        <v>43794.66667</v>
      </c>
      <c r="C515" s="9">
        <f>IFERROR(__xludf.DUMMYFUNCTION("""COMPUTED_VALUE"""),68.86)</f>
        <v>68.86</v>
      </c>
      <c r="D515" s="11">
        <f>IFERROR(__xludf.DUMMYFUNCTION("""COMPUTED_VALUE"""),43794.66666666667)</f>
        <v>43794.66667</v>
      </c>
      <c r="E515" s="9">
        <f>IFERROR(__xludf.DUMMYFUNCTION("""COMPUTED_VALUE"""),67.27)</f>
        <v>67.27</v>
      </c>
      <c r="G515" s="11">
        <f>IFERROR(__xludf.DUMMYFUNCTION("""COMPUTED_VALUE"""),43794.66666666667)</f>
        <v>43794.66667</v>
      </c>
      <c r="H515" s="9">
        <f>IFERROR(__xludf.DUMMYFUNCTION("""COMPUTED_VALUE"""),1299.18)</f>
        <v>1299.18</v>
      </c>
      <c r="I515" s="11">
        <f>IFERROR(__xludf.DUMMYFUNCTION("""COMPUTED_VALUE"""),43794.66666666667)</f>
        <v>43794.66667</v>
      </c>
      <c r="J515" s="9">
        <f>IFERROR(__xludf.DUMMYFUNCTION("""COMPUTED_VALUE"""),1306.69)</f>
        <v>1306.69</v>
      </c>
      <c r="L515" s="11">
        <f>IFERROR(__xludf.DUMMYFUNCTION("""COMPUTED_VALUE"""),43794.66666666667)</f>
        <v>43794.66667</v>
      </c>
      <c r="M515" s="9">
        <f>IFERROR(__xludf.DUMMYFUNCTION("""COMPUTED_VALUE"""),65.68)</f>
        <v>65.68</v>
      </c>
      <c r="N515" s="11">
        <f>IFERROR(__xludf.DUMMYFUNCTION("""COMPUTED_VALUE"""),43794.66666666667)</f>
        <v>43794.66667</v>
      </c>
      <c r="O515" s="9">
        <f>IFERROR(__xludf.DUMMYFUNCTION("""COMPUTED_VALUE"""),66.59)</f>
        <v>66.59</v>
      </c>
      <c r="Q515" s="11">
        <f>IFERROR(__xludf.DUMMYFUNCTION("""COMPUTED_VALUE"""),43794.66666666667)</f>
        <v>43794.66667</v>
      </c>
      <c r="R515" s="9">
        <f>IFERROR(__xludf.DUMMYFUNCTION("""COMPUTED_VALUE"""),199.52)</f>
        <v>199.52</v>
      </c>
      <c r="S515" s="11">
        <f>IFERROR(__xludf.DUMMYFUNCTION("""COMPUTED_VALUE"""),43794.66666666667)</f>
        <v>43794.66667</v>
      </c>
      <c r="T515" s="9">
        <f>IFERROR(__xludf.DUMMYFUNCTION("""COMPUTED_VALUE"""),199.79)</f>
        <v>199.79</v>
      </c>
      <c r="V515" s="11">
        <f>IFERROR(__xludf.DUMMYFUNCTION("""COMPUTED_VALUE"""),43794.66666666667)</f>
        <v>43794.66667</v>
      </c>
      <c r="W515" s="9">
        <f>IFERROR(__xludf.DUMMYFUNCTION("""COMPUTED_VALUE"""),308.83)</f>
        <v>308.83</v>
      </c>
      <c r="X515" s="11">
        <f>IFERROR(__xludf.DUMMYFUNCTION("""COMPUTED_VALUE"""),43794.66666666667)</f>
        <v>43794.66667</v>
      </c>
      <c r="Y515" s="9">
        <f>IFERROR(__xludf.DUMMYFUNCTION("""COMPUTED_VALUE"""),315.55)</f>
        <v>315.55</v>
      </c>
      <c r="AA515" s="11">
        <f>IFERROR(__xludf.DUMMYFUNCTION("""COMPUTED_VALUE"""),43794.66666666667)</f>
        <v>43794.66667</v>
      </c>
      <c r="AB515" s="9">
        <f>IFERROR(__xludf.DUMMYFUNCTION("""COMPUTED_VALUE"""),1753.25)</f>
        <v>1753.25</v>
      </c>
      <c r="AC515" s="11">
        <f>IFERROR(__xludf.DUMMYFUNCTION("""COMPUTED_VALUE"""),43794.66666666667)</f>
        <v>43794.66667</v>
      </c>
      <c r="AD515" s="9">
        <f>IFERROR(__xludf.DUMMYFUNCTION("""COMPUTED_VALUE"""),1773.84)</f>
        <v>1773.84</v>
      </c>
    </row>
    <row r="516">
      <c r="B516" s="11">
        <f>IFERROR(__xludf.DUMMYFUNCTION("""COMPUTED_VALUE"""),43795.66666666667)</f>
        <v>43795.66667</v>
      </c>
      <c r="C516" s="9">
        <f>IFERROR(__xludf.DUMMYFUNCTION("""COMPUTED_VALUE"""),67.05)</f>
        <v>67.05</v>
      </c>
      <c r="D516" s="11">
        <f>IFERROR(__xludf.DUMMYFUNCTION("""COMPUTED_VALUE"""),43795.66666666667)</f>
        <v>43795.66667</v>
      </c>
      <c r="E516" s="9">
        <f>IFERROR(__xludf.DUMMYFUNCTION("""COMPUTED_VALUE"""),65.78)</f>
        <v>65.78</v>
      </c>
      <c r="G516" s="11">
        <f>IFERROR(__xludf.DUMMYFUNCTION("""COMPUTED_VALUE"""),43795.66666666667)</f>
        <v>43795.66667</v>
      </c>
      <c r="H516" s="9">
        <f>IFERROR(__xludf.DUMMYFUNCTION("""COMPUTED_VALUE"""),1309.86)</f>
        <v>1309.86</v>
      </c>
      <c r="I516" s="11">
        <f>IFERROR(__xludf.DUMMYFUNCTION("""COMPUTED_VALUE"""),43795.66666666667)</f>
        <v>43795.66667</v>
      </c>
      <c r="J516" s="9">
        <f>IFERROR(__xludf.DUMMYFUNCTION("""COMPUTED_VALUE"""),1313.55)</f>
        <v>1313.55</v>
      </c>
      <c r="L516" s="11">
        <f>IFERROR(__xludf.DUMMYFUNCTION("""COMPUTED_VALUE"""),43795.66666666667)</f>
        <v>43795.66667</v>
      </c>
      <c r="M516" s="9">
        <f>IFERROR(__xludf.DUMMYFUNCTION("""COMPUTED_VALUE"""),66.74)</f>
        <v>66.74</v>
      </c>
      <c r="N516" s="11">
        <f>IFERROR(__xludf.DUMMYFUNCTION("""COMPUTED_VALUE"""),43795.66666666667)</f>
        <v>43795.66667</v>
      </c>
      <c r="O516" s="9">
        <f>IFERROR(__xludf.DUMMYFUNCTION("""COMPUTED_VALUE"""),66.07)</f>
        <v>66.07</v>
      </c>
      <c r="Q516" s="11">
        <f>IFERROR(__xludf.DUMMYFUNCTION("""COMPUTED_VALUE"""),43795.66666666667)</f>
        <v>43795.66667</v>
      </c>
      <c r="R516" s="9">
        <f>IFERROR(__xludf.DUMMYFUNCTION("""COMPUTED_VALUE"""),200.0)</f>
        <v>200</v>
      </c>
      <c r="S516" s="11">
        <f>IFERROR(__xludf.DUMMYFUNCTION("""COMPUTED_VALUE"""),43795.66666666667)</f>
        <v>43795.66667</v>
      </c>
      <c r="T516" s="9">
        <f>IFERROR(__xludf.DUMMYFUNCTION("""COMPUTED_VALUE"""),198.97)</f>
        <v>198.97</v>
      </c>
      <c r="V516" s="11">
        <f>IFERROR(__xludf.DUMMYFUNCTION("""COMPUTED_VALUE"""),43795.66666666667)</f>
        <v>43795.66667</v>
      </c>
      <c r="W516" s="9">
        <f>IFERROR(__xludf.DUMMYFUNCTION("""COMPUTED_VALUE"""),315.0)</f>
        <v>315</v>
      </c>
      <c r="X516" s="11">
        <f>IFERROR(__xludf.DUMMYFUNCTION("""COMPUTED_VALUE"""),43795.66666666667)</f>
        <v>43795.66667</v>
      </c>
      <c r="Y516" s="9">
        <f>IFERROR(__xludf.DUMMYFUNCTION("""COMPUTED_VALUE"""),312.49)</f>
        <v>312.49</v>
      </c>
      <c r="AA516" s="11">
        <f>IFERROR(__xludf.DUMMYFUNCTION("""COMPUTED_VALUE"""),43795.66666666667)</f>
        <v>43795.66667</v>
      </c>
      <c r="AB516" s="9">
        <f>IFERROR(__xludf.DUMMYFUNCTION("""COMPUTED_VALUE"""),1779.92)</f>
        <v>1779.92</v>
      </c>
      <c r="AC516" s="11">
        <f>IFERROR(__xludf.DUMMYFUNCTION("""COMPUTED_VALUE"""),43795.66666666667)</f>
        <v>43795.66667</v>
      </c>
      <c r="AD516" s="9">
        <f>IFERROR(__xludf.DUMMYFUNCTION("""COMPUTED_VALUE"""),1796.94)</f>
        <v>1796.94</v>
      </c>
    </row>
    <row r="517">
      <c r="B517" s="11">
        <f>IFERROR(__xludf.DUMMYFUNCTION("""COMPUTED_VALUE"""),43796.66666666667)</f>
        <v>43796.66667</v>
      </c>
      <c r="C517" s="9">
        <f>IFERROR(__xludf.DUMMYFUNCTION("""COMPUTED_VALUE"""),66.22)</f>
        <v>66.22</v>
      </c>
      <c r="D517" s="11">
        <f>IFERROR(__xludf.DUMMYFUNCTION("""COMPUTED_VALUE"""),43796.66666666667)</f>
        <v>43796.66667</v>
      </c>
      <c r="E517" s="9">
        <f>IFERROR(__xludf.DUMMYFUNCTION("""COMPUTED_VALUE"""),66.26)</f>
        <v>66.26</v>
      </c>
      <c r="G517" s="11">
        <f>IFERROR(__xludf.DUMMYFUNCTION("""COMPUTED_VALUE"""),43796.66666666667)</f>
        <v>43796.66667</v>
      </c>
      <c r="H517" s="9">
        <f>IFERROR(__xludf.DUMMYFUNCTION("""COMPUTED_VALUE"""),1315.0)</f>
        <v>1315</v>
      </c>
      <c r="I517" s="11">
        <f>IFERROR(__xludf.DUMMYFUNCTION("""COMPUTED_VALUE"""),43796.66666666667)</f>
        <v>43796.66667</v>
      </c>
      <c r="J517" s="9">
        <f>IFERROR(__xludf.DUMMYFUNCTION("""COMPUTED_VALUE"""),1312.99)</f>
        <v>1312.99</v>
      </c>
      <c r="L517" s="11">
        <f>IFERROR(__xludf.DUMMYFUNCTION("""COMPUTED_VALUE"""),43796.66666666667)</f>
        <v>43796.66667</v>
      </c>
      <c r="M517" s="9">
        <f>IFERROR(__xludf.DUMMYFUNCTION("""COMPUTED_VALUE"""),66.4)</f>
        <v>66.4</v>
      </c>
      <c r="N517" s="11">
        <f>IFERROR(__xludf.DUMMYFUNCTION("""COMPUTED_VALUE"""),43796.66666666667)</f>
        <v>43796.66667</v>
      </c>
      <c r="O517" s="9">
        <f>IFERROR(__xludf.DUMMYFUNCTION("""COMPUTED_VALUE"""),66.96)</f>
        <v>66.96</v>
      </c>
      <c r="Q517" s="11">
        <f>IFERROR(__xludf.DUMMYFUNCTION("""COMPUTED_VALUE"""),43796.66666666667)</f>
        <v>43796.66667</v>
      </c>
      <c r="R517" s="9">
        <f>IFERROR(__xludf.DUMMYFUNCTION("""COMPUTED_VALUE"""),199.9)</f>
        <v>199.9</v>
      </c>
      <c r="S517" s="11">
        <f>IFERROR(__xludf.DUMMYFUNCTION("""COMPUTED_VALUE"""),43796.66666666667)</f>
        <v>43796.66667</v>
      </c>
      <c r="T517" s="9">
        <f>IFERROR(__xludf.DUMMYFUNCTION("""COMPUTED_VALUE"""),202.0)</f>
        <v>202</v>
      </c>
      <c r="V517" s="11">
        <f>IFERROR(__xludf.DUMMYFUNCTION("""COMPUTED_VALUE"""),43796.66666666667)</f>
        <v>43796.66667</v>
      </c>
      <c r="W517" s="9">
        <f>IFERROR(__xludf.DUMMYFUNCTION("""COMPUTED_VALUE"""),313.93)</f>
        <v>313.93</v>
      </c>
      <c r="X517" s="11">
        <f>IFERROR(__xludf.DUMMYFUNCTION("""COMPUTED_VALUE"""),43796.66666666667)</f>
        <v>43796.66667</v>
      </c>
      <c r="Y517" s="9">
        <f>IFERROR(__xludf.DUMMYFUNCTION("""COMPUTED_VALUE"""),315.93)</f>
        <v>315.93</v>
      </c>
      <c r="AA517" s="11">
        <f>IFERROR(__xludf.DUMMYFUNCTION("""COMPUTED_VALUE"""),43796.66666666667)</f>
        <v>43796.66667</v>
      </c>
      <c r="AB517" s="9">
        <f>IFERROR(__xludf.DUMMYFUNCTION("""COMPUTED_VALUE"""),1801.0)</f>
        <v>1801</v>
      </c>
      <c r="AC517" s="11">
        <f>IFERROR(__xludf.DUMMYFUNCTION("""COMPUTED_VALUE"""),43796.66666666667)</f>
        <v>43796.66667</v>
      </c>
      <c r="AD517" s="9">
        <f>IFERROR(__xludf.DUMMYFUNCTION("""COMPUTED_VALUE"""),1818.51)</f>
        <v>1818.51</v>
      </c>
    </row>
    <row r="518">
      <c r="B518" s="11">
        <f>IFERROR(__xludf.DUMMYFUNCTION("""COMPUTED_VALUE"""),43798.54166666667)</f>
        <v>43798.54167</v>
      </c>
      <c r="C518" s="9">
        <f>IFERROR(__xludf.DUMMYFUNCTION("""COMPUTED_VALUE"""),66.22)</f>
        <v>66.22</v>
      </c>
      <c r="D518" s="11">
        <f>IFERROR(__xludf.DUMMYFUNCTION("""COMPUTED_VALUE"""),43798.54166666667)</f>
        <v>43798.54167</v>
      </c>
      <c r="E518" s="9">
        <f>IFERROR(__xludf.DUMMYFUNCTION("""COMPUTED_VALUE"""),65.99)</f>
        <v>65.99</v>
      </c>
      <c r="G518" s="11">
        <f>IFERROR(__xludf.DUMMYFUNCTION("""COMPUTED_VALUE"""),43798.54166666667)</f>
        <v>43798.54167</v>
      </c>
      <c r="H518" s="9">
        <f>IFERROR(__xludf.DUMMYFUNCTION("""COMPUTED_VALUE"""),1307.12)</f>
        <v>1307.12</v>
      </c>
      <c r="I518" s="11">
        <f>IFERROR(__xludf.DUMMYFUNCTION("""COMPUTED_VALUE"""),43798.54166666667)</f>
        <v>43798.54167</v>
      </c>
      <c r="J518" s="9">
        <f>IFERROR(__xludf.DUMMYFUNCTION("""COMPUTED_VALUE"""),1304.96)</f>
        <v>1304.96</v>
      </c>
      <c r="L518" s="11">
        <f>IFERROR(__xludf.DUMMYFUNCTION("""COMPUTED_VALUE"""),43798.54166666667)</f>
        <v>43798.54167</v>
      </c>
      <c r="M518" s="9">
        <f>IFERROR(__xludf.DUMMYFUNCTION("""COMPUTED_VALUE"""),66.65)</f>
        <v>66.65</v>
      </c>
      <c r="N518" s="11">
        <f>IFERROR(__xludf.DUMMYFUNCTION("""COMPUTED_VALUE"""),43798.54166666667)</f>
        <v>43798.54167</v>
      </c>
      <c r="O518" s="9">
        <f>IFERROR(__xludf.DUMMYFUNCTION("""COMPUTED_VALUE"""),66.81)</f>
        <v>66.81</v>
      </c>
      <c r="Q518" s="11">
        <f>IFERROR(__xludf.DUMMYFUNCTION("""COMPUTED_VALUE"""),43798.54166666667)</f>
        <v>43798.54167</v>
      </c>
      <c r="R518" s="9">
        <f>IFERROR(__xludf.DUMMYFUNCTION("""COMPUTED_VALUE"""),201.6)</f>
        <v>201.6</v>
      </c>
      <c r="S518" s="11">
        <f>IFERROR(__xludf.DUMMYFUNCTION("""COMPUTED_VALUE"""),43798.54166666667)</f>
        <v>43798.54167</v>
      </c>
      <c r="T518" s="9">
        <f>IFERROR(__xludf.DUMMYFUNCTION("""COMPUTED_VALUE"""),201.64)</f>
        <v>201.64</v>
      </c>
      <c r="V518" s="11">
        <f>IFERROR(__xludf.DUMMYFUNCTION("""COMPUTED_VALUE"""),43798.54166666667)</f>
        <v>43798.54167</v>
      </c>
      <c r="W518" s="9">
        <f>IFERROR(__xludf.DUMMYFUNCTION("""COMPUTED_VALUE"""),315.78)</f>
        <v>315.78</v>
      </c>
      <c r="X518" s="11">
        <f>IFERROR(__xludf.DUMMYFUNCTION("""COMPUTED_VALUE"""),43798.54166666667)</f>
        <v>43798.54167</v>
      </c>
      <c r="Y518" s="9">
        <f>IFERROR(__xludf.DUMMYFUNCTION("""COMPUTED_VALUE"""),314.66)</f>
        <v>314.66</v>
      </c>
      <c r="AA518" s="11">
        <f>IFERROR(__xludf.DUMMYFUNCTION("""COMPUTED_VALUE"""),43798.54166666667)</f>
        <v>43798.54167</v>
      </c>
      <c r="AB518" s="9">
        <f>IFERROR(__xludf.DUMMYFUNCTION("""COMPUTED_VALUE"""),1817.78)</f>
        <v>1817.78</v>
      </c>
      <c r="AC518" s="11">
        <f>IFERROR(__xludf.DUMMYFUNCTION("""COMPUTED_VALUE"""),43798.54166666667)</f>
        <v>43798.54167</v>
      </c>
      <c r="AD518" s="9">
        <f>IFERROR(__xludf.DUMMYFUNCTION("""COMPUTED_VALUE"""),1800.8)</f>
        <v>1800.8</v>
      </c>
    </row>
    <row r="519">
      <c r="B519" s="11">
        <f>IFERROR(__xludf.DUMMYFUNCTION("""COMPUTED_VALUE"""),43801.66666666667)</f>
        <v>43801.66667</v>
      </c>
      <c r="C519" s="9">
        <f>IFERROR(__xludf.DUMMYFUNCTION("""COMPUTED_VALUE"""),65.88)</f>
        <v>65.88</v>
      </c>
      <c r="D519" s="11">
        <f>IFERROR(__xludf.DUMMYFUNCTION("""COMPUTED_VALUE"""),43801.66666666667)</f>
        <v>43801.66667</v>
      </c>
      <c r="E519" s="9">
        <f>IFERROR(__xludf.DUMMYFUNCTION("""COMPUTED_VALUE"""),66.97)</f>
        <v>66.97</v>
      </c>
      <c r="G519" s="11">
        <f>IFERROR(__xludf.DUMMYFUNCTION("""COMPUTED_VALUE"""),43801.66666666667)</f>
        <v>43801.66667</v>
      </c>
      <c r="H519" s="9">
        <f>IFERROR(__xludf.DUMMYFUNCTION("""COMPUTED_VALUE"""),1301.0)</f>
        <v>1301</v>
      </c>
      <c r="I519" s="11">
        <f>IFERROR(__xludf.DUMMYFUNCTION("""COMPUTED_VALUE"""),43801.66666666667)</f>
        <v>43801.66667</v>
      </c>
      <c r="J519" s="9">
        <f>IFERROR(__xludf.DUMMYFUNCTION("""COMPUTED_VALUE"""),1289.92)</f>
        <v>1289.92</v>
      </c>
      <c r="L519" s="11">
        <f>IFERROR(__xludf.DUMMYFUNCTION("""COMPUTED_VALUE"""),43801.66666666667)</f>
        <v>43801.66667</v>
      </c>
      <c r="M519" s="9">
        <f>IFERROR(__xludf.DUMMYFUNCTION("""COMPUTED_VALUE"""),66.82)</f>
        <v>66.82</v>
      </c>
      <c r="N519" s="11">
        <f>IFERROR(__xludf.DUMMYFUNCTION("""COMPUTED_VALUE"""),43801.66666666667)</f>
        <v>43801.66667</v>
      </c>
      <c r="O519" s="9">
        <f>IFERROR(__xludf.DUMMYFUNCTION("""COMPUTED_VALUE"""),66.04)</f>
        <v>66.04</v>
      </c>
      <c r="Q519" s="11">
        <f>IFERROR(__xludf.DUMMYFUNCTION("""COMPUTED_VALUE"""),43801.66666666667)</f>
        <v>43801.66667</v>
      </c>
      <c r="R519" s="9">
        <f>IFERROR(__xludf.DUMMYFUNCTION("""COMPUTED_VALUE"""),202.13)</f>
        <v>202.13</v>
      </c>
      <c r="S519" s="11">
        <f>IFERROR(__xludf.DUMMYFUNCTION("""COMPUTED_VALUE"""),43801.66666666667)</f>
        <v>43801.66667</v>
      </c>
      <c r="T519" s="9">
        <f>IFERROR(__xludf.DUMMYFUNCTION("""COMPUTED_VALUE"""),199.7)</f>
        <v>199.7</v>
      </c>
      <c r="V519" s="11">
        <f>IFERROR(__xludf.DUMMYFUNCTION("""COMPUTED_VALUE"""),43801.66666666667)</f>
        <v>43801.66667</v>
      </c>
      <c r="W519" s="9">
        <f>IFERROR(__xludf.DUMMYFUNCTION("""COMPUTED_VALUE"""),314.39)</f>
        <v>314.39</v>
      </c>
      <c r="X519" s="11">
        <f>IFERROR(__xludf.DUMMYFUNCTION("""COMPUTED_VALUE"""),43801.66666666667)</f>
        <v>43801.66667</v>
      </c>
      <c r="Y519" s="9">
        <f>IFERROR(__xludf.DUMMYFUNCTION("""COMPUTED_VALUE"""),309.99)</f>
        <v>309.99</v>
      </c>
      <c r="AA519" s="11">
        <f>IFERROR(__xludf.DUMMYFUNCTION("""COMPUTED_VALUE"""),43801.66666666667)</f>
        <v>43801.66667</v>
      </c>
      <c r="AB519" s="9">
        <f>IFERROR(__xludf.DUMMYFUNCTION("""COMPUTED_VALUE"""),1804.4)</f>
        <v>1804.4</v>
      </c>
      <c r="AC519" s="11">
        <f>IFERROR(__xludf.DUMMYFUNCTION("""COMPUTED_VALUE"""),43801.66666666667)</f>
        <v>43801.66667</v>
      </c>
      <c r="AD519" s="9">
        <f>IFERROR(__xludf.DUMMYFUNCTION("""COMPUTED_VALUE"""),1781.6)</f>
        <v>1781.6</v>
      </c>
    </row>
    <row r="520">
      <c r="B520" s="11">
        <f>IFERROR(__xludf.DUMMYFUNCTION("""COMPUTED_VALUE"""),43802.66666666667)</f>
        <v>43802.66667</v>
      </c>
      <c r="C520" s="9">
        <f>IFERROR(__xludf.DUMMYFUNCTION("""COMPUTED_VALUE"""),66.52)</f>
        <v>66.52</v>
      </c>
      <c r="D520" s="11">
        <f>IFERROR(__xludf.DUMMYFUNCTION("""COMPUTED_VALUE"""),43802.66666666667)</f>
        <v>43802.66667</v>
      </c>
      <c r="E520" s="9">
        <f>IFERROR(__xludf.DUMMYFUNCTION("""COMPUTED_VALUE"""),67.24)</f>
        <v>67.24</v>
      </c>
      <c r="G520" s="11">
        <f>IFERROR(__xludf.DUMMYFUNCTION("""COMPUTED_VALUE"""),43802.66666666667)</f>
        <v>43802.66667</v>
      </c>
      <c r="H520" s="9">
        <f>IFERROR(__xludf.DUMMYFUNCTION("""COMPUTED_VALUE"""),1279.57)</f>
        <v>1279.57</v>
      </c>
      <c r="I520" s="11">
        <f>IFERROR(__xludf.DUMMYFUNCTION("""COMPUTED_VALUE"""),43802.66666666667)</f>
        <v>43802.66667</v>
      </c>
      <c r="J520" s="9">
        <f>IFERROR(__xludf.DUMMYFUNCTION("""COMPUTED_VALUE"""),1295.28)</f>
        <v>1295.28</v>
      </c>
      <c r="L520" s="11">
        <f>IFERROR(__xludf.DUMMYFUNCTION("""COMPUTED_VALUE"""),43802.66666666667)</f>
        <v>43802.66667</v>
      </c>
      <c r="M520" s="9">
        <f>IFERROR(__xludf.DUMMYFUNCTION("""COMPUTED_VALUE"""),64.58)</f>
        <v>64.58</v>
      </c>
      <c r="N520" s="11">
        <f>IFERROR(__xludf.DUMMYFUNCTION("""COMPUTED_VALUE"""),43802.66666666667)</f>
        <v>43802.66667</v>
      </c>
      <c r="O520" s="9">
        <f>IFERROR(__xludf.DUMMYFUNCTION("""COMPUTED_VALUE"""),64.86)</f>
        <v>64.86</v>
      </c>
      <c r="Q520" s="11">
        <f>IFERROR(__xludf.DUMMYFUNCTION("""COMPUTED_VALUE"""),43802.66666666667)</f>
        <v>43802.66667</v>
      </c>
      <c r="R520" s="9">
        <f>IFERROR(__xludf.DUMMYFUNCTION("""COMPUTED_VALUE"""),197.6)</f>
        <v>197.6</v>
      </c>
      <c r="S520" s="11">
        <f>IFERROR(__xludf.DUMMYFUNCTION("""COMPUTED_VALUE"""),43802.66666666667)</f>
        <v>43802.66667</v>
      </c>
      <c r="T520" s="9">
        <f>IFERROR(__xludf.DUMMYFUNCTION("""COMPUTED_VALUE"""),198.82)</f>
        <v>198.82</v>
      </c>
      <c r="V520" s="11">
        <f>IFERROR(__xludf.DUMMYFUNCTION("""COMPUTED_VALUE"""),43802.66666666667)</f>
        <v>43802.66667</v>
      </c>
      <c r="W520" s="9">
        <f>IFERROR(__xludf.DUMMYFUNCTION("""COMPUTED_VALUE"""),302.22)</f>
        <v>302.22</v>
      </c>
      <c r="X520" s="11">
        <f>IFERROR(__xludf.DUMMYFUNCTION("""COMPUTED_VALUE"""),43802.66666666667)</f>
        <v>43802.66667</v>
      </c>
      <c r="Y520" s="9">
        <f>IFERROR(__xludf.DUMMYFUNCTION("""COMPUTED_VALUE"""),306.16)</f>
        <v>306.16</v>
      </c>
      <c r="AA520" s="11">
        <f>IFERROR(__xludf.DUMMYFUNCTION("""COMPUTED_VALUE"""),43802.66666666667)</f>
        <v>43802.66667</v>
      </c>
      <c r="AB520" s="9">
        <f>IFERROR(__xludf.DUMMYFUNCTION("""COMPUTED_VALUE"""),1760.0)</f>
        <v>1760</v>
      </c>
      <c r="AC520" s="11">
        <f>IFERROR(__xludf.DUMMYFUNCTION("""COMPUTED_VALUE"""),43802.66666666667)</f>
        <v>43802.66667</v>
      </c>
      <c r="AD520" s="9">
        <f>IFERROR(__xludf.DUMMYFUNCTION("""COMPUTED_VALUE"""),1769.96)</f>
        <v>1769.96</v>
      </c>
    </row>
    <row r="521">
      <c r="B521" s="11">
        <f>IFERROR(__xludf.DUMMYFUNCTION("""COMPUTED_VALUE"""),43803.66666666667)</f>
        <v>43803.66667</v>
      </c>
      <c r="C521" s="9">
        <f>IFERROR(__xludf.DUMMYFUNCTION("""COMPUTED_VALUE"""),67.55)</f>
        <v>67.55</v>
      </c>
      <c r="D521" s="11">
        <f>IFERROR(__xludf.DUMMYFUNCTION("""COMPUTED_VALUE"""),43803.66666666667)</f>
        <v>43803.66667</v>
      </c>
      <c r="E521" s="9">
        <f>IFERROR(__xludf.DUMMYFUNCTION("""COMPUTED_VALUE"""),66.61)</f>
        <v>66.61</v>
      </c>
      <c r="G521" s="11">
        <f>IFERROR(__xludf.DUMMYFUNCTION("""COMPUTED_VALUE"""),43803.66666666667)</f>
        <v>43803.66667</v>
      </c>
      <c r="H521" s="9">
        <f>IFERROR(__xludf.DUMMYFUNCTION("""COMPUTED_VALUE"""),1307.01)</f>
        <v>1307.01</v>
      </c>
      <c r="I521" s="11">
        <f>IFERROR(__xludf.DUMMYFUNCTION("""COMPUTED_VALUE"""),43803.66666666667)</f>
        <v>43803.66667</v>
      </c>
      <c r="J521" s="9">
        <f>IFERROR(__xludf.DUMMYFUNCTION("""COMPUTED_VALUE"""),1320.54)</f>
        <v>1320.54</v>
      </c>
      <c r="L521" s="11">
        <f>IFERROR(__xludf.DUMMYFUNCTION("""COMPUTED_VALUE"""),43803.66666666667)</f>
        <v>43803.66667</v>
      </c>
      <c r="M521" s="9">
        <f>IFERROR(__xludf.DUMMYFUNCTION("""COMPUTED_VALUE"""),65.27)</f>
        <v>65.27</v>
      </c>
      <c r="N521" s="11">
        <f>IFERROR(__xludf.DUMMYFUNCTION("""COMPUTED_VALUE"""),43803.66666666667)</f>
        <v>43803.66667</v>
      </c>
      <c r="O521" s="9">
        <f>IFERROR(__xludf.DUMMYFUNCTION("""COMPUTED_VALUE"""),65.44)</f>
        <v>65.44</v>
      </c>
      <c r="Q521" s="11">
        <f>IFERROR(__xludf.DUMMYFUNCTION("""COMPUTED_VALUE"""),43803.66666666667)</f>
        <v>43803.66667</v>
      </c>
      <c r="R521" s="9">
        <f>IFERROR(__xludf.DUMMYFUNCTION("""COMPUTED_VALUE"""),200.0)</f>
        <v>200</v>
      </c>
      <c r="S521" s="11">
        <f>IFERROR(__xludf.DUMMYFUNCTION("""COMPUTED_VALUE"""),43803.66666666667)</f>
        <v>43803.66667</v>
      </c>
      <c r="T521" s="9">
        <f>IFERROR(__xludf.DUMMYFUNCTION("""COMPUTED_VALUE"""),198.71)</f>
        <v>198.71</v>
      </c>
      <c r="V521" s="11">
        <f>IFERROR(__xludf.DUMMYFUNCTION("""COMPUTED_VALUE"""),43803.66666666667)</f>
        <v>43803.66667</v>
      </c>
      <c r="W521" s="9">
        <f>IFERROR(__xludf.DUMMYFUNCTION("""COMPUTED_VALUE"""),308.43)</f>
        <v>308.43</v>
      </c>
      <c r="X521" s="11">
        <f>IFERROR(__xludf.DUMMYFUNCTION("""COMPUTED_VALUE"""),43803.66666666667)</f>
        <v>43803.66667</v>
      </c>
      <c r="Y521" s="9">
        <f>IFERROR(__xludf.DUMMYFUNCTION("""COMPUTED_VALUE"""),304.32)</f>
        <v>304.32</v>
      </c>
      <c r="AA521" s="11">
        <f>IFERROR(__xludf.DUMMYFUNCTION("""COMPUTED_VALUE"""),43803.66666666667)</f>
        <v>43803.66667</v>
      </c>
      <c r="AB521" s="9">
        <f>IFERROR(__xludf.DUMMYFUNCTION("""COMPUTED_VALUE"""),1774.01)</f>
        <v>1774.01</v>
      </c>
      <c r="AC521" s="11">
        <f>IFERROR(__xludf.DUMMYFUNCTION("""COMPUTED_VALUE"""),43803.66666666667)</f>
        <v>43803.66667</v>
      </c>
      <c r="AD521" s="9">
        <f>IFERROR(__xludf.DUMMYFUNCTION("""COMPUTED_VALUE"""),1760.69)</f>
        <v>1760.69</v>
      </c>
    </row>
    <row r="522">
      <c r="B522" s="11">
        <f>IFERROR(__xludf.DUMMYFUNCTION("""COMPUTED_VALUE"""),43804.66666666667)</f>
        <v>43804.66667</v>
      </c>
      <c r="C522" s="9">
        <f>IFERROR(__xludf.DUMMYFUNCTION("""COMPUTED_VALUE"""),66.57)</f>
        <v>66.57</v>
      </c>
      <c r="D522" s="11">
        <f>IFERROR(__xludf.DUMMYFUNCTION("""COMPUTED_VALUE"""),43804.66666666667)</f>
        <v>43804.66667</v>
      </c>
      <c r="E522" s="9">
        <f>IFERROR(__xludf.DUMMYFUNCTION("""COMPUTED_VALUE"""),66.07)</f>
        <v>66.07</v>
      </c>
      <c r="G522" s="11">
        <f>IFERROR(__xludf.DUMMYFUNCTION("""COMPUTED_VALUE"""),43804.66666666667)</f>
        <v>43804.66667</v>
      </c>
      <c r="H522" s="9">
        <f>IFERROR(__xludf.DUMMYFUNCTION("""COMPUTED_VALUE"""),1328.0)</f>
        <v>1328</v>
      </c>
      <c r="I522" s="11">
        <f>IFERROR(__xludf.DUMMYFUNCTION("""COMPUTED_VALUE"""),43804.66666666667)</f>
        <v>43804.66667</v>
      </c>
      <c r="J522" s="9">
        <f>IFERROR(__xludf.DUMMYFUNCTION("""COMPUTED_VALUE"""),1328.13)</f>
        <v>1328.13</v>
      </c>
      <c r="L522" s="11">
        <f>IFERROR(__xludf.DUMMYFUNCTION("""COMPUTED_VALUE"""),43804.66666666667)</f>
        <v>43804.66667</v>
      </c>
      <c r="M522" s="9">
        <f>IFERROR(__xludf.DUMMYFUNCTION("""COMPUTED_VALUE"""),65.95)</f>
        <v>65.95</v>
      </c>
      <c r="N522" s="11">
        <f>IFERROR(__xludf.DUMMYFUNCTION("""COMPUTED_VALUE"""),43804.66666666667)</f>
        <v>43804.66667</v>
      </c>
      <c r="O522" s="9">
        <f>IFERROR(__xludf.DUMMYFUNCTION("""COMPUTED_VALUE"""),66.4)</f>
        <v>66.4</v>
      </c>
      <c r="Q522" s="11">
        <f>IFERROR(__xludf.DUMMYFUNCTION("""COMPUTED_VALUE"""),43804.66666666667)</f>
        <v>43804.66667</v>
      </c>
      <c r="R522" s="9">
        <f>IFERROR(__xludf.DUMMYFUNCTION("""COMPUTED_VALUE"""),199.86)</f>
        <v>199.86</v>
      </c>
      <c r="S522" s="11">
        <f>IFERROR(__xludf.DUMMYFUNCTION("""COMPUTED_VALUE"""),43804.66666666667)</f>
        <v>43804.66667</v>
      </c>
      <c r="T522" s="9">
        <f>IFERROR(__xludf.DUMMYFUNCTION("""COMPUTED_VALUE"""),199.36)</f>
        <v>199.36</v>
      </c>
      <c r="V522" s="11">
        <f>IFERROR(__xludf.DUMMYFUNCTION("""COMPUTED_VALUE"""),43804.66666666667)</f>
        <v>43804.66667</v>
      </c>
      <c r="W522" s="9">
        <f>IFERROR(__xludf.DUMMYFUNCTION("""COMPUTED_VALUE"""),305.27)</f>
        <v>305.27</v>
      </c>
      <c r="X522" s="11">
        <f>IFERROR(__xludf.DUMMYFUNCTION("""COMPUTED_VALUE"""),43804.66666666667)</f>
        <v>43804.66667</v>
      </c>
      <c r="Y522" s="9">
        <f>IFERROR(__xludf.DUMMYFUNCTION("""COMPUTED_VALUE"""),302.86)</f>
        <v>302.86</v>
      </c>
      <c r="AA522" s="11">
        <f>IFERROR(__xludf.DUMMYFUNCTION("""COMPUTED_VALUE"""),43804.66666666667)</f>
        <v>43804.66667</v>
      </c>
      <c r="AB522" s="9">
        <f>IFERROR(__xludf.DUMMYFUNCTION("""COMPUTED_VALUE"""),1763.5)</f>
        <v>1763.5</v>
      </c>
      <c r="AC522" s="11">
        <f>IFERROR(__xludf.DUMMYFUNCTION("""COMPUTED_VALUE"""),43804.66666666667)</f>
        <v>43804.66667</v>
      </c>
      <c r="AD522" s="9">
        <f>IFERROR(__xludf.DUMMYFUNCTION("""COMPUTED_VALUE"""),1740.48)</f>
        <v>1740.48</v>
      </c>
    </row>
    <row r="523">
      <c r="B523" s="11">
        <f>IFERROR(__xludf.DUMMYFUNCTION("""COMPUTED_VALUE"""),43805.66666666667)</f>
        <v>43805.66667</v>
      </c>
      <c r="C523" s="9">
        <f>IFERROR(__xludf.DUMMYFUNCTION("""COMPUTED_VALUE"""),67.0)</f>
        <v>67</v>
      </c>
      <c r="D523" s="11">
        <f>IFERROR(__xludf.DUMMYFUNCTION("""COMPUTED_VALUE"""),43805.66666666667)</f>
        <v>43805.66667</v>
      </c>
      <c r="E523" s="9">
        <f>IFERROR(__xludf.DUMMYFUNCTION("""COMPUTED_VALUE"""),67.18)</f>
        <v>67.18</v>
      </c>
      <c r="G523" s="11">
        <f>IFERROR(__xludf.DUMMYFUNCTION("""COMPUTED_VALUE"""),43805.66666666667)</f>
        <v>43805.66667</v>
      </c>
      <c r="H523" s="9">
        <f>IFERROR(__xludf.DUMMYFUNCTION("""COMPUTED_VALUE"""),1333.44)</f>
        <v>1333.44</v>
      </c>
      <c r="I523" s="11">
        <f>IFERROR(__xludf.DUMMYFUNCTION("""COMPUTED_VALUE"""),43805.66666666667)</f>
        <v>43805.66667</v>
      </c>
      <c r="J523" s="9">
        <f>IFERROR(__xludf.DUMMYFUNCTION("""COMPUTED_VALUE"""),1340.62)</f>
        <v>1340.62</v>
      </c>
      <c r="L523" s="11">
        <f>IFERROR(__xludf.DUMMYFUNCTION("""COMPUTED_VALUE"""),43805.66666666667)</f>
        <v>43805.66667</v>
      </c>
      <c r="M523" s="9">
        <f>IFERROR(__xludf.DUMMYFUNCTION("""COMPUTED_VALUE"""),66.87)</f>
        <v>66.87</v>
      </c>
      <c r="N523" s="11">
        <f>IFERROR(__xludf.DUMMYFUNCTION("""COMPUTED_VALUE"""),43805.66666666667)</f>
        <v>43805.66667</v>
      </c>
      <c r="O523" s="9">
        <f>IFERROR(__xludf.DUMMYFUNCTION("""COMPUTED_VALUE"""),67.68)</f>
        <v>67.68</v>
      </c>
      <c r="Q523" s="11">
        <f>IFERROR(__xludf.DUMMYFUNCTION("""COMPUTED_VALUE"""),43805.66666666667)</f>
        <v>43805.66667</v>
      </c>
      <c r="R523" s="9">
        <f>IFERROR(__xludf.DUMMYFUNCTION("""COMPUTED_VALUE"""),200.5)</f>
        <v>200.5</v>
      </c>
      <c r="S523" s="11">
        <f>IFERROR(__xludf.DUMMYFUNCTION("""COMPUTED_VALUE"""),43805.66666666667)</f>
        <v>43805.66667</v>
      </c>
      <c r="T523" s="9">
        <f>IFERROR(__xludf.DUMMYFUNCTION("""COMPUTED_VALUE"""),201.05)</f>
        <v>201.05</v>
      </c>
      <c r="V523" s="11">
        <f>IFERROR(__xludf.DUMMYFUNCTION("""COMPUTED_VALUE"""),43805.66666666667)</f>
        <v>43805.66667</v>
      </c>
      <c r="W523" s="9">
        <f>IFERROR(__xludf.DUMMYFUNCTION("""COMPUTED_VALUE"""),304.7)</f>
        <v>304.7</v>
      </c>
      <c r="X523" s="11">
        <f>IFERROR(__xludf.DUMMYFUNCTION("""COMPUTED_VALUE"""),43805.66666666667)</f>
        <v>43805.66667</v>
      </c>
      <c r="Y523" s="9">
        <f>IFERROR(__xludf.DUMMYFUNCTION("""COMPUTED_VALUE"""),307.35)</f>
        <v>307.35</v>
      </c>
      <c r="AA523" s="11">
        <f>IFERROR(__xludf.DUMMYFUNCTION("""COMPUTED_VALUE"""),43805.66666666667)</f>
        <v>43805.66667</v>
      </c>
      <c r="AB523" s="9">
        <f>IFERROR(__xludf.DUMMYFUNCTION("""COMPUTED_VALUE"""),1751.2)</f>
        <v>1751.2</v>
      </c>
      <c r="AC523" s="11">
        <f>IFERROR(__xludf.DUMMYFUNCTION("""COMPUTED_VALUE"""),43805.66666666667)</f>
        <v>43805.66667</v>
      </c>
      <c r="AD523" s="9">
        <f>IFERROR(__xludf.DUMMYFUNCTION("""COMPUTED_VALUE"""),1751.6)</f>
        <v>1751.6</v>
      </c>
    </row>
    <row r="524">
      <c r="B524" s="11">
        <f>IFERROR(__xludf.DUMMYFUNCTION("""COMPUTED_VALUE"""),43808.66666666667)</f>
        <v>43808.66667</v>
      </c>
      <c r="C524" s="9">
        <f>IFERROR(__xludf.DUMMYFUNCTION("""COMPUTED_VALUE"""),67.32)</f>
        <v>67.32</v>
      </c>
      <c r="D524" s="11">
        <f>IFERROR(__xludf.DUMMYFUNCTION("""COMPUTED_VALUE"""),43808.66666666667)</f>
        <v>43808.66667</v>
      </c>
      <c r="E524" s="9">
        <f>IFERROR(__xludf.DUMMYFUNCTION("""COMPUTED_VALUE"""),67.91)</f>
        <v>67.91</v>
      </c>
      <c r="G524" s="11">
        <f>IFERROR(__xludf.DUMMYFUNCTION("""COMPUTED_VALUE"""),43808.66666666667)</f>
        <v>43808.66667</v>
      </c>
      <c r="H524" s="9">
        <f>IFERROR(__xludf.DUMMYFUNCTION("""COMPUTED_VALUE"""),1338.04)</f>
        <v>1338.04</v>
      </c>
      <c r="I524" s="11">
        <f>IFERROR(__xludf.DUMMYFUNCTION("""COMPUTED_VALUE"""),43808.66666666667)</f>
        <v>43808.66667</v>
      </c>
      <c r="J524" s="9">
        <f>IFERROR(__xludf.DUMMYFUNCTION("""COMPUTED_VALUE"""),1343.56)</f>
        <v>1343.56</v>
      </c>
      <c r="L524" s="11">
        <f>IFERROR(__xludf.DUMMYFUNCTION("""COMPUTED_VALUE"""),43808.66666666667)</f>
        <v>43808.66667</v>
      </c>
      <c r="M524" s="9">
        <f>IFERROR(__xludf.DUMMYFUNCTION("""COMPUTED_VALUE"""),67.5)</f>
        <v>67.5</v>
      </c>
      <c r="N524" s="11">
        <f>IFERROR(__xludf.DUMMYFUNCTION("""COMPUTED_VALUE"""),43808.66666666667)</f>
        <v>43808.66667</v>
      </c>
      <c r="O524" s="9">
        <f>IFERROR(__xludf.DUMMYFUNCTION("""COMPUTED_VALUE"""),66.73)</f>
        <v>66.73</v>
      </c>
      <c r="Q524" s="11">
        <f>IFERROR(__xludf.DUMMYFUNCTION("""COMPUTED_VALUE"""),43808.66666666667)</f>
        <v>43808.66667</v>
      </c>
      <c r="R524" s="9">
        <f>IFERROR(__xludf.DUMMYFUNCTION("""COMPUTED_VALUE"""),200.65)</f>
        <v>200.65</v>
      </c>
      <c r="S524" s="11">
        <f>IFERROR(__xludf.DUMMYFUNCTION("""COMPUTED_VALUE"""),43808.66666666667)</f>
        <v>43808.66667</v>
      </c>
      <c r="T524" s="9">
        <f>IFERROR(__xludf.DUMMYFUNCTION("""COMPUTED_VALUE"""),201.34)</f>
        <v>201.34</v>
      </c>
      <c r="V524" s="11">
        <f>IFERROR(__xludf.DUMMYFUNCTION("""COMPUTED_VALUE"""),43808.66666666667)</f>
        <v>43808.66667</v>
      </c>
      <c r="W524" s="9">
        <f>IFERROR(__xludf.DUMMYFUNCTION("""COMPUTED_VALUE"""),307.35)</f>
        <v>307.35</v>
      </c>
      <c r="X524" s="11">
        <f>IFERROR(__xludf.DUMMYFUNCTION("""COMPUTED_VALUE"""),43808.66666666667)</f>
        <v>43808.66667</v>
      </c>
      <c r="Y524" s="9">
        <f>IFERROR(__xludf.DUMMYFUNCTION("""COMPUTED_VALUE"""),302.5)</f>
        <v>302.5</v>
      </c>
      <c r="AA524" s="11">
        <f>IFERROR(__xludf.DUMMYFUNCTION("""COMPUTED_VALUE"""),43808.66666666667)</f>
        <v>43808.66667</v>
      </c>
      <c r="AB524" s="9">
        <f>IFERROR(__xludf.DUMMYFUNCTION("""COMPUTED_VALUE"""),1750.66)</f>
        <v>1750.66</v>
      </c>
      <c r="AC524" s="11">
        <f>IFERROR(__xludf.DUMMYFUNCTION("""COMPUTED_VALUE"""),43808.66666666667)</f>
        <v>43808.66667</v>
      </c>
      <c r="AD524" s="9">
        <f>IFERROR(__xludf.DUMMYFUNCTION("""COMPUTED_VALUE"""),1749.51)</f>
        <v>1749.51</v>
      </c>
    </row>
    <row r="525">
      <c r="B525" s="11">
        <f>IFERROR(__xludf.DUMMYFUNCTION("""COMPUTED_VALUE"""),43809.66666666667)</f>
        <v>43809.66667</v>
      </c>
      <c r="C525" s="9">
        <f>IFERROR(__xludf.DUMMYFUNCTION("""COMPUTED_VALUE"""),67.99)</f>
        <v>67.99</v>
      </c>
      <c r="D525" s="11">
        <f>IFERROR(__xludf.DUMMYFUNCTION("""COMPUTED_VALUE"""),43809.66666666667)</f>
        <v>43809.66667</v>
      </c>
      <c r="E525" s="9">
        <f>IFERROR(__xludf.DUMMYFUNCTION("""COMPUTED_VALUE"""),69.77)</f>
        <v>69.77</v>
      </c>
      <c r="G525" s="11">
        <f>IFERROR(__xludf.DUMMYFUNCTION("""COMPUTED_VALUE"""),43809.66666666667)</f>
        <v>43809.66667</v>
      </c>
      <c r="H525" s="9">
        <f>IFERROR(__xludf.DUMMYFUNCTION("""COMPUTED_VALUE"""),1341.5)</f>
        <v>1341.5</v>
      </c>
      <c r="I525" s="11">
        <f>IFERROR(__xludf.DUMMYFUNCTION("""COMPUTED_VALUE"""),43809.66666666667)</f>
        <v>43809.66667</v>
      </c>
      <c r="J525" s="9">
        <f>IFERROR(__xludf.DUMMYFUNCTION("""COMPUTED_VALUE"""),1344.66)</f>
        <v>1344.66</v>
      </c>
      <c r="L525" s="11">
        <f>IFERROR(__xludf.DUMMYFUNCTION("""COMPUTED_VALUE"""),43809.66666666667)</f>
        <v>43809.66667</v>
      </c>
      <c r="M525" s="9">
        <f>IFERROR(__xludf.DUMMYFUNCTION("""COMPUTED_VALUE"""),67.15)</f>
        <v>67.15</v>
      </c>
      <c r="N525" s="11">
        <f>IFERROR(__xludf.DUMMYFUNCTION("""COMPUTED_VALUE"""),43809.66666666667)</f>
        <v>43809.66667</v>
      </c>
      <c r="O525" s="9">
        <f>IFERROR(__xludf.DUMMYFUNCTION("""COMPUTED_VALUE"""),67.12)</f>
        <v>67.12</v>
      </c>
      <c r="Q525" s="11">
        <f>IFERROR(__xludf.DUMMYFUNCTION("""COMPUTED_VALUE"""),43809.66666666667)</f>
        <v>43809.66667</v>
      </c>
      <c r="R525" s="9">
        <f>IFERROR(__xludf.DUMMYFUNCTION("""COMPUTED_VALUE"""),201.66)</f>
        <v>201.66</v>
      </c>
      <c r="S525" s="11">
        <f>IFERROR(__xludf.DUMMYFUNCTION("""COMPUTED_VALUE"""),43809.66666666667)</f>
        <v>43809.66667</v>
      </c>
      <c r="T525" s="9">
        <f>IFERROR(__xludf.DUMMYFUNCTION("""COMPUTED_VALUE"""),200.87)</f>
        <v>200.87</v>
      </c>
      <c r="V525" s="11">
        <f>IFERROR(__xludf.DUMMYFUNCTION("""COMPUTED_VALUE"""),43809.66666666667)</f>
        <v>43809.66667</v>
      </c>
      <c r="W525" s="9">
        <f>IFERROR(__xludf.DUMMYFUNCTION("""COMPUTED_VALUE"""),296.12)</f>
        <v>296.12</v>
      </c>
      <c r="X525" s="11">
        <f>IFERROR(__xludf.DUMMYFUNCTION("""COMPUTED_VALUE"""),43809.66666666667)</f>
        <v>43809.66667</v>
      </c>
      <c r="Y525" s="9">
        <f>IFERROR(__xludf.DUMMYFUNCTION("""COMPUTED_VALUE"""),293.12)</f>
        <v>293.12</v>
      </c>
      <c r="AA525" s="11">
        <f>IFERROR(__xludf.DUMMYFUNCTION("""COMPUTED_VALUE"""),43809.66666666667)</f>
        <v>43809.66667</v>
      </c>
      <c r="AB525" s="9">
        <f>IFERROR(__xludf.DUMMYFUNCTION("""COMPUTED_VALUE"""),1747.4)</f>
        <v>1747.4</v>
      </c>
      <c r="AC525" s="11">
        <f>IFERROR(__xludf.DUMMYFUNCTION("""COMPUTED_VALUE"""),43809.66666666667)</f>
        <v>43809.66667</v>
      </c>
      <c r="AD525" s="9">
        <f>IFERROR(__xludf.DUMMYFUNCTION("""COMPUTED_VALUE"""),1739.21)</f>
        <v>1739.21</v>
      </c>
    </row>
    <row r="526">
      <c r="B526" s="11">
        <f>IFERROR(__xludf.DUMMYFUNCTION("""COMPUTED_VALUE"""),43810.66666666667)</f>
        <v>43810.66667</v>
      </c>
      <c r="C526" s="9">
        <f>IFERROR(__xludf.DUMMYFUNCTION("""COMPUTED_VALUE"""),70.38)</f>
        <v>70.38</v>
      </c>
      <c r="D526" s="11">
        <f>IFERROR(__xludf.DUMMYFUNCTION("""COMPUTED_VALUE"""),43810.66666666667)</f>
        <v>43810.66667</v>
      </c>
      <c r="E526" s="9">
        <f>IFERROR(__xludf.DUMMYFUNCTION("""COMPUTED_VALUE"""),70.54)</f>
        <v>70.54</v>
      </c>
      <c r="G526" s="11">
        <f>IFERROR(__xludf.DUMMYFUNCTION("""COMPUTED_VALUE"""),43810.66666666667)</f>
        <v>43810.66667</v>
      </c>
      <c r="H526" s="9">
        <f>IFERROR(__xludf.DUMMYFUNCTION("""COMPUTED_VALUE"""),1350.84)</f>
        <v>1350.84</v>
      </c>
      <c r="I526" s="11">
        <f>IFERROR(__xludf.DUMMYFUNCTION("""COMPUTED_VALUE"""),43810.66666666667)</f>
        <v>43810.66667</v>
      </c>
      <c r="J526" s="9">
        <f>IFERROR(__xludf.DUMMYFUNCTION("""COMPUTED_VALUE"""),1345.02)</f>
        <v>1345.02</v>
      </c>
      <c r="L526" s="11">
        <f>IFERROR(__xludf.DUMMYFUNCTION("""COMPUTED_VALUE"""),43810.66666666667)</f>
        <v>43810.66667</v>
      </c>
      <c r="M526" s="9">
        <f>IFERROR(__xludf.DUMMYFUNCTION("""COMPUTED_VALUE"""),67.2)</f>
        <v>67.2</v>
      </c>
      <c r="N526" s="11">
        <f>IFERROR(__xludf.DUMMYFUNCTION("""COMPUTED_VALUE"""),43810.66666666667)</f>
        <v>43810.66667</v>
      </c>
      <c r="O526" s="9">
        <f>IFERROR(__xludf.DUMMYFUNCTION("""COMPUTED_VALUE"""),67.69)</f>
        <v>67.69</v>
      </c>
      <c r="Q526" s="11">
        <f>IFERROR(__xludf.DUMMYFUNCTION("""COMPUTED_VALUE"""),43810.66666666667)</f>
        <v>43810.66667</v>
      </c>
      <c r="R526" s="9">
        <f>IFERROR(__xludf.DUMMYFUNCTION("""COMPUTED_VALUE"""),200.28)</f>
        <v>200.28</v>
      </c>
      <c r="S526" s="11">
        <f>IFERROR(__xludf.DUMMYFUNCTION("""COMPUTED_VALUE"""),43810.66666666667)</f>
        <v>43810.66667</v>
      </c>
      <c r="T526" s="9">
        <f>IFERROR(__xludf.DUMMYFUNCTION("""COMPUTED_VALUE"""),202.26)</f>
        <v>202.26</v>
      </c>
      <c r="V526" s="11">
        <f>IFERROR(__xludf.DUMMYFUNCTION("""COMPUTED_VALUE"""),43810.66666666667)</f>
        <v>43810.66667</v>
      </c>
      <c r="W526" s="9">
        <f>IFERROR(__xludf.DUMMYFUNCTION("""COMPUTED_VALUE"""),294.49)</f>
        <v>294.49</v>
      </c>
      <c r="X526" s="11">
        <f>IFERROR(__xludf.DUMMYFUNCTION("""COMPUTED_VALUE"""),43810.66666666667)</f>
        <v>43810.66667</v>
      </c>
      <c r="Y526" s="9">
        <f>IFERROR(__xludf.DUMMYFUNCTION("""COMPUTED_VALUE"""),298.93)</f>
        <v>298.93</v>
      </c>
      <c r="AA526" s="11">
        <f>IFERROR(__xludf.DUMMYFUNCTION("""COMPUTED_VALUE"""),43810.66666666667)</f>
        <v>43810.66667</v>
      </c>
      <c r="AB526" s="9">
        <f>IFERROR(__xludf.DUMMYFUNCTION("""COMPUTED_VALUE"""),1741.67)</f>
        <v>1741.67</v>
      </c>
      <c r="AC526" s="11">
        <f>IFERROR(__xludf.DUMMYFUNCTION("""COMPUTED_VALUE"""),43810.66666666667)</f>
        <v>43810.66667</v>
      </c>
      <c r="AD526" s="9">
        <f>IFERROR(__xludf.DUMMYFUNCTION("""COMPUTED_VALUE"""),1748.72)</f>
        <v>1748.72</v>
      </c>
    </row>
    <row r="527">
      <c r="B527" s="11">
        <f>IFERROR(__xludf.DUMMYFUNCTION("""COMPUTED_VALUE"""),43811.66666666667)</f>
        <v>43811.66667</v>
      </c>
      <c r="C527" s="9">
        <f>IFERROR(__xludf.DUMMYFUNCTION("""COMPUTED_VALUE"""),70.98)</f>
        <v>70.98</v>
      </c>
      <c r="D527" s="11">
        <f>IFERROR(__xludf.DUMMYFUNCTION("""COMPUTED_VALUE"""),43811.66666666667)</f>
        <v>43811.66667</v>
      </c>
      <c r="E527" s="9">
        <f>IFERROR(__xludf.DUMMYFUNCTION("""COMPUTED_VALUE"""),71.94)</f>
        <v>71.94</v>
      </c>
      <c r="G527" s="11">
        <f>IFERROR(__xludf.DUMMYFUNCTION("""COMPUTED_VALUE"""),43811.66666666667)</f>
        <v>43811.66667</v>
      </c>
      <c r="H527" s="9">
        <f>IFERROR(__xludf.DUMMYFUNCTION("""COMPUTED_VALUE"""),1345.94)</f>
        <v>1345.94</v>
      </c>
      <c r="I527" s="11">
        <f>IFERROR(__xludf.DUMMYFUNCTION("""COMPUTED_VALUE"""),43811.66666666667)</f>
        <v>43811.66667</v>
      </c>
      <c r="J527" s="9">
        <f>IFERROR(__xludf.DUMMYFUNCTION("""COMPUTED_VALUE"""),1350.27)</f>
        <v>1350.27</v>
      </c>
      <c r="L527" s="11">
        <f>IFERROR(__xludf.DUMMYFUNCTION("""COMPUTED_VALUE"""),43811.66666666667)</f>
        <v>43811.66667</v>
      </c>
      <c r="M527" s="9">
        <f>IFERROR(__xludf.DUMMYFUNCTION("""COMPUTED_VALUE"""),66.94)</f>
        <v>66.94</v>
      </c>
      <c r="N527" s="11">
        <f>IFERROR(__xludf.DUMMYFUNCTION("""COMPUTED_VALUE"""),43811.66666666667)</f>
        <v>43811.66667</v>
      </c>
      <c r="O527" s="9">
        <f>IFERROR(__xludf.DUMMYFUNCTION("""COMPUTED_VALUE"""),67.86)</f>
        <v>67.86</v>
      </c>
      <c r="Q527" s="11">
        <f>IFERROR(__xludf.DUMMYFUNCTION("""COMPUTED_VALUE"""),43811.66666666667)</f>
        <v>43811.66667</v>
      </c>
      <c r="R527" s="9">
        <f>IFERROR(__xludf.DUMMYFUNCTION("""COMPUTED_VALUE"""),202.35)</f>
        <v>202.35</v>
      </c>
      <c r="S527" s="11">
        <f>IFERROR(__xludf.DUMMYFUNCTION("""COMPUTED_VALUE"""),43811.66666666667)</f>
        <v>43811.66667</v>
      </c>
      <c r="T527" s="9">
        <f>IFERROR(__xludf.DUMMYFUNCTION("""COMPUTED_VALUE"""),196.75)</f>
        <v>196.75</v>
      </c>
      <c r="V527" s="11">
        <f>IFERROR(__xludf.DUMMYFUNCTION("""COMPUTED_VALUE"""),43811.66666666667)</f>
        <v>43811.66667</v>
      </c>
      <c r="W527" s="9">
        <f>IFERROR(__xludf.DUMMYFUNCTION("""COMPUTED_VALUE"""),295.67)</f>
        <v>295.67</v>
      </c>
      <c r="X527" s="11">
        <f>IFERROR(__xludf.DUMMYFUNCTION("""COMPUTED_VALUE"""),43811.66666666667)</f>
        <v>43811.66667</v>
      </c>
      <c r="Y527" s="9">
        <f>IFERROR(__xludf.DUMMYFUNCTION("""COMPUTED_VALUE"""),298.44)</f>
        <v>298.44</v>
      </c>
      <c r="AA527" s="11">
        <f>IFERROR(__xludf.DUMMYFUNCTION("""COMPUTED_VALUE"""),43811.66666666667)</f>
        <v>43811.66667</v>
      </c>
      <c r="AB527" s="9">
        <f>IFERROR(__xludf.DUMMYFUNCTION("""COMPUTED_VALUE"""),1750.0)</f>
        <v>1750</v>
      </c>
      <c r="AC527" s="11">
        <f>IFERROR(__xludf.DUMMYFUNCTION("""COMPUTED_VALUE"""),43811.66666666667)</f>
        <v>43811.66667</v>
      </c>
      <c r="AD527" s="9">
        <f>IFERROR(__xludf.DUMMYFUNCTION("""COMPUTED_VALUE"""),1760.33)</f>
        <v>1760.33</v>
      </c>
    </row>
    <row r="528">
      <c r="B528" s="11">
        <f>IFERROR(__xludf.DUMMYFUNCTION("""COMPUTED_VALUE"""),43812.66666666667)</f>
        <v>43812.66667</v>
      </c>
      <c r="C528" s="9">
        <f>IFERROR(__xludf.DUMMYFUNCTION("""COMPUTED_VALUE"""),72.21)</f>
        <v>72.21</v>
      </c>
      <c r="D528" s="11">
        <f>IFERROR(__xludf.DUMMYFUNCTION("""COMPUTED_VALUE"""),43812.66666666667)</f>
        <v>43812.66667</v>
      </c>
      <c r="E528" s="9">
        <f>IFERROR(__xludf.DUMMYFUNCTION("""COMPUTED_VALUE"""),71.68)</f>
        <v>71.68</v>
      </c>
      <c r="G528" s="11">
        <f>IFERROR(__xludf.DUMMYFUNCTION("""COMPUTED_VALUE"""),43812.66666666667)</f>
        <v>43812.66667</v>
      </c>
      <c r="H528" s="9">
        <f>IFERROR(__xludf.DUMMYFUNCTION("""COMPUTED_VALUE"""),1347.95)</f>
        <v>1347.95</v>
      </c>
      <c r="I528" s="11">
        <f>IFERROR(__xludf.DUMMYFUNCTION("""COMPUTED_VALUE"""),43812.66666666667)</f>
        <v>43812.66667</v>
      </c>
      <c r="J528" s="9">
        <f>IFERROR(__xludf.DUMMYFUNCTION("""COMPUTED_VALUE"""),1347.83)</f>
        <v>1347.83</v>
      </c>
      <c r="L528" s="11">
        <f>IFERROR(__xludf.DUMMYFUNCTION("""COMPUTED_VALUE"""),43812.66666666667)</f>
        <v>43812.66667</v>
      </c>
      <c r="M528" s="9">
        <f>IFERROR(__xludf.DUMMYFUNCTION("""COMPUTED_VALUE"""),67.86)</f>
        <v>67.86</v>
      </c>
      <c r="N528" s="11">
        <f>IFERROR(__xludf.DUMMYFUNCTION("""COMPUTED_VALUE"""),43812.66666666667)</f>
        <v>43812.66667</v>
      </c>
      <c r="O528" s="9">
        <f>IFERROR(__xludf.DUMMYFUNCTION("""COMPUTED_VALUE"""),68.79)</f>
        <v>68.79</v>
      </c>
      <c r="Q528" s="11">
        <f>IFERROR(__xludf.DUMMYFUNCTION("""COMPUTED_VALUE"""),43812.66666666667)</f>
        <v>43812.66667</v>
      </c>
      <c r="R528" s="9">
        <f>IFERROR(__xludf.DUMMYFUNCTION("""COMPUTED_VALUE"""),196.4)</f>
        <v>196.4</v>
      </c>
      <c r="S528" s="11">
        <f>IFERROR(__xludf.DUMMYFUNCTION("""COMPUTED_VALUE"""),43812.66666666667)</f>
        <v>43812.66667</v>
      </c>
      <c r="T528" s="9">
        <f>IFERROR(__xludf.DUMMYFUNCTION("""COMPUTED_VALUE"""),194.11)</f>
        <v>194.11</v>
      </c>
      <c r="V528" s="11">
        <f>IFERROR(__xludf.DUMMYFUNCTION("""COMPUTED_VALUE"""),43812.66666666667)</f>
        <v>43812.66667</v>
      </c>
      <c r="W528" s="9">
        <f>IFERROR(__xludf.DUMMYFUNCTION("""COMPUTED_VALUE"""),298.5)</f>
        <v>298.5</v>
      </c>
      <c r="X528" s="11">
        <f>IFERROR(__xludf.DUMMYFUNCTION("""COMPUTED_VALUE"""),43812.66666666667)</f>
        <v>43812.66667</v>
      </c>
      <c r="Y528" s="9">
        <f>IFERROR(__xludf.DUMMYFUNCTION("""COMPUTED_VALUE"""),298.5)</f>
        <v>298.5</v>
      </c>
      <c r="AA528" s="11">
        <f>IFERROR(__xludf.DUMMYFUNCTION("""COMPUTED_VALUE"""),43812.66666666667)</f>
        <v>43812.66667</v>
      </c>
      <c r="AB528" s="9">
        <f>IFERROR(__xludf.DUMMYFUNCTION("""COMPUTED_VALUE"""),1765.0)</f>
        <v>1765</v>
      </c>
      <c r="AC528" s="11">
        <f>IFERROR(__xludf.DUMMYFUNCTION("""COMPUTED_VALUE"""),43812.66666666667)</f>
        <v>43812.66667</v>
      </c>
      <c r="AD528" s="9">
        <f>IFERROR(__xludf.DUMMYFUNCTION("""COMPUTED_VALUE"""),1760.94)</f>
        <v>1760.94</v>
      </c>
    </row>
    <row r="529">
      <c r="B529" s="11">
        <f>IFERROR(__xludf.DUMMYFUNCTION("""COMPUTED_VALUE"""),43815.66666666667)</f>
        <v>43815.66667</v>
      </c>
      <c r="C529" s="9">
        <f>IFERROR(__xludf.DUMMYFUNCTION("""COMPUTED_VALUE"""),72.51)</f>
        <v>72.51</v>
      </c>
      <c r="D529" s="11">
        <f>IFERROR(__xludf.DUMMYFUNCTION("""COMPUTED_VALUE"""),43815.66666666667)</f>
        <v>43815.66667</v>
      </c>
      <c r="E529" s="9">
        <f>IFERROR(__xludf.DUMMYFUNCTION("""COMPUTED_VALUE"""),76.3)</f>
        <v>76.3</v>
      </c>
      <c r="G529" s="11">
        <f>IFERROR(__xludf.DUMMYFUNCTION("""COMPUTED_VALUE"""),43815.66666666667)</f>
        <v>43815.66667</v>
      </c>
      <c r="H529" s="9">
        <f>IFERROR(__xludf.DUMMYFUNCTION("""COMPUTED_VALUE"""),1356.5)</f>
        <v>1356.5</v>
      </c>
      <c r="I529" s="11">
        <f>IFERROR(__xludf.DUMMYFUNCTION("""COMPUTED_VALUE"""),43815.66666666667)</f>
        <v>43815.66667</v>
      </c>
      <c r="J529" s="9">
        <f>IFERROR(__xludf.DUMMYFUNCTION("""COMPUTED_VALUE"""),1361.17)</f>
        <v>1361.17</v>
      </c>
      <c r="L529" s="11">
        <f>IFERROR(__xludf.DUMMYFUNCTION("""COMPUTED_VALUE"""),43815.66666666667)</f>
        <v>43815.66667</v>
      </c>
      <c r="M529" s="9">
        <f>IFERROR(__xludf.DUMMYFUNCTION("""COMPUTED_VALUE"""),69.25)</f>
        <v>69.25</v>
      </c>
      <c r="N529" s="11">
        <f>IFERROR(__xludf.DUMMYFUNCTION("""COMPUTED_VALUE"""),43815.66666666667)</f>
        <v>43815.66667</v>
      </c>
      <c r="O529" s="9">
        <f>IFERROR(__xludf.DUMMYFUNCTION("""COMPUTED_VALUE"""),69.97)</f>
        <v>69.97</v>
      </c>
      <c r="Q529" s="11">
        <f>IFERROR(__xludf.DUMMYFUNCTION("""COMPUTED_VALUE"""),43815.66666666667)</f>
        <v>43815.66667</v>
      </c>
      <c r="R529" s="9">
        <f>IFERROR(__xludf.DUMMYFUNCTION("""COMPUTED_VALUE"""),195.27)</f>
        <v>195.27</v>
      </c>
      <c r="S529" s="11">
        <f>IFERROR(__xludf.DUMMYFUNCTION("""COMPUTED_VALUE"""),43815.66666666667)</f>
        <v>43815.66667</v>
      </c>
      <c r="T529" s="9">
        <f>IFERROR(__xludf.DUMMYFUNCTION("""COMPUTED_VALUE"""),197.92)</f>
        <v>197.92</v>
      </c>
      <c r="V529" s="11">
        <f>IFERROR(__xludf.DUMMYFUNCTION("""COMPUTED_VALUE"""),43815.66666666667)</f>
        <v>43815.66667</v>
      </c>
      <c r="W529" s="9">
        <f>IFERROR(__xludf.DUMMYFUNCTION("""COMPUTED_VALUE"""),300.85)</f>
        <v>300.85</v>
      </c>
      <c r="X529" s="11">
        <f>IFERROR(__xludf.DUMMYFUNCTION("""COMPUTED_VALUE"""),43815.66666666667)</f>
        <v>43815.66667</v>
      </c>
      <c r="Y529" s="9">
        <f>IFERROR(__xludf.DUMMYFUNCTION("""COMPUTED_VALUE"""),304.21)</f>
        <v>304.21</v>
      </c>
      <c r="AA529" s="11">
        <f>IFERROR(__xludf.DUMMYFUNCTION("""COMPUTED_VALUE"""),43815.66666666667)</f>
        <v>43815.66667</v>
      </c>
      <c r="AB529" s="9">
        <f>IFERROR(__xludf.DUMMYFUNCTION("""COMPUTED_VALUE"""),1767.0)</f>
        <v>1767</v>
      </c>
      <c r="AC529" s="11">
        <f>IFERROR(__xludf.DUMMYFUNCTION("""COMPUTED_VALUE"""),43815.66666666667)</f>
        <v>43815.66667</v>
      </c>
      <c r="AD529" s="9">
        <f>IFERROR(__xludf.DUMMYFUNCTION("""COMPUTED_VALUE"""),1769.21)</f>
        <v>1769.21</v>
      </c>
    </row>
    <row r="530">
      <c r="B530" s="11">
        <f>IFERROR(__xludf.DUMMYFUNCTION("""COMPUTED_VALUE"""),43816.66666666667)</f>
        <v>43816.66667</v>
      </c>
      <c r="C530" s="9">
        <f>IFERROR(__xludf.DUMMYFUNCTION("""COMPUTED_VALUE"""),75.8)</f>
        <v>75.8</v>
      </c>
      <c r="D530" s="11">
        <f>IFERROR(__xludf.DUMMYFUNCTION("""COMPUTED_VALUE"""),43816.66666666667)</f>
        <v>43816.66667</v>
      </c>
      <c r="E530" s="9">
        <f>IFERROR(__xludf.DUMMYFUNCTION("""COMPUTED_VALUE"""),75.8)</f>
        <v>75.8</v>
      </c>
      <c r="G530" s="11">
        <f>IFERROR(__xludf.DUMMYFUNCTION("""COMPUTED_VALUE"""),43816.66666666667)</f>
        <v>43816.66667</v>
      </c>
      <c r="H530" s="9">
        <f>IFERROR(__xludf.DUMMYFUNCTION("""COMPUTED_VALUE"""),1362.89)</f>
        <v>1362.89</v>
      </c>
      <c r="I530" s="11">
        <f>IFERROR(__xludf.DUMMYFUNCTION("""COMPUTED_VALUE"""),43816.66666666667)</f>
        <v>43816.66667</v>
      </c>
      <c r="J530" s="9">
        <f>IFERROR(__xludf.DUMMYFUNCTION("""COMPUTED_VALUE"""),1355.12)</f>
        <v>1355.12</v>
      </c>
      <c r="L530" s="11">
        <f>IFERROR(__xludf.DUMMYFUNCTION("""COMPUTED_VALUE"""),43816.66666666667)</f>
        <v>43816.66667</v>
      </c>
      <c r="M530" s="9">
        <f>IFERROR(__xludf.DUMMYFUNCTION("""COMPUTED_VALUE"""),69.89)</f>
        <v>69.89</v>
      </c>
      <c r="N530" s="11">
        <f>IFERROR(__xludf.DUMMYFUNCTION("""COMPUTED_VALUE"""),43816.66666666667)</f>
        <v>43816.66667</v>
      </c>
      <c r="O530" s="9">
        <f>IFERROR(__xludf.DUMMYFUNCTION("""COMPUTED_VALUE"""),70.1)</f>
        <v>70.1</v>
      </c>
      <c r="Q530" s="11">
        <f>IFERROR(__xludf.DUMMYFUNCTION("""COMPUTED_VALUE"""),43816.66666666667)</f>
        <v>43816.66667</v>
      </c>
      <c r="R530" s="9">
        <f>IFERROR(__xludf.DUMMYFUNCTION("""COMPUTED_VALUE"""),198.84)</f>
        <v>198.84</v>
      </c>
      <c r="S530" s="11">
        <f>IFERROR(__xludf.DUMMYFUNCTION("""COMPUTED_VALUE"""),43816.66666666667)</f>
        <v>43816.66667</v>
      </c>
      <c r="T530" s="9">
        <f>IFERROR(__xludf.DUMMYFUNCTION("""COMPUTED_VALUE"""),198.39)</f>
        <v>198.39</v>
      </c>
      <c r="V530" s="11">
        <f>IFERROR(__xludf.DUMMYFUNCTION("""COMPUTED_VALUE"""),43816.66666666667)</f>
        <v>43816.66667</v>
      </c>
      <c r="W530" s="9">
        <f>IFERROR(__xludf.DUMMYFUNCTION("""COMPUTED_VALUE"""),307.36)</f>
        <v>307.36</v>
      </c>
      <c r="X530" s="11">
        <f>IFERROR(__xludf.DUMMYFUNCTION("""COMPUTED_VALUE"""),43816.66666666667)</f>
        <v>43816.66667</v>
      </c>
      <c r="Y530" s="9">
        <f>IFERROR(__xludf.DUMMYFUNCTION("""COMPUTED_VALUE"""),315.48)</f>
        <v>315.48</v>
      </c>
      <c r="AA530" s="11">
        <f>IFERROR(__xludf.DUMMYFUNCTION("""COMPUTED_VALUE"""),43816.66666666667)</f>
        <v>43816.66667</v>
      </c>
      <c r="AB530" s="9">
        <f>IFERROR(__xludf.DUMMYFUNCTION("""COMPUTED_VALUE"""),1778.01)</f>
        <v>1778.01</v>
      </c>
      <c r="AC530" s="11">
        <f>IFERROR(__xludf.DUMMYFUNCTION("""COMPUTED_VALUE"""),43816.66666666667)</f>
        <v>43816.66667</v>
      </c>
      <c r="AD530" s="9">
        <f>IFERROR(__xludf.DUMMYFUNCTION("""COMPUTED_VALUE"""),1790.66)</f>
        <v>1790.66</v>
      </c>
    </row>
    <row r="531">
      <c r="B531" s="11">
        <f>IFERROR(__xludf.DUMMYFUNCTION("""COMPUTED_VALUE"""),43817.66666666667)</f>
        <v>43817.66667</v>
      </c>
      <c r="C531" s="9">
        <f>IFERROR(__xludf.DUMMYFUNCTION("""COMPUTED_VALUE"""),76.13)</f>
        <v>76.13</v>
      </c>
      <c r="D531" s="11">
        <f>IFERROR(__xludf.DUMMYFUNCTION("""COMPUTED_VALUE"""),43817.66666666667)</f>
        <v>43817.66667</v>
      </c>
      <c r="E531" s="9">
        <f>IFERROR(__xludf.DUMMYFUNCTION("""COMPUTED_VALUE"""),78.63)</f>
        <v>78.63</v>
      </c>
      <c r="G531" s="11">
        <f>IFERROR(__xludf.DUMMYFUNCTION("""COMPUTED_VALUE"""),43817.66666666667)</f>
        <v>43817.66667</v>
      </c>
      <c r="H531" s="9">
        <f>IFERROR(__xludf.DUMMYFUNCTION("""COMPUTED_VALUE"""),1356.6)</f>
        <v>1356.6</v>
      </c>
      <c r="I531" s="11">
        <f>IFERROR(__xludf.DUMMYFUNCTION("""COMPUTED_VALUE"""),43817.66666666667)</f>
        <v>43817.66667</v>
      </c>
      <c r="J531" s="9">
        <f>IFERROR(__xludf.DUMMYFUNCTION("""COMPUTED_VALUE"""),1352.62)</f>
        <v>1352.62</v>
      </c>
      <c r="L531" s="11">
        <f>IFERROR(__xludf.DUMMYFUNCTION("""COMPUTED_VALUE"""),43817.66666666667)</f>
        <v>43817.66667</v>
      </c>
      <c r="M531" s="9">
        <f>IFERROR(__xludf.DUMMYFUNCTION("""COMPUTED_VALUE"""),69.95)</f>
        <v>69.95</v>
      </c>
      <c r="N531" s="11">
        <f>IFERROR(__xludf.DUMMYFUNCTION("""COMPUTED_VALUE"""),43817.66666666667)</f>
        <v>43817.66667</v>
      </c>
      <c r="O531" s="9">
        <f>IFERROR(__xludf.DUMMYFUNCTION("""COMPUTED_VALUE"""),69.94)</f>
        <v>69.94</v>
      </c>
      <c r="Q531" s="11">
        <f>IFERROR(__xludf.DUMMYFUNCTION("""COMPUTED_VALUE"""),43817.66666666667)</f>
        <v>43817.66667</v>
      </c>
      <c r="R531" s="9">
        <f>IFERROR(__xludf.DUMMYFUNCTION("""COMPUTED_VALUE"""),200.09)</f>
        <v>200.09</v>
      </c>
      <c r="S531" s="11">
        <f>IFERROR(__xludf.DUMMYFUNCTION("""COMPUTED_VALUE"""),43817.66666666667)</f>
        <v>43817.66667</v>
      </c>
      <c r="T531" s="9">
        <f>IFERROR(__xludf.DUMMYFUNCTION("""COMPUTED_VALUE"""),202.5)</f>
        <v>202.5</v>
      </c>
      <c r="V531" s="11">
        <f>IFERROR(__xludf.DUMMYFUNCTION("""COMPUTED_VALUE"""),43817.66666666667)</f>
        <v>43817.66667</v>
      </c>
      <c r="W531" s="9">
        <f>IFERROR(__xludf.DUMMYFUNCTION("""COMPUTED_VALUE"""),316.26)</f>
        <v>316.26</v>
      </c>
      <c r="X531" s="11">
        <f>IFERROR(__xludf.DUMMYFUNCTION("""COMPUTED_VALUE"""),43817.66666666667)</f>
        <v>43817.66667</v>
      </c>
      <c r="Y531" s="9">
        <f>IFERROR(__xludf.DUMMYFUNCTION("""COMPUTED_VALUE"""),320.8)</f>
        <v>320.8</v>
      </c>
      <c r="AA531" s="11">
        <f>IFERROR(__xludf.DUMMYFUNCTION("""COMPUTED_VALUE"""),43817.66666666667)</f>
        <v>43817.66667</v>
      </c>
      <c r="AB531" s="9">
        <f>IFERROR(__xludf.DUMMYFUNCTION("""COMPUTED_VALUE"""),1795.02)</f>
        <v>1795.02</v>
      </c>
      <c r="AC531" s="11">
        <f>IFERROR(__xludf.DUMMYFUNCTION("""COMPUTED_VALUE"""),43817.66666666667)</f>
        <v>43817.66667</v>
      </c>
      <c r="AD531" s="9">
        <f>IFERROR(__xludf.DUMMYFUNCTION("""COMPUTED_VALUE"""),1784.03)</f>
        <v>1784.03</v>
      </c>
    </row>
    <row r="532">
      <c r="B532" s="11">
        <f>IFERROR(__xludf.DUMMYFUNCTION("""COMPUTED_VALUE"""),43818.66666666667)</f>
        <v>43818.66667</v>
      </c>
      <c r="C532" s="9">
        <f>IFERROR(__xludf.DUMMYFUNCTION("""COMPUTED_VALUE"""),79.46)</f>
        <v>79.46</v>
      </c>
      <c r="D532" s="11">
        <f>IFERROR(__xludf.DUMMYFUNCTION("""COMPUTED_VALUE"""),43818.66666666667)</f>
        <v>43818.66667</v>
      </c>
      <c r="E532" s="9">
        <f>IFERROR(__xludf.DUMMYFUNCTION("""COMPUTED_VALUE"""),80.81)</f>
        <v>80.81</v>
      </c>
      <c r="G532" s="11">
        <f>IFERROR(__xludf.DUMMYFUNCTION("""COMPUTED_VALUE"""),43818.66666666667)</f>
        <v>43818.66667</v>
      </c>
      <c r="H532" s="9">
        <f>IFERROR(__xludf.DUMMYFUNCTION("""COMPUTED_VALUE"""),1351.82)</f>
        <v>1351.82</v>
      </c>
      <c r="I532" s="11">
        <f>IFERROR(__xludf.DUMMYFUNCTION("""COMPUTED_VALUE"""),43818.66666666667)</f>
        <v>43818.66667</v>
      </c>
      <c r="J532" s="9">
        <f>IFERROR(__xludf.DUMMYFUNCTION("""COMPUTED_VALUE"""),1356.04)</f>
        <v>1356.04</v>
      </c>
      <c r="L532" s="11">
        <f>IFERROR(__xludf.DUMMYFUNCTION("""COMPUTED_VALUE"""),43818.66666666667)</f>
        <v>43818.66667</v>
      </c>
      <c r="M532" s="9">
        <f>IFERROR(__xludf.DUMMYFUNCTION("""COMPUTED_VALUE"""),69.88)</f>
        <v>69.88</v>
      </c>
      <c r="N532" s="11">
        <f>IFERROR(__xludf.DUMMYFUNCTION("""COMPUTED_VALUE"""),43818.66666666667)</f>
        <v>43818.66667</v>
      </c>
      <c r="O532" s="9">
        <f>IFERROR(__xludf.DUMMYFUNCTION("""COMPUTED_VALUE"""),70.01)</f>
        <v>70.01</v>
      </c>
      <c r="Q532" s="11">
        <f>IFERROR(__xludf.DUMMYFUNCTION("""COMPUTED_VALUE"""),43818.66666666667)</f>
        <v>43818.66667</v>
      </c>
      <c r="R532" s="9">
        <f>IFERROR(__xludf.DUMMYFUNCTION("""COMPUTED_VALUE"""),202.78)</f>
        <v>202.78</v>
      </c>
      <c r="S532" s="11">
        <f>IFERROR(__xludf.DUMMYFUNCTION("""COMPUTED_VALUE"""),43818.66666666667)</f>
        <v>43818.66667</v>
      </c>
      <c r="T532" s="9">
        <f>IFERROR(__xludf.DUMMYFUNCTION("""COMPUTED_VALUE"""),206.06)</f>
        <v>206.06</v>
      </c>
      <c r="V532" s="11">
        <f>IFERROR(__xludf.DUMMYFUNCTION("""COMPUTED_VALUE"""),43818.66666666667)</f>
        <v>43818.66667</v>
      </c>
      <c r="W532" s="9">
        <f>IFERROR(__xludf.DUMMYFUNCTION("""COMPUTED_VALUE"""),324.5)</f>
        <v>324.5</v>
      </c>
      <c r="X532" s="11">
        <f>IFERROR(__xludf.DUMMYFUNCTION("""COMPUTED_VALUE"""),43818.66666666667)</f>
        <v>43818.66667</v>
      </c>
      <c r="Y532" s="9">
        <f>IFERROR(__xludf.DUMMYFUNCTION("""COMPUTED_VALUE"""),332.22)</f>
        <v>332.22</v>
      </c>
      <c r="AA532" s="11">
        <f>IFERROR(__xludf.DUMMYFUNCTION("""COMPUTED_VALUE"""),43818.66666666667)</f>
        <v>43818.66667</v>
      </c>
      <c r="AB532" s="9">
        <f>IFERROR(__xludf.DUMMYFUNCTION("""COMPUTED_VALUE"""),1780.5)</f>
        <v>1780.5</v>
      </c>
      <c r="AC532" s="11">
        <f>IFERROR(__xludf.DUMMYFUNCTION("""COMPUTED_VALUE"""),43818.66666666667)</f>
        <v>43818.66667</v>
      </c>
      <c r="AD532" s="9">
        <f>IFERROR(__xludf.DUMMYFUNCTION("""COMPUTED_VALUE"""),1792.28)</f>
        <v>1792.28</v>
      </c>
    </row>
    <row r="533">
      <c r="B533" s="11">
        <f>IFERROR(__xludf.DUMMYFUNCTION("""COMPUTED_VALUE"""),43819.66666666667)</f>
        <v>43819.66667</v>
      </c>
      <c r="C533" s="9">
        <f>IFERROR(__xludf.DUMMYFUNCTION("""COMPUTED_VALUE"""),82.06)</f>
        <v>82.06</v>
      </c>
      <c r="D533" s="11">
        <f>IFERROR(__xludf.DUMMYFUNCTION("""COMPUTED_VALUE"""),43819.66666666667)</f>
        <v>43819.66667</v>
      </c>
      <c r="E533" s="9">
        <f>IFERROR(__xludf.DUMMYFUNCTION("""COMPUTED_VALUE"""),81.12)</f>
        <v>81.12</v>
      </c>
      <c r="G533" s="11">
        <f>IFERROR(__xludf.DUMMYFUNCTION("""COMPUTED_VALUE"""),43819.66666666667)</f>
        <v>43819.66667</v>
      </c>
      <c r="H533" s="9">
        <f>IFERROR(__xludf.DUMMYFUNCTION("""COMPUTED_VALUE"""),1363.35)</f>
        <v>1363.35</v>
      </c>
      <c r="I533" s="11">
        <f>IFERROR(__xludf.DUMMYFUNCTION("""COMPUTED_VALUE"""),43819.66666666667)</f>
        <v>43819.66667</v>
      </c>
      <c r="J533" s="9">
        <f>IFERROR(__xludf.DUMMYFUNCTION("""COMPUTED_VALUE"""),1349.59)</f>
        <v>1349.59</v>
      </c>
      <c r="L533" s="11">
        <f>IFERROR(__xludf.DUMMYFUNCTION("""COMPUTED_VALUE"""),43819.66666666667)</f>
        <v>43819.66667</v>
      </c>
      <c r="M533" s="9">
        <f>IFERROR(__xludf.DUMMYFUNCTION("""COMPUTED_VALUE"""),70.56)</f>
        <v>70.56</v>
      </c>
      <c r="N533" s="11">
        <f>IFERROR(__xludf.DUMMYFUNCTION("""COMPUTED_VALUE"""),43819.66666666667)</f>
        <v>43819.66667</v>
      </c>
      <c r="O533" s="9">
        <f>IFERROR(__xludf.DUMMYFUNCTION("""COMPUTED_VALUE"""),69.86)</f>
        <v>69.86</v>
      </c>
      <c r="Q533" s="11">
        <f>IFERROR(__xludf.DUMMYFUNCTION("""COMPUTED_VALUE"""),43819.66666666667)</f>
        <v>43819.66667</v>
      </c>
      <c r="R533" s="9">
        <f>IFERROR(__xludf.DUMMYFUNCTION("""COMPUTED_VALUE"""),207.48)</f>
        <v>207.48</v>
      </c>
      <c r="S533" s="11">
        <f>IFERROR(__xludf.DUMMYFUNCTION("""COMPUTED_VALUE"""),43819.66666666667)</f>
        <v>43819.66667</v>
      </c>
      <c r="T533" s="9">
        <f>IFERROR(__xludf.DUMMYFUNCTION("""COMPUTED_VALUE"""),206.3)</f>
        <v>206.3</v>
      </c>
      <c r="V533" s="11">
        <f>IFERROR(__xludf.DUMMYFUNCTION("""COMPUTED_VALUE"""),43819.66666666667)</f>
        <v>43819.66667</v>
      </c>
      <c r="W533" s="9">
        <f>IFERROR(__xludf.DUMMYFUNCTION("""COMPUTED_VALUE"""),335.0)</f>
        <v>335</v>
      </c>
      <c r="X533" s="11">
        <f>IFERROR(__xludf.DUMMYFUNCTION("""COMPUTED_VALUE"""),43819.66666666667)</f>
        <v>43819.66667</v>
      </c>
      <c r="Y533" s="9">
        <f>IFERROR(__xludf.DUMMYFUNCTION("""COMPUTED_VALUE"""),336.9)</f>
        <v>336.9</v>
      </c>
      <c r="AA533" s="11">
        <f>IFERROR(__xludf.DUMMYFUNCTION("""COMPUTED_VALUE"""),43819.66666666667)</f>
        <v>43819.66667</v>
      </c>
      <c r="AB533" s="9">
        <f>IFERROR(__xludf.DUMMYFUNCTION("""COMPUTED_VALUE"""),1799.62)</f>
        <v>1799.62</v>
      </c>
      <c r="AC533" s="11">
        <f>IFERROR(__xludf.DUMMYFUNCTION("""COMPUTED_VALUE"""),43819.66666666667)</f>
        <v>43819.66667</v>
      </c>
      <c r="AD533" s="9">
        <f>IFERROR(__xludf.DUMMYFUNCTION("""COMPUTED_VALUE"""),1786.5)</f>
        <v>1786.5</v>
      </c>
    </row>
    <row r="534">
      <c r="B534" s="11">
        <f>IFERROR(__xludf.DUMMYFUNCTION("""COMPUTED_VALUE"""),43822.66666666667)</f>
        <v>43822.66667</v>
      </c>
      <c r="C534" s="9">
        <f>IFERROR(__xludf.DUMMYFUNCTION("""COMPUTED_VALUE"""),82.36)</f>
        <v>82.36</v>
      </c>
      <c r="D534" s="11">
        <f>IFERROR(__xludf.DUMMYFUNCTION("""COMPUTED_VALUE"""),43822.66666666667)</f>
        <v>43822.66667</v>
      </c>
      <c r="E534" s="9">
        <f>IFERROR(__xludf.DUMMYFUNCTION("""COMPUTED_VALUE"""),83.84)</f>
        <v>83.84</v>
      </c>
      <c r="G534" s="11">
        <f>IFERROR(__xludf.DUMMYFUNCTION("""COMPUTED_VALUE"""),43822.66666666667)</f>
        <v>43822.66667</v>
      </c>
      <c r="H534" s="9">
        <f>IFERROR(__xludf.DUMMYFUNCTION("""COMPUTED_VALUE"""),1355.87)</f>
        <v>1355.87</v>
      </c>
      <c r="I534" s="11">
        <f>IFERROR(__xludf.DUMMYFUNCTION("""COMPUTED_VALUE"""),43822.66666666667)</f>
        <v>43822.66667</v>
      </c>
      <c r="J534" s="9">
        <f>IFERROR(__xludf.DUMMYFUNCTION("""COMPUTED_VALUE"""),1348.84)</f>
        <v>1348.84</v>
      </c>
      <c r="L534" s="11">
        <f>IFERROR(__xludf.DUMMYFUNCTION("""COMPUTED_VALUE"""),43822.66666666667)</f>
        <v>43822.66667</v>
      </c>
      <c r="M534" s="9">
        <f>IFERROR(__xludf.DUMMYFUNCTION("""COMPUTED_VALUE"""),70.13)</f>
        <v>70.13</v>
      </c>
      <c r="N534" s="11">
        <f>IFERROR(__xludf.DUMMYFUNCTION("""COMPUTED_VALUE"""),43822.66666666667)</f>
        <v>43822.66667</v>
      </c>
      <c r="O534" s="9">
        <f>IFERROR(__xludf.DUMMYFUNCTION("""COMPUTED_VALUE"""),71.0)</f>
        <v>71</v>
      </c>
      <c r="Q534" s="11">
        <f>IFERROR(__xludf.DUMMYFUNCTION("""COMPUTED_VALUE"""),43822.66666666667)</f>
        <v>43822.66667</v>
      </c>
      <c r="R534" s="9">
        <f>IFERROR(__xludf.DUMMYFUNCTION("""COMPUTED_VALUE"""),206.7)</f>
        <v>206.7</v>
      </c>
      <c r="S534" s="11">
        <f>IFERROR(__xludf.DUMMYFUNCTION("""COMPUTED_VALUE"""),43822.66666666667)</f>
        <v>43822.66667</v>
      </c>
      <c r="T534" s="9">
        <f>IFERROR(__xludf.DUMMYFUNCTION("""COMPUTED_VALUE"""),206.18)</f>
        <v>206.18</v>
      </c>
      <c r="V534" s="11">
        <f>IFERROR(__xludf.DUMMYFUNCTION("""COMPUTED_VALUE"""),43822.66666666667)</f>
        <v>43822.66667</v>
      </c>
      <c r="W534" s="9">
        <f>IFERROR(__xludf.DUMMYFUNCTION("""COMPUTED_VALUE"""),337.76)</f>
        <v>337.76</v>
      </c>
      <c r="X534" s="11">
        <f>IFERROR(__xludf.DUMMYFUNCTION("""COMPUTED_VALUE"""),43822.66666666667)</f>
        <v>43822.66667</v>
      </c>
      <c r="Y534" s="9">
        <f>IFERROR(__xludf.DUMMYFUNCTION("""COMPUTED_VALUE"""),333.1)</f>
        <v>333.1</v>
      </c>
      <c r="AA534" s="11">
        <f>IFERROR(__xludf.DUMMYFUNCTION("""COMPUTED_VALUE"""),43822.66666666667)</f>
        <v>43822.66667</v>
      </c>
      <c r="AB534" s="9">
        <f>IFERROR(__xludf.DUMMYFUNCTION("""COMPUTED_VALUE"""),1788.26)</f>
        <v>1788.26</v>
      </c>
      <c r="AC534" s="11">
        <f>IFERROR(__xludf.DUMMYFUNCTION("""COMPUTED_VALUE"""),43822.66666666667)</f>
        <v>43822.66667</v>
      </c>
      <c r="AD534" s="9">
        <f>IFERROR(__xludf.DUMMYFUNCTION("""COMPUTED_VALUE"""),1793.0)</f>
        <v>1793</v>
      </c>
    </row>
    <row r="535">
      <c r="B535" s="11">
        <f>IFERROR(__xludf.DUMMYFUNCTION("""COMPUTED_VALUE"""),43823.54166666667)</f>
        <v>43823.54167</v>
      </c>
      <c r="C535" s="9">
        <f>IFERROR(__xludf.DUMMYFUNCTION("""COMPUTED_VALUE"""),83.67)</f>
        <v>83.67</v>
      </c>
      <c r="D535" s="11">
        <f>IFERROR(__xludf.DUMMYFUNCTION("""COMPUTED_VALUE"""),43823.54166666667)</f>
        <v>43823.54167</v>
      </c>
      <c r="E535" s="9">
        <f>IFERROR(__xludf.DUMMYFUNCTION("""COMPUTED_VALUE"""),85.05)</f>
        <v>85.05</v>
      </c>
      <c r="G535" s="11">
        <f>IFERROR(__xludf.DUMMYFUNCTION("""COMPUTED_VALUE"""),43823.54166666667)</f>
        <v>43823.54167</v>
      </c>
      <c r="H535" s="9">
        <f>IFERROR(__xludf.DUMMYFUNCTION("""COMPUTED_VALUE"""),1348.5)</f>
        <v>1348.5</v>
      </c>
      <c r="I535" s="11">
        <f>IFERROR(__xludf.DUMMYFUNCTION("""COMPUTED_VALUE"""),43823.54166666667)</f>
        <v>43823.54167</v>
      </c>
      <c r="J535" s="9">
        <f>IFERROR(__xludf.DUMMYFUNCTION("""COMPUTED_VALUE"""),1343.56)</f>
        <v>1343.56</v>
      </c>
      <c r="L535" s="11">
        <f>IFERROR(__xludf.DUMMYFUNCTION("""COMPUTED_VALUE"""),43823.54166666667)</f>
        <v>43823.54167</v>
      </c>
      <c r="M535" s="9">
        <f>IFERROR(__xludf.DUMMYFUNCTION("""COMPUTED_VALUE"""),71.17)</f>
        <v>71.17</v>
      </c>
      <c r="N535" s="11">
        <f>IFERROR(__xludf.DUMMYFUNCTION("""COMPUTED_VALUE"""),43823.54166666667)</f>
        <v>43823.54167</v>
      </c>
      <c r="O535" s="9">
        <f>IFERROR(__xludf.DUMMYFUNCTION("""COMPUTED_VALUE"""),71.07)</f>
        <v>71.07</v>
      </c>
      <c r="Q535" s="11">
        <f>IFERROR(__xludf.DUMMYFUNCTION("""COMPUTED_VALUE"""),43823.54166666667)</f>
        <v>43823.54167</v>
      </c>
      <c r="R535" s="9">
        <f>IFERROR(__xludf.DUMMYFUNCTION("""COMPUTED_VALUE"""),206.3)</f>
        <v>206.3</v>
      </c>
      <c r="S535" s="11">
        <f>IFERROR(__xludf.DUMMYFUNCTION("""COMPUTED_VALUE"""),43823.54166666667)</f>
        <v>43823.54167</v>
      </c>
      <c r="T535" s="9">
        <f>IFERROR(__xludf.DUMMYFUNCTION("""COMPUTED_VALUE"""),205.12)</f>
        <v>205.12</v>
      </c>
      <c r="V535" s="11">
        <f>IFERROR(__xludf.DUMMYFUNCTION("""COMPUTED_VALUE"""),43823.54166666667)</f>
        <v>43823.54167</v>
      </c>
      <c r="W535" s="9">
        <f>IFERROR(__xludf.DUMMYFUNCTION("""COMPUTED_VALUE"""),334.01)</f>
        <v>334.01</v>
      </c>
      <c r="X535" s="11">
        <f>IFERROR(__xludf.DUMMYFUNCTION("""COMPUTED_VALUE"""),43823.54166666667)</f>
        <v>43823.54167</v>
      </c>
      <c r="Y535" s="9">
        <f>IFERROR(__xludf.DUMMYFUNCTION("""COMPUTED_VALUE"""),333.2)</f>
        <v>333.2</v>
      </c>
      <c r="AA535" s="11">
        <f>IFERROR(__xludf.DUMMYFUNCTION("""COMPUTED_VALUE"""),43823.54166666667)</f>
        <v>43823.54167</v>
      </c>
      <c r="AB535" s="9">
        <f>IFERROR(__xludf.DUMMYFUNCTION("""COMPUTED_VALUE"""),1793.81)</f>
        <v>1793.81</v>
      </c>
      <c r="AC535" s="11">
        <f>IFERROR(__xludf.DUMMYFUNCTION("""COMPUTED_VALUE"""),43823.54166666667)</f>
        <v>43823.54167</v>
      </c>
      <c r="AD535" s="9">
        <f>IFERROR(__xludf.DUMMYFUNCTION("""COMPUTED_VALUE"""),1789.21)</f>
        <v>1789.21</v>
      </c>
    </row>
    <row r="536">
      <c r="B536" s="11">
        <f>IFERROR(__xludf.DUMMYFUNCTION("""COMPUTED_VALUE"""),43825.66666666667)</f>
        <v>43825.66667</v>
      </c>
      <c r="C536" s="9">
        <f>IFERROR(__xludf.DUMMYFUNCTION("""COMPUTED_VALUE"""),85.58)</f>
        <v>85.58</v>
      </c>
      <c r="D536" s="11">
        <f>IFERROR(__xludf.DUMMYFUNCTION("""COMPUTED_VALUE"""),43825.66666666667)</f>
        <v>43825.66667</v>
      </c>
      <c r="E536" s="9">
        <f>IFERROR(__xludf.DUMMYFUNCTION("""COMPUTED_VALUE"""),86.19)</f>
        <v>86.19</v>
      </c>
      <c r="G536" s="11">
        <f>IFERROR(__xludf.DUMMYFUNCTION("""COMPUTED_VALUE"""),43825.66666666667)</f>
        <v>43825.66667</v>
      </c>
      <c r="H536" s="9">
        <f>IFERROR(__xludf.DUMMYFUNCTION("""COMPUTED_VALUE"""),1346.17)</f>
        <v>1346.17</v>
      </c>
      <c r="I536" s="11">
        <f>IFERROR(__xludf.DUMMYFUNCTION("""COMPUTED_VALUE"""),43825.66666666667)</f>
        <v>43825.66667</v>
      </c>
      <c r="J536" s="9">
        <f>IFERROR(__xludf.DUMMYFUNCTION("""COMPUTED_VALUE"""),1360.4)</f>
        <v>1360.4</v>
      </c>
      <c r="L536" s="11">
        <f>IFERROR(__xludf.DUMMYFUNCTION("""COMPUTED_VALUE"""),43825.66666666667)</f>
        <v>43825.66667</v>
      </c>
      <c r="M536" s="9">
        <f>IFERROR(__xludf.DUMMYFUNCTION("""COMPUTED_VALUE"""),71.21)</f>
        <v>71.21</v>
      </c>
      <c r="N536" s="11">
        <f>IFERROR(__xludf.DUMMYFUNCTION("""COMPUTED_VALUE"""),43825.66666666667)</f>
        <v>43825.66667</v>
      </c>
      <c r="O536" s="9">
        <f>IFERROR(__xludf.DUMMYFUNCTION("""COMPUTED_VALUE"""),72.48)</f>
        <v>72.48</v>
      </c>
      <c r="Q536" s="11">
        <f>IFERROR(__xludf.DUMMYFUNCTION("""COMPUTED_VALUE"""),43825.66666666667)</f>
        <v>43825.66667</v>
      </c>
      <c r="R536" s="9">
        <f>IFERROR(__xludf.DUMMYFUNCTION("""COMPUTED_VALUE"""),205.57)</f>
        <v>205.57</v>
      </c>
      <c r="S536" s="11">
        <f>IFERROR(__xludf.DUMMYFUNCTION("""COMPUTED_VALUE"""),43825.66666666667)</f>
        <v>43825.66667</v>
      </c>
      <c r="T536" s="9">
        <f>IFERROR(__xludf.DUMMYFUNCTION("""COMPUTED_VALUE"""),207.79)</f>
        <v>207.79</v>
      </c>
      <c r="V536" s="11">
        <f>IFERROR(__xludf.DUMMYFUNCTION("""COMPUTED_VALUE"""),43825.66666666667)</f>
        <v>43825.66667</v>
      </c>
      <c r="W536" s="9">
        <f>IFERROR(__xludf.DUMMYFUNCTION("""COMPUTED_VALUE"""),334.6)</f>
        <v>334.6</v>
      </c>
      <c r="X536" s="11">
        <f>IFERROR(__xludf.DUMMYFUNCTION("""COMPUTED_VALUE"""),43825.66666666667)</f>
        <v>43825.66667</v>
      </c>
      <c r="Y536" s="9">
        <f>IFERROR(__xludf.DUMMYFUNCTION("""COMPUTED_VALUE"""),332.63)</f>
        <v>332.63</v>
      </c>
      <c r="AA536" s="11">
        <f>IFERROR(__xludf.DUMMYFUNCTION("""COMPUTED_VALUE"""),43825.66666666667)</f>
        <v>43825.66667</v>
      </c>
      <c r="AB536" s="9">
        <f>IFERROR(__xludf.DUMMYFUNCTION("""COMPUTED_VALUE"""),1801.01)</f>
        <v>1801.01</v>
      </c>
      <c r="AC536" s="11">
        <f>IFERROR(__xludf.DUMMYFUNCTION("""COMPUTED_VALUE"""),43825.66666666667)</f>
        <v>43825.66667</v>
      </c>
      <c r="AD536" s="9">
        <f>IFERROR(__xludf.DUMMYFUNCTION("""COMPUTED_VALUE"""),1868.77)</f>
        <v>1868.77</v>
      </c>
    </row>
    <row r="537">
      <c r="B537" s="11">
        <f>IFERROR(__xludf.DUMMYFUNCTION("""COMPUTED_VALUE"""),43826.66666666667)</f>
        <v>43826.66667</v>
      </c>
      <c r="C537" s="9">
        <f>IFERROR(__xludf.DUMMYFUNCTION("""COMPUTED_VALUE"""),87.0)</f>
        <v>87</v>
      </c>
      <c r="D537" s="11">
        <f>IFERROR(__xludf.DUMMYFUNCTION("""COMPUTED_VALUE"""),43826.66666666667)</f>
        <v>43826.66667</v>
      </c>
      <c r="E537" s="9">
        <f>IFERROR(__xludf.DUMMYFUNCTION("""COMPUTED_VALUE"""),86.08)</f>
        <v>86.08</v>
      </c>
      <c r="G537" s="11">
        <f>IFERROR(__xludf.DUMMYFUNCTION("""COMPUTED_VALUE"""),43826.66666666667)</f>
        <v>43826.66667</v>
      </c>
      <c r="H537" s="9">
        <f>IFERROR(__xludf.DUMMYFUNCTION("""COMPUTED_VALUE"""),1362.99)</f>
        <v>1362.99</v>
      </c>
      <c r="I537" s="11">
        <f>IFERROR(__xludf.DUMMYFUNCTION("""COMPUTED_VALUE"""),43826.66666666667)</f>
        <v>43826.66667</v>
      </c>
      <c r="J537" s="9">
        <f>IFERROR(__xludf.DUMMYFUNCTION("""COMPUTED_VALUE"""),1351.89)</f>
        <v>1351.89</v>
      </c>
      <c r="L537" s="11">
        <f>IFERROR(__xludf.DUMMYFUNCTION("""COMPUTED_VALUE"""),43826.66666666667)</f>
        <v>43826.66667</v>
      </c>
      <c r="M537" s="9">
        <f>IFERROR(__xludf.DUMMYFUNCTION("""COMPUTED_VALUE"""),72.78)</f>
        <v>72.78</v>
      </c>
      <c r="N537" s="11">
        <f>IFERROR(__xludf.DUMMYFUNCTION("""COMPUTED_VALUE"""),43826.66666666667)</f>
        <v>43826.66667</v>
      </c>
      <c r="O537" s="9">
        <f>IFERROR(__xludf.DUMMYFUNCTION("""COMPUTED_VALUE"""),72.45)</f>
        <v>72.45</v>
      </c>
      <c r="Q537" s="11">
        <f>IFERROR(__xludf.DUMMYFUNCTION("""COMPUTED_VALUE"""),43826.66666666667)</f>
        <v>43826.66667</v>
      </c>
      <c r="R537" s="9">
        <f>IFERROR(__xludf.DUMMYFUNCTION("""COMPUTED_VALUE"""),208.67)</f>
        <v>208.67</v>
      </c>
      <c r="S537" s="11">
        <f>IFERROR(__xludf.DUMMYFUNCTION("""COMPUTED_VALUE"""),43826.66666666667)</f>
        <v>43826.66667</v>
      </c>
      <c r="T537" s="9">
        <f>IFERROR(__xludf.DUMMYFUNCTION("""COMPUTED_VALUE"""),208.1)</f>
        <v>208.1</v>
      </c>
      <c r="V537" s="11">
        <f>IFERROR(__xludf.DUMMYFUNCTION("""COMPUTED_VALUE"""),43826.66666666667)</f>
        <v>43826.66667</v>
      </c>
      <c r="W537" s="9">
        <f>IFERROR(__xludf.DUMMYFUNCTION("""COMPUTED_VALUE"""),332.96)</f>
        <v>332.96</v>
      </c>
      <c r="X537" s="11">
        <f>IFERROR(__xludf.DUMMYFUNCTION("""COMPUTED_VALUE"""),43826.66666666667)</f>
        <v>43826.66667</v>
      </c>
      <c r="Y537" s="9">
        <f>IFERROR(__xludf.DUMMYFUNCTION("""COMPUTED_VALUE"""),329.09)</f>
        <v>329.09</v>
      </c>
      <c r="AA537" s="11">
        <f>IFERROR(__xludf.DUMMYFUNCTION("""COMPUTED_VALUE"""),43826.66666666667)</f>
        <v>43826.66667</v>
      </c>
      <c r="AB537" s="9">
        <f>IFERROR(__xludf.DUMMYFUNCTION("""COMPUTED_VALUE"""),1882.92)</f>
        <v>1882.92</v>
      </c>
      <c r="AC537" s="11">
        <f>IFERROR(__xludf.DUMMYFUNCTION("""COMPUTED_VALUE"""),43826.66666666667)</f>
        <v>43826.66667</v>
      </c>
      <c r="AD537" s="9">
        <f>IFERROR(__xludf.DUMMYFUNCTION("""COMPUTED_VALUE"""),1869.8)</f>
        <v>1869.8</v>
      </c>
    </row>
    <row r="538">
      <c r="B538" s="11">
        <f>IFERROR(__xludf.DUMMYFUNCTION("""COMPUTED_VALUE"""),43829.66666666667)</f>
        <v>43829.66667</v>
      </c>
      <c r="C538" s="9">
        <f>IFERROR(__xludf.DUMMYFUNCTION("""COMPUTED_VALUE"""),85.76)</f>
        <v>85.76</v>
      </c>
      <c r="D538" s="11">
        <f>IFERROR(__xludf.DUMMYFUNCTION("""COMPUTED_VALUE"""),43829.66666666667)</f>
        <v>43829.66667</v>
      </c>
      <c r="E538" s="9">
        <f>IFERROR(__xludf.DUMMYFUNCTION("""COMPUTED_VALUE"""),82.94)</f>
        <v>82.94</v>
      </c>
      <c r="G538" s="11">
        <f>IFERROR(__xludf.DUMMYFUNCTION("""COMPUTED_VALUE"""),43829.66666666667)</f>
        <v>43829.66667</v>
      </c>
      <c r="H538" s="9">
        <f>IFERROR(__xludf.DUMMYFUNCTION("""COMPUTED_VALUE"""),1350.0)</f>
        <v>1350</v>
      </c>
      <c r="I538" s="11">
        <f>IFERROR(__xludf.DUMMYFUNCTION("""COMPUTED_VALUE"""),43829.66666666667)</f>
        <v>43829.66667</v>
      </c>
      <c r="J538" s="9">
        <f>IFERROR(__xludf.DUMMYFUNCTION("""COMPUTED_VALUE"""),1336.14)</f>
        <v>1336.14</v>
      </c>
      <c r="L538" s="11">
        <f>IFERROR(__xludf.DUMMYFUNCTION("""COMPUTED_VALUE"""),43829.66666666667)</f>
        <v>43829.66667</v>
      </c>
      <c r="M538" s="9">
        <f>IFERROR(__xludf.DUMMYFUNCTION("""COMPUTED_VALUE"""),72.36)</f>
        <v>72.36</v>
      </c>
      <c r="N538" s="11">
        <f>IFERROR(__xludf.DUMMYFUNCTION("""COMPUTED_VALUE"""),43829.66666666667)</f>
        <v>43829.66667</v>
      </c>
      <c r="O538" s="9">
        <f>IFERROR(__xludf.DUMMYFUNCTION("""COMPUTED_VALUE"""),72.88)</f>
        <v>72.88</v>
      </c>
      <c r="Q538" s="11">
        <f>IFERROR(__xludf.DUMMYFUNCTION("""COMPUTED_VALUE"""),43829.66666666667)</f>
        <v>43829.66667</v>
      </c>
      <c r="R538" s="9">
        <f>IFERROR(__xludf.DUMMYFUNCTION("""COMPUTED_VALUE"""),207.86)</f>
        <v>207.86</v>
      </c>
      <c r="S538" s="11">
        <f>IFERROR(__xludf.DUMMYFUNCTION("""COMPUTED_VALUE"""),43829.66666666667)</f>
        <v>43829.66667</v>
      </c>
      <c r="T538" s="9">
        <f>IFERROR(__xludf.DUMMYFUNCTION("""COMPUTED_VALUE"""),204.41)</f>
        <v>204.41</v>
      </c>
      <c r="V538" s="11">
        <f>IFERROR(__xludf.DUMMYFUNCTION("""COMPUTED_VALUE"""),43829.66666666667)</f>
        <v>43829.66667</v>
      </c>
      <c r="W538" s="9">
        <f>IFERROR(__xludf.DUMMYFUNCTION("""COMPUTED_VALUE"""),329.08)</f>
        <v>329.08</v>
      </c>
      <c r="X538" s="11">
        <f>IFERROR(__xludf.DUMMYFUNCTION("""COMPUTED_VALUE"""),43829.66666666667)</f>
        <v>43829.66667</v>
      </c>
      <c r="Y538" s="9">
        <f>IFERROR(__xludf.DUMMYFUNCTION("""COMPUTED_VALUE"""),323.31)</f>
        <v>323.31</v>
      </c>
      <c r="AA538" s="11">
        <f>IFERROR(__xludf.DUMMYFUNCTION("""COMPUTED_VALUE"""),43829.66666666667)</f>
        <v>43829.66667</v>
      </c>
      <c r="AB538" s="9">
        <f>IFERROR(__xludf.DUMMYFUNCTION("""COMPUTED_VALUE"""),1874.0)</f>
        <v>1874</v>
      </c>
      <c r="AC538" s="11">
        <f>IFERROR(__xludf.DUMMYFUNCTION("""COMPUTED_VALUE"""),43829.66666666667)</f>
        <v>43829.66667</v>
      </c>
      <c r="AD538" s="9">
        <f>IFERROR(__xludf.DUMMYFUNCTION("""COMPUTED_VALUE"""),1846.89)</f>
        <v>1846.89</v>
      </c>
    </row>
    <row r="539">
      <c r="B539" s="11">
        <f>IFERROR(__xludf.DUMMYFUNCTION("""COMPUTED_VALUE"""),43830.66666666667)</f>
        <v>43830.66667</v>
      </c>
      <c r="C539" s="9">
        <f>IFERROR(__xludf.DUMMYFUNCTION("""COMPUTED_VALUE"""),81.0)</f>
        <v>81</v>
      </c>
      <c r="D539" s="11">
        <f>IFERROR(__xludf.DUMMYFUNCTION("""COMPUTED_VALUE"""),43830.66666666667)</f>
        <v>43830.66667</v>
      </c>
      <c r="E539" s="9">
        <f>IFERROR(__xludf.DUMMYFUNCTION("""COMPUTED_VALUE"""),83.67)</f>
        <v>83.67</v>
      </c>
      <c r="G539" s="11">
        <f>IFERROR(__xludf.DUMMYFUNCTION("""COMPUTED_VALUE"""),43830.66666666667)</f>
        <v>43830.66667</v>
      </c>
      <c r="H539" s="9">
        <f>IFERROR(__xludf.DUMMYFUNCTION("""COMPUTED_VALUE"""),1330.11)</f>
        <v>1330.11</v>
      </c>
      <c r="I539" s="11">
        <f>IFERROR(__xludf.DUMMYFUNCTION("""COMPUTED_VALUE"""),43830.66666666667)</f>
        <v>43830.66667</v>
      </c>
      <c r="J539" s="9">
        <f>IFERROR(__xludf.DUMMYFUNCTION("""COMPUTED_VALUE"""),1337.02)</f>
        <v>1337.02</v>
      </c>
      <c r="L539" s="11">
        <f>IFERROR(__xludf.DUMMYFUNCTION("""COMPUTED_VALUE"""),43830.66666666667)</f>
        <v>43830.66667</v>
      </c>
      <c r="M539" s="9">
        <f>IFERROR(__xludf.DUMMYFUNCTION("""COMPUTED_VALUE"""),72.48)</f>
        <v>72.48</v>
      </c>
      <c r="N539" s="11">
        <f>IFERROR(__xludf.DUMMYFUNCTION("""COMPUTED_VALUE"""),43830.66666666667)</f>
        <v>43830.66667</v>
      </c>
      <c r="O539" s="9">
        <f>IFERROR(__xludf.DUMMYFUNCTION("""COMPUTED_VALUE"""),73.41)</f>
        <v>73.41</v>
      </c>
      <c r="Q539" s="11">
        <f>IFERROR(__xludf.DUMMYFUNCTION("""COMPUTED_VALUE"""),43830.66666666667)</f>
        <v>43830.66667</v>
      </c>
      <c r="R539" s="9">
        <f>IFERROR(__xludf.DUMMYFUNCTION("""COMPUTED_VALUE"""),204.0)</f>
        <v>204</v>
      </c>
      <c r="S539" s="11">
        <f>IFERROR(__xludf.DUMMYFUNCTION("""COMPUTED_VALUE"""),43830.66666666667)</f>
        <v>43830.66667</v>
      </c>
      <c r="T539" s="9">
        <f>IFERROR(__xludf.DUMMYFUNCTION("""COMPUTED_VALUE"""),205.25)</f>
        <v>205.25</v>
      </c>
      <c r="V539" s="11">
        <f>IFERROR(__xludf.DUMMYFUNCTION("""COMPUTED_VALUE"""),43830.66666666667)</f>
        <v>43830.66667</v>
      </c>
      <c r="W539" s="9">
        <f>IFERROR(__xludf.DUMMYFUNCTION("""COMPUTED_VALUE"""),322.0)</f>
        <v>322</v>
      </c>
      <c r="X539" s="11">
        <f>IFERROR(__xludf.DUMMYFUNCTION("""COMPUTED_VALUE"""),43830.66666666667)</f>
        <v>43830.66667</v>
      </c>
      <c r="Y539" s="9">
        <f>IFERROR(__xludf.DUMMYFUNCTION("""COMPUTED_VALUE"""),323.57)</f>
        <v>323.57</v>
      </c>
      <c r="AA539" s="11">
        <f>IFERROR(__xludf.DUMMYFUNCTION("""COMPUTED_VALUE"""),43830.66666666667)</f>
        <v>43830.66667</v>
      </c>
      <c r="AB539" s="9">
        <f>IFERROR(__xludf.DUMMYFUNCTION("""COMPUTED_VALUE"""),1842.0)</f>
        <v>1842</v>
      </c>
      <c r="AC539" s="11">
        <f>IFERROR(__xludf.DUMMYFUNCTION("""COMPUTED_VALUE"""),43830.66666666667)</f>
        <v>43830.66667</v>
      </c>
      <c r="AD539" s="9">
        <f>IFERROR(__xludf.DUMMYFUNCTION("""COMPUTED_VALUE"""),1847.84)</f>
        <v>1847.84</v>
      </c>
    </row>
    <row r="540">
      <c r="B540" s="11">
        <f>IFERROR(__xludf.DUMMYFUNCTION("""COMPUTED_VALUE"""),43832.66666666667)</f>
        <v>43832.66667</v>
      </c>
      <c r="C540" s="9">
        <f>IFERROR(__xludf.DUMMYFUNCTION("""COMPUTED_VALUE"""),84.9)</f>
        <v>84.9</v>
      </c>
      <c r="D540" s="11">
        <f>IFERROR(__xludf.DUMMYFUNCTION("""COMPUTED_VALUE"""),43832.66666666667)</f>
        <v>43832.66667</v>
      </c>
      <c r="E540" s="9">
        <f>IFERROR(__xludf.DUMMYFUNCTION("""COMPUTED_VALUE"""),86.05)</f>
        <v>86.05</v>
      </c>
      <c r="G540" s="11">
        <f>IFERROR(__xludf.DUMMYFUNCTION("""COMPUTED_VALUE"""),43832.66666666667)</f>
        <v>43832.66667</v>
      </c>
      <c r="H540" s="9">
        <f>IFERROR(__xludf.DUMMYFUNCTION("""COMPUTED_VALUE"""),1341.55)</f>
        <v>1341.55</v>
      </c>
      <c r="I540" s="11">
        <f>IFERROR(__xludf.DUMMYFUNCTION("""COMPUTED_VALUE"""),43832.66666666667)</f>
        <v>43832.66667</v>
      </c>
      <c r="J540" s="9">
        <f>IFERROR(__xludf.DUMMYFUNCTION("""COMPUTED_VALUE"""),1367.37)</f>
        <v>1367.37</v>
      </c>
      <c r="L540" s="11">
        <f>IFERROR(__xludf.DUMMYFUNCTION("""COMPUTED_VALUE"""),43832.66666666667)</f>
        <v>43832.66667</v>
      </c>
      <c r="M540" s="9">
        <f>IFERROR(__xludf.DUMMYFUNCTION("""COMPUTED_VALUE"""),74.06)</f>
        <v>74.06</v>
      </c>
      <c r="N540" s="11">
        <f>IFERROR(__xludf.DUMMYFUNCTION("""COMPUTED_VALUE"""),43832.66666666667)</f>
        <v>43832.66667</v>
      </c>
      <c r="O540" s="9">
        <f>IFERROR(__xludf.DUMMYFUNCTION("""COMPUTED_VALUE"""),75.09)</f>
        <v>75.09</v>
      </c>
      <c r="Q540" s="11">
        <f>IFERROR(__xludf.DUMMYFUNCTION("""COMPUTED_VALUE"""),43832.66666666667)</f>
        <v>43832.66667</v>
      </c>
      <c r="R540" s="9">
        <f>IFERROR(__xludf.DUMMYFUNCTION("""COMPUTED_VALUE"""),206.75)</f>
        <v>206.75</v>
      </c>
      <c r="S540" s="11">
        <f>IFERROR(__xludf.DUMMYFUNCTION("""COMPUTED_VALUE"""),43832.66666666667)</f>
        <v>43832.66667</v>
      </c>
      <c r="T540" s="9">
        <f>IFERROR(__xludf.DUMMYFUNCTION("""COMPUTED_VALUE"""),209.78)</f>
        <v>209.78</v>
      </c>
      <c r="V540" s="11">
        <f>IFERROR(__xludf.DUMMYFUNCTION("""COMPUTED_VALUE"""),43832.66666666667)</f>
        <v>43832.66667</v>
      </c>
      <c r="W540" s="9">
        <f>IFERROR(__xludf.DUMMYFUNCTION("""COMPUTED_VALUE"""),326.1)</f>
        <v>326.1</v>
      </c>
      <c r="X540" s="11">
        <f>IFERROR(__xludf.DUMMYFUNCTION("""COMPUTED_VALUE"""),43832.66666666667)</f>
        <v>43832.66667</v>
      </c>
      <c r="Y540" s="9">
        <f>IFERROR(__xludf.DUMMYFUNCTION("""COMPUTED_VALUE"""),329.81)</f>
        <v>329.81</v>
      </c>
      <c r="AA540" s="11">
        <f>IFERROR(__xludf.DUMMYFUNCTION("""COMPUTED_VALUE"""),43832.66666666667)</f>
        <v>43832.66667</v>
      </c>
      <c r="AB540" s="9">
        <f>IFERROR(__xludf.DUMMYFUNCTION("""COMPUTED_VALUE"""),1875.0)</f>
        <v>1875</v>
      </c>
      <c r="AC540" s="11">
        <f>IFERROR(__xludf.DUMMYFUNCTION("""COMPUTED_VALUE"""),43832.66666666667)</f>
        <v>43832.66667</v>
      </c>
      <c r="AD540" s="9">
        <f>IFERROR(__xludf.DUMMYFUNCTION("""COMPUTED_VALUE"""),1898.01)</f>
        <v>1898.01</v>
      </c>
    </row>
    <row r="541">
      <c r="B541" s="11">
        <f>IFERROR(__xludf.DUMMYFUNCTION("""COMPUTED_VALUE"""),43833.66666666667)</f>
        <v>43833.66667</v>
      </c>
      <c r="C541" s="9">
        <f>IFERROR(__xludf.DUMMYFUNCTION("""COMPUTED_VALUE"""),88.1)</f>
        <v>88.1</v>
      </c>
      <c r="D541" s="11">
        <f>IFERROR(__xludf.DUMMYFUNCTION("""COMPUTED_VALUE"""),43833.66666666667)</f>
        <v>43833.66667</v>
      </c>
      <c r="E541" s="9">
        <f>IFERROR(__xludf.DUMMYFUNCTION("""COMPUTED_VALUE"""),88.6)</f>
        <v>88.6</v>
      </c>
      <c r="G541" s="11">
        <f>IFERROR(__xludf.DUMMYFUNCTION("""COMPUTED_VALUE"""),43833.66666666667)</f>
        <v>43833.66667</v>
      </c>
      <c r="H541" s="9">
        <f>IFERROR(__xludf.DUMMYFUNCTION("""COMPUTED_VALUE"""),1347.86)</f>
        <v>1347.86</v>
      </c>
      <c r="I541" s="11">
        <f>IFERROR(__xludf.DUMMYFUNCTION("""COMPUTED_VALUE"""),43833.66666666667)</f>
        <v>43833.66667</v>
      </c>
      <c r="J541" s="9">
        <f>IFERROR(__xludf.DUMMYFUNCTION("""COMPUTED_VALUE"""),1360.66)</f>
        <v>1360.66</v>
      </c>
      <c r="L541" s="11">
        <f>IFERROR(__xludf.DUMMYFUNCTION("""COMPUTED_VALUE"""),43833.66666666667)</f>
        <v>43833.66667</v>
      </c>
      <c r="M541" s="9">
        <f>IFERROR(__xludf.DUMMYFUNCTION("""COMPUTED_VALUE"""),74.29)</f>
        <v>74.29</v>
      </c>
      <c r="N541" s="11">
        <f>IFERROR(__xludf.DUMMYFUNCTION("""COMPUTED_VALUE"""),43833.66666666667)</f>
        <v>43833.66667</v>
      </c>
      <c r="O541" s="9">
        <f>IFERROR(__xludf.DUMMYFUNCTION("""COMPUTED_VALUE"""),74.36)</f>
        <v>74.36</v>
      </c>
      <c r="Q541" s="11">
        <f>IFERROR(__xludf.DUMMYFUNCTION("""COMPUTED_VALUE"""),43833.66666666667)</f>
        <v>43833.66667</v>
      </c>
      <c r="R541" s="9">
        <f>IFERROR(__xludf.DUMMYFUNCTION("""COMPUTED_VALUE"""),207.21)</f>
        <v>207.21</v>
      </c>
      <c r="S541" s="11">
        <f>IFERROR(__xludf.DUMMYFUNCTION("""COMPUTED_VALUE"""),43833.66666666667)</f>
        <v>43833.66667</v>
      </c>
      <c r="T541" s="9">
        <f>IFERROR(__xludf.DUMMYFUNCTION("""COMPUTED_VALUE"""),208.67)</f>
        <v>208.67</v>
      </c>
      <c r="V541" s="11">
        <f>IFERROR(__xludf.DUMMYFUNCTION("""COMPUTED_VALUE"""),43833.66666666667)</f>
        <v>43833.66667</v>
      </c>
      <c r="W541" s="9">
        <f>IFERROR(__xludf.DUMMYFUNCTION("""COMPUTED_VALUE"""),326.78)</f>
        <v>326.78</v>
      </c>
      <c r="X541" s="11">
        <f>IFERROR(__xludf.DUMMYFUNCTION("""COMPUTED_VALUE"""),43833.66666666667)</f>
        <v>43833.66667</v>
      </c>
      <c r="Y541" s="9">
        <f>IFERROR(__xludf.DUMMYFUNCTION("""COMPUTED_VALUE"""),325.9)</f>
        <v>325.9</v>
      </c>
      <c r="AA541" s="11">
        <f>IFERROR(__xludf.DUMMYFUNCTION("""COMPUTED_VALUE"""),43833.66666666667)</f>
        <v>43833.66667</v>
      </c>
      <c r="AB541" s="9">
        <f>IFERROR(__xludf.DUMMYFUNCTION("""COMPUTED_VALUE"""),1864.5)</f>
        <v>1864.5</v>
      </c>
      <c r="AC541" s="11">
        <f>IFERROR(__xludf.DUMMYFUNCTION("""COMPUTED_VALUE"""),43833.66666666667)</f>
        <v>43833.66667</v>
      </c>
      <c r="AD541" s="9">
        <f>IFERROR(__xludf.DUMMYFUNCTION("""COMPUTED_VALUE"""),1874.97)</f>
        <v>1874.97</v>
      </c>
    </row>
    <row r="542">
      <c r="B542" s="11">
        <f>IFERROR(__xludf.DUMMYFUNCTION("""COMPUTED_VALUE"""),43836.66666666667)</f>
        <v>43836.66667</v>
      </c>
      <c r="C542" s="9">
        <f>IFERROR(__xludf.DUMMYFUNCTION("""COMPUTED_VALUE"""),88.09)</f>
        <v>88.09</v>
      </c>
      <c r="D542" s="11">
        <f>IFERROR(__xludf.DUMMYFUNCTION("""COMPUTED_VALUE"""),43836.66666666667)</f>
        <v>43836.66667</v>
      </c>
      <c r="E542" s="9">
        <f>IFERROR(__xludf.DUMMYFUNCTION("""COMPUTED_VALUE"""),90.31)</f>
        <v>90.31</v>
      </c>
      <c r="G542" s="11">
        <f>IFERROR(__xludf.DUMMYFUNCTION("""COMPUTED_VALUE"""),43836.66666666667)</f>
        <v>43836.66667</v>
      </c>
      <c r="H542" s="9">
        <f>IFERROR(__xludf.DUMMYFUNCTION("""COMPUTED_VALUE"""),1350.0)</f>
        <v>1350</v>
      </c>
      <c r="I542" s="11">
        <f>IFERROR(__xludf.DUMMYFUNCTION("""COMPUTED_VALUE"""),43836.66666666667)</f>
        <v>43836.66667</v>
      </c>
      <c r="J542" s="9">
        <f>IFERROR(__xludf.DUMMYFUNCTION("""COMPUTED_VALUE"""),1394.21)</f>
        <v>1394.21</v>
      </c>
      <c r="L542" s="11">
        <f>IFERROR(__xludf.DUMMYFUNCTION("""COMPUTED_VALUE"""),43836.66666666667)</f>
        <v>43836.66667</v>
      </c>
      <c r="M542" s="9">
        <f>IFERROR(__xludf.DUMMYFUNCTION("""COMPUTED_VALUE"""),73.45)</f>
        <v>73.45</v>
      </c>
      <c r="N542" s="11">
        <f>IFERROR(__xludf.DUMMYFUNCTION("""COMPUTED_VALUE"""),43836.66666666667)</f>
        <v>43836.66667</v>
      </c>
      <c r="O542" s="9">
        <f>IFERROR(__xludf.DUMMYFUNCTION("""COMPUTED_VALUE"""),74.95)</f>
        <v>74.95</v>
      </c>
      <c r="Q542" s="11">
        <f>IFERROR(__xludf.DUMMYFUNCTION("""COMPUTED_VALUE"""),43836.66666666667)</f>
        <v>43836.66667</v>
      </c>
      <c r="R542" s="9">
        <f>IFERROR(__xludf.DUMMYFUNCTION("""COMPUTED_VALUE"""),206.7)</f>
        <v>206.7</v>
      </c>
      <c r="S542" s="11">
        <f>IFERROR(__xludf.DUMMYFUNCTION("""COMPUTED_VALUE"""),43836.66666666667)</f>
        <v>43836.66667</v>
      </c>
      <c r="T542" s="9">
        <f>IFERROR(__xludf.DUMMYFUNCTION("""COMPUTED_VALUE"""),212.6)</f>
        <v>212.6</v>
      </c>
      <c r="V542" s="11">
        <f>IFERROR(__xludf.DUMMYFUNCTION("""COMPUTED_VALUE"""),43836.66666666667)</f>
        <v>43836.66667</v>
      </c>
      <c r="W542" s="9">
        <f>IFERROR(__xludf.DUMMYFUNCTION("""COMPUTED_VALUE"""),323.12)</f>
        <v>323.12</v>
      </c>
      <c r="X542" s="11">
        <f>IFERROR(__xludf.DUMMYFUNCTION("""COMPUTED_VALUE"""),43836.66666666667)</f>
        <v>43836.66667</v>
      </c>
      <c r="Y542" s="9">
        <f>IFERROR(__xludf.DUMMYFUNCTION("""COMPUTED_VALUE"""),335.83)</f>
        <v>335.83</v>
      </c>
      <c r="AA542" s="11">
        <f>IFERROR(__xludf.DUMMYFUNCTION("""COMPUTED_VALUE"""),43836.66666666667)</f>
        <v>43836.66667</v>
      </c>
      <c r="AB542" s="9">
        <f>IFERROR(__xludf.DUMMYFUNCTION("""COMPUTED_VALUE"""),1860.0)</f>
        <v>1860</v>
      </c>
      <c r="AC542" s="11">
        <f>IFERROR(__xludf.DUMMYFUNCTION("""COMPUTED_VALUE"""),43836.66666666667)</f>
        <v>43836.66667</v>
      </c>
      <c r="AD542" s="9">
        <f>IFERROR(__xludf.DUMMYFUNCTION("""COMPUTED_VALUE"""),1902.88)</f>
        <v>1902.88</v>
      </c>
    </row>
    <row r="543">
      <c r="B543" s="11">
        <f>IFERROR(__xludf.DUMMYFUNCTION("""COMPUTED_VALUE"""),43837.66666666667)</f>
        <v>43837.66667</v>
      </c>
      <c r="C543" s="9">
        <f>IFERROR(__xludf.DUMMYFUNCTION("""COMPUTED_VALUE"""),92.28)</f>
        <v>92.28</v>
      </c>
      <c r="D543" s="11">
        <f>IFERROR(__xludf.DUMMYFUNCTION("""COMPUTED_VALUE"""),43837.66666666667)</f>
        <v>43837.66667</v>
      </c>
      <c r="E543" s="9">
        <f>IFERROR(__xludf.DUMMYFUNCTION("""COMPUTED_VALUE"""),93.81)</f>
        <v>93.81</v>
      </c>
      <c r="G543" s="11">
        <f>IFERROR(__xludf.DUMMYFUNCTION("""COMPUTED_VALUE"""),43837.66666666667)</f>
        <v>43837.66667</v>
      </c>
      <c r="H543" s="9">
        <f>IFERROR(__xludf.DUMMYFUNCTION("""COMPUTED_VALUE"""),1397.94)</f>
        <v>1397.94</v>
      </c>
      <c r="I543" s="11">
        <f>IFERROR(__xludf.DUMMYFUNCTION("""COMPUTED_VALUE"""),43837.66666666667)</f>
        <v>43837.66667</v>
      </c>
      <c r="J543" s="9">
        <f>IFERROR(__xludf.DUMMYFUNCTION("""COMPUTED_VALUE"""),1393.34)</f>
        <v>1393.34</v>
      </c>
      <c r="L543" s="11">
        <f>IFERROR(__xludf.DUMMYFUNCTION("""COMPUTED_VALUE"""),43837.66666666667)</f>
        <v>43837.66667</v>
      </c>
      <c r="M543" s="9">
        <f>IFERROR(__xludf.DUMMYFUNCTION("""COMPUTED_VALUE"""),74.96)</f>
        <v>74.96</v>
      </c>
      <c r="N543" s="11">
        <f>IFERROR(__xludf.DUMMYFUNCTION("""COMPUTED_VALUE"""),43837.66666666667)</f>
        <v>43837.66667</v>
      </c>
      <c r="O543" s="9">
        <f>IFERROR(__xludf.DUMMYFUNCTION("""COMPUTED_VALUE"""),74.6)</f>
        <v>74.6</v>
      </c>
      <c r="Q543" s="11">
        <f>IFERROR(__xludf.DUMMYFUNCTION("""COMPUTED_VALUE"""),43837.66666666667)</f>
        <v>43837.66667</v>
      </c>
      <c r="R543" s="9">
        <f>IFERROR(__xludf.DUMMYFUNCTION("""COMPUTED_VALUE"""),212.82)</f>
        <v>212.82</v>
      </c>
      <c r="S543" s="11">
        <f>IFERROR(__xludf.DUMMYFUNCTION("""COMPUTED_VALUE"""),43837.66666666667)</f>
        <v>43837.66667</v>
      </c>
      <c r="T543" s="9">
        <f>IFERROR(__xludf.DUMMYFUNCTION("""COMPUTED_VALUE"""),213.06)</f>
        <v>213.06</v>
      </c>
      <c r="V543" s="11">
        <f>IFERROR(__xludf.DUMMYFUNCTION("""COMPUTED_VALUE"""),43837.66666666667)</f>
        <v>43837.66667</v>
      </c>
      <c r="W543" s="9">
        <f>IFERROR(__xludf.DUMMYFUNCTION("""COMPUTED_VALUE"""),336.47)</f>
        <v>336.47</v>
      </c>
      <c r="X543" s="11">
        <f>IFERROR(__xludf.DUMMYFUNCTION("""COMPUTED_VALUE"""),43837.66666666667)</f>
        <v>43837.66667</v>
      </c>
      <c r="Y543" s="9">
        <f>IFERROR(__xludf.DUMMYFUNCTION("""COMPUTED_VALUE"""),330.75)</f>
        <v>330.75</v>
      </c>
      <c r="AA543" s="11">
        <f>IFERROR(__xludf.DUMMYFUNCTION("""COMPUTED_VALUE"""),43837.66666666667)</f>
        <v>43837.66667</v>
      </c>
      <c r="AB543" s="9">
        <f>IFERROR(__xludf.DUMMYFUNCTION("""COMPUTED_VALUE"""),1904.5)</f>
        <v>1904.5</v>
      </c>
      <c r="AC543" s="11">
        <f>IFERROR(__xludf.DUMMYFUNCTION("""COMPUTED_VALUE"""),43837.66666666667)</f>
        <v>43837.66667</v>
      </c>
      <c r="AD543" s="9">
        <f>IFERROR(__xludf.DUMMYFUNCTION("""COMPUTED_VALUE"""),1906.86)</f>
        <v>1906.86</v>
      </c>
    </row>
    <row r="544">
      <c r="B544" s="11">
        <f>IFERROR(__xludf.DUMMYFUNCTION("""COMPUTED_VALUE"""),43838.66666666667)</f>
        <v>43838.66667</v>
      </c>
      <c r="C544" s="9">
        <f>IFERROR(__xludf.DUMMYFUNCTION("""COMPUTED_VALUE"""),94.74)</f>
        <v>94.74</v>
      </c>
      <c r="D544" s="11">
        <f>IFERROR(__xludf.DUMMYFUNCTION("""COMPUTED_VALUE"""),43838.66666666667)</f>
        <v>43838.66667</v>
      </c>
      <c r="E544" s="9">
        <f>IFERROR(__xludf.DUMMYFUNCTION("""COMPUTED_VALUE"""),98.43)</f>
        <v>98.43</v>
      </c>
      <c r="G544" s="11">
        <f>IFERROR(__xludf.DUMMYFUNCTION("""COMPUTED_VALUE"""),43838.66666666667)</f>
        <v>43838.66667</v>
      </c>
      <c r="H544" s="9">
        <f>IFERROR(__xludf.DUMMYFUNCTION("""COMPUTED_VALUE"""),1392.08)</f>
        <v>1392.08</v>
      </c>
      <c r="I544" s="11">
        <f>IFERROR(__xludf.DUMMYFUNCTION("""COMPUTED_VALUE"""),43838.66666666667)</f>
        <v>43838.66667</v>
      </c>
      <c r="J544" s="9">
        <f>IFERROR(__xludf.DUMMYFUNCTION("""COMPUTED_VALUE"""),1404.32)</f>
        <v>1404.32</v>
      </c>
      <c r="L544" s="11">
        <f>IFERROR(__xludf.DUMMYFUNCTION("""COMPUTED_VALUE"""),43838.66666666667)</f>
        <v>43838.66667</v>
      </c>
      <c r="M544" s="9">
        <f>IFERROR(__xludf.DUMMYFUNCTION("""COMPUTED_VALUE"""),74.29)</f>
        <v>74.29</v>
      </c>
      <c r="N544" s="11">
        <f>IFERROR(__xludf.DUMMYFUNCTION("""COMPUTED_VALUE"""),43838.66666666667)</f>
        <v>43838.66667</v>
      </c>
      <c r="O544" s="9">
        <f>IFERROR(__xludf.DUMMYFUNCTION("""COMPUTED_VALUE"""),75.8)</f>
        <v>75.8</v>
      </c>
      <c r="Q544" s="11">
        <f>IFERROR(__xludf.DUMMYFUNCTION("""COMPUTED_VALUE"""),43838.66666666667)</f>
        <v>43838.66667</v>
      </c>
      <c r="R544" s="9">
        <f>IFERROR(__xludf.DUMMYFUNCTION("""COMPUTED_VALUE"""),213.0)</f>
        <v>213</v>
      </c>
      <c r="S544" s="11">
        <f>IFERROR(__xludf.DUMMYFUNCTION("""COMPUTED_VALUE"""),43838.66666666667)</f>
        <v>43838.66667</v>
      </c>
      <c r="T544" s="9">
        <f>IFERROR(__xludf.DUMMYFUNCTION("""COMPUTED_VALUE"""),215.22)</f>
        <v>215.22</v>
      </c>
      <c r="V544" s="11">
        <f>IFERROR(__xludf.DUMMYFUNCTION("""COMPUTED_VALUE"""),43838.66666666667)</f>
        <v>43838.66667</v>
      </c>
      <c r="W544" s="9">
        <f>IFERROR(__xludf.DUMMYFUNCTION("""COMPUTED_VALUE"""),331.49)</f>
        <v>331.49</v>
      </c>
      <c r="X544" s="11">
        <f>IFERROR(__xludf.DUMMYFUNCTION("""COMPUTED_VALUE"""),43838.66666666667)</f>
        <v>43838.66667</v>
      </c>
      <c r="Y544" s="9">
        <f>IFERROR(__xludf.DUMMYFUNCTION("""COMPUTED_VALUE"""),339.26)</f>
        <v>339.26</v>
      </c>
      <c r="AA544" s="11">
        <f>IFERROR(__xludf.DUMMYFUNCTION("""COMPUTED_VALUE"""),43838.66666666667)</f>
        <v>43838.66667</v>
      </c>
      <c r="AB544" s="9">
        <f>IFERROR(__xludf.DUMMYFUNCTION("""COMPUTED_VALUE"""),1898.04)</f>
        <v>1898.04</v>
      </c>
      <c r="AC544" s="11">
        <f>IFERROR(__xludf.DUMMYFUNCTION("""COMPUTED_VALUE"""),43838.66666666667)</f>
        <v>43838.66667</v>
      </c>
      <c r="AD544" s="9">
        <f>IFERROR(__xludf.DUMMYFUNCTION("""COMPUTED_VALUE"""),1891.97)</f>
        <v>1891.97</v>
      </c>
    </row>
    <row r="545">
      <c r="B545" s="11">
        <f>IFERROR(__xludf.DUMMYFUNCTION("""COMPUTED_VALUE"""),43839.66666666667)</f>
        <v>43839.66667</v>
      </c>
      <c r="C545" s="9">
        <f>IFERROR(__xludf.DUMMYFUNCTION("""COMPUTED_VALUE"""),99.42)</f>
        <v>99.42</v>
      </c>
      <c r="D545" s="11">
        <f>IFERROR(__xludf.DUMMYFUNCTION("""COMPUTED_VALUE"""),43839.66666666667)</f>
        <v>43839.66667</v>
      </c>
      <c r="E545" s="9">
        <f>IFERROR(__xludf.DUMMYFUNCTION("""COMPUTED_VALUE"""),96.27)</f>
        <v>96.27</v>
      </c>
      <c r="G545" s="11">
        <f>IFERROR(__xludf.DUMMYFUNCTION("""COMPUTED_VALUE"""),43839.66666666667)</f>
        <v>43839.66667</v>
      </c>
      <c r="H545" s="9">
        <f>IFERROR(__xludf.DUMMYFUNCTION("""COMPUTED_VALUE"""),1420.57)</f>
        <v>1420.57</v>
      </c>
      <c r="I545" s="11">
        <f>IFERROR(__xludf.DUMMYFUNCTION("""COMPUTED_VALUE"""),43839.66666666667)</f>
        <v>43839.66667</v>
      </c>
      <c r="J545" s="9">
        <f>IFERROR(__xludf.DUMMYFUNCTION("""COMPUTED_VALUE"""),1419.83)</f>
        <v>1419.83</v>
      </c>
      <c r="L545" s="11">
        <f>IFERROR(__xludf.DUMMYFUNCTION("""COMPUTED_VALUE"""),43839.66666666667)</f>
        <v>43839.66667</v>
      </c>
      <c r="M545" s="9">
        <f>IFERROR(__xludf.DUMMYFUNCTION("""COMPUTED_VALUE"""),76.81)</f>
        <v>76.81</v>
      </c>
      <c r="N545" s="11">
        <f>IFERROR(__xludf.DUMMYFUNCTION("""COMPUTED_VALUE"""),43839.66666666667)</f>
        <v>43839.66667</v>
      </c>
      <c r="O545" s="9">
        <f>IFERROR(__xludf.DUMMYFUNCTION("""COMPUTED_VALUE"""),77.41)</f>
        <v>77.41</v>
      </c>
      <c r="Q545" s="11">
        <f>IFERROR(__xludf.DUMMYFUNCTION("""COMPUTED_VALUE"""),43839.66666666667)</f>
        <v>43839.66667</v>
      </c>
      <c r="R545" s="9">
        <f>IFERROR(__xludf.DUMMYFUNCTION("""COMPUTED_VALUE"""),217.54)</f>
        <v>217.54</v>
      </c>
      <c r="S545" s="11">
        <f>IFERROR(__xludf.DUMMYFUNCTION("""COMPUTED_VALUE"""),43839.66666666667)</f>
        <v>43839.66667</v>
      </c>
      <c r="T545" s="9">
        <f>IFERROR(__xludf.DUMMYFUNCTION("""COMPUTED_VALUE"""),218.3)</f>
        <v>218.3</v>
      </c>
      <c r="V545" s="11">
        <f>IFERROR(__xludf.DUMMYFUNCTION("""COMPUTED_VALUE"""),43839.66666666667)</f>
        <v>43839.66667</v>
      </c>
      <c r="W545" s="9">
        <f>IFERROR(__xludf.DUMMYFUNCTION("""COMPUTED_VALUE"""),342.0)</f>
        <v>342</v>
      </c>
      <c r="X545" s="11">
        <f>IFERROR(__xludf.DUMMYFUNCTION("""COMPUTED_VALUE"""),43839.66666666667)</f>
        <v>43839.66667</v>
      </c>
      <c r="Y545" s="9">
        <f>IFERROR(__xludf.DUMMYFUNCTION("""COMPUTED_VALUE"""),335.66)</f>
        <v>335.66</v>
      </c>
      <c r="AA545" s="11">
        <f>IFERROR(__xludf.DUMMYFUNCTION("""COMPUTED_VALUE"""),43839.66666666667)</f>
        <v>43839.66667</v>
      </c>
      <c r="AB545" s="9">
        <f>IFERROR(__xludf.DUMMYFUNCTION("""COMPUTED_VALUE"""),1909.89)</f>
        <v>1909.89</v>
      </c>
      <c r="AC545" s="11">
        <f>IFERROR(__xludf.DUMMYFUNCTION("""COMPUTED_VALUE"""),43839.66666666667)</f>
        <v>43839.66667</v>
      </c>
      <c r="AD545" s="9">
        <f>IFERROR(__xludf.DUMMYFUNCTION("""COMPUTED_VALUE"""),1901.05)</f>
        <v>1901.05</v>
      </c>
    </row>
    <row r="546">
      <c r="B546" s="11">
        <f>IFERROR(__xludf.DUMMYFUNCTION("""COMPUTED_VALUE"""),43840.66666666667)</f>
        <v>43840.66667</v>
      </c>
      <c r="C546" s="9">
        <f>IFERROR(__xludf.DUMMYFUNCTION("""COMPUTED_VALUE"""),96.36)</f>
        <v>96.36</v>
      </c>
      <c r="D546" s="11">
        <f>IFERROR(__xludf.DUMMYFUNCTION("""COMPUTED_VALUE"""),43840.66666666667)</f>
        <v>43840.66667</v>
      </c>
      <c r="E546" s="9">
        <f>IFERROR(__xludf.DUMMYFUNCTION("""COMPUTED_VALUE"""),95.63)</f>
        <v>95.63</v>
      </c>
      <c r="G546" s="11">
        <f>IFERROR(__xludf.DUMMYFUNCTION("""COMPUTED_VALUE"""),43840.66666666667)</f>
        <v>43840.66667</v>
      </c>
      <c r="H546" s="9">
        <f>IFERROR(__xludf.DUMMYFUNCTION("""COMPUTED_VALUE"""),1427.56)</f>
        <v>1427.56</v>
      </c>
      <c r="I546" s="11">
        <f>IFERROR(__xludf.DUMMYFUNCTION("""COMPUTED_VALUE"""),43840.66666666667)</f>
        <v>43840.66667</v>
      </c>
      <c r="J546" s="9">
        <f>IFERROR(__xludf.DUMMYFUNCTION("""COMPUTED_VALUE"""),1429.73)</f>
        <v>1429.73</v>
      </c>
      <c r="L546" s="11">
        <f>IFERROR(__xludf.DUMMYFUNCTION("""COMPUTED_VALUE"""),43840.66666666667)</f>
        <v>43840.66667</v>
      </c>
      <c r="M546" s="9">
        <f>IFERROR(__xludf.DUMMYFUNCTION("""COMPUTED_VALUE"""),77.65)</f>
        <v>77.65</v>
      </c>
      <c r="N546" s="11">
        <f>IFERROR(__xludf.DUMMYFUNCTION("""COMPUTED_VALUE"""),43840.66666666667)</f>
        <v>43840.66667</v>
      </c>
      <c r="O546" s="9">
        <f>IFERROR(__xludf.DUMMYFUNCTION("""COMPUTED_VALUE"""),77.58)</f>
        <v>77.58</v>
      </c>
      <c r="Q546" s="11">
        <f>IFERROR(__xludf.DUMMYFUNCTION("""COMPUTED_VALUE"""),43840.66666666667)</f>
        <v>43840.66667</v>
      </c>
      <c r="R546" s="9">
        <f>IFERROR(__xludf.DUMMYFUNCTION("""COMPUTED_VALUE"""),219.2)</f>
        <v>219.2</v>
      </c>
      <c r="S546" s="11">
        <f>IFERROR(__xludf.DUMMYFUNCTION("""COMPUTED_VALUE"""),43840.66666666667)</f>
        <v>43840.66667</v>
      </c>
      <c r="T546" s="9">
        <f>IFERROR(__xludf.DUMMYFUNCTION("""COMPUTED_VALUE"""),218.06)</f>
        <v>218.06</v>
      </c>
      <c r="V546" s="11">
        <f>IFERROR(__xludf.DUMMYFUNCTION("""COMPUTED_VALUE"""),43840.66666666667)</f>
        <v>43840.66667</v>
      </c>
      <c r="W546" s="9">
        <f>IFERROR(__xludf.DUMMYFUNCTION("""COMPUTED_VALUE"""),337.13)</f>
        <v>337.13</v>
      </c>
      <c r="X546" s="11">
        <f>IFERROR(__xludf.DUMMYFUNCTION("""COMPUTED_VALUE"""),43840.66666666667)</f>
        <v>43840.66667</v>
      </c>
      <c r="Y546" s="9">
        <f>IFERROR(__xludf.DUMMYFUNCTION("""COMPUTED_VALUE"""),329.05)</f>
        <v>329.05</v>
      </c>
      <c r="AA546" s="11">
        <f>IFERROR(__xludf.DUMMYFUNCTION("""COMPUTED_VALUE"""),43840.66666666667)</f>
        <v>43840.66667</v>
      </c>
      <c r="AB546" s="9">
        <f>IFERROR(__xludf.DUMMYFUNCTION("""COMPUTED_VALUE"""),1905.37)</f>
        <v>1905.37</v>
      </c>
      <c r="AC546" s="11">
        <f>IFERROR(__xludf.DUMMYFUNCTION("""COMPUTED_VALUE"""),43840.66666666667)</f>
        <v>43840.66667</v>
      </c>
      <c r="AD546" s="9">
        <f>IFERROR(__xludf.DUMMYFUNCTION("""COMPUTED_VALUE"""),1883.16)</f>
        <v>1883.16</v>
      </c>
    </row>
    <row r="547">
      <c r="B547" s="11">
        <f>IFERROR(__xludf.DUMMYFUNCTION("""COMPUTED_VALUE"""),43843.66666666667)</f>
        <v>43843.66667</v>
      </c>
      <c r="C547" s="9">
        <f>IFERROR(__xludf.DUMMYFUNCTION("""COMPUTED_VALUE"""),98.7)</f>
        <v>98.7</v>
      </c>
      <c r="D547" s="11">
        <f>IFERROR(__xludf.DUMMYFUNCTION("""COMPUTED_VALUE"""),43843.66666666667)</f>
        <v>43843.66667</v>
      </c>
      <c r="E547" s="9">
        <f>IFERROR(__xludf.DUMMYFUNCTION("""COMPUTED_VALUE"""),104.97)</f>
        <v>104.97</v>
      </c>
      <c r="G547" s="11">
        <f>IFERROR(__xludf.DUMMYFUNCTION("""COMPUTED_VALUE"""),43843.66666666667)</f>
        <v>43843.66667</v>
      </c>
      <c r="H547" s="9">
        <f>IFERROR(__xludf.DUMMYFUNCTION("""COMPUTED_VALUE"""),1436.13)</f>
        <v>1436.13</v>
      </c>
      <c r="I547" s="11">
        <f>IFERROR(__xludf.DUMMYFUNCTION("""COMPUTED_VALUE"""),43843.66666666667)</f>
        <v>43843.66667</v>
      </c>
      <c r="J547" s="9">
        <f>IFERROR(__xludf.DUMMYFUNCTION("""COMPUTED_VALUE"""),1439.23)</f>
        <v>1439.23</v>
      </c>
      <c r="L547" s="11">
        <f>IFERROR(__xludf.DUMMYFUNCTION("""COMPUTED_VALUE"""),43843.66666666667)</f>
        <v>43843.66667</v>
      </c>
      <c r="M547" s="9">
        <f>IFERROR(__xludf.DUMMYFUNCTION("""COMPUTED_VALUE"""),77.91)</f>
        <v>77.91</v>
      </c>
      <c r="N547" s="11">
        <f>IFERROR(__xludf.DUMMYFUNCTION("""COMPUTED_VALUE"""),43843.66666666667)</f>
        <v>43843.66667</v>
      </c>
      <c r="O547" s="9">
        <f>IFERROR(__xludf.DUMMYFUNCTION("""COMPUTED_VALUE"""),79.24)</f>
        <v>79.24</v>
      </c>
      <c r="Q547" s="11">
        <f>IFERROR(__xludf.DUMMYFUNCTION("""COMPUTED_VALUE"""),43843.66666666667)</f>
        <v>43843.66667</v>
      </c>
      <c r="R547" s="9">
        <f>IFERROR(__xludf.DUMMYFUNCTION("""COMPUTED_VALUE"""),219.6)</f>
        <v>219.6</v>
      </c>
      <c r="S547" s="11">
        <f>IFERROR(__xludf.DUMMYFUNCTION("""COMPUTED_VALUE"""),43843.66666666667)</f>
        <v>43843.66667</v>
      </c>
      <c r="T547" s="9">
        <f>IFERROR(__xludf.DUMMYFUNCTION("""COMPUTED_VALUE"""),221.91)</f>
        <v>221.91</v>
      </c>
      <c r="V547" s="11">
        <f>IFERROR(__xludf.DUMMYFUNCTION("""COMPUTED_VALUE"""),43843.66666666667)</f>
        <v>43843.66667</v>
      </c>
      <c r="W547" s="9">
        <f>IFERROR(__xludf.DUMMYFUNCTION("""COMPUTED_VALUE"""),331.8)</f>
        <v>331.8</v>
      </c>
      <c r="X547" s="11">
        <f>IFERROR(__xludf.DUMMYFUNCTION("""COMPUTED_VALUE"""),43843.66666666667)</f>
        <v>43843.66667</v>
      </c>
      <c r="Y547" s="9">
        <f>IFERROR(__xludf.DUMMYFUNCTION("""COMPUTED_VALUE"""),338.92)</f>
        <v>338.92</v>
      </c>
      <c r="AA547" s="11">
        <f>IFERROR(__xludf.DUMMYFUNCTION("""COMPUTED_VALUE"""),43843.66666666667)</f>
        <v>43843.66667</v>
      </c>
      <c r="AB547" s="9">
        <f>IFERROR(__xludf.DUMMYFUNCTION("""COMPUTED_VALUE"""),1891.31)</f>
        <v>1891.31</v>
      </c>
      <c r="AC547" s="11">
        <f>IFERROR(__xludf.DUMMYFUNCTION("""COMPUTED_VALUE"""),43843.66666666667)</f>
        <v>43843.66667</v>
      </c>
      <c r="AD547" s="9">
        <f>IFERROR(__xludf.DUMMYFUNCTION("""COMPUTED_VALUE"""),1891.3)</f>
        <v>1891.3</v>
      </c>
    </row>
    <row r="548">
      <c r="B548" s="11">
        <f>IFERROR(__xludf.DUMMYFUNCTION("""COMPUTED_VALUE"""),43844.66666666667)</f>
        <v>43844.66667</v>
      </c>
      <c r="C548" s="9">
        <f>IFERROR(__xludf.DUMMYFUNCTION("""COMPUTED_VALUE"""),108.85)</f>
        <v>108.85</v>
      </c>
      <c r="D548" s="11">
        <f>IFERROR(__xludf.DUMMYFUNCTION("""COMPUTED_VALUE"""),43844.66666666667)</f>
        <v>43844.66667</v>
      </c>
      <c r="E548" s="9">
        <f>IFERROR(__xludf.DUMMYFUNCTION("""COMPUTED_VALUE"""),107.58)</f>
        <v>107.58</v>
      </c>
      <c r="G548" s="11">
        <f>IFERROR(__xludf.DUMMYFUNCTION("""COMPUTED_VALUE"""),43844.66666666667)</f>
        <v>43844.66667</v>
      </c>
      <c r="H548" s="9">
        <f>IFERROR(__xludf.DUMMYFUNCTION("""COMPUTED_VALUE"""),1439.01)</f>
        <v>1439.01</v>
      </c>
      <c r="I548" s="11">
        <f>IFERROR(__xludf.DUMMYFUNCTION("""COMPUTED_VALUE"""),43844.66666666667)</f>
        <v>43844.66667</v>
      </c>
      <c r="J548" s="9">
        <f>IFERROR(__xludf.DUMMYFUNCTION("""COMPUTED_VALUE"""),1430.88)</f>
        <v>1430.88</v>
      </c>
      <c r="L548" s="11">
        <f>IFERROR(__xludf.DUMMYFUNCTION("""COMPUTED_VALUE"""),43844.66666666667)</f>
        <v>43844.66667</v>
      </c>
      <c r="M548" s="9">
        <f>IFERROR(__xludf.DUMMYFUNCTION("""COMPUTED_VALUE"""),79.18)</f>
        <v>79.18</v>
      </c>
      <c r="N548" s="11">
        <f>IFERROR(__xludf.DUMMYFUNCTION("""COMPUTED_VALUE"""),43844.66666666667)</f>
        <v>43844.66667</v>
      </c>
      <c r="O548" s="9">
        <f>IFERROR(__xludf.DUMMYFUNCTION("""COMPUTED_VALUE"""),78.17)</f>
        <v>78.17</v>
      </c>
      <c r="Q548" s="11">
        <f>IFERROR(__xludf.DUMMYFUNCTION("""COMPUTED_VALUE"""),43844.66666666667)</f>
        <v>43844.66667</v>
      </c>
      <c r="R548" s="9">
        <f>IFERROR(__xludf.DUMMYFUNCTION("""COMPUTED_VALUE"""),221.61)</f>
        <v>221.61</v>
      </c>
      <c r="S548" s="11">
        <f>IFERROR(__xludf.DUMMYFUNCTION("""COMPUTED_VALUE"""),43844.66666666667)</f>
        <v>43844.66667</v>
      </c>
      <c r="T548" s="9">
        <f>IFERROR(__xludf.DUMMYFUNCTION("""COMPUTED_VALUE"""),219.06)</f>
        <v>219.06</v>
      </c>
      <c r="V548" s="11">
        <f>IFERROR(__xludf.DUMMYFUNCTION("""COMPUTED_VALUE"""),43844.66666666667)</f>
        <v>43844.66667</v>
      </c>
      <c r="W548" s="9">
        <f>IFERROR(__xludf.DUMMYFUNCTION("""COMPUTED_VALUE"""),344.4)</f>
        <v>344.4</v>
      </c>
      <c r="X548" s="11">
        <f>IFERROR(__xludf.DUMMYFUNCTION("""COMPUTED_VALUE"""),43844.66666666667)</f>
        <v>43844.66667</v>
      </c>
      <c r="Y548" s="9">
        <f>IFERROR(__xludf.DUMMYFUNCTION("""COMPUTED_VALUE"""),338.69)</f>
        <v>338.69</v>
      </c>
      <c r="AA548" s="11">
        <f>IFERROR(__xludf.DUMMYFUNCTION("""COMPUTED_VALUE"""),43844.66666666667)</f>
        <v>43844.66667</v>
      </c>
      <c r="AB548" s="9">
        <f>IFERROR(__xludf.DUMMYFUNCTION("""COMPUTED_VALUE"""),1885.88)</f>
        <v>1885.88</v>
      </c>
      <c r="AC548" s="11">
        <f>IFERROR(__xludf.DUMMYFUNCTION("""COMPUTED_VALUE"""),43844.66666666667)</f>
        <v>43844.66667</v>
      </c>
      <c r="AD548" s="9">
        <f>IFERROR(__xludf.DUMMYFUNCTION("""COMPUTED_VALUE"""),1869.44)</f>
        <v>1869.44</v>
      </c>
    </row>
    <row r="549">
      <c r="B549" s="11">
        <f>IFERROR(__xludf.DUMMYFUNCTION("""COMPUTED_VALUE"""),43845.66666666667)</f>
        <v>43845.66667</v>
      </c>
      <c r="C549" s="9">
        <f>IFERROR(__xludf.DUMMYFUNCTION("""COMPUTED_VALUE"""),105.95)</f>
        <v>105.95</v>
      </c>
      <c r="D549" s="11">
        <f>IFERROR(__xludf.DUMMYFUNCTION("""COMPUTED_VALUE"""),43845.66666666667)</f>
        <v>43845.66667</v>
      </c>
      <c r="E549" s="9">
        <f>IFERROR(__xludf.DUMMYFUNCTION("""COMPUTED_VALUE"""),103.7)</f>
        <v>103.7</v>
      </c>
      <c r="G549" s="11">
        <f>IFERROR(__xludf.DUMMYFUNCTION("""COMPUTED_VALUE"""),43845.66666666667)</f>
        <v>43845.66667</v>
      </c>
      <c r="H549" s="9">
        <f>IFERROR(__xludf.DUMMYFUNCTION("""COMPUTED_VALUE"""),1430.21)</f>
        <v>1430.21</v>
      </c>
      <c r="I549" s="11">
        <f>IFERROR(__xludf.DUMMYFUNCTION("""COMPUTED_VALUE"""),43845.66666666667)</f>
        <v>43845.66667</v>
      </c>
      <c r="J549" s="9">
        <f>IFERROR(__xludf.DUMMYFUNCTION("""COMPUTED_VALUE"""),1439.2)</f>
        <v>1439.2</v>
      </c>
      <c r="L549" s="11">
        <f>IFERROR(__xludf.DUMMYFUNCTION("""COMPUTED_VALUE"""),43845.66666666667)</f>
        <v>43845.66667</v>
      </c>
      <c r="M549" s="9">
        <f>IFERROR(__xludf.DUMMYFUNCTION("""COMPUTED_VALUE"""),77.96)</f>
        <v>77.96</v>
      </c>
      <c r="N549" s="11">
        <f>IFERROR(__xludf.DUMMYFUNCTION("""COMPUTED_VALUE"""),43845.66666666667)</f>
        <v>43845.66667</v>
      </c>
      <c r="O549" s="9">
        <f>IFERROR(__xludf.DUMMYFUNCTION("""COMPUTED_VALUE"""),77.83)</f>
        <v>77.83</v>
      </c>
      <c r="Q549" s="11">
        <f>IFERROR(__xludf.DUMMYFUNCTION("""COMPUTED_VALUE"""),43845.66666666667)</f>
        <v>43845.66667</v>
      </c>
      <c r="R549" s="9">
        <f>IFERROR(__xludf.DUMMYFUNCTION("""COMPUTED_VALUE"""),220.61)</f>
        <v>220.61</v>
      </c>
      <c r="S549" s="11">
        <f>IFERROR(__xludf.DUMMYFUNCTION("""COMPUTED_VALUE"""),43845.66666666667)</f>
        <v>43845.66667</v>
      </c>
      <c r="T549" s="9">
        <f>IFERROR(__xludf.DUMMYFUNCTION("""COMPUTED_VALUE"""),221.15)</f>
        <v>221.15</v>
      </c>
      <c r="V549" s="11">
        <f>IFERROR(__xludf.DUMMYFUNCTION("""COMPUTED_VALUE"""),43845.66666666667)</f>
        <v>43845.66667</v>
      </c>
      <c r="W549" s="9">
        <f>IFERROR(__xludf.DUMMYFUNCTION("""COMPUTED_VALUE"""),338.68)</f>
        <v>338.68</v>
      </c>
      <c r="X549" s="11">
        <f>IFERROR(__xludf.DUMMYFUNCTION("""COMPUTED_VALUE"""),43845.66666666667)</f>
        <v>43845.66667</v>
      </c>
      <c r="Y549" s="9">
        <f>IFERROR(__xludf.DUMMYFUNCTION("""COMPUTED_VALUE"""),339.07)</f>
        <v>339.07</v>
      </c>
      <c r="AA549" s="11">
        <f>IFERROR(__xludf.DUMMYFUNCTION("""COMPUTED_VALUE"""),43845.66666666667)</f>
        <v>43845.66667</v>
      </c>
      <c r="AB549" s="9">
        <f>IFERROR(__xludf.DUMMYFUNCTION("""COMPUTED_VALUE"""),1872.25)</f>
        <v>1872.25</v>
      </c>
      <c r="AC549" s="11">
        <f>IFERROR(__xludf.DUMMYFUNCTION("""COMPUTED_VALUE"""),43845.66666666667)</f>
        <v>43845.66667</v>
      </c>
      <c r="AD549" s="9">
        <f>IFERROR(__xludf.DUMMYFUNCTION("""COMPUTED_VALUE"""),1862.02)</f>
        <v>1862.02</v>
      </c>
    </row>
    <row r="550">
      <c r="B550" s="11">
        <f>IFERROR(__xludf.DUMMYFUNCTION("""COMPUTED_VALUE"""),43846.66666666667)</f>
        <v>43846.66667</v>
      </c>
      <c r="C550" s="9">
        <f>IFERROR(__xludf.DUMMYFUNCTION("""COMPUTED_VALUE"""),98.75)</f>
        <v>98.75</v>
      </c>
      <c r="D550" s="11">
        <f>IFERROR(__xludf.DUMMYFUNCTION("""COMPUTED_VALUE"""),43846.66666666667)</f>
        <v>43846.66667</v>
      </c>
      <c r="E550" s="9">
        <f>IFERROR(__xludf.DUMMYFUNCTION("""COMPUTED_VALUE"""),102.7)</f>
        <v>102.7</v>
      </c>
      <c r="G550" s="11">
        <f>IFERROR(__xludf.DUMMYFUNCTION("""COMPUTED_VALUE"""),43846.66666666667)</f>
        <v>43846.66667</v>
      </c>
      <c r="H550" s="9">
        <f>IFERROR(__xludf.DUMMYFUNCTION("""COMPUTED_VALUE"""),1447.44)</f>
        <v>1447.44</v>
      </c>
      <c r="I550" s="11">
        <f>IFERROR(__xludf.DUMMYFUNCTION("""COMPUTED_VALUE"""),43846.66666666667)</f>
        <v>43846.66667</v>
      </c>
      <c r="J550" s="9">
        <f>IFERROR(__xludf.DUMMYFUNCTION("""COMPUTED_VALUE"""),1451.7)</f>
        <v>1451.7</v>
      </c>
      <c r="L550" s="11">
        <f>IFERROR(__xludf.DUMMYFUNCTION("""COMPUTED_VALUE"""),43846.66666666667)</f>
        <v>43846.66667</v>
      </c>
      <c r="M550" s="9">
        <f>IFERROR(__xludf.DUMMYFUNCTION("""COMPUTED_VALUE"""),78.4)</f>
        <v>78.4</v>
      </c>
      <c r="N550" s="11">
        <f>IFERROR(__xludf.DUMMYFUNCTION("""COMPUTED_VALUE"""),43846.66666666667)</f>
        <v>43846.66667</v>
      </c>
      <c r="O550" s="9">
        <f>IFERROR(__xludf.DUMMYFUNCTION("""COMPUTED_VALUE"""),78.81)</f>
        <v>78.81</v>
      </c>
      <c r="Q550" s="11">
        <f>IFERROR(__xludf.DUMMYFUNCTION("""COMPUTED_VALUE"""),43846.66666666667)</f>
        <v>43846.66667</v>
      </c>
      <c r="R550" s="9">
        <f>IFERROR(__xludf.DUMMYFUNCTION("""COMPUTED_VALUE"""),222.57)</f>
        <v>222.57</v>
      </c>
      <c r="S550" s="11">
        <f>IFERROR(__xludf.DUMMYFUNCTION("""COMPUTED_VALUE"""),43846.66666666667)</f>
        <v>43846.66667</v>
      </c>
      <c r="T550" s="9">
        <f>IFERROR(__xludf.DUMMYFUNCTION("""COMPUTED_VALUE"""),221.77)</f>
        <v>221.77</v>
      </c>
      <c r="V550" s="11">
        <f>IFERROR(__xludf.DUMMYFUNCTION("""COMPUTED_VALUE"""),43846.66666666667)</f>
        <v>43846.66667</v>
      </c>
      <c r="W550" s="9">
        <f>IFERROR(__xludf.DUMMYFUNCTION("""COMPUTED_VALUE"""),343.5)</f>
        <v>343.5</v>
      </c>
      <c r="X550" s="11">
        <f>IFERROR(__xludf.DUMMYFUNCTION("""COMPUTED_VALUE"""),43846.66666666667)</f>
        <v>43846.66667</v>
      </c>
      <c r="Y550" s="9">
        <f>IFERROR(__xludf.DUMMYFUNCTION("""COMPUTED_VALUE"""),338.62)</f>
        <v>338.62</v>
      </c>
      <c r="AA550" s="11">
        <f>IFERROR(__xludf.DUMMYFUNCTION("""COMPUTED_VALUE"""),43846.66666666667)</f>
        <v>43846.66667</v>
      </c>
      <c r="AB550" s="9">
        <f>IFERROR(__xludf.DUMMYFUNCTION("""COMPUTED_VALUE"""),1882.99)</f>
        <v>1882.99</v>
      </c>
      <c r="AC550" s="11">
        <f>IFERROR(__xludf.DUMMYFUNCTION("""COMPUTED_VALUE"""),43846.66666666667)</f>
        <v>43846.66667</v>
      </c>
      <c r="AD550" s="9">
        <f>IFERROR(__xludf.DUMMYFUNCTION("""COMPUTED_VALUE"""),1877.94)</f>
        <v>1877.94</v>
      </c>
    </row>
    <row r="551">
      <c r="B551" s="11">
        <f>IFERROR(__xludf.DUMMYFUNCTION("""COMPUTED_VALUE"""),43847.66666666667)</f>
        <v>43847.66667</v>
      </c>
      <c r="C551" s="9">
        <f>IFERROR(__xludf.DUMMYFUNCTION("""COMPUTED_VALUE"""),101.52)</f>
        <v>101.52</v>
      </c>
      <c r="D551" s="11">
        <f>IFERROR(__xludf.DUMMYFUNCTION("""COMPUTED_VALUE"""),43847.66666666667)</f>
        <v>43847.66667</v>
      </c>
      <c r="E551" s="9">
        <f>IFERROR(__xludf.DUMMYFUNCTION("""COMPUTED_VALUE"""),102.1)</f>
        <v>102.1</v>
      </c>
      <c r="G551" s="11">
        <f>IFERROR(__xludf.DUMMYFUNCTION("""COMPUTED_VALUE"""),43847.66666666667)</f>
        <v>43847.66667</v>
      </c>
      <c r="H551" s="9">
        <f>IFERROR(__xludf.DUMMYFUNCTION("""COMPUTED_VALUE"""),1462.91)</f>
        <v>1462.91</v>
      </c>
      <c r="I551" s="11">
        <f>IFERROR(__xludf.DUMMYFUNCTION("""COMPUTED_VALUE"""),43847.66666666667)</f>
        <v>43847.66667</v>
      </c>
      <c r="J551" s="9">
        <f>IFERROR(__xludf.DUMMYFUNCTION("""COMPUTED_VALUE"""),1480.39)</f>
        <v>1480.39</v>
      </c>
      <c r="L551" s="11">
        <f>IFERROR(__xludf.DUMMYFUNCTION("""COMPUTED_VALUE"""),43847.66666666667)</f>
        <v>43847.66667</v>
      </c>
      <c r="M551" s="9">
        <f>IFERROR(__xludf.DUMMYFUNCTION("""COMPUTED_VALUE"""),79.07)</f>
        <v>79.07</v>
      </c>
      <c r="N551" s="11">
        <f>IFERROR(__xludf.DUMMYFUNCTION("""COMPUTED_VALUE"""),43847.66666666667)</f>
        <v>43847.66667</v>
      </c>
      <c r="O551" s="9">
        <f>IFERROR(__xludf.DUMMYFUNCTION("""COMPUTED_VALUE"""),79.68)</f>
        <v>79.68</v>
      </c>
      <c r="Q551" s="11">
        <f>IFERROR(__xludf.DUMMYFUNCTION("""COMPUTED_VALUE"""),43847.66666666667)</f>
        <v>43847.66667</v>
      </c>
      <c r="R551" s="9">
        <f>IFERROR(__xludf.DUMMYFUNCTION("""COMPUTED_VALUE"""),222.03)</f>
        <v>222.03</v>
      </c>
      <c r="S551" s="11">
        <f>IFERROR(__xludf.DUMMYFUNCTION("""COMPUTED_VALUE"""),43847.66666666667)</f>
        <v>43847.66667</v>
      </c>
      <c r="T551" s="9">
        <f>IFERROR(__xludf.DUMMYFUNCTION("""COMPUTED_VALUE"""),222.14)</f>
        <v>222.14</v>
      </c>
      <c r="V551" s="11">
        <f>IFERROR(__xludf.DUMMYFUNCTION("""COMPUTED_VALUE"""),43847.66666666667)</f>
        <v>43847.66667</v>
      </c>
      <c r="W551" s="9">
        <f>IFERROR(__xludf.DUMMYFUNCTION("""COMPUTED_VALUE"""),341.0)</f>
        <v>341</v>
      </c>
      <c r="X551" s="11">
        <f>IFERROR(__xludf.DUMMYFUNCTION("""COMPUTED_VALUE"""),43847.66666666667)</f>
        <v>43847.66667</v>
      </c>
      <c r="Y551" s="9">
        <f>IFERROR(__xludf.DUMMYFUNCTION("""COMPUTED_VALUE"""),339.67)</f>
        <v>339.67</v>
      </c>
      <c r="AA551" s="11">
        <f>IFERROR(__xludf.DUMMYFUNCTION("""COMPUTED_VALUE"""),43847.66666666667)</f>
        <v>43847.66667</v>
      </c>
      <c r="AB551" s="9">
        <f>IFERROR(__xludf.DUMMYFUNCTION("""COMPUTED_VALUE"""),1885.89)</f>
        <v>1885.89</v>
      </c>
      <c r="AC551" s="11">
        <f>IFERROR(__xludf.DUMMYFUNCTION("""COMPUTED_VALUE"""),43847.66666666667)</f>
        <v>43847.66667</v>
      </c>
      <c r="AD551" s="9">
        <f>IFERROR(__xludf.DUMMYFUNCTION("""COMPUTED_VALUE"""),1864.72)</f>
        <v>1864.72</v>
      </c>
    </row>
    <row r="552">
      <c r="B552" s="11">
        <f>IFERROR(__xludf.DUMMYFUNCTION("""COMPUTED_VALUE"""),43851.66666666667)</f>
        <v>43851.66667</v>
      </c>
      <c r="C552" s="9">
        <f>IFERROR(__xludf.DUMMYFUNCTION("""COMPUTED_VALUE"""),106.05)</f>
        <v>106.05</v>
      </c>
      <c r="D552" s="11">
        <f>IFERROR(__xludf.DUMMYFUNCTION("""COMPUTED_VALUE"""),43851.66666666667)</f>
        <v>43851.66667</v>
      </c>
      <c r="E552" s="9">
        <f>IFERROR(__xludf.DUMMYFUNCTION("""COMPUTED_VALUE"""),109.44)</f>
        <v>109.44</v>
      </c>
      <c r="G552" s="11">
        <f>IFERROR(__xludf.DUMMYFUNCTION("""COMPUTED_VALUE"""),43851.66666666667)</f>
        <v>43851.66667</v>
      </c>
      <c r="H552" s="9">
        <f>IFERROR(__xludf.DUMMYFUNCTION("""COMPUTED_VALUE"""),1479.12)</f>
        <v>1479.12</v>
      </c>
      <c r="I552" s="11">
        <f>IFERROR(__xludf.DUMMYFUNCTION("""COMPUTED_VALUE"""),43851.66666666667)</f>
        <v>43851.66667</v>
      </c>
      <c r="J552" s="9">
        <f>IFERROR(__xludf.DUMMYFUNCTION("""COMPUTED_VALUE"""),1484.4)</f>
        <v>1484.4</v>
      </c>
      <c r="L552" s="11">
        <f>IFERROR(__xludf.DUMMYFUNCTION("""COMPUTED_VALUE"""),43851.66666666667)</f>
        <v>43851.66667</v>
      </c>
      <c r="M552" s="9">
        <f>IFERROR(__xludf.DUMMYFUNCTION("""COMPUTED_VALUE"""),79.3)</f>
        <v>79.3</v>
      </c>
      <c r="N552" s="11">
        <f>IFERROR(__xludf.DUMMYFUNCTION("""COMPUTED_VALUE"""),43851.66666666667)</f>
        <v>43851.66667</v>
      </c>
      <c r="O552" s="9">
        <f>IFERROR(__xludf.DUMMYFUNCTION("""COMPUTED_VALUE"""),79.14)</f>
        <v>79.14</v>
      </c>
      <c r="Q552" s="11">
        <f>IFERROR(__xludf.DUMMYFUNCTION("""COMPUTED_VALUE"""),43851.66666666667)</f>
        <v>43851.66667</v>
      </c>
      <c r="R552" s="9">
        <f>IFERROR(__xludf.DUMMYFUNCTION("""COMPUTED_VALUE"""),222.16)</f>
        <v>222.16</v>
      </c>
      <c r="S552" s="11">
        <f>IFERROR(__xludf.DUMMYFUNCTION("""COMPUTED_VALUE"""),43851.66666666667)</f>
        <v>43851.66667</v>
      </c>
      <c r="T552" s="9">
        <f>IFERROR(__xludf.DUMMYFUNCTION("""COMPUTED_VALUE"""),221.44)</f>
        <v>221.44</v>
      </c>
      <c r="V552" s="11">
        <f>IFERROR(__xludf.DUMMYFUNCTION("""COMPUTED_VALUE"""),43851.66666666667)</f>
        <v>43851.66667</v>
      </c>
      <c r="W552" s="9">
        <f>IFERROR(__xludf.DUMMYFUNCTION("""COMPUTED_VALUE"""),340.0)</f>
        <v>340</v>
      </c>
      <c r="X552" s="11">
        <f>IFERROR(__xludf.DUMMYFUNCTION("""COMPUTED_VALUE"""),43851.66666666667)</f>
        <v>43851.66667</v>
      </c>
      <c r="Y552" s="9">
        <f>IFERROR(__xludf.DUMMYFUNCTION("""COMPUTED_VALUE"""),338.11)</f>
        <v>338.11</v>
      </c>
      <c r="AA552" s="11">
        <f>IFERROR(__xludf.DUMMYFUNCTION("""COMPUTED_VALUE"""),43851.66666666667)</f>
        <v>43851.66667</v>
      </c>
      <c r="AB552" s="9">
        <f>IFERROR(__xludf.DUMMYFUNCTION("""COMPUTED_VALUE"""),1865.0)</f>
        <v>1865</v>
      </c>
      <c r="AC552" s="11">
        <f>IFERROR(__xludf.DUMMYFUNCTION("""COMPUTED_VALUE"""),43851.66666666667)</f>
        <v>43851.66667</v>
      </c>
      <c r="AD552" s="9">
        <f>IFERROR(__xludf.DUMMYFUNCTION("""COMPUTED_VALUE"""),1892.0)</f>
        <v>1892</v>
      </c>
    </row>
    <row r="553">
      <c r="B553" s="11">
        <f>IFERROR(__xludf.DUMMYFUNCTION("""COMPUTED_VALUE"""),43852.66666666667)</f>
        <v>43852.66667</v>
      </c>
      <c r="C553" s="9">
        <f>IFERROR(__xludf.DUMMYFUNCTION("""COMPUTED_VALUE"""),114.38)</f>
        <v>114.38</v>
      </c>
      <c r="D553" s="11">
        <f>IFERROR(__xludf.DUMMYFUNCTION("""COMPUTED_VALUE"""),43852.66666666667)</f>
        <v>43852.66667</v>
      </c>
      <c r="E553" s="9">
        <f>IFERROR(__xludf.DUMMYFUNCTION("""COMPUTED_VALUE"""),113.91)</f>
        <v>113.91</v>
      </c>
      <c r="G553" s="11">
        <f>IFERROR(__xludf.DUMMYFUNCTION("""COMPUTED_VALUE"""),43852.66666666667)</f>
        <v>43852.66667</v>
      </c>
      <c r="H553" s="9">
        <f>IFERROR(__xludf.DUMMYFUNCTION("""COMPUTED_VALUE"""),1491.0)</f>
        <v>1491</v>
      </c>
      <c r="I553" s="11">
        <f>IFERROR(__xludf.DUMMYFUNCTION("""COMPUTED_VALUE"""),43852.66666666667)</f>
        <v>43852.66667</v>
      </c>
      <c r="J553" s="9">
        <f>IFERROR(__xludf.DUMMYFUNCTION("""COMPUTED_VALUE"""),1485.95)</f>
        <v>1485.95</v>
      </c>
      <c r="L553" s="11">
        <f>IFERROR(__xludf.DUMMYFUNCTION("""COMPUTED_VALUE"""),43852.66666666667)</f>
        <v>43852.66667</v>
      </c>
      <c r="M553" s="9">
        <f>IFERROR(__xludf.DUMMYFUNCTION("""COMPUTED_VALUE"""),79.65)</f>
        <v>79.65</v>
      </c>
      <c r="N553" s="11">
        <f>IFERROR(__xludf.DUMMYFUNCTION("""COMPUTED_VALUE"""),43852.66666666667)</f>
        <v>43852.66667</v>
      </c>
      <c r="O553" s="9">
        <f>IFERROR(__xludf.DUMMYFUNCTION("""COMPUTED_VALUE"""),79.43)</f>
        <v>79.43</v>
      </c>
      <c r="Q553" s="11">
        <f>IFERROR(__xludf.DUMMYFUNCTION("""COMPUTED_VALUE"""),43852.66666666667)</f>
        <v>43852.66667</v>
      </c>
      <c r="R553" s="9">
        <f>IFERROR(__xludf.DUMMYFUNCTION("""COMPUTED_VALUE"""),222.31)</f>
        <v>222.31</v>
      </c>
      <c r="S553" s="11">
        <f>IFERROR(__xludf.DUMMYFUNCTION("""COMPUTED_VALUE"""),43852.66666666667)</f>
        <v>43852.66667</v>
      </c>
      <c r="T553" s="9">
        <f>IFERROR(__xludf.DUMMYFUNCTION("""COMPUTED_VALUE"""),221.32)</f>
        <v>221.32</v>
      </c>
      <c r="V553" s="11">
        <f>IFERROR(__xludf.DUMMYFUNCTION("""COMPUTED_VALUE"""),43852.66666666667)</f>
        <v>43852.66667</v>
      </c>
      <c r="W553" s="9">
        <f>IFERROR(__xludf.DUMMYFUNCTION("""COMPUTED_VALUE"""),332.55)</f>
        <v>332.55</v>
      </c>
      <c r="X553" s="11">
        <f>IFERROR(__xludf.DUMMYFUNCTION("""COMPUTED_VALUE"""),43852.66666666667)</f>
        <v>43852.66667</v>
      </c>
      <c r="Y553" s="9">
        <f>IFERROR(__xludf.DUMMYFUNCTION("""COMPUTED_VALUE"""),326.0)</f>
        <v>326</v>
      </c>
      <c r="AA553" s="11">
        <f>IFERROR(__xludf.DUMMYFUNCTION("""COMPUTED_VALUE"""),43852.66666666667)</f>
        <v>43852.66667</v>
      </c>
      <c r="AB553" s="9">
        <f>IFERROR(__xludf.DUMMYFUNCTION("""COMPUTED_VALUE"""),1896.09)</f>
        <v>1896.09</v>
      </c>
      <c r="AC553" s="11">
        <f>IFERROR(__xludf.DUMMYFUNCTION("""COMPUTED_VALUE"""),43852.66666666667)</f>
        <v>43852.66667</v>
      </c>
      <c r="AD553" s="9">
        <f>IFERROR(__xludf.DUMMYFUNCTION("""COMPUTED_VALUE"""),1887.46)</f>
        <v>1887.46</v>
      </c>
    </row>
    <row r="554">
      <c r="B554" s="11">
        <f>IFERROR(__xludf.DUMMYFUNCTION("""COMPUTED_VALUE"""),43853.66666666667)</f>
        <v>43853.66667</v>
      </c>
      <c r="C554" s="9">
        <f>IFERROR(__xludf.DUMMYFUNCTION("""COMPUTED_VALUE"""),112.85)</f>
        <v>112.85</v>
      </c>
      <c r="D554" s="11">
        <f>IFERROR(__xludf.DUMMYFUNCTION("""COMPUTED_VALUE"""),43853.66666666667)</f>
        <v>43853.66667</v>
      </c>
      <c r="E554" s="9">
        <f>IFERROR(__xludf.DUMMYFUNCTION("""COMPUTED_VALUE"""),114.44)</f>
        <v>114.44</v>
      </c>
      <c r="G554" s="11">
        <f>IFERROR(__xludf.DUMMYFUNCTION("""COMPUTED_VALUE"""),43853.66666666667)</f>
        <v>43853.66667</v>
      </c>
      <c r="H554" s="9">
        <f>IFERROR(__xludf.DUMMYFUNCTION("""COMPUTED_VALUE"""),1487.64)</f>
        <v>1487.64</v>
      </c>
      <c r="I554" s="11">
        <f>IFERROR(__xludf.DUMMYFUNCTION("""COMPUTED_VALUE"""),43853.66666666667)</f>
        <v>43853.66667</v>
      </c>
      <c r="J554" s="9">
        <f>IFERROR(__xludf.DUMMYFUNCTION("""COMPUTED_VALUE"""),1486.65)</f>
        <v>1486.65</v>
      </c>
      <c r="L554" s="11">
        <f>IFERROR(__xludf.DUMMYFUNCTION("""COMPUTED_VALUE"""),43853.66666666667)</f>
        <v>43853.66667</v>
      </c>
      <c r="M554" s="9">
        <f>IFERROR(__xludf.DUMMYFUNCTION("""COMPUTED_VALUE"""),79.48)</f>
        <v>79.48</v>
      </c>
      <c r="N554" s="11">
        <f>IFERROR(__xludf.DUMMYFUNCTION("""COMPUTED_VALUE"""),43853.66666666667)</f>
        <v>43853.66667</v>
      </c>
      <c r="O554" s="9">
        <f>IFERROR(__xludf.DUMMYFUNCTION("""COMPUTED_VALUE"""),79.81)</f>
        <v>79.81</v>
      </c>
      <c r="Q554" s="11">
        <f>IFERROR(__xludf.DUMMYFUNCTION("""COMPUTED_VALUE"""),43853.66666666667)</f>
        <v>43853.66667</v>
      </c>
      <c r="R554" s="9">
        <f>IFERROR(__xludf.DUMMYFUNCTION("""COMPUTED_VALUE"""),220.75)</f>
        <v>220.75</v>
      </c>
      <c r="S554" s="11">
        <f>IFERROR(__xludf.DUMMYFUNCTION("""COMPUTED_VALUE"""),43853.66666666667)</f>
        <v>43853.66667</v>
      </c>
      <c r="T554" s="9">
        <f>IFERROR(__xludf.DUMMYFUNCTION("""COMPUTED_VALUE"""),219.76)</f>
        <v>219.76</v>
      </c>
      <c r="V554" s="11">
        <f>IFERROR(__xludf.DUMMYFUNCTION("""COMPUTED_VALUE"""),43853.66666666667)</f>
        <v>43853.66667</v>
      </c>
      <c r="W554" s="9">
        <f>IFERROR(__xludf.DUMMYFUNCTION("""COMPUTED_VALUE"""),326.04)</f>
        <v>326.04</v>
      </c>
      <c r="X554" s="11">
        <f>IFERROR(__xludf.DUMMYFUNCTION("""COMPUTED_VALUE"""),43853.66666666667)</f>
        <v>43853.66667</v>
      </c>
      <c r="Y554" s="9">
        <f>IFERROR(__xludf.DUMMYFUNCTION("""COMPUTED_VALUE"""),349.6)</f>
        <v>349.6</v>
      </c>
      <c r="AA554" s="11">
        <f>IFERROR(__xludf.DUMMYFUNCTION("""COMPUTED_VALUE"""),43853.66666666667)</f>
        <v>43853.66667</v>
      </c>
      <c r="AB554" s="9">
        <f>IFERROR(__xludf.DUMMYFUNCTION("""COMPUTED_VALUE"""),1885.11)</f>
        <v>1885.11</v>
      </c>
      <c r="AC554" s="11">
        <f>IFERROR(__xludf.DUMMYFUNCTION("""COMPUTED_VALUE"""),43853.66666666667)</f>
        <v>43853.66667</v>
      </c>
      <c r="AD554" s="9">
        <f>IFERROR(__xludf.DUMMYFUNCTION("""COMPUTED_VALUE"""),1884.58)</f>
        <v>1884.58</v>
      </c>
    </row>
    <row r="555">
      <c r="B555" s="11">
        <f>IFERROR(__xludf.DUMMYFUNCTION("""COMPUTED_VALUE"""),43854.66666666667)</f>
        <v>43854.66667</v>
      </c>
      <c r="C555" s="9">
        <f>IFERROR(__xludf.DUMMYFUNCTION("""COMPUTED_VALUE"""),114.13)</f>
        <v>114.13</v>
      </c>
      <c r="D555" s="11">
        <f>IFERROR(__xludf.DUMMYFUNCTION("""COMPUTED_VALUE"""),43854.66666666667)</f>
        <v>43854.66667</v>
      </c>
      <c r="E555" s="9">
        <f>IFERROR(__xludf.DUMMYFUNCTION("""COMPUTED_VALUE"""),112.96)</f>
        <v>112.96</v>
      </c>
      <c r="G555" s="11">
        <f>IFERROR(__xludf.DUMMYFUNCTION("""COMPUTED_VALUE"""),43854.66666666667)</f>
        <v>43854.66667</v>
      </c>
      <c r="H555" s="9">
        <f>IFERROR(__xludf.DUMMYFUNCTION("""COMPUTED_VALUE"""),1493.59)</f>
        <v>1493.59</v>
      </c>
      <c r="I555" s="11">
        <f>IFERROR(__xludf.DUMMYFUNCTION("""COMPUTED_VALUE"""),43854.66666666667)</f>
        <v>43854.66667</v>
      </c>
      <c r="J555" s="9">
        <f>IFERROR(__xludf.DUMMYFUNCTION("""COMPUTED_VALUE"""),1466.71)</f>
        <v>1466.71</v>
      </c>
      <c r="L555" s="11">
        <f>IFERROR(__xludf.DUMMYFUNCTION("""COMPUTED_VALUE"""),43854.66666666667)</f>
        <v>43854.66667</v>
      </c>
      <c r="M555" s="9">
        <f>IFERROR(__xludf.DUMMYFUNCTION("""COMPUTED_VALUE"""),80.06)</f>
        <v>80.06</v>
      </c>
      <c r="N555" s="11">
        <f>IFERROR(__xludf.DUMMYFUNCTION("""COMPUTED_VALUE"""),43854.66666666667)</f>
        <v>43854.66667</v>
      </c>
      <c r="O555" s="9">
        <f>IFERROR(__xludf.DUMMYFUNCTION("""COMPUTED_VALUE"""),79.58)</f>
        <v>79.58</v>
      </c>
      <c r="Q555" s="11">
        <f>IFERROR(__xludf.DUMMYFUNCTION("""COMPUTED_VALUE"""),43854.66666666667)</f>
        <v>43854.66667</v>
      </c>
      <c r="R555" s="9">
        <f>IFERROR(__xludf.DUMMYFUNCTION("""COMPUTED_VALUE"""),220.8)</f>
        <v>220.8</v>
      </c>
      <c r="S555" s="11">
        <f>IFERROR(__xludf.DUMMYFUNCTION("""COMPUTED_VALUE"""),43854.66666666667)</f>
        <v>43854.66667</v>
      </c>
      <c r="T555" s="9">
        <f>IFERROR(__xludf.DUMMYFUNCTION("""COMPUTED_VALUE"""),217.94)</f>
        <v>217.94</v>
      </c>
      <c r="V555" s="11">
        <f>IFERROR(__xludf.DUMMYFUNCTION("""COMPUTED_VALUE"""),43854.66666666667)</f>
        <v>43854.66667</v>
      </c>
      <c r="W555" s="9">
        <f>IFERROR(__xludf.DUMMYFUNCTION("""COMPUTED_VALUE"""),348.46)</f>
        <v>348.46</v>
      </c>
      <c r="X555" s="11">
        <f>IFERROR(__xludf.DUMMYFUNCTION("""COMPUTED_VALUE"""),43854.66666666667)</f>
        <v>43854.66667</v>
      </c>
      <c r="Y555" s="9">
        <f>IFERROR(__xludf.DUMMYFUNCTION("""COMPUTED_VALUE"""),353.16)</f>
        <v>353.16</v>
      </c>
      <c r="AA555" s="11">
        <f>IFERROR(__xludf.DUMMYFUNCTION("""COMPUTED_VALUE"""),43854.66666666667)</f>
        <v>43854.66667</v>
      </c>
      <c r="AB555" s="9">
        <f>IFERROR(__xludf.DUMMYFUNCTION("""COMPUTED_VALUE"""),1891.37)</f>
        <v>1891.37</v>
      </c>
      <c r="AC555" s="11">
        <f>IFERROR(__xludf.DUMMYFUNCTION("""COMPUTED_VALUE"""),43854.66666666667)</f>
        <v>43854.66667</v>
      </c>
      <c r="AD555" s="9">
        <f>IFERROR(__xludf.DUMMYFUNCTION("""COMPUTED_VALUE"""),1861.64)</f>
        <v>1861.64</v>
      </c>
    </row>
    <row r="556">
      <c r="B556" s="11">
        <f>IFERROR(__xludf.DUMMYFUNCTION("""COMPUTED_VALUE"""),43857.66666666667)</f>
        <v>43857.66667</v>
      </c>
      <c r="C556" s="9">
        <f>IFERROR(__xludf.DUMMYFUNCTION("""COMPUTED_VALUE"""),108.4)</f>
        <v>108.4</v>
      </c>
      <c r="D556" s="11">
        <f>IFERROR(__xludf.DUMMYFUNCTION("""COMPUTED_VALUE"""),43857.66666666667)</f>
        <v>43857.66667</v>
      </c>
      <c r="E556" s="9">
        <f>IFERROR(__xludf.DUMMYFUNCTION("""COMPUTED_VALUE"""),111.6)</f>
        <v>111.6</v>
      </c>
      <c r="G556" s="11">
        <f>IFERROR(__xludf.DUMMYFUNCTION("""COMPUTED_VALUE"""),43857.66666666667)</f>
        <v>43857.66667</v>
      </c>
      <c r="H556" s="9">
        <f>IFERROR(__xludf.DUMMYFUNCTION("""COMPUTED_VALUE"""),1431.0)</f>
        <v>1431</v>
      </c>
      <c r="I556" s="11">
        <f>IFERROR(__xludf.DUMMYFUNCTION("""COMPUTED_VALUE"""),43857.66666666667)</f>
        <v>43857.66667</v>
      </c>
      <c r="J556" s="9">
        <f>IFERROR(__xludf.DUMMYFUNCTION("""COMPUTED_VALUE"""),1433.9)</f>
        <v>1433.9</v>
      </c>
      <c r="L556" s="11">
        <f>IFERROR(__xludf.DUMMYFUNCTION("""COMPUTED_VALUE"""),43857.66666666667)</f>
        <v>43857.66667</v>
      </c>
      <c r="M556" s="9">
        <f>IFERROR(__xludf.DUMMYFUNCTION("""COMPUTED_VALUE"""),77.52)</f>
        <v>77.52</v>
      </c>
      <c r="N556" s="11">
        <f>IFERROR(__xludf.DUMMYFUNCTION("""COMPUTED_VALUE"""),43857.66666666667)</f>
        <v>43857.66667</v>
      </c>
      <c r="O556" s="9">
        <f>IFERROR(__xludf.DUMMYFUNCTION("""COMPUTED_VALUE"""),77.24)</f>
        <v>77.24</v>
      </c>
      <c r="Q556" s="11">
        <f>IFERROR(__xludf.DUMMYFUNCTION("""COMPUTED_VALUE"""),43857.66666666667)</f>
        <v>43857.66667</v>
      </c>
      <c r="R556" s="9">
        <f>IFERROR(__xludf.DUMMYFUNCTION("""COMPUTED_VALUE"""),213.1)</f>
        <v>213.1</v>
      </c>
      <c r="S556" s="11">
        <f>IFERROR(__xludf.DUMMYFUNCTION("""COMPUTED_VALUE"""),43857.66666666667)</f>
        <v>43857.66667</v>
      </c>
      <c r="T556" s="9">
        <f>IFERROR(__xludf.DUMMYFUNCTION("""COMPUTED_VALUE"""),214.87)</f>
        <v>214.87</v>
      </c>
      <c r="V556" s="11">
        <f>IFERROR(__xludf.DUMMYFUNCTION("""COMPUTED_VALUE"""),43857.66666666667)</f>
        <v>43857.66667</v>
      </c>
      <c r="W556" s="9">
        <f>IFERROR(__xludf.DUMMYFUNCTION("""COMPUTED_VALUE"""),345.95)</f>
        <v>345.95</v>
      </c>
      <c r="X556" s="11">
        <f>IFERROR(__xludf.DUMMYFUNCTION("""COMPUTED_VALUE"""),43857.66666666667)</f>
        <v>43857.66667</v>
      </c>
      <c r="Y556" s="9">
        <f>IFERROR(__xludf.DUMMYFUNCTION("""COMPUTED_VALUE"""),342.88)</f>
        <v>342.88</v>
      </c>
      <c r="AA556" s="11">
        <f>IFERROR(__xludf.DUMMYFUNCTION("""COMPUTED_VALUE"""),43857.66666666667)</f>
        <v>43857.66667</v>
      </c>
      <c r="AB556" s="9">
        <f>IFERROR(__xludf.DUMMYFUNCTION("""COMPUTED_VALUE"""),1820.0)</f>
        <v>1820</v>
      </c>
      <c r="AC556" s="11">
        <f>IFERROR(__xludf.DUMMYFUNCTION("""COMPUTED_VALUE"""),43857.66666666667)</f>
        <v>43857.66667</v>
      </c>
      <c r="AD556" s="9">
        <f>IFERROR(__xludf.DUMMYFUNCTION("""COMPUTED_VALUE"""),1828.34)</f>
        <v>1828.34</v>
      </c>
    </row>
    <row r="557">
      <c r="B557" s="11">
        <f>IFERROR(__xludf.DUMMYFUNCTION("""COMPUTED_VALUE"""),43858.66666666667)</f>
        <v>43858.66667</v>
      </c>
      <c r="C557" s="9">
        <f>IFERROR(__xludf.DUMMYFUNCTION("""COMPUTED_VALUE"""),113.7)</f>
        <v>113.7</v>
      </c>
      <c r="D557" s="11">
        <f>IFERROR(__xludf.DUMMYFUNCTION("""COMPUTED_VALUE"""),43858.66666666667)</f>
        <v>43858.66667</v>
      </c>
      <c r="E557" s="9">
        <f>IFERROR(__xludf.DUMMYFUNCTION("""COMPUTED_VALUE"""),113.38)</f>
        <v>113.38</v>
      </c>
      <c r="G557" s="11">
        <f>IFERROR(__xludf.DUMMYFUNCTION("""COMPUTED_VALUE"""),43858.66666666667)</f>
        <v>43858.66667</v>
      </c>
      <c r="H557" s="9">
        <f>IFERROR(__xludf.DUMMYFUNCTION("""COMPUTED_VALUE"""),1443.0)</f>
        <v>1443</v>
      </c>
      <c r="I557" s="11">
        <f>IFERROR(__xludf.DUMMYFUNCTION("""COMPUTED_VALUE"""),43858.66666666667)</f>
        <v>43858.66667</v>
      </c>
      <c r="J557" s="9">
        <f>IFERROR(__xludf.DUMMYFUNCTION("""COMPUTED_VALUE"""),1452.56)</f>
        <v>1452.56</v>
      </c>
      <c r="L557" s="11">
        <f>IFERROR(__xludf.DUMMYFUNCTION("""COMPUTED_VALUE"""),43858.66666666667)</f>
        <v>43858.66667</v>
      </c>
      <c r="M557" s="9">
        <f>IFERROR(__xludf.DUMMYFUNCTION("""COMPUTED_VALUE"""),78.15)</f>
        <v>78.15</v>
      </c>
      <c r="N557" s="11">
        <f>IFERROR(__xludf.DUMMYFUNCTION("""COMPUTED_VALUE"""),43858.66666666667)</f>
        <v>43858.66667</v>
      </c>
      <c r="O557" s="9">
        <f>IFERROR(__xludf.DUMMYFUNCTION("""COMPUTED_VALUE"""),79.42)</f>
        <v>79.42</v>
      </c>
      <c r="Q557" s="11">
        <f>IFERROR(__xludf.DUMMYFUNCTION("""COMPUTED_VALUE"""),43858.66666666667)</f>
        <v>43858.66667</v>
      </c>
      <c r="R557" s="9">
        <f>IFERROR(__xludf.DUMMYFUNCTION("""COMPUTED_VALUE"""),216.14)</f>
        <v>216.14</v>
      </c>
      <c r="S557" s="11">
        <f>IFERROR(__xludf.DUMMYFUNCTION("""COMPUTED_VALUE"""),43858.66666666667)</f>
        <v>43858.66667</v>
      </c>
      <c r="T557" s="9">
        <f>IFERROR(__xludf.DUMMYFUNCTION("""COMPUTED_VALUE"""),217.79)</f>
        <v>217.79</v>
      </c>
      <c r="V557" s="11">
        <f>IFERROR(__xludf.DUMMYFUNCTION("""COMPUTED_VALUE"""),43858.66666666667)</f>
        <v>43858.66667</v>
      </c>
      <c r="W557" s="9">
        <f>IFERROR(__xludf.DUMMYFUNCTION("""COMPUTED_VALUE"""),345.88)</f>
        <v>345.88</v>
      </c>
      <c r="X557" s="11">
        <f>IFERROR(__xludf.DUMMYFUNCTION("""COMPUTED_VALUE"""),43858.66666666667)</f>
        <v>43858.66667</v>
      </c>
      <c r="Y557" s="9">
        <f>IFERROR(__xludf.DUMMYFUNCTION("""COMPUTED_VALUE"""),348.52)</f>
        <v>348.52</v>
      </c>
      <c r="AA557" s="11">
        <f>IFERROR(__xludf.DUMMYFUNCTION("""COMPUTED_VALUE"""),43858.66666666667)</f>
        <v>43858.66667</v>
      </c>
      <c r="AB557" s="9">
        <f>IFERROR(__xludf.DUMMYFUNCTION("""COMPUTED_VALUE"""),1840.5)</f>
        <v>1840.5</v>
      </c>
      <c r="AC557" s="11">
        <f>IFERROR(__xludf.DUMMYFUNCTION("""COMPUTED_VALUE"""),43858.66666666667)</f>
        <v>43858.66667</v>
      </c>
      <c r="AD557" s="9">
        <f>IFERROR(__xludf.DUMMYFUNCTION("""COMPUTED_VALUE"""),1853.25)</f>
        <v>1853.25</v>
      </c>
    </row>
    <row r="558">
      <c r="B558" s="11">
        <f>IFERROR(__xludf.DUMMYFUNCTION("""COMPUTED_VALUE"""),43859.66666666667)</f>
        <v>43859.66667</v>
      </c>
      <c r="C558" s="9">
        <f>IFERROR(__xludf.DUMMYFUNCTION("""COMPUTED_VALUE"""),115.14)</f>
        <v>115.14</v>
      </c>
      <c r="D558" s="11">
        <f>IFERROR(__xludf.DUMMYFUNCTION("""COMPUTED_VALUE"""),43859.66666666667)</f>
        <v>43859.66667</v>
      </c>
      <c r="E558" s="9">
        <f>IFERROR(__xludf.DUMMYFUNCTION("""COMPUTED_VALUE"""),116.2)</f>
        <v>116.2</v>
      </c>
      <c r="G558" s="11">
        <f>IFERROR(__xludf.DUMMYFUNCTION("""COMPUTED_VALUE"""),43859.66666666667)</f>
        <v>43859.66667</v>
      </c>
      <c r="H558" s="9">
        <f>IFERROR(__xludf.DUMMYFUNCTION("""COMPUTED_VALUE"""),1458.8)</f>
        <v>1458.8</v>
      </c>
      <c r="I558" s="11">
        <f>IFERROR(__xludf.DUMMYFUNCTION("""COMPUTED_VALUE"""),43859.66666666667)</f>
        <v>43859.66667</v>
      </c>
      <c r="J558" s="9">
        <f>IFERROR(__xludf.DUMMYFUNCTION("""COMPUTED_VALUE"""),1458.63)</f>
        <v>1458.63</v>
      </c>
      <c r="L558" s="11">
        <f>IFERROR(__xludf.DUMMYFUNCTION("""COMPUTED_VALUE"""),43859.66666666667)</f>
        <v>43859.66667</v>
      </c>
      <c r="M558" s="9">
        <f>IFERROR(__xludf.DUMMYFUNCTION("""COMPUTED_VALUE"""),81.11)</f>
        <v>81.11</v>
      </c>
      <c r="N558" s="11">
        <f>IFERROR(__xludf.DUMMYFUNCTION("""COMPUTED_VALUE"""),43859.66666666667)</f>
        <v>43859.66667</v>
      </c>
      <c r="O558" s="9">
        <f>IFERROR(__xludf.DUMMYFUNCTION("""COMPUTED_VALUE"""),81.08)</f>
        <v>81.08</v>
      </c>
      <c r="Q558" s="11">
        <f>IFERROR(__xludf.DUMMYFUNCTION("""COMPUTED_VALUE"""),43859.66666666667)</f>
        <v>43859.66667</v>
      </c>
      <c r="R558" s="9">
        <f>IFERROR(__xludf.DUMMYFUNCTION("""COMPUTED_VALUE"""),221.44)</f>
        <v>221.44</v>
      </c>
      <c r="S558" s="11">
        <f>IFERROR(__xludf.DUMMYFUNCTION("""COMPUTED_VALUE"""),43859.66666666667)</f>
        <v>43859.66667</v>
      </c>
      <c r="T558" s="9">
        <f>IFERROR(__xludf.DUMMYFUNCTION("""COMPUTED_VALUE"""),223.23)</f>
        <v>223.23</v>
      </c>
      <c r="V558" s="11">
        <f>IFERROR(__xludf.DUMMYFUNCTION("""COMPUTED_VALUE"""),43859.66666666667)</f>
        <v>43859.66667</v>
      </c>
      <c r="W558" s="9">
        <f>IFERROR(__xludf.DUMMYFUNCTION("""COMPUTED_VALUE"""),349.0)</f>
        <v>349</v>
      </c>
      <c r="X558" s="11">
        <f>IFERROR(__xludf.DUMMYFUNCTION("""COMPUTED_VALUE"""),43859.66666666667)</f>
        <v>43859.66667</v>
      </c>
      <c r="Y558" s="9">
        <f>IFERROR(__xludf.DUMMYFUNCTION("""COMPUTED_VALUE"""),343.16)</f>
        <v>343.16</v>
      </c>
      <c r="AA558" s="11">
        <f>IFERROR(__xludf.DUMMYFUNCTION("""COMPUTED_VALUE"""),43859.66666666667)</f>
        <v>43859.66667</v>
      </c>
      <c r="AB558" s="9">
        <f>IFERROR(__xludf.DUMMYFUNCTION("""COMPUTED_VALUE"""),1864.0)</f>
        <v>1864</v>
      </c>
      <c r="AC558" s="11">
        <f>IFERROR(__xludf.DUMMYFUNCTION("""COMPUTED_VALUE"""),43859.66666666667)</f>
        <v>43859.66667</v>
      </c>
      <c r="AD558" s="9">
        <f>IFERROR(__xludf.DUMMYFUNCTION("""COMPUTED_VALUE"""),1858.0)</f>
        <v>1858</v>
      </c>
    </row>
    <row r="559">
      <c r="B559" s="11">
        <f>IFERROR(__xludf.DUMMYFUNCTION("""COMPUTED_VALUE"""),43860.66666666667)</f>
        <v>43860.66667</v>
      </c>
      <c r="C559" s="9">
        <f>IFERROR(__xludf.DUMMYFUNCTION("""COMPUTED_VALUE"""),126.48)</f>
        <v>126.48</v>
      </c>
      <c r="D559" s="11">
        <f>IFERROR(__xludf.DUMMYFUNCTION("""COMPUTED_VALUE"""),43860.66666666667)</f>
        <v>43860.66667</v>
      </c>
      <c r="E559" s="9">
        <f>IFERROR(__xludf.DUMMYFUNCTION("""COMPUTED_VALUE"""),128.16)</f>
        <v>128.16</v>
      </c>
      <c r="G559" s="11">
        <f>IFERROR(__xludf.DUMMYFUNCTION("""COMPUTED_VALUE"""),43860.66666666667)</f>
        <v>43860.66667</v>
      </c>
      <c r="H559" s="9">
        <f>IFERROR(__xludf.DUMMYFUNCTION("""COMPUTED_VALUE"""),1439.96)</f>
        <v>1439.96</v>
      </c>
      <c r="I559" s="11">
        <f>IFERROR(__xludf.DUMMYFUNCTION("""COMPUTED_VALUE"""),43860.66666666667)</f>
        <v>43860.66667</v>
      </c>
      <c r="J559" s="9">
        <f>IFERROR(__xludf.DUMMYFUNCTION("""COMPUTED_VALUE"""),1455.84)</f>
        <v>1455.84</v>
      </c>
      <c r="L559" s="11">
        <f>IFERROR(__xludf.DUMMYFUNCTION("""COMPUTED_VALUE"""),43860.66666666667)</f>
        <v>43860.66667</v>
      </c>
      <c r="M559" s="9">
        <f>IFERROR(__xludf.DUMMYFUNCTION("""COMPUTED_VALUE"""),80.14)</f>
        <v>80.14</v>
      </c>
      <c r="N559" s="11">
        <f>IFERROR(__xludf.DUMMYFUNCTION("""COMPUTED_VALUE"""),43860.66666666667)</f>
        <v>43860.66667</v>
      </c>
      <c r="O559" s="9">
        <f>IFERROR(__xludf.DUMMYFUNCTION("""COMPUTED_VALUE"""),80.97)</f>
        <v>80.97</v>
      </c>
      <c r="Q559" s="11">
        <f>IFERROR(__xludf.DUMMYFUNCTION("""COMPUTED_VALUE"""),43860.66666666667)</f>
        <v>43860.66667</v>
      </c>
      <c r="R559" s="9">
        <f>IFERROR(__xludf.DUMMYFUNCTION("""COMPUTED_VALUE"""),206.53)</f>
        <v>206.53</v>
      </c>
      <c r="S559" s="11">
        <f>IFERROR(__xludf.DUMMYFUNCTION("""COMPUTED_VALUE"""),43860.66666666667)</f>
        <v>43860.66667</v>
      </c>
      <c r="T559" s="9">
        <f>IFERROR(__xludf.DUMMYFUNCTION("""COMPUTED_VALUE"""),209.53)</f>
        <v>209.53</v>
      </c>
      <c r="V559" s="11">
        <f>IFERROR(__xludf.DUMMYFUNCTION("""COMPUTED_VALUE"""),43860.66666666667)</f>
        <v>43860.66667</v>
      </c>
      <c r="W559" s="9">
        <f>IFERROR(__xludf.DUMMYFUNCTION("""COMPUTED_VALUE"""),341.1)</f>
        <v>341.1</v>
      </c>
      <c r="X559" s="11">
        <f>IFERROR(__xludf.DUMMYFUNCTION("""COMPUTED_VALUE"""),43860.66666666667)</f>
        <v>43860.66667</v>
      </c>
      <c r="Y559" s="9">
        <f>IFERROR(__xludf.DUMMYFUNCTION("""COMPUTED_VALUE"""),347.74)</f>
        <v>347.74</v>
      </c>
      <c r="AA559" s="11">
        <f>IFERROR(__xludf.DUMMYFUNCTION("""COMPUTED_VALUE"""),43860.66666666667)</f>
        <v>43860.66667</v>
      </c>
      <c r="AB559" s="9">
        <f>IFERROR(__xludf.DUMMYFUNCTION("""COMPUTED_VALUE"""),1858.0)</f>
        <v>1858</v>
      </c>
      <c r="AC559" s="11">
        <f>IFERROR(__xludf.DUMMYFUNCTION("""COMPUTED_VALUE"""),43860.66666666667)</f>
        <v>43860.66667</v>
      </c>
      <c r="AD559" s="9">
        <f>IFERROR(__xludf.DUMMYFUNCTION("""COMPUTED_VALUE"""),1870.68)</f>
        <v>1870.68</v>
      </c>
    </row>
    <row r="560">
      <c r="B560" s="11">
        <f>IFERROR(__xludf.DUMMYFUNCTION("""COMPUTED_VALUE"""),43861.66666666667)</f>
        <v>43861.66667</v>
      </c>
      <c r="C560" s="9">
        <f>IFERROR(__xludf.DUMMYFUNCTION("""COMPUTED_VALUE"""),128.0)</f>
        <v>128</v>
      </c>
      <c r="D560" s="11">
        <f>IFERROR(__xludf.DUMMYFUNCTION("""COMPUTED_VALUE"""),43861.66666666667)</f>
        <v>43861.66667</v>
      </c>
      <c r="E560" s="9">
        <f>IFERROR(__xludf.DUMMYFUNCTION("""COMPUTED_VALUE"""),130.11)</f>
        <v>130.11</v>
      </c>
      <c r="G560" s="11">
        <f>IFERROR(__xludf.DUMMYFUNCTION("""COMPUTED_VALUE"""),43861.66666666667)</f>
        <v>43861.66667</v>
      </c>
      <c r="H560" s="9">
        <f>IFERROR(__xludf.DUMMYFUNCTION("""COMPUTED_VALUE"""),1468.9)</f>
        <v>1468.9</v>
      </c>
      <c r="I560" s="11">
        <f>IFERROR(__xludf.DUMMYFUNCTION("""COMPUTED_VALUE"""),43861.66666666667)</f>
        <v>43861.66667</v>
      </c>
      <c r="J560" s="9">
        <f>IFERROR(__xludf.DUMMYFUNCTION("""COMPUTED_VALUE"""),1434.23)</f>
        <v>1434.23</v>
      </c>
      <c r="L560" s="11">
        <f>IFERROR(__xludf.DUMMYFUNCTION("""COMPUTED_VALUE"""),43861.66666666667)</f>
        <v>43861.66667</v>
      </c>
      <c r="M560" s="9">
        <f>IFERROR(__xludf.DUMMYFUNCTION("""COMPUTED_VALUE"""),80.23)</f>
        <v>80.23</v>
      </c>
      <c r="N560" s="11">
        <f>IFERROR(__xludf.DUMMYFUNCTION("""COMPUTED_VALUE"""),43861.66666666667)</f>
        <v>43861.66667</v>
      </c>
      <c r="O560" s="9">
        <f>IFERROR(__xludf.DUMMYFUNCTION("""COMPUTED_VALUE"""),77.38)</f>
        <v>77.38</v>
      </c>
      <c r="Q560" s="11">
        <f>IFERROR(__xludf.DUMMYFUNCTION("""COMPUTED_VALUE"""),43861.66666666667)</f>
        <v>43861.66667</v>
      </c>
      <c r="R560" s="9">
        <f>IFERROR(__xludf.DUMMYFUNCTION("""COMPUTED_VALUE"""),208.43)</f>
        <v>208.43</v>
      </c>
      <c r="S560" s="11">
        <f>IFERROR(__xludf.DUMMYFUNCTION("""COMPUTED_VALUE"""),43861.66666666667)</f>
        <v>43861.66667</v>
      </c>
      <c r="T560" s="9">
        <f>IFERROR(__xludf.DUMMYFUNCTION("""COMPUTED_VALUE"""),201.91)</f>
        <v>201.91</v>
      </c>
      <c r="V560" s="11">
        <f>IFERROR(__xludf.DUMMYFUNCTION("""COMPUTED_VALUE"""),43861.66666666667)</f>
        <v>43861.66667</v>
      </c>
      <c r="W560" s="9">
        <f>IFERROR(__xludf.DUMMYFUNCTION("""COMPUTED_VALUE"""),347.39)</f>
        <v>347.39</v>
      </c>
      <c r="X560" s="11">
        <f>IFERROR(__xludf.DUMMYFUNCTION("""COMPUTED_VALUE"""),43861.66666666667)</f>
        <v>43861.66667</v>
      </c>
      <c r="Y560" s="9">
        <f>IFERROR(__xludf.DUMMYFUNCTION("""COMPUTED_VALUE"""),345.09)</f>
        <v>345.09</v>
      </c>
      <c r="AA560" s="11">
        <f>IFERROR(__xludf.DUMMYFUNCTION("""COMPUTED_VALUE"""),43861.66666666667)</f>
        <v>43861.66667</v>
      </c>
      <c r="AB560" s="9">
        <f>IFERROR(__xludf.DUMMYFUNCTION("""COMPUTED_VALUE"""),2051.47)</f>
        <v>2051.47</v>
      </c>
      <c r="AC560" s="11">
        <f>IFERROR(__xludf.DUMMYFUNCTION("""COMPUTED_VALUE"""),43861.66666666667)</f>
        <v>43861.66667</v>
      </c>
      <c r="AD560" s="9">
        <f>IFERROR(__xludf.DUMMYFUNCTION("""COMPUTED_VALUE"""),2008.72)</f>
        <v>2008.72</v>
      </c>
    </row>
    <row r="561">
      <c r="B561" s="11">
        <f>IFERROR(__xludf.DUMMYFUNCTION("""COMPUTED_VALUE"""),43864.66666666667)</f>
        <v>43864.66667</v>
      </c>
      <c r="C561" s="9">
        <f>IFERROR(__xludf.DUMMYFUNCTION("""COMPUTED_VALUE"""),134.74)</f>
        <v>134.74</v>
      </c>
      <c r="D561" s="11">
        <f>IFERROR(__xludf.DUMMYFUNCTION("""COMPUTED_VALUE"""),43864.66666666667)</f>
        <v>43864.66667</v>
      </c>
      <c r="E561" s="9">
        <f>IFERROR(__xludf.DUMMYFUNCTION("""COMPUTED_VALUE"""),156.0)</f>
        <v>156</v>
      </c>
      <c r="G561" s="11">
        <f>IFERROR(__xludf.DUMMYFUNCTION("""COMPUTED_VALUE"""),43864.66666666667)</f>
        <v>43864.66667</v>
      </c>
      <c r="H561" s="9">
        <f>IFERROR(__xludf.DUMMYFUNCTION("""COMPUTED_VALUE"""),1462.0)</f>
        <v>1462</v>
      </c>
      <c r="I561" s="11">
        <f>IFERROR(__xludf.DUMMYFUNCTION("""COMPUTED_VALUE"""),43864.66666666667)</f>
        <v>43864.66667</v>
      </c>
      <c r="J561" s="9">
        <f>IFERROR(__xludf.DUMMYFUNCTION("""COMPUTED_VALUE"""),1485.94)</f>
        <v>1485.94</v>
      </c>
      <c r="L561" s="11">
        <f>IFERROR(__xludf.DUMMYFUNCTION("""COMPUTED_VALUE"""),43864.66666666667)</f>
        <v>43864.66667</v>
      </c>
      <c r="M561" s="9">
        <f>IFERROR(__xludf.DUMMYFUNCTION("""COMPUTED_VALUE"""),76.08)</f>
        <v>76.08</v>
      </c>
      <c r="N561" s="11">
        <f>IFERROR(__xludf.DUMMYFUNCTION("""COMPUTED_VALUE"""),43864.66666666667)</f>
        <v>43864.66667</v>
      </c>
      <c r="O561" s="9">
        <f>IFERROR(__xludf.DUMMYFUNCTION("""COMPUTED_VALUE"""),77.17)</f>
        <v>77.17</v>
      </c>
      <c r="Q561" s="11">
        <f>IFERROR(__xludf.DUMMYFUNCTION("""COMPUTED_VALUE"""),43864.66666666667)</f>
        <v>43864.66667</v>
      </c>
      <c r="R561" s="9">
        <f>IFERROR(__xludf.DUMMYFUNCTION("""COMPUTED_VALUE"""),203.44)</f>
        <v>203.44</v>
      </c>
      <c r="S561" s="11">
        <f>IFERROR(__xludf.DUMMYFUNCTION("""COMPUTED_VALUE"""),43864.66666666667)</f>
        <v>43864.66667</v>
      </c>
      <c r="T561" s="9">
        <f>IFERROR(__xludf.DUMMYFUNCTION("""COMPUTED_VALUE"""),204.19)</f>
        <v>204.19</v>
      </c>
      <c r="V561" s="11">
        <f>IFERROR(__xludf.DUMMYFUNCTION("""COMPUTED_VALUE"""),43864.66666666667)</f>
        <v>43864.66667</v>
      </c>
      <c r="W561" s="9">
        <f>IFERROR(__xludf.DUMMYFUNCTION("""COMPUTED_VALUE"""),347.24)</f>
        <v>347.24</v>
      </c>
      <c r="X561" s="11">
        <f>IFERROR(__xludf.DUMMYFUNCTION("""COMPUTED_VALUE"""),43864.66666666667)</f>
        <v>43864.66667</v>
      </c>
      <c r="Y561" s="9">
        <f>IFERROR(__xludf.DUMMYFUNCTION("""COMPUTED_VALUE"""),358.0)</f>
        <v>358</v>
      </c>
      <c r="AA561" s="11">
        <f>IFERROR(__xludf.DUMMYFUNCTION("""COMPUTED_VALUE"""),43864.66666666667)</f>
        <v>43864.66667</v>
      </c>
      <c r="AB561" s="9">
        <f>IFERROR(__xludf.DUMMYFUNCTION("""COMPUTED_VALUE"""),2010.6)</f>
        <v>2010.6</v>
      </c>
      <c r="AC561" s="11">
        <f>IFERROR(__xludf.DUMMYFUNCTION("""COMPUTED_VALUE"""),43864.66666666667)</f>
        <v>43864.66667</v>
      </c>
      <c r="AD561" s="9">
        <f>IFERROR(__xludf.DUMMYFUNCTION("""COMPUTED_VALUE"""),2004.2)</f>
        <v>2004.2</v>
      </c>
    </row>
    <row r="562">
      <c r="B562" s="11">
        <f>IFERROR(__xludf.DUMMYFUNCTION("""COMPUTED_VALUE"""),43865.66666666667)</f>
        <v>43865.66667</v>
      </c>
      <c r="C562" s="9">
        <f>IFERROR(__xludf.DUMMYFUNCTION("""COMPUTED_VALUE"""),176.59)</f>
        <v>176.59</v>
      </c>
      <c r="D562" s="11">
        <f>IFERROR(__xludf.DUMMYFUNCTION("""COMPUTED_VALUE"""),43865.66666666667)</f>
        <v>43865.66667</v>
      </c>
      <c r="E562" s="9">
        <f>IFERROR(__xludf.DUMMYFUNCTION("""COMPUTED_VALUE"""),177.41)</f>
        <v>177.41</v>
      </c>
      <c r="G562" s="11">
        <f>IFERROR(__xludf.DUMMYFUNCTION("""COMPUTED_VALUE"""),43865.66666666667)</f>
        <v>43865.66667</v>
      </c>
      <c r="H562" s="9">
        <f>IFERROR(__xludf.DUMMYFUNCTION("""COMPUTED_VALUE"""),1457.07)</f>
        <v>1457.07</v>
      </c>
      <c r="I562" s="11">
        <f>IFERROR(__xludf.DUMMYFUNCTION("""COMPUTED_VALUE"""),43865.66666666667)</f>
        <v>43865.66667</v>
      </c>
      <c r="J562" s="9">
        <f>IFERROR(__xludf.DUMMYFUNCTION("""COMPUTED_VALUE"""),1447.07)</f>
        <v>1447.07</v>
      </c>
      <c r="L562" s="11">
        <f>IFERROR(__xludf.DUMMYFUNCTION("""COMPUTED_VALUE"""),43865.66666666667)</f>
        <v>43865.66667</v>
      </c>
      <c r="M562" s="9">
        <f>IFERROR(__xludf.DUMMYFUNCTION("""COMPUTED_VALUE"""),78.83)</f>
        <v>78.83</v>
      </c>
      <c r="N562" s="11">
        <f>IFERROR(__xludf.DUMMYFUNCTION("""COMPUTED_VALUE"""),43865.66666666667)</f>
        <v>43865.66667</v>
      </c>
      <c r="O562" s="9">
        <f>IFERROR(__xludf.DUMMYFUNCTION("""COMPUTED_VALUE"""),79.71)</f>
        <v>79.71</v>
      </c>
      <c r="Q562" s="11">
        <f>IFERROR(__xludf.DUMMYFUNCTION("""COMPUTED_VALUE"""),43865.66666666667)</f>
        <v>43865.66667</v>
      </c>
      <c r="R562" s="9">
        <f>IFERROR(__xludf.DUMMYFUNCTION("""COMPUTED_VALUE"""),206.62)</f>
        <v>206.62</v>
      </c>
      <c r="S562" s="11">
        <f>IFERROR(__xludf.DUMMYFUNCTION("""COMPUTED_VALUE"""),43865.66666666667)</f>
        <v>43865.66667</v>
      </c>
      <c r="T562" s="9">
        <f>IFERROR(__xludf.DUMMYFUNCTION("""COMPUTED_VALUE"""),209.83)</f>
        <v>209.83</v>
      </c>
      <c r="V562" s="11">
        <f>IFERROR(__xludf.DUMMYFUNCTION("""COMPUTED_VALUE"""),43865.66666666667)</f>
        <v>43865.66667</v>
      </c>
      <c r="W562" s="9">
        <f>IFERROR(__xludf.DUMMYFUNCTION("""COMPUTED_VALUE"""),361.0)</f>
        <v>361</v>
      </c>
      <c r="X562" s="11">
        <f>IFERROR(__xludf.DUMMYFUNCTION("""COMPUTED_VALUE"""),43865.66666666667)</f>
        <v>43865.66667</v>
      </c>
      <c r="Y562" s="9">
        <f>IFERROR(__xludf.DUMMYFUNCTION("""COMPUTED_VALUE"""),369.01)</f>
        <v>369.01</v>
      </c>
      <c r="AA562" s="11">
        <f>IFERROR(__xludf.DUMMYFUNCTION("""COMPUTED_VALUE"""),43865.66666666667)</f>
        <v>43865.66667</v>
      </c>
      <c r="AB562" s="9">
        <f>IFERROR(__xludf.DUMMYFUNCTION("""COMPUTED_VALUE"""),2029.88)</f>
        <v>2029.88</v>
      </c>
      <c r="AC562" s="11">
        <f>IFERROR(__xludf.DUMMYFUNCTION("""COMPUTED_VALUE"""),43865.66666666667)</f>
        <v>43865.66667</v>
      </c>
      <c r="AD562" s="9">
        <f>IFERROR(__xludf.DUMMYFUNCTION("""COMPUTED_VALUE"""),2049.67)</f>
        <v>2049.67</v>
      </c>
    </row>
    <row r="563">
      <c r="B563" s="11">
        <f>IFERROR(__xludf.DUMMYFUNCTION("""COMPUTED_VALUE"""),43866.66666666667)</f>
        <v>43866.66667</v>
      </c>
      <c r="C563" s="9">
        <f>IFERROR(__xludf.DUMMYFUNCTION("""COMPUTED_VALUE"""),164.65)</f>
        <v>164.65</v>
      </c>
      <c r="D563" s="11">
        <f>IFERROR(__xludf.DUMMYFUNCTION("""COMPUTED_VALUE"""),43866.66666666667)</f>
        <v>43866.66667</v>
      </c>
      <c r="E563" s="9">
        <f>IFERROR(__xludf.DUMMYFUNCTION("""COMPUTED_VALUE"""),146.94)</f>
        <v>146.94</v>
      </c>
      <c r="G563" s="11">
        <f>IFERROR(__xludf.DUMMYFUNCTION("""COMPUTED_VALUE"""),43866.66666666667)</f>
        <v>43866.66667</v>
      </c>
      <c r="H563" s="9">
        <f>IFERROR(__xludf.DUMMYFUNCTION("""COMPUTED_VALUE"""),1462.42)</f>
        <v>1462.42</v>
      </c>
      <c r="I563" s="11">
        <f>IFERROR(__xludf.DUMMYFUNCTION("""COMPUTED_VALUE"""),43866.66666666667)</f>
        <v>43866.66667</v>
      </c>
      <c r="J563" s="9">
        <f>IFERROR(__xludf.DUMMYFUNCTION("""COMPUTED_VALUE"""),1448.23)</f>
        <v>1448.23</v>
      </c>
      <c r="L563" s="11">
        <f>IFERROR(__xludf.DUMMYFUNCTION("""COMPUTED_VALUE"""),43866.66666666667)</f>
        <v>43866.66667</v>
      </c>
      <c r="M563" s="9">
        <f>IFERROR(__xludf.DUMMYFUNCTION("""COMPUTED_VALUE"""),80.88)</f>
        <v>80.88</v>
      </c>
      <c r="N563" s="11">
        <f>IFERROR(__xludf.DUMMYFUNCTION("""COMPUTED_VALUE"""),43866.66666666667)</f>
        <v>43866.66667</v>
      </c>
      <c r="O563" s="9">
        <f>IFERROR(__xludf.DUMMYFUNCTION("""COMPUTED_VALUE"""),80.36)</f>
        <v>80.36</v>
      </c>
      <c r="Q563" s="11">
        <f>IFERROR(__xludf.DUMMYFUNCTION("""COMPUTED_VALUE"""),43866.66666666667)</f>
        <v>43866.66667</v>
      </c>
      <c r="R563" s="9">
        <f>IFERROR(__xludf.DUMMYFUNCTION("""COMPUTED_VALUE"""),212.51)</f>
        <v>212.51</v>
      </c>
      <c r="S563" s="11">
        <f>IFERROR(__xludf.DUMMYFUNCTION("""COMPUTED_VALUE"""),43866.66666666667)</f>
        <v>43866.66667</v>
      </c>
      <c r="T563" s="9">
        <f>IFERROR(__xludf.DUMMYFUNCTION("""COMPUTED_VALUE"""),210.11)</f>
        <v>210.11</v>
      </c>
      <c r="V563" s="11">
        <f>IFERROR(__xludf.DUMMYFUNCTION("""COMPUTED_VALUE"""),43866.66666666667)</f>
        <v>43866.66667</v>
      </c>
      <c r="W563" s="9">
        <f>IFERROR(__xludf.DUMMYFUNCTION("""COMPUTED_VALUE"""),375.13)</f>
        <v>375.13</v>
      </c>
      <c r="X563" s="11">
        <f>IFERROR(__xludf.DUMMYFUNCTION("""COMPUTED_VALUE"""),43866.66666666667)</f>
        <v>43866.66667</v>
      </c>
      <c r="Y563" s="9">
        <f>IFERROR(__xludf.DUMMYFUNCTION("""COMPUTED_VALUE"""),369.67)</f>
        <v>369.67</v>
      </c>
      <c r="AA563" s="11">
        <f>IFERROR(__xludf.DUMMYFUNCTION("""COMPUTED_VALUE"""),43866.66666666667)</f>
        <v>43866.66667</v>
      </c>
      <c r="AB563" s="9">
        <f>IFERROR(__xludf.DUMMYFUNCTION("""COMPUTED_VALUE"""),2071.02)</f>
        <v>2071.02</v>
      </c>
      <c r="AC563" s="11">
        <f>IFERROR(__xludf.DUMMYFUNCTION("""COMPUTED_VALUE"""),43866.66666666667)</f>
        <v>43866.66667</v>
      </c>
      <c r="AD563" s="9">
        <f>IFERROR(__xludf.DUMMYFUNCTION("""COMPUTED_VALUE"""),2039.87)</f>
        <v>2039.87</v>
      </c>
    </row>
    <row r="564">
      <c r="B564" s="11">
        <f>IFERROR(__xludf.DUMMYFUNCTION("""COMPUTED_VALUE"""),43867.66666666667)</f>
        <v>43867.66667</v>
      </c>
      <c r="C564" s="9">
        <f>IFERROR(__xludf.DUMMYFUNCTION("""COMPUTED_VALUE"""),139.98)</f>
        <v>139.98</v>
      </c>
      <c r="D564" s="11">
        <f>IFERROR(__xludf.DUMMYFUNCTION("""COMPUTED_VALUE"""),43867.66666666667)</f>
        <v>43867.66667</v>
      </c>
      <c r="E564" s="9">
        <f>IFERROR(__xludf.DUMMYFUNCTION("""COMPUTED_VALUE"""),149.79)</f>
        <v>149.79</v>
      </c>
      <c r="G564" s="11">
        <f>IFERROR(__xludf.DUMMYFUNCTION("""COMPUTED_VALUE"""),43867.66666666667)</f>
        <v>43867.66667</v>
      </c>
      <c r="H564" s="9">
        <f>IFERROR(__xludf.DUMMYFUNCTION("""COMPUTED_VALUE"""),1450.33)</f>
        <v>1450.33</v>
      </c>
      <c r="I564" s="11">
        <f>IFERROR(__xludf.DUMMYFUNCTION("""COMPUTED_VALUE"""),43867.66666666667)</f>
        <v>43867.66667</v>
      </c>
      <c r="J564" s="9">
        <f>IFERROR(__xludf.DUMMYFUNCTION("""COMPUTED_VALUE"""),1476.23)</f>
        <v>1476.23</v>
      </c>
      <c r="L564" s="11">
        <f>IFERROR(__xludf.DUMMYFUNCTION("""COMPUTED_VALUE"""),43867.66666666667)</f>
        <v>43867.66667</v>
      </c>
      <c r="M564" s="9">
        <f>IFERROR(__xludf.DUMMYFUNCTION("""COMPUTED_VALUE"""),80.64)</f>
        <v>80.64</v>
      </c>
      <c r="N564" s="11">
        <f>IFERROR(__xludf.DUMMYFUNCTION("""COMPUTED_VALUE"""),43867.66666666667)</f>
        <v>43867.66667</v>
      </c>
      <c r="O564" s="9">
        <f>IFERROR(__xludf.DUMMYFUNCTION("""COMPUTED_VALUE"""),81.3)</f>
        <v>81.3</v>
      </c>
      <c r="Q564" s="11">
        <f>IFERROR(__xludf.DUMMYFUNCTION("""COMPUTED_VALUE"""),43867.66666666667)</f>
        <v>43867.66667</v>
      </c>
      <c r="R564" s="9">
        <f>IFERROR(__xludf.DUMMYFUNCTION("""COMPUTED_VALUE"""),210.47)</f>
        <v>210.47</v>
      </c>
      <c r="S564" s="11">
        <f>IFERROR(__xludf.DUMMYFUNCTION("""COMPUTED_VALUE"""),43867.66666666667)</f>
        <v>43867.66667</v>
      </c>
      <c r="T564" s="9">
        <f>IFERROR(__xludf.DUMMYFUNCTION("""COMPUTED_VALUE"""),210.85)</f>
        <v>210.85</v>
      </c>
      <c r="V564" s="11">
        <f>IFERROR(__xludf.DUMMYFUNCTION("""COMPUTED_VALUE"""),43867.66666666667)</f>
        <v>43867.66667</v>
      </c>
      <c r="W564" s="9">
        <f>IFERROR(__xludf.DUMMYFUNCTION("""COMPUTED_VALUE"""),369.6)</f>
        <v>369.6</v>
      </c>
      <c r="X564" s="11">
        <f>IFERROR(__xludf.DUMMYFUNCTION("""COMPUTED_VALUE"""),43867.66666666667)</f>
        <v>43867.66667</v>
      </c>
      <c r="Y564" s="9">
        <f>IFERROR(__xludf.DUMMYFUNCTION("""COMPUTED_VALUE"""),366.95)</f>
        <v>366.95</v>
      </c>
      <c r="AA564" s="11">
        <f>IFERROR(__xludf.DUMMYFUNCTION("""COMPUTED_VALUE"""),43867.66666666667)</f>
        <v>43867.66667</v>
      </c>
      <c r="AB564" s="9">
        <f>IFERROR(__xludf.DUMMYFUNCTION("""COMPUTED_VALUE"""),2041.02)</f>
        <v>2041.02</v>
      </c>
      <c r="AC564" s="11">
        <f>IFERROR(__xludf.DUMMYFUNCTION("""COMPUTED_VALUE"""),43867.66666666667)</f>
        <v>43867.66667</v>
      </c>
      <c r="AD564" s="9">
        <f>IFERROR(__xludf.DUMMYFUNCTION("""COMPUTED_VALUE"""),2050.23)</f>
        <v>2050.23</v>
      </c>
    </row>
    <row r="565">
      <c r="B565" s="11">
        <f>IFERROR(__xludf.DUMMYFUNCTION("""COMPUTED_VALUE"""),43868.66666666667)</f>
        <v>43868.66667</v>
      </c>
      <c r="C565" s="9">
        <f>IFERROR(__xludf.DUMMYFUNCTION("""COMPUTED_VALUE"""),146.11)</f>
        <v>146.11</v>
      </c>
      <c r="D565" s="11">
        <f>IFERROR(__xludf.DUMMYFUNCTION("""COMPUTED_VALUE"""),43868.66666666667)</f>
        <v>43868.66667</v>
      </c>
      <c r="E565" s="9">
        <f>IFERROR(__xludf.DUMMYFUNCTION("""COMPUTED_VALUE"""),149.61)</f>
        <v>149.61</v>
      </c>
      <c r="G565" s="11">
        <f>IFERROR(__xludf.DUMMYFUNCTION("""COMPUTED_VALUE"""),43868.66666666667)</f>
        <v>43868.66667</v>
      </c>
      <c r="H565" s="9">
        <f>IFERROR(__xludf.DUMMYFUNCTION("""COMPUTED_VALUE"""),1467.3)</f>
        <v>1467.3</v>
      </c>
      <c r="I565" s="11">
        <f>IFERROR(__xludf.DUMMYFUNCTION("""COMPUTED_VALUE"""),43868.66666666667)</f>
        <v>43868.66667</v>
      </c>
      <c r="J565" s="9">
        <f>IFERROR(__xludf.DUMMYFUNCTION("""COMPUTED_VALUE"""),1479.23)</f>
        <v>1479.23</v>
      </c>
      <c r="L565" s="11">
        <f>IFERROR(__xludf.DUMMYFUNCTION("""COMPUTED_VALUE"""),43868.66666666667)</f>
        <v>43868.66667</v>
      </c>
      <c r="M565" s="9">
        <f>IFERROR(__xludf.DUMMYFUNCTION("""COMPUTED_VALUE"""),80.59)</f>
        <v>80.59</v>
      </c>
      <c r="N565" s="11">
        <f>IFERROR(__xludf.DUMMYFUNCTION("""COMPUTED_VALUE"""),43868.66666666667)</f>
        <v>43868.66667</v>
      </c>
      <c r="O565" s="9">
        <f>IFERROR(__xludf.DUMMYFUNCTION("""COMPUTED_VALUE"""),80.01)</f>
        <v>80.01</v>
      </c>
      <c r="Q565" s="11">
        <f>IFERROR(__xludf.DUMMYFUNCTION("""COMPUTED_VALUE"""),43868.66666666667)</f>
        <v>43868.66667</v>
      </c>
      <c r="R565" s="9">
        <f>IFERROR(__xludf.DUMMYFUNCTION("""COMPUTED_VALUE"""),210.3)</f>
        <v>210.3</v>
      </c>
      <c r="S565" s="11">
        <f>IFERROR(__xludf.DUMMYFUNCTION("""COMPUTED_VALUE"""),43868.66666666667)</f>
        <v>43868.66667</v>
      </c>
      <c r="T565" s="9">
        <f>IFERROR(__xludf.DUMMYFUNCTION("""COMPUTED_VALUE"""),212.33)</f>
        <v>212.33</v>
      </c>
      <c r="V565" s="11">
        <f>IFERROR(__xludf.DUMMYFUNCTION("""COMPUTED_VALUE"""),43868.66666666667)</f>
        <v>43868.66667</v>
      </c>
      <c r="W565" s="9">
        <f>IFERROR(__xludf.DUMMYFUNCTION("""COMPUTED_VALUE"""),365.04)</f>
        <v>365.04</v>
      </c>
      <c r="X565" s="11">
        <f>IFERROR(__xludf.DUMMYFUNCTION("""COMPUTED_VALUE"""),43868.66666666667)</f>
        <v>43868.66667</v>
      </c>
      <c r="Y565" s="9">
        <f>IFERROR(__xludf.DUMMYFUNCTION("""COMPUTED_VALUE"""),366.77)</f>
        <v>366.77</v>
      </c>
      <c r="AA565" s="11">
        <f>IFERROR(__xludf.DUMMYFUNCTION("""COMPUTED_VALUE"""),43868.66666666667)</f>
        <v>43868.66667</v>
      </c>
      <c r="AB565" s="9">
        <f>IFERROR(__xludf.DUMMYFUNCTION("""COMPUTED_VALUE"""),2041.99)</f>
        <v>2041.99</v>
      </c>
      <c r="AC565" s="11">
        <f>IFERROR(__xludf.DUMMYFUNCTION("""COMPUTED_VALUE"""),43868.66666666667)</f>
        <v>43868.66667</v>
      </c>
      <c r="AD565" s="9">
        <f>IFERROR(__xludf.DUMMYFUNCTION("""COMPUTED_VALUE"""),2079.28)</f>
        <v>2079.28</v>
      </c>
    </row>
    <row r="566">
      <c r="B566" s="11">
        <f>IFERROR(__xludf.DUMMYFUNCTION("""COMPUTED_VALUE"""),43871.66666666667)</f>
        <v>43871.66667</v>
      </c>
      <c r="C566" s="9">
        <f>IFERROR(__xludf.DUMMYFUNCTION("""COMPUTED_VALUE"""),160.0)</f>
        <v>160</v>
      </c>
      <c r="D566" s="11">
        <f>IFERROR(__xludf.DUMMYFUNCTION("""COMPUTED_VALUE"""),43871.66666666667)</f>
        <v>43871.66667</v>
      </c>
      <c r="E566" s="9">
        <f>IFERROR(__xludf.DUMMYFUNCTION("""COMPUTED_VALUE"""),154.26)</f>
        <v>154.26</v>
      </c>
      <c r="G566" s="11">
        <f>IFERROR(__xludf.DUMMYFUNCTION("""COMPUTED_VALUE"""),43871.66666666667)</f>
        <v>43871.66667</v>
      </c>
      <c r="H566" s="9">
        <f>IFERROR(__xludf.DUMMYFUNCTION("""COMPUTED_VALUE"""),1474.32)</f>
        <v>1474.32</v>
      </c>
      <c r="I566" s="11">
        <f>IFERROR(__xludf.DUMMYFUNCTION("""COMPUTED_VALUE"""),43871.66666666667)</f>
        <v>43871.66667</v>
      </c>
      <c r="J566" s="9">
        <f>IFERROR(__xludf.DUMMYFUNCTION("""COMPUTED_VALUE"""),1508.68)</f>
        <v>1508.68</v>
      </c>
      <c r="L566" s="11">
        <f>IFERROR(__xludf.DUMMYFUNCTION("""COMPUTED_VALUE"""),43871.66666666667)</f>
        <v>43871.66667</v>
      </c>
      <c r="M566" s="9">
        <f>IFERROR(__xludf.DUMMYFUNCTION("""COMPUTED_VALUE"""),78.55)</f>
        <v>78.55</v>
      </c>
      <c r="N566" s="11">
        <f>IFERROR(__xludf.DUMMYFUNCTION("""COMPUTED_VALUE"""),43871.66666666667)</f>
        <v>43871.66667</v>
      </c>
      <c r="O566" s="9">
        <f>IFERROR(__xludf.DUMMYFUNCTION("""COMPUTED_VALUE"""),80.39)</f>
        <v>80.39</v>
      </c>
      <c r="Q566" s="11">
        <f>IFERROR(__xludf.DUMMYFUNCTION("""COMPUTED_VALUE"""),43871.66666666667)</f>
        <v>43871.66667</v>
      </c>
      <c r="R566" s="9">
        <f>IFERROR(__xludf.DUMMYFUNCTION("""COMPUTED_VALUE"""),211.52)</f>
        <v>211.52</v>
      </c>
      <c r="S566" s="11">
        <f>IFERROR(__xludf.DUMMYFUNCTION("""COMPUTED_VALUE"""),43871.66666666667)</f>
        <v>43871.66667</v>
      </c>
      <c r="T566" s="9">
        <f>IFERROR(__xludf.DUMMYFUNCTION("""COMPUTED_VALUE"""),213.06)</f>
        <v>213.06</v>
      </c>
      <c r="V566" s="11">
        <f>IFERROR(__xludf.DUMMYFUNCTION("""COMPUTED_VALUE"""),43871.66666666667)</f>
        <v>43871.66667</v>
      </c>
      <c r="W566" s="9">
        <f>IFERROR(__xludf.DUMMYFUNCTION("""COMPUTED_VALUE"""),365.0)</f>
        <v>365</v>
      </c>
      <c r="X566" s="11">
        <f>IFERROR(__xludf.DUMMYFUNCTION("""COMPUTED_VALUE"""),43871.66666666667)</f>
        <v>43871.66667</v>
      </c>
      <c r="Y566" s="9">
        <f>IFERROR(__xludf.DUMMYFUNCTION("""COMPUTED_VALUE"""),371.07)</f>
        <v>371.07</v>
      </c>
      <c r="AA566" s="11">
        <f>IFERROR(__xludf.DUMMYFUNCTION("""COMPUTED_VALUE"""),43871.66666666667)</f>
        <v>43871.66667</v>
      </c>
      <c r="AB566" s="9">
        <f>IFERROR(__xludf.DUMMYFUNCTION("""COMPUTED_VALUE"""),2085.01)</f>
        <v>2085.01</v>
      </c>
      <c r="AC566" s="11">
        <f>IFERROR(__xludf.DUMMYFUNCTION("""COMPUTED_VALUE"""),43871.66666666667)</f>
        <v>43871.66667</v>
      </c>
      <c r="AD566" s="9">
        <f>IFERROR(__xludf.DUMMYFUNCTION("""COMPUTED_VALUE"""),2133.91)</f>
        <v>2133.91</v>
      </c>
    </row>
    <row r="567">
      <c r="B567" s="11">
        <f>IFERROR(__xludf.DUMMYFUNCTION("""COMPUTED_VALUE"""),43872.66666666667)</f>
        <v>43872.66667</v>
      </c>
      <c r="C567" s="9">
        <f>IFERROR(__xludf.DUMMYFUNCTION("""COMPUTED_VALUE"""),153.76)</f>
        <v>153.76</v>
      </c>
      <c r="D567" s="11">
        <f>IFERROR(__xludf.DUMMYFUNCTION("""COMPUTED_VALUE"""),43872.66666666667)</f>
        <v>43872.66667</v>
      </c>
      <c r="E567" s="9">
        <f>IFERROR(__xludf.DUMMYFUNCTION("""COMPUTED_VALUE"""),154.88)</f>
        <v>154.88</v>
      </c>
      <c r="G567" s="11">
        <f>IFERROR(__xludf.DUMMYFUNCTION("""COMPUTED_VALUE"""),43872.66666666667)</f>
        <v>43872.66667</v>
      </c>
      <c r="H567" s="9">
        <f>IFERROR(__xludf.DUMMYFUNCTION("""COMPUTED_VALUE"""),1511.81)</f>
        <v>1511.81</v>
      </c>
      <c r="I567" s="11">
        <f>IFERROR(__xludf.DUMMYFUNCTION("""COMPUTED_VALUE"""),43872.66666666667)</f>
        <v>43872.66667</v>
      </c>
      <c r="J567" s="9">
        <f>IFERROR(__xludf.DUMMYFUNCTION("""COMPUTED_VALUE"""),1508.79)</f>
        <v>1508.79</v>
      </c>
      <c r="L567" s="11">
        <f>IFERROR(__xludf.DUMMYFUNCTION("""COMPUTED_VALUE"""),43872.66666666667)</f>
        <v>43872.66667</v>
      </c>
      <c r="M567" s="9">
        <f>IFERROR(__xludf.DUMMYFUNCTION("""COMPUTED_VALUE"""),80.9)</f>
        <v>80.9</v>
      </c>
      <c r="N567" s="11">
        <f>IFERROR(__xludf.DUMMYFUNCTION("""COMPUTED_VALUE"""),43872.66666666667)</f>
        <v>43872.66667</v>
      </c>
      <c r="O567" s="9">
        <f>IFERROR(__xludf.DUMMYFUNCTION("""COMPUTED_VALUE"""),79.9)</f>
        <v>79.9</v>
      </c>
      <c r="Q567" s="11">
        <f>IFERROR(__xludf.DUMMYFUNCTION("""COMPUTED_VALUE"""),43872.66666666667)</f>
        <v>43872.66667</v>
      </c>
      <c r="R567" s="9">
        <f>IFERROR(__xludf.DUMMYFUNCTION("""COMPUTED_VALUE"""),210.19)</f>
        <v>210.19</v>
      </c>
      <c r="S567" s="11">
        <f>IFERROR(__xludf.DUMMYFUNCTION("""COMPUTED_VALUE"""),43872.66666666667)</f>
        <v>43872.66667</v>
      </c>
      <c r="T567" s="9">
        <f>IFERROR(__xludf.DUMMYFUNCTION("""COMPUTED_VALUE"""),207.19)</f>
        <v>207.19</v>
      </c>
      <c r="V567" s="11">
        <f>IFERROR(__xludf.DUMMYFUNCTION("""COMPUTED_VALUE"""),43872.66666666667)</f>
        <v>43872.66667</v>
      </c>
      <c r="W567" s="9">
        <f>IFERROR(__xludf.DUMMYFUNCTION("""COMPUTED_VALUE"""),373.75)</f>
        <v>373.75</v>
      </c>
      <c r="X567" s="11">
        <f>IFERROR(__xludf.DUMMYFUNCTION("""COMPUTED_VALUE"""),43872.66666666667)</f>
        <v>43872.66667</v>
      </c>
      <c r="Y567" s="9">
        <f>IFERROR(__xludf.DUMMYFUNCTION("""COMPUTED_VALUE"""),373.69)</f>
        <v>373.69</v>
      </c>
      <c r="AA567" s="11">
        <f>IFERROR(__xludf.DUMMYFUNCTION("""COMPUTED_VALUE"""),43872.66666666667)</f>
        <v>43872.66667</v>
      </c>
      <c r="AB567" s="9">
        <f>IFERROR(__xludf.DUMMYFUNCTION("""COMPUTED_VALUE"""),2150.9)</f>
        <v>2150.9</v>
      </c>
      <c r="AC567" s="11">
        <f>IFERROR(__xludf.DUMMYFUNCTION("""COMPUTED_VALUE"""),43872.66666666667)</f>
        <v>43872.66667</v>
      </c>
      <c r="AD567" s="9">
        <f>IFERROR(__xludf.DUMMYFUNCTION("""COMPUTED_VALUE"""),2150.8)</f>
        <v>2150.8</v>
      </c>
    </row>
    <row r="568">
      <c r="B568" s="11">
        <f>IFERROR(__xludf.DUMMYFUNCTION("""COMPUTED_VALUE"""),43873.66666666667)</f>
        <v>43873.66667</v>
      </c>
      <c r="C568" s="9">
        <f>IFERROR(__xludf.DUMMYFUNCTION("""COMPUTED_VALUE"""),155.57)</f>
        <v>155.57</v>
      </c>
      <c r="D568" s="11">
        <f>IFERROR(__xludf.DUMMYFUNCTION("""COMPUTED_VALUE"""),43873.66666666667)</f>
        <v>43873.66667</v>
      </c>
      <c r="E568" s="9">
        <f>IFERROR(__xludf.DUMMYFUNCTION("""COMPUTED_VALUE"""),153.46)</f>
        <v>153.46</v>
      </c>
      <c r="G568" s="11">
        <f>IFERROR(__xludf.DUMMYFUNCTION("""COMPUTED_VALUE"""),43873.66666666667)</f>
        <v>43873.66667</v>
      </c>
      <c r="H568" s="9">
        <f>IFERROR(__xludf.DUMMYFUNCTION("""COMPUTED_VALUE"""),1514.48)</f>
        <v>1514.48</v>
      </c>
      <c r="I568" s="11">
        <f>IFERROR(__xludf.DUMMYFUNCTION("""COMPUTED_VALUE"""),43873.66666666667)</f>
        <v>43873.66667</v>
      </c>
      <c r="J568" s="9">
        <f>IFERROR(__xludf.DUMMYFUNCTION("""COMPUTED_VALUE"""),1518.27)</f>
        <v>1518.27</v>
      </c>
      <c r="L568" s="11">
        <f>IFERROR(__xludf.DUMMYFUNCTION("""COMPUTED_VALUE"""),43873.66666666667)</f>
        <v>43873.66667</v>
      </c>
      <c r="M568" s="9">
        <f>IFERROR(__xludf.DUMMYFUNCTION("""COMPUTED_VALUE"""),80.37)</f>
        <v>80.37</v>
      </c>
      <c r="N568" s="11">
        <f>IFERROR(__xludf.DUMMYFUNCTION("""COMPUTED_VALUE"""),43873.66666666667)</f>
        <v>43873.66667</v>
      </c>
      <c r="O568" s="9">
        <f>IFERROR(__xludf.DUMMYFUNCTION("""COMPUTED_VALUE"""),81.8)</f>
        <v>81.8</v>
      </c>
      <c r="Q568" s="11">
        <f>IFERROR(__xludf.DUMMYFUNCTION("""COMPUTED_VALUE"""),43873.66666666667)</f>
        <v>43873.66667</v>
      </c>
      <c r="R568" s="9">
        <f>IFERROR(__xludf.DUMMYFUNCTION("""COMPUTED_VALUE"""),207.85)</f>
        <v>207.85</v>
      </c>
      <c r="S568" s="11">
        <f>IFERROR(__xludf.DUMMYFUNCTION("""COMPUTED_VALUE"""),43873.66666666667)</f>
        <v>43873.66667</v>
      </c>
      <c r="T568" s="9">
        <f>IFERROR(__xludf.DUMMYFUNCTION("""COMPUTED_VALUE"""),210.76)</f>
        <v>210.76</v>
      </c>
      <c r="V568" s="11">
        <f>IFERROR(__xludf.DUMMYFUNCTION("""COMPUTED_VALUE"""),43873.66666666667)</f>
        <v>43873.66667</v>
      </c>
      <c r="W568" s="9">
        <f>IFERROR(__xludf.DUMMYFUNCTION("""COMPUTED_VALUE"""),377.18)</f>
        <v>377.18</v>
      </c>
      <c r="X568" s="11">
        <f>IFERROR(__xludf.DUMMYFUNCTION("""COMPUTED_VALUE"""),43873.66666666667)</f>
        <v>43873.66667</v>
      </c>
      <c r="Y568" s="9">
        <f>IFERROR(__xludf.DUMMYFUNCTION("""COMPUTED_VALUE"""),380.01)</f>
        <v>380.01</v>
      </c>
      <c r="AA568" s="11">
        <f>IFERROR(__xludf.DUMMYFUNCTION("""COMPUTED_VALUE"""),43873.66666666667)</f>
        <v>43873.66667</v>
      </c>
      <c r="AB568" s="9">
        <f>IFERROR(__xludf.DUMMYFUNCTION("""COMPUTED_VALUE"""),2163.2)</f>
        <v>2163.2</v>
      </c>
      <c r="AC568" s="11">
        <f>IFERROR(__xludf.DUMMYFUNCTION("""COMPUTED_VALUE"""),43873.66666666667)</f>
        <v>43873.66667</v>
      </c>
      <c r="AD568" s="9">
        <f>IFERROR(__xludf.DUMMYFUNCTION("""COMPUTED_VALUE"""),2160.0)</f>
        <v>2160</v>
      </c>
    </row>
    <row r="569">
      <c r="B569" s="11">
        <f>IFERROR(__xludf.DUMMYFUNCTION("""COMPUTED_VALUE"""),43874.66666666667)</f>
        <v>43874.66667</v>
      </c>
      <c r="C569" s="9">
        <f>IFERROR(__xludf.DUMMYFUNCTION("""COMPUTED_VALUE"""),148.37)</f>
        <v>148.37</v>
      </c>
      <c r="D569" s="11">
        <f>IFERROR(__xludf.DUMMYFUNCTION("""COMPUTED_VALUE"""),43874.66666666667)</f>
        <v>43874.66667</v>
      </c>
      <c r="E569" s="9">
        <f>IFERROR(__xludf.DUMMYFUNCTION("""COMPUTED_VALUE"""),160.8)</f>
        <v>160.8</v>
      </c>
      <c r="G569" s="11">
        <f>IFERROR(__xludf.DUMMYFUNCTION("""COMPUTED_VALUE"""),43874.66666666667)</f>
        <v>43874.66667</v>
      </c>
      <c r="H569" s="9">
        <f>IFERROR(__xludf.DUMMYFUNCTION("""COMPUTED_VALUE"""),1512.69)</f>
        <v>1512.69</v>
      </c>
      <c r="I569" s="11">
        <f>IFERROR(__xludf.DUMMYFUNCTION("""COMPUTED_VALUE"""),43874.66666666667)</f>
        <v>43874.66667</v>
      </c>
      <c r="J569" s="9">
        <f>IFERROR(__xludf.DUMMYFUNCTION("""COMPUTED_VALUE"""),1514.66)</f>
        <v>1514.66</v>
      </c>
      <c r="L569" s="11">
        <f>IFERROR(__xludf.DUMMYFUNCTION("""COMPUTED_VALUE"""),43874.66666666667)</f>
        <v>43874.66667</v>
      </c>
      <c r="M569" s="9">
        <f>IFERROR(__xludf.DUMMYFUNCTION("""COMPUTED_VALUE"""),81.05)</f>
        <v>81.05</v>
      </c>
      <c r="N569" s="11">
        <f>IFERROR(__xludf.DUMMYFUNCTION("""COMPUTED_VALUE"""),43874.66666666667)</f>
        <v>43874.66667</v>
      </c>
      <c r="O569" s="9">
        <f>IFERROR(__xludf.DUMMYFUNCTION("""COMPUTED_VALUE"""),81.22)</f>
        <v>81.22</v>
      </c>
      <c r="Q569" s="11">
        <f>IFERROR(__xludf.DUMMYFUNCTION("""COMPUTED_VALUE"""),43874.66666666667)</f>
        <v>43874.66667</v>
      </c>
      <c r="R569" s="9">
        <f>IFERROR(__xludf.DUMMYFUNCTION("""COMPUTED_VALUE"""),209.52)</f>
        <v>209.52</v>
      </c>
      <c r="S569" s="11">
        <f>IFERROR(__xludf.DUMMYFUNCTION("""COMPUTED_VALUE"""),43874.66666666667)</f>
        <v>43874.66667</v>
      </c>
      <c r="T569" s="9">
        <f>IFERROR(__xludf.DUMMYFUNCTION("""COMPUTED_VALUE"""),213.14)</f>
        <v>213.14</v>
      </c>
      <c r="V569" s="11">
        <f>IFERROR(__xludf.DUMMYFUNCTION("""COMPUTED_VALUE"""),43874.66666666667)</f>
        <v>43874.66667</v>
      </c>
      <c r="W569" s="9">
        <f>IFERROR(__xludf.DUMMYFUNCTION("""COMPUTED_VALUE"""),376.96)</f>
        <v>376.96</v>
      </c>
      <c r="X569" s="11">
        <f>IFERROR(__xludf.DUMMYFUNCTION("""COMPUTED_VALUE"""),43874.66666666667)</f>
        <v>43874.66667</v>
      </c>
      <c r="Y569" s="9">
        <f>IFERROR(__xludf.DUMMYFUNCTION("""COMPUTED_VALUE"""),381.4)</f>
        <v>381.4</v>
      </c>
      <c r="AA569" s="11">
        <f>IFERROR(__xludf.DUMMYFUNCTION("""COMPUTED_VALUE"""),43874.66666666667)</f>
        <v>43874.66667</v>
      </c>
      <c r="AB569" s="9">
        <f>IFERROR(__xludf.DUMMYFUNCTION("""COMPUTED_VALUE"""),2144.99)</f>
        <v>2144.99</v>
      </c>
      <c r="AC569" s="11">
        <f>IFERROR(__xludf.DUMMYFUNCTION("""COMPUTED_VALUE"""),43874.66666666667)</f>
        <v>43874.66667</v>
      </c>
      <c r="AD569" s="9">
        <f>IFERROR(__xludf.DUMMYFUNCTION("""COMPUTED_VALUE"""),2149.87)</f>
        <v>2149.87</v>
      </c>
    </row>
    <row r="570">
      <c r="B570" s="11">
        <f>IFERROR(__xludf.DUMMYFUNCTION("""COMPUTED_VALUE"""),43875.66666666667)</f>
        <v>43875.66667</v>
      </c>
      <c r="C570" s="9">
        <f>IFERROR(__xludf.DUMMYFUNCTION("""COMPUTED_VALUE"""),157.44)</f>
        <v>157.44</v>
      </c>
      <c r="D570" s="11">
        <f>IFERROR(__xludf.DUMMYFUNCTION("""COMPUTED_VALUE"""),43875.66666666667)</f>
        <v>43875.66667</v>
      </c>
      <c r="E570" s="9">
        <f>IFERROR(__xludf.DUMMYFUNCTION("""COMPUTED_VALUE"""),160.01)</f>
        <v>160.01</v>
      </c>
      <c r="G570" s="11">
        <f>IFERROR(__xludf.DUMMYFUNCTION("""COMPUTED_VALUE"""),43875.66666666667)</f>
        <v>43875.66667</v>
      </c>
      <c r="H570" s="9">
        <f>IFERROR(__xludf.DUMMYFUNCTION("""COMPUTED_VALUE"""),1515.6)</f>
        <v>1515.6</v>
      </c>
      <c r="I570" s="11">
        <f>IFERROR(__xludf.DUMMYFUNCTION("""COMPUTED_VALUE"""),43875.66666666667)</f>
        <v>43875.66667</v>
      </c>
      <c r="J570" s="9">
        <f>IFERROR(__xludf.DUMMYFUNCTION("""COMPUTED_VALUE"""),1520.74)</f>
        <v>1520.74</v>
      </c>
      <c r="L570" s="11">
        <f>IFERROR(__xludf.DUMMYFUNCTION("""COMPUTED_VALUE"""),43875.66666666667)</f>
        <v>43875.66667</v>
      </c>
      <c r="M570" s="9">
        <f>IFERROR(__xludf.DUMMYFUNCTION("""COMPUTED_VALUE"""),81.19)</f>
        <v>81.19</v>
      </c>
      <c r="N570" s="11">
        <f>IFERROR(__xludf.DUMMYFUNCTION("""COMPUTED_VALUE"""),43875.66666666667)</f>
        <v>43875.66667</v>
      </c>
      <c r="O570" s="9">
        <f>IFERROR(__xludf.DUMMYFUNCTION("""COMPUTED_VALUE"""),81.24)</f>
        <v>81.24</v>
      </c>
      <c r="Q570" s="11">
        <f>IFERROR(__xludf.DUMMYFUNCTION("""COMPUTED_VALUE"""),43875.66666666667)</f>
        <v>43875.66667</v>
      </c>
      <c r="R570" s="9">
        <f>IFERROR(__xludf.DUMMYFUNCTION("""COMPUTED_VALUE"""),214.0)</f>
        <v>214</v>
      </c>
      <c r="S570" s="11">
        <f>IFERROR(__xludf.DUMMYFUNCTION("""COMPUTED_VALUE"""),43875.66666666667)</f>
        <v>43875.66667</v>
      </c>
      <c r="T570" s="9">
        <f>IFERROR(__xludf.DUMMYFUNCTION("""COMPUTED_VALUE"""),214.18)</f>
        <v>214.18</v>
      </c>
      <c r="V570" s="11">
        <f>IFERROR(__xludf.DUMMYFUNCTION("""COMPUTED_VALUE"""),43875.66666666667)</f>
        <v>43875.66667</v>
      </c>
      <c r="W570" s="9">
        <f>IFERROR(__xludf.DUMMYFUNCTION("""COMPUTED_VALUE"""),381.47)</f>
        <v>381.47</v>
      </c>
      <c r="X570" s="11">
        <f>IFERROR(__xludf.DUMMYFUNCTION("""COMPUTED_VALUE"""),43875.66666666667)</f>
        <v>43875.66667</v>
      </c>
      <c r="Y570" s="9">
        <f>IFERROR(__xludf.DUMMYFUNCTION("""COMPUTED_VALUE"""),380.4)</f>
        <v>380.4</v>
      </c>
      <c r="AA570" s="11">
        <f>IFERROR(__xludf.DUMMYFUNCTION("""COMPUTED_VALUE"""),43875.66666666667)</f>
        <v>43875.66667</v>
      </c>
      <c r="AB570" s="9">
        <f>IFERROR(__xludf.DUMMYFUNCTION("""COMPUTED_VALUE"""),2155.68)</f>
        <v>2155.68</v>
      </c>
      <c r="AC570" s="11">
        <f>IFERROR(__xludf.DUMMYFUNCTION("""COMPUTED_VALUE"""),43875.66666666667)</f>
        <v>43875.66667</v>
      </c>
      <c r="AD570" s="9">
        <f>IFERROR(__xludf.DUMMYFUNCTION("""COMPUTED_VALUE"""),2134.87)</f>
        <v>2134.87</v>
      </c>
    </row>
    <row r="571">
      <c r="B571" s="11">
        <f>IFERROR(__xludf.DUMMYFUNCTION("""COMPUTED_VALUE"""),43879.66666666667)</f>
        <v>43879.66667</v>
      </c>
      <c r="C571" s="9">
        <f>IFERROR(__xludf.DUMMYFUNCTION("""COMPUTED_VALUE"""),168.32)</f>
        <v>168.32</v>
      </c>
      <c r="D571" s="11">
        <f>IFERROR(__xludf.DUMMYFUNCTION("""COMPUTED_VALUE"""),43879.66666666667)</f>
        <v>43879.66667</v>
      </c>
      <c r="E571" s="9">
        <f>IFERROR(__xludf.DUMMYFUNCTION("""COMPUTED_VALUE"""),171.68)</f>
        <v>171.68</v>
      </c>
      <c r="G571" s="11">
        <f>IFERROR(__xludf.DUMMYFUNCTION("""COMPUTED_VALUE"""),43879.66666666667)</f>
        <v>43879.66667</v>
      </c>
      <c r="H571" s="9">
        <f>IFERROR(__xludf.DUMMYFUNCTION("""COMPUTED_VALUE"""),1515.0)</f>
        <v>1515</v>
      </c>
      <c r="I571" s="11">
        <f>IFERROR(__xludf.DUMMYFUNCTION("""COMPUTED_VALUE"""),43879.66666666667)</f>
        <v>43879.66667</v>
      </c>
      <c r="J571" s="9">
        <f>IFERROR(__xludf.DUMMYFUNCTION("""COMPUTED_VALUE"""),1519.67)</f>
        <v>1519.67</v>
      </c>
      <c r="L571" s="11">
        <f>IFERROR(__xludf.DUMMYFUNCTION("""COMPUTED_VALUE"""),43879.66666666667)</f>
        <v>43879.66667</v>
      </c>
      <c r="M571" s="9">
        <f>IFERROR(__xludf.DUMMYFUNCTION("""COMPUTED_VALUE"""),78.84)</f>
        <v>78.84</v>
      </c>
      <c r="N571" s="11">
        <f>IFERROR(__xludf.DUMMYFUNCTION("""COMPUTED_VALUE"""),43879.66666666667)</f>
        <v>43879.66667</v>
      </c>
      <c r="O571" s="9">
        <f>IFERROR(__xludf.DUMMYFUNCTION("""COMPUTED_VALUE"""),79.75)</f>
        <v>79.75</v>
      </c>
      <c r="Q571" s="11">
        <f>IFERROR(__xludf.DUMMYFUNCTION("""COMPUTED_VALUE"""),43879.66666666667)</f>
        <v>43879.66667</v>
      </c>
      <c r="R571" s="9">
        <f>IFERROR(__xludf.DUMMYFUNCTION("""COMPUTED_VALUE"""),213.55)</f>
        <v>213.55</v>
      </c>
      <c r="S571" s="11">
        <f>IFERROR(__xludf.DUMMYFUNCTION("""COMPUTED_VALUE"""),43879.66666666667)</f>
        <v>43879.66667</v>
      </c>
      <c r="T571" s="9">
        <f>IFERROR(__xludf.DUMMYFUNCTION("""COMPUTED_VALUE"""),217.8)</f>
        <v>217.8</v>
      </c>
      <c r="V571" s="11">
        <f>IFERROR(__xludf.DUMMYFUNCTION("""COMPUTED_VALUE"""),43879.66666666667)</f>
        <v>43879.66667</v>
      </c>
      <c r="W571" s="9">
        <f>IFERROR(__xludf.DUMMYFUNCTION("""COMPUTED_VALUE"""),379.3)</f>
        <v>379.3</v>
      </c>
      <c r="X571" s="11">
        <f>IFERROR(__xludf.DUMMYFUNCTION("""COMPUTED_VALUE"""),43879.66666666667)</f>
        <v>43879.66667</v>
      </c>
      <c r="Y571" s="9">
        <f>IFERROR(__xludf.DUMMYFUNCTION("""COMPUTED_VALUE"""),387.78)</f>
        <v>387.78</v>
      </c>
      <c r="AA571" s="11">
        <f>IFERROR(__xludf.DUMMYFUNCTION("""COMPUTED_VALUE"""),43879.66666666667)</f>
        <v>43879.66667</v>
      </c>
      <c r="AB571" s="9">
        <f>IFERROR(__xludf.DUMMYFUNCTION("""COMPUTED_VALUE"""),2125.02)</f>
        <v>2125.02</v>
      </c>
      <c r="AC571" s="11">
        <f>IFERROR(__xludf.DUMMYFUNCTION("""COMPUTED_VALUE"""),43879.66666666667)</f>
        <v>43879.66667</v>
      </c>
      <c r="AD571" s="9">
        <f>IFERROR(__xludf.DUMMYFUNCTION("""COMPUTED_VALUE"""),2155.67)</f>
        <v>2155.67</v>
      </c>
    </row>
    <row r="572">
      <c r="B572" s="11">
        <f>IFERROR(__xludf.DUMMYFUNCTION("""COMPUTED_VALUE"""),43880.66666666667)</f>
        <v>43880.66667</v>
      </c>
      <c r="C572" s="9">
        <f>IFERROR(__xludf.DUMMYFUNCTION("""COMPUTED_VALUE"""),184.7)</f>
        <v>184.7</v>
      </c>
      <c r="D572" s="11">
        <f>IFERROR(__xludf.DUMMYFUNCTION("""COMPUTED_VALUE"""),43880.66666666667)</f>
        <v>43880.66667</v>
      </c>
      <c r="E572" s="9">
        <f>IFERROR(__xludf.DUMMYFUNCTION("""COMPUTED_VALUE"""),183.48)</f>
        <v>183.48</v>
      </c>
      <c r="G572" s="11">
        <f>IFERROR(__xludf.DUMMYFUNCTION("""COMPUTED_VALUE"""),43880.66666666667)</f>
        <v>43880.66667</v>
      </c>
      <c r="H572" s="9">
        <f>IFERROR(__xludf.DUMMYFUNCTION("""COMPUTED_VALUE"""),1525.07)</f>
        <v>1525.07</v>
      </c>
      <c r="I572" s="11">
        <f>IFERROR(__xludf.DUMMYFUNCTION("""COMPUTED_VALUE"""),43880.66666666667)</f>
        <v>43880.66667</v>
      </c>
      <c r="J572" s="9">
        <f>IFERROR(__xludf.DUMMYFUNCTION("""COMPUTED_VALUE"""),1526.69)</f>
        <v>1526.69</v>
      </c>
      <c r="L572" s="11">
        <f>IFERROR(__xludf.DUMMYFUNCTION("""COMPUTED_VALUE"""),43880.66666666667)</f>
        <v>43880.66667</v>
      </c>
      <c r="M572" s="9">
        <f>IFERROR(__xludf.DUMMYFUNCTION("""COMPUTED_VALUE"""),80.0)</f>
        <v>80</v>
      </c>
      <c r="N572" s="11">
        <f>IFERROR(__xludf.DUMMYFUNCTION("""COMPUTED_VALUE"""),43880.66666666667)</f>
        <v>43880.66667</v>
      </c>
      <c r="O572" s="9">
        <f>IFERROR(__xludf.DUMMYFUNCTION("""COMPUTED_VALUE"""),80.91)</f>
        <v>80.91</v>
      </c>
      <c r="Q572" s="11">
        <f>IFERROR(__xludf.DUMMYFUNCTION("""COMPUTED_VALUE"""),43880.66666666667)</f>
        <v>43880.66667</v>
      </c>
      <c r="R572" s="9">
        <f>IFERROR(__xludf.DUMMYFUNCTION("""COMPUTED_VALUE"""),217.99)</f>
        <v>217.99</v>
      </c>
      <c r="S572" s="11">
        <f>IFERROR(__xludf.DUMMYFUNCTION("""COMPUTED_VALUE"""),43880.66666666667)</f>
        <v>43880.66667</v>
      </c>
      <c r="T572" s="9">
        <f>IFERROR(__xludf.DUMMYFUNCTION("""COMPUTED_VALUE"""),217.49)</f>
        <v>217.49</v>
      </c>
      <c r="V572" s="11">
        <f>IFERROR(__xludf.DUMMYFUNCTION("""COMPUTED_VALUE"""),43880.66666666667)</f>
        <v>43880.66667</v>
      </c>
      <c r="W572" s="9">
        <f>IFERROR(__xludf.DUMMYFUNCTION("""COMPUTED_VALUE"""),388.12)</f>
        <v>388.12</v>
      </c>
      <c r="X572" s="11">
        <f>IFERROR(__xludf.DUMMYFUNCTION("""COMPUTED_VALUE"""),43880.66666666667)</f>
        <v>43880.66667</v>
      </c>
      <c r="Y572" s="9">
        <f>IFERROR(__xludf.DUMMYFUNCTION("""COMPUTED_VALUE"""),386.19)</f>
        <v>386.19</v>
      </c>
      <c r="AA572" s="11">
        <f>IFERROR(__xludf.DUMMYFUNCTION("""COMPUTED_VALUE"""),43880.66666666667)</f>
        <v>43880.66667</v>
      </c>
      <c r="AB572" s="9">
        <f>IFERROR(__xludf.DUMMYFUNCTION("""COMPUTED_VALUE"""),2167.8)</f>
        <v>2167.8</v>
      </c>
      <c r="AC572" s="11">
        <f>IFERROR(__xludf.DUMMYFUNCTION("""COMPUTED_VALUE"""),43880.66666666667)</f>
        <v>43880.66667</v>
      </c>
      <c r="AD572" s="9">
        <f>IFERROR(__xludf.DUMMYFUNCTION("""COMPUTED_VALUE"""),2170.22)</f>
        <v>2170.22</v>
      </c>
    </row>
    <row r="573">
      <c r="B573" s="11">
        <f>IFERROR(__xludf.DUMMYFUNCTION("""COMPUTED_VALUE"""),43881.66666666667)</f>
        <v>43881.66667</v>
      </c>
      <c r="C573" s="9">
        <f>IFERROR(__xludf.DUMMYFUNCTION("""COMPUTED_VALUE"""),182.39)</f>
        <v>182.39</v>
      </c>
      <c r="D573" s="11">
        <f>IFERROR(__xludf.DUMMYFUNCTION("""COMPUTED_VALUE"""),43881.66666666667)</f>
        <v>43881.66667</v>
      </c>
      <c r="E573" s="9">
        <f>IFERROR(__xludf.DUMMYFUNCTION("""COMPUTED_VALUE"""),179.88)</f>
        <v>179.88</v>
      </c>
      <c r="G573" s="11">
        <f>IFERROR(__xludf.DUMMYFUNCTION("""COMPUTED_VALUE"""),43881.66666666667)</f>
        <v>43881.66667</v>
      </c>
      <c r="H573" s="9">
        <f>IFERROR(__xludf.DUMMYFUNCTION("""COMPUTED_VALUE"""),1522.0)</f>
        <v>1522</v>
      </c>
      <c r="I573" s="11">
        <f>IFERROR(__xludf.DUMMYFUNCTION("""COMPUTED_VALUE"""),43881.66666666667)</f>
        <v>43881.66667</v>
      </c>
      <c r="J573" s="9">
        <f>IFERROR(__xludf.DUMMYFUNCTION("""COMPUTED_VALUE"""),1518.15)</f>
        <v>1518.15</v>
      </c>
      <c r="L573" s="11">
        <f>IFERROR(__xludf.DUMMYFUNCTION("""COMPUTED_VALUE"""),43881.66666666667)</f>
        <v>43881.66667</v>
      </c>
      <c r="M573" s="9">
        <f>IFERROR(__xludf.DUMMYFUNCTION("""COMPUTED_VALUE"""),80.66)</f>
        <v>80.66</v>
      </c>
      <c r="N573" s="11">
        <f>IFERROR(__xludf.DUMMYFUNCTION("""COMPUTED_VALUE"""),43881.66666666667)</f>
        <v>43881.66667</v>
      </c>
      <c r="O573" s="9">
        <f>IFERROR(__xludf.DUMMYFUNCTION("""COMPUTED_VALUE"""),80.08)</f>
        <v>80.08</v>
      </c>
      <c r="Q573" s="11">
        <f>IFERROR(__xludf.DUMMYFUNCTION("""COMPUTED_VALUE"""),43881.66666666667)</f>
        <v>43881.66667</v>
      </c>
      <c r="R573" s="9">
        <f>IFERROR(__xludf.DUMMYFUNCTION("""COMPUTED_VALUE"""),216.52)</f>
        <v>216.52</v>
      </c>
      <c r="S573" s="11">
        <f>IFERROR(__xludf.DUMMYFUNCTION("""COMPUTED_VALUE"""),43881.66666666667)</f>
        <v>43881.66667</v>
      </c>
      <c r="T573" s="9">
        <f>IFERROR(__xludf.DUMMYFUNCTION("""COMPUTED_VALUE"""),214.58)</f>
        <v>214.58</v>
      </c>
      <c r="V573" s="11">
        <f>IFERROR(__xludf.DUMMYFUNCTION("""COMPUTED_VALUE"""),43881.66666666667)</f>
        <v>43881.66667</v>
      </c>
      <c r="W573" s="9">
        <f>IFERROR(__xludf.DUMMYFUNCTION("""COMPUTED_VALUE"""),386.56)</f>
        <v>386.56</v>
      </c>
      <c r="X573" s="11">
        <f>IFERROR(__xludf.DUMMYFUNCTION("""COMPUTED_VALUE"""),43881.66666666667)</f>
        <v>43881.66667</v>
      </c>
      <c r="Y573" s="9">
        <f>IFERROR(__xludf.DUMMYFUNCTION("""COMPUTED_VALUE"""),386.0)</f>
        <v>386</v>
      </c>
      <c r="AA573" s="11">
        <f>IFERROR(__xludf.DUMMYFUNCTION("""COMPUTED_VALUE"""),43881.66666666667)</f>
        <v>43881.66667</v>
      </c>
      <c r="AB573" s="9">
        <f>IFERROR(__xludf.DUMMYFUNCTION("""COMPUTED_VALUE"""),2173.07)</f>
        <v>2173.07</v>
      </c>
      <c r="AC573" s="11">
        <f>IFERROR(__xludf.DUMMYFUNCTION("""COMPUTED_VALUE"""),43881.66666666667)</f>
        <v>43881.66667</v>
      </c>
      <c r="AD573" s="9">
        <f>IFERROR(__xludf.DUMMYFUNCTION("""COMPUTED_VALUE"""),2153.1)</f>
        <v>2153.1</v>
      </c>
    </row>
    <row r="574">
      <c r="B574" s="11">
        <f>IFERROR(__xludf.DUMMYFUNCTION("""COMPUTED_VALUE"""),43882.66666666667)</f>
        <v>43882.66667</v>
      </c>
      <c r="C574" s="9">
        <f>IFERROR(__xludf.DUMMYFUNCTION("""COMPUTED_VALUE"""),181.4)</f>
        <v>181.4</v>
      </c>
      <c r="D574" s="11">
        <f>IFERROR(__xludf.DUMMYFUNCTION("""COMPUTED_VALUE"""),43882.66666666667)</f>
        <v>43882.66667</v>
      </c>
      <c r="E574" s="9">
        <f>IFERROR(__xludf.DUMMYFUNCTION("""COMPUTED_VALUE"""),180.2)</f>
        <v>180.2</v>
      </c>
      <c r="G574" s="11">
        <f>IFERROR(__xludf.DUMMYFUNCTION("""COMPUTED_VALUE"""),43882.66666666667)</f>
        <v>43882.66667</v>
      </c>
      <c r="H574" s="9">
        <f>IFERROR(__xludf.DUMMYFUNCTION("""COMPUTED_VALUE"""),1508.03)</f>
        <v>1508.03</v>
      </c>
      <c r="I574" s="11">
        <f>IFERROR(__xludf.DUMMYFUNCTION("""COMPUTED_VALUE"""),43882.66666666667)</f>
        <v>43882.66667</v>
      </c>
      <c r="J574" s="9">
        <f>IFERROR(__xludf.DUMMYFUNCTION("""COMPUTED_VALUE"""),1485.11)</f>
        <v>1485.11</v>
      </c>
      <c r="L574" s="11">
        <f>IFERROR(__xludf.DUMMYFUNCTION("""COMPUTED_VALUE"""),43882.66666666667)</f>
        <v>43882.66667</v>
      </c>
      <c r="M574" s="9">
        <f>IFERROR(__xludf.DUMMYFUNCTION("""COMPUTED_VALUE"""),79.66)</f>
        <v>79.66</v>
      </c>
      <c r="N574" s="11">
        <f>IFERROR(__xludf.DUMMYFUNCTION("""COMPUTED_VALUE"""),43882.66666666667)</f>
        <v>43882.66667</v>
      </c>
      <c r="O574" s="9">
        <f>IFERROR(__xludf.DUMMYFUNCTION("""COMPUTED_VALUE"""),78.26)</f>
        <v>78.26</v>
      </c>
      <c r="Q574" s="11">
        <f>IFERROR(__xludf.DUMMYFUNCTION("""COMPUTED_VALUE"""),43882.66666666667)</f>
        <v>43882.66667</v>
      </c>
      <c r="R574" s="9">
        <f>IFERROR(__xludf.DUMMYFUNCTION("""COMPUTED_VALUE"""),213.48)</f>
        <v>213.48</v>
      </c>
      <c r="S574" s="11">
        <f>IFERROR(__xludf.DUMMYFUNCTION("""COMPUTED_VALUE"""),43882.66666666667)</f>
        <v>43882.66667</v>
      </c>
      <c r="T574" s="9">
        <f>IFERROR(__xludf.DUMMYFUNCTION("""COMPUTED_VALUE"""),210.18)</f>
        <v>210.18</v>
      </c>
      <c r="V574" s="11">
        <f>IFERROR(__xludf.DUMMYFUNCTION("""COMPUTED_VALUE"""),43882.66666666667)</f>
        <v>43882.66667</v>
      </c>
      <c r="W574" s="9">
        <f>IFERROR(__xludf.DUMMYFUNCTION("""COMPUTED_VALUE"""),385.33)</f>
        <v>385.33</v>
      </c>
      <c r="X574" s="11">
        <f>IFERROR(__xludf.DUMMYFUNCTION("""COMPUTED_VALUE"""),43882.66666666667)</f>
        <v>43882.66667</v>
      </c>
      <c r="Y574" s="9">
        <f>IFERROR(__xludf.DUMMYFUNCTION("""COMPUTED_VALUE"""),380.07)</f>
        <v>380.07</v>
      </c>
      <c r="AA574" s="11">
        <f>IFERROR(__xludf.DUMMYFUNCTION("""COMPUTED_VALUE"""),43882.66666666667)</f>
        <v>43882.66667</v>
      </c>
      <c r="AB574" s="9">
        <f>IFERROR(__xludf.DUMMYFUNCTION("""COMPUTED_VALUE"""),2142.15)</f>
        <v>2142.15</v>
      </c>
      <c r="AC574" s="11">
        <f>IFERROR(__xludf.DUMMYFUNCTION("""COMPUTED_VALUE"""),43882.66666666667)</f>
        <v>43882.66667</v>
      </c>
      <c r="AD574" s="9">
        <f>IFERROR(__xludf.DUMMYFUNCTION("""COMPUTED_VALUE"""),2095.97)</f>
        <v>2095.97</v>
      </c>
    </row>
    <row r="575">
      <c r="B575" s="11">
        <f>IFERROR(__xludf.DUMMYFUNCTION("""COMPUTED_VALUE"""),43885.66666666667)</f>
        <v>43885.66667</v>
      </c>
      <c r="C575" s="9">
        <f>IFERROR(__xludf.DUMMYFUNCTION("""COMPUTED_VALUE"""),167.8)</f>
        <v>167.8</v>
      </c>
      <c r="D575" s="11">
        <f>IFERROR(__xludf.DUMMYFUNCTION("""COMPUTED_VALUE"""),43885.66666666667)</f>
        <v>43885.66667</v>
      </c>
      <c r="E575" s="9">
        <f>IFERROR(__xludf.DUMMYFUNCTION("""COMPUTED_VALUE"""),166.76)</f>
        <v>166.76</v>
      </c>
      <c r="G575" s="11">
        <f>IFERROR(__xludf.DUMMYFUNCTION("""COMPUTED_VALUE"""),43885.66666666667)</f>
        <v>43885.66667</v>
      </c>
      <c r="H575" s="9">
        <f>IFERROR(__xludf.DUMMYFUNCTION("""COMPUTED_VALUE"""),1426.11)</f>
        <v>1426.11</v>
      </c>
      <c r="I575" s="11">
        <f>IFERROR(__xludf.DUMMYFUNCTION("""COMPUTED_VALUE"""),43885.66666666667)</f>
        <v>43885.66667</v>
      </c>
      <c r="J575" s="9">
        <f>IFERROR(__xludf.DUMMYFUNCTION("""COMPUTED_VALUE"""),1421.59)</f>
        <v>1421.59</v>
      </c>
      <c r="L575" s="11">
        <f>IFERROR(__xludf.DUMMYFUNCTION("""COMPUTED_VALUE"""),43885.66666666667)</f>
        <v>43885.66667</v>
      </c>
      <c r="M575" s="9">
        <f>IFERROR(__xludf.DUMMYFUNCTION("""COMPUTED_VALUE"""),74.32)</f>
        <v>74.32</v>
      </c>
      <c r="N575" s="11">
        <f>IFERROR(__xludf.DUMMYFUNCTION("""COMPUTED_VALUE"""),43885.66666666667)</f>
        <v>43885.66667</v>
      </c>
      <c r="O575" s="9">
        <f>IFERROR(__xludf.DUMMYFUNCTION("""COMPUTED_VALUE"""),74.55)</f>
        <v>74.55</v>
      </c>
      <c r="Q575" s="11">
        <f>IFERROR(__xludf.DUMMYFUNCTION("""COMPUTED_VALUE"""),43885.66666666667)</f>
        <v>43885.66667</v>
      </c>
      <c r="R575" s="9">
        <f>IFERROR(__xludf.DUMMYFUNCTION("""COMPUTED_VALUE"""),201.8)</f>
        <v>201.8</v>
      </c>
      <c r="S575" s="11">
        <f>IFERROR(__xludf.DUMMYFUNCTION("""COMPUTED_VALUE"""),43885.66666666667)</f>
        <v>43885.66667</v>
      </c>
      <c r="T575" s="9">
        <f>IFERROR(__xludf.DUMMYFUNCTION("""COMPUTED_VALUE"""),200.72)</f>
        <v>200.72</v>
      </c>
      <c r="V575" s="11">
        <f>IFERROR(__xludf.DUMMYFUNCTION("""COMPUTED_VALUE"""),43885.66666666667)</f>
        <v>43885.66667</v>
      </c>
      <c r="W575" s="9">
        <f>IFERROR(__xludf.DUMMYFUNCTION("""COMPUTED_VALUE"""),364.76)</f>
        <v>364.76</v>
      </c>
      <c r="X575" s="11">
        <f>IFERROR(__xludf.DUMMYFUNCTION("""COMPUTED_VALUE"""),43885.66666666667)</f>
        <v>43885.66667</v>
      </c>
      <c r="Y575" s="9">
        <f>IFERROR(__xludf.DUMMYFUNCTION("""COMPUTED_VALUE"""),368.7)</f>
        <v>368.7</v>
      </c>
      <c r="AA575" s="11">
        <f>IFERROR(__xludf.DUMMYFUNCTION("""COMPUTED_VALUE"""),43885.66666666667)</f>
        <v>43885.66667</v>
      </c>
      <c r="AB575" s="9">
        <f>IFERROR(__xludf.DUMMYFUNCTION("""COMPUTED_VALUE"""),2003.18)</f>
        <v>2003.18</v>
      </c>
      <c r="AC575" s="11">
        <f>IFERROR(__xludf.DUMMYFUNCTION("""COMPUTED_VALUE"""),43885.66666666667)</f>
        <v>43885.66667</v>
      </c>
      <c r="AD575" s="9">
        <f>IFERROR(__xludf.DUMMYFUNCTION("""COMPUTED_VALUE"""),2009.29)</f>
        <v>2009.29</v>
      </c>
    </row>
    <row r="576">
      <c r="B576" s="11">
        <f>IFERROR(__xludf.DUMMYFUNCTION("""COMPUTED_VALUE"""),43886.66666666667)</f>
        <v>43886.66667</v>
      </c>
      <c r="C576" s="9">
        <f>IFERROR(__xludf.DUMMYFUNCTION("""COMPUTED_VALUE"""),169.8)</f>
        <v>169.8</v>
      </c>
      <c r="D576" s="11">
        <f>IFERROR(__xludf.DUMMYFUNCTION("""COMPUTED_VALUE"""),43886.66666666667)</f>
        <v>43886.66667</v>
      </c>
      <c r="E576" s="9">
        <f>IFERROR(__xludf.DUMMYFUNCTION("""COMPUTED_VALUE"""),159.98)</f>
        <v>159.98</v>
      </c>
      <c r="G576" s="11">
        <f>IFERROR(__xludf.DUMMYFUNCTION("""COMPUTED_VALUE"""),43886.66666666667)</f>
        <v>43886.66667</v>
      </c>
      <c r="H576" s="9">
        <f>IFERROR(__xludf.DUMMYFUNCTION("""COMPUTED_VALUE"""),1433.0)</f>
        <v>1433</v>
      </c>
      <c r="I576" s="11">
        <f>IFERROR(__xludf.DUMMYFUNCTION("""COMPUTED_VALUE"""),43886.66666666667)</f>
        <v>43886.66667</v>
      </c>
      <c r="J576" s="9">
        <f>IFERROR(__xludf.DUMMYFUNCTION("""COMPUTED_VALUE"""),1388.45)</f>
        <v>1388.45</v>
      </c>
      <c r="L576" s="11">
        <f>IFERROR(__xludf.DUMMYFUNCTION("""COMPUTED_VALUE"""),43886.66666666667)</f>
        <v>43886.66667</v>
      </c>
      <c r="M576" s="9">
        <f>IFERROR(__xludf.DUMMYFUNCTION("""COMPUTED_VALUE"""),75.24)</f>
        <v>75.24</v>
      </c>
      <c r="N576" s="11">
        <f>IFERROR(__xludf.DUMMYFUNCTION("""COMPUTED_VALUE"""),43886.66666666667)</f>
        <v>43886.66667</v>
      </c>
      <c r="O576" s="9">
        <f>IFERROR(__xludf.DUMMYFUNCTION("""COMPUTED_VALUE"""),72.02)</f>
        <v>72.02</v>
      </c>
      <c r="Q576" s="11">
        <f>IFERROR(__xludf.DUMMYFUNCTION("""COMPUTED_VALUE"""),43886.66666666667)</f>
        <v>43886.66667</v>
      </c>
      <c r="R576" s="9">
        <f>IFERROR(__xludf.DUMMYFUNCTION("""COMPUTED_VALUE"""),202.25)</f>
        <v>202.25</v>
      </c>
      <c r="S576" s="11">
        <f>IFERROR(__xludf.DUMMYFUNCTION("""COMPUTED_VALUE"""),43886.66666666667)</f>
        <v>43886.66667</v>
      </c>
      <c r="T576" s="9">
        <f>IFERROR(__xludf.DUMMYFUNCTION("""COMPUTED_VALUE"""),196.77)</f>
        <v>196.77</v>
      </c>
      <c r="V576" s="11">
        <f>IFERROR(__xludf.DUMMYFUNCTION("""COMPUTED_VALUE"""),43886.66666666667)</f>
        <v>43886.66667</v>
      </c>
      <c r="W576" s="9">
        <f>IFERROR(__xludf.DUMMYFUNCTION("""COMPUTED_VALUE"""),372.0)</f>
        <v>372</v>
      </c>
      <c r="X576" s="11">
        <f>IFERROR(__xludf.DUMMYFUNCTION("""COMPUTED_VALUE"""),43886.66666666667)</f>
        <v>43886.66667</v>
      </c>
      <c r="Y576" s="9">
        <f>IFERROR(__xludf.DUMMYFUNCTION("""COMPUTED_VALUE"""),360.09)</f>
        <v>360.09</v>
      </c>
      <c r="AA576" s="11">
        <f>IFERROR(__xludf.DUMMYFUNCTION("""COMPUTED_VALUE"""),43886.66666666667)</f>
        <v>43886.66667</v>
      </c>
      <c r="AB576" s="9">
        <f>IFERROR(__xludf.DUMMYFUNCTION("""COMPUTED_VALUE"""),2026.42)</f>
        <v>2026.42</v>
      </c>
      <c r="AC576" s="11">
        <f>IFERROR(__xludf.DUMMYFUNCTION("""COMPUTED_VALUE"""),43886.66666666667)</f>
        <v>43886.66667</v>
      </c>
      <c r="AD576" s="9">
        <f>IFERROR(__xludf.DUMMYFUNCTION("""COMPUTED_VALUE"""),1972.74)</f>
        <v>1972.74</v>
      </c>
    </row>
    <row r="577">
      <c r="B577" s="11">
        <f>IFERROR(__xludf.DUMMYFUNCTION("""COMPUTED_VALUE"""),43887.66666666667)</f>
        <v>43887.66667</v>
      </c>
      <c r="C577" s="9">
        <f>IFERROR(__xludf.DUMMYFUNCTION("""COMPUTED_VALUE"""),156.5)</f>
        <v>156.5</v>
      </c>
      <c r="D577" s="11">
        <f>IFERROR(__xludf.DUMMYFUNCTION("""COMPUTED_VALUE"""),43887.66666666667)</f>
        <v>43887.66667</v>
      </c>
      <c r="E577" s="9">
        <f>IFERROR(__xludf.DUMMYFUNCTION("""COMPUTED_VALUE"""),155.76)</f>
        <v>155.76</v>
      </c>
      <c r="G577" s="11">
        <f>IFERROR(__xludf.DUMMYFUNCTION("""COMPUTED_VALUE"""),43887.66666666667)</f>
        <v>43887.66667</v>
      </c>
      <c r="H577" s="9">
        <f>IFERROR(__xludf.DUMMYFUNCTION("""COMPUTED_VALUE"""),1396.14)</f>
        <v>1396.14</v>
      </c>
      <c r="I577" s="11">
        <f>IFERROR(__xludf.DUMMYFUNCTION("""COMPUTED_VALUE"""),43887.66666666667)</f>
        <v>43887.66667</v>
      </c>
      <c r="J577" s="9">
        <f>IFERROR(__xludf.DUMMYFUNCTION("""COMPUTED_VALUE"""),1393.18)</f>
        <v>1393.18</v>
      </c>
      <c r="L577" s="11">
        <f>IFERROR(__xludf.DUMMYFUNCTION("""COMPUTED_VALUE"""),43887.66666666667)</f>
        <v>43887.66667</v>
      </c>
      <c r="M577" s="9">
        <f>IFERROR(__xludf.DUMMYFUNCTION("""COMPUTED_VALUE"""),71.63)</f>
        <v>71.63</v>
      </c>
      <c r="N577" s="11">
        <f>IFERROR(__xludf.DUMMYFUNCTION("""COMPUTED_VALUE"""),43887.66666666667)</f>
        <v>43887.66667</v>
      </c>
      <c r="O577" s="9">
        <f>IFERROR(__xludf.DUMMYFUNCTION("""COMPUTED_VALUE"""),73.16)</f>
        <v>73.16</v>
      </c>
      <c r="Q577" s="11">
        <f>IFERROR(__xludf.DUMMYFUNCTION("""COMPUTED_VALUE"""),43887.66666666667)</f>
        <v>43887.66667</v>
      </c>
      <c r="R577" s="9">
        <f>IFERROR(__xludf.DUMMYFUNCTION("""COMPUTED_VALUE"""),197.19)</f>
        <v>197.19</v>
      </c>
      <c r="S577" s="11">
        <f>IFERROR(__xludf.DUMMYFUNCTION("""COMPUTED_VALUE"""),43887.66666666667)</f>
        <v>43887.66667</v>
      </c>
      <c r="T577" s="9">
        <f>IFERROR(__xludf.DUMMYFUNCTION("""COMPUTED_VALUE"""),197.2)</f>
        <v>197.2</v>
      </c>
      <c r="V577" s="11">
        <f>IFERROR(__xludf.DUMMYFUNCTION("""COMPUTED_VALUE"""),43887.66666666667)</f>
        <v>43887.66667</v>
      </c>
      <c r="W577" s="9">
        <f>IFERROR(__xludf.DUMMYFUNCTION("""COMPUTED_VALUE"""),366.31)</f>
        <v>366.31</v>
      </c>
      <c r="X577" s="11">
        <f>IFERROR(__xludf.DUMMYFUNCTION("""COMPUTED_VALUE"""),43887.66666666667)</f>
        <v>43887.66667</v>
      </c>
      <c r="Y577" s="9">
        <f>IFERROR(__xludf.DUMMYFUNCTION("""COMPUTED_VALUE"""),379.24)</f>
        <v>379.24</v>
      </c>
      <c r="AA577" s="11">
        <f>IFERROR(__xludf.DUMMYFUNCTION("""COMPUTED_VALUE"""),43887.66666666667)</f>
        <v>43887.66667</v>
      </c>
      <c r="AB577" s="9">
        <f>IFERROR(__xludf.DUMMYFUNCTION("""COMPUTED_VALUE"""),1970.28)</f>
        <v>1970.28</v>
      </c>
      <c r="AC577" s="11">
        <f>IFERROR(__xludf.DUMMYFUNCTION("""COMPUTED_VALUE"""),43887.66666666667)</f>
        <v>43887.66667</v>
      </c>
      <c r="AD577" s="9">
        <f>IFERROR(__xludf.DUMMYFUNCTION("""COMPUTED_VALUE"""),1979.59)</f>
        <v>1979.59</v>
      </c>
    </row>
    <row r="578">
      <c r="B578" s="11">
        <f>IFERROR(__xludf.DUMMYFUNCTION("""COMPUTED_VALUE"""),43888.66666666667)</f>
        <v>43888.66667</v>
      </c>
      <c r="C578" s="9">
        <f>IFERROR(__xludf.DUMMYFUNCTION("""COMPUTED_VALUE"""),146.0)</f>
        <v>146</v>
      </c>
      <c r="D578" s="11">
        <f>IFERROR(__xludf.DUMMYFUNCTION("""COMPUTED_VALUE"""),43888.66666666667)</f>
        <v>43888.66667</v>
      </c>
      <c r="E578" s="9">
        <f>IFERROR(__xludf.DUMMYFUNCTION("""COMPUTED_VALUE"""),135.8)</f>
        <v>135.8</v>
      </c>
      <c r="G578" s="11">
        <f>IFERROR(__xludf.DUMMYFUNCTION("""COMPUTED_VALUE"""),43888.66666666667)</f>
        <v>43888.66667</v>
      </c>
      <c r="H578" s="9">
        <f>IFERROR(__xludf.DUMMYFUNCTION("""COMPUTED_VALUE"""),1362.06)</f>
        <v>1362.06</v>
      </c>
      <c r="I578" s="11">
        <f>IFERROR(__xludf.DUMMYFUNCTION("""COMPUTED_VALUE"""),43888.66666666667)</f>
        <v>43888.66667</v>
      </c>
      <c r="J578" s="9">
        <f>IFERROR(__xludf.DUMMYFUNCTION("""COMPUTED_VALUE"""),1318.09)</f>
        <v>1318.09</v>
      </c>
      <c r="L578" s="11">
        <f>IFERROR(__xludf.DUMMYFUNCTION("""COMPUTED_VALUE"""),43888.66666666667)</f>
        <v>43888.66667</v>
      </c>
      <c r="M578" s="9">
        <f>IFERROR(__xludf.DUMMYFUNCTION("""COMPUTED_VALUE"""),70.28)</f>
        <v>70.28</v>
      </c>
      <c r="N578" s="11">
        <f>IFERROR(__xludf.DUMMYFUNCTION("""COMPUTED_VALUE"""),43888.66666666667)</f>
        <v>43888.66667</v>
      </c>
      <c r="O578" s="9">
        <f>IFERROR(__xludf.DUMMYFUNCTION("""COMPUTED_VALUE"""),68.38)</f>
        <v>68.38</v>
      </c>
      <c r="Q578" s="11">
        <f>IFERROR(__xludf.DUMMYFUNCTION("""COMPUTED_VALUE"""),43888.66666666667)</f>
        <v>43888.66667</v>
      </c>
      <c r="R578" s="9">
        <f>IFERROR(__xludf.DUMMYFUNCTION("""COMPUTED_VALUE"""),191.82)</f>
        <v>191.82</v>
      </c>
      <c r="S578" s="11">
        <f>IFERROR(__xludf.DUMMYFUNCTION("""COMPUTED_VALUE"""),43888.66666666667)</f>
        <v>43888.66667</v>
      </c>
      <c r="T578" s="9">
        <f>IFERROR(__xludf.DUMMYFUNCTION("""COMPUTED_VALUE"""),189.75)</f>
        <v>189.75</v>
      </c>
      <c r="V578" s="11">
        <f>IFERROR(__xludf.DUMMYFUNCTION("""COMPUTED_VALUE"""),43888.66666666667)</f>
        <v>43888.66667</v>
      </c>
      <c r="W578" s="9">
        <f>IFERROR(__xludf.DUMMYFUNCTION("""COMPUTED_VALUE"""),371.46)</f>
        <v>371.46</v>
      </c>
      <c r="X578" s="11">
        <f>IFERROR(__xludf.DUMMYFUNCTION("""COMPUTED_VALUE"""),43888.66666666667)</f>
        <v>43888.66667</v>
      </c>
      <c r="Y578" s="9">
        <f>IFERROR(__xludf.DUMMYFUNCTION("""COMPUTED_VALUE"""),371.71)</f>
        <v>371.71</v>
      </c>
      <c r="AA578" s="11">
        <f>IFERROR(__xludf.DUMMYFUNCTION("""COMPUTED_VALUE"""),43888.66666666667)</f>
        <v>43888.66667</v>
      </c>
      <c r="AB578" s="9">
        <f>IFERROR(__xludf.DUMMYFUNCTION("""COMPUTED_VALUE"""),1934.38)</f>
        <v>1934.38</v>
      </c>
      <c r="AC578" s="11">
        <f>IFERROR(__xludf.DUMMYFUNCTION("""COMPUTED_VALUE"""),43888.66666666667)</f>
        <v>43888.66667</v>
      </c>
      <c r="AD578" s="9">
        <f>IFERROR(__xludf.DUMMYFUNCTION("""COMPUTED_VALUE"""),1884.3)</f>
        <v>1884.3</v>
      </c>
    </row>
    <row r="579">
      <c r="B579" s="11">
        <f>IFERROR(__xludf.DUMMYFUNCTION("""COMPUTED_VALUE"""),43889.66666666667)</f>
        <v>43889.66667</v>
      </c>
      <c r="C579" s="9">
        <f>IFERROR(__xludf.DUMMYFUNCTION("""COMPUTED_VALUE"""),125.94)</f>
        <v>125.94</v>
      </c>
      <c r="D579" s="11">
        <f>IFERROR(__xludf.DUMMYFUNCTION("""COMPUTED_VALUE"""),43889.66666666667)</f>
        <v>43889.66667</v>
      </c>
      <c r="E579" s="9">
        <f>IFERROR(__xludf.DUMMYFUNCTION("""COMPUTED_VALUE"""),133.6)</f>
        <v>133.6</v>
      </c>
      <c r="G579" s="11">
        <f>IFERROR(__xludf.DUMMYFUNCTION("""COMPUTED_VALUE"""),43889.66666666667)</f>
        <v>43889.66667</v>
      </c>
      <c r="H579" s="9">
        <f>IFERROR(__xludf.DUMMYFUNCTION("""COMPUTED_VALUE"""),1277.5)</f>
        <v>1277.5</v>
      </c>
      <c r="I579" s="11">
        <f>IFERROR(__xludf.DUMMYFUNCTION("""COMPUTED_VALUE"""),43889.66666666667)</f>
        <v>43889.66667</v>
      </c>
      <c r="J579" s="9">
        <f>IFERROR(__xludf.DUMMYFUNCTION("""COMPUTED_VALUE"""),1339.33)</f>
        <v>1339.33</v>
      </c>
      <c r="L579" s="11">
        <f>IFERROR(__xludf.DUMMYFUNCTION("""COMPUTED_VALUE"""),43889.66666666667)</f>
        <v>43889.66667</v>
      </c>
      <c r="M579" s="9">
        <f>IFERROR(__xludf.DUMMYFUNCTION("""COMPUTED_VALUE"""),64.32)</f>
        <v>64.32</v>
      </c>
      <c r="N579" s="11">
        <f>IFERROR(__xludf.DUMMYFUNCTION("""COMPUTED_VALUE"""),43889.66666666667)</f>
        <v>43889.66667</v>
      </c>
      <c r="O579" s="9">
        <f>IFERROR(__xludf.DUMMYFUNCTION("""COMPUTED_VALUE"""),68.34)</f>
        <v>68.34</v>
      </c>
      <c r="Q579" s="11">
        <f>IFERROR(__xludf.DUMMYFUNCTION("""COMPUTED_VALUE"""),43889.66666666667)</f>
        <v>43889.66667</v>
      </c>
      <c r="R579" s="9">
        <f>IFERROR(__xludf.DUMMYFUNCTION("""COMPUTED_VALUE"""),182.7)</f>
        <v>182.7</v>
      </c>
      <c r="S579" s="11">
        <f>IFERROR(__xludf.DUMMYFUNCTION("""COMPUTED_VALUE"""),43889.66666666667)</f>
        <v>43889.66667</v>
      </c>
      <c r="T579" s="9">
        <f>IFERROR(__xludf.DUMMYFUNCTION("""COMPUTED_VALUE"""),192.47)</f>
        <v>192.47</v>
      </c>
      <c r="V579" s="11">
        <f>IFERROR(__xludf.DUMMYFUNCTION("""COMPUTED_VALUE"""),43889.66666666667)</f>
        <v>43889.66667</v>
      </c>
      <c r="W579" s="9">
        <f>IFERROR(__xludf.DUMMYFUNCTION("""COMPUTED_VALUE"""),364.21)</f>
        <v>364.21</v>
      </c>
      <c r="X579" s="11">
        <f>IFERROR(__xludf.DUMMYFUNCTION("""COMPUTED_VALUE"""),43889.66666666667)</f>
        <v>43889.66667</v>
      </c>
      <c r="Y579" s="9">
        <f>IFERROR(__xludf.DUMMYFUNCTION("""COMPUTED_VALUE"""),369.03)</f>
        <v>369.03</v>
      </c>
      <c r="AA579" s="11">
        <f>IFERROR(__xludf.DUMMYFUNCTION("""COMPUTED_VALUE"""),43889.66666666667)</f>
        <v>43889.66667</v>
      </c>
      <c r="AB579" s="9">
        <f>IFERROR(__xludf.DUMMYFUNCTION("""COMPUTED_VALUE"""),1814.63)</f>
        <v>1814.63</v>
      </c>
      <c r="AC579" s="11">
        <f>IFERROR(__xludf.DUMMYFUNCTION("""COMPUTED_VALUE"""),43889.66666666667)</f>
        <v>43889.66667</v>
      </c>
      <c r="AD579" s="9">
        <f>IFERROR(__xludf.DUMMYFUNCTION("""COMPUTED_VALUE"""),1883.75)</f>
        <v>1883.75</v>
      </c>
    </row>
    <row r="580">
      <c r="B580" s="11">
        <f>IFERROR(__xludf.DUMMYFUNCTION("""COMPUTED_VALUE"""),43892.66666666667)</f>
        <v>43892.66667</v>
      </c>
      <c r="C580" s="9">
        <f>IFERROR(__xludf.DUMMYFUNCTION("""COMPUTED_VALUE"""),142.25)</f>
        <v>142.25</v>
      </c>
      <c r="D580" s="11">
        <f>IFERROR(__xludf.DUMMYFUNCTION("""COMPUTED_VALUE"""),43892.66666666667)</f>
        <v>43892.66667</v>
      </c>
      <c r="E580" s="9">
        <f>IFERROR(__xludf.DUMMYFUNCTION("""COMPUTED_VALUE"""),148.72)</f>
        <v>148.72</v>
      </c>
      <c r="G580" s="11">
        <f>IFERROR(__xludf.DUMMYFUNCTION("""COMPUTED_VALUE"""),43892.66666666667)</f>
        <v>43892.66667</v>
      </c>
      <c r="H580" s="9">
        <f>IFERROR(__xludf.DUMMYFUNCTION("""COMPUTED_VALUE"""),1351.61)</f>
        <v>1351.61</v>
      </c>
      <c r="I580" s="11">
        <f>IFERROR(__xludf.DUMMYFUNCTION("""COMPUTED_VALUE"""),43892.66666666667)</f>
        <v>43892.66667</v>
      </c>
      <c r="J580" s="9">
        <f>IFERROR(__xludf.DUMMYFUNCTION("""COMPUTED_VALUE"""),1389.11)</f>
        <v>1389.11</v>
      </c>
      <c r="L580" s="11">
        <f>IFERROR(__xludf.DUMMYFUNCTION("""COMPUTED_VALUE"""),43892.66666666667)</f>
        <v>43892.66667</v>
      </c>
      <c r="M580" s="9">
        <f>IFERROR(__xludf.DUMMYFUNCTION("""COMPUTED_VALUE"""),70.57)</f>
        <v>70.57</v>
      </c>
      <c r="N580" s="11">
        <f>IFERROR(__xludf.DUMMYFUNCTION("""COMPUTED_VALUE"""),43892.66666666667)</f>
        <v>43892.66667</v>
      </c>
      <c r="O580" s="9">
        <f>IFERROR(__xludf.DUMMYFUNCTION("""COMPUTED_VALUE"""),74.7)</f>
        <v>74.7</v>
      </c>
      <c r="Q580" s="11">
        <f>IFERROR(__xludf.DUMMYFUNCTION("""COMPUTED_VALUE"""),43892.66666666667)</f>
        <v>43892.66667</v>
      </c>
      <c r="R580" s="9">
        <f>IFERROR(__xludf.DUMMYFUNCTION("""COMPUTED_VALUE"""),194.03)</f>
        <v>194.03</v>
      </c>
      <c r="S580" s="11">
        <f>IFERROR(__xludf.DUMMYFUNCTION("""COMPUTED_VALUE"""),43892.66666666667)</f>
        <v>43892.66667</v>
      </c>
      <c r="T580" s="9">
        <f>IFERROR(__xludf.DUMMYFUNCTION("""COMPUTED_VALUE"""),196.44)</f>
        <v>196.44</v>
      </c>
      <c r="V580" s="11">
        <f>IFERROR(__xludf.DUMMYFUNCTION("""COMPUTED_VALUE"""),43892.66666666667)</f>
        <v>43892.66667</v>
      </c>
      <c r="W580" s="9">
        <f>IFERROR(__xludf.DUMMYFUNCTION("""COMPUTED_VALUE"""),373.11)</f>
        <v>373.11</v>
      </c>
      <c r="X580" s="11">
        <f>IFERROR(__xludf.DUMMYFUNCTION("""COMPUTED_VALUE"""),43892.66666666667)</f>
        <v>43892.66667</v>
      </c>
      <c r="Y580" s="9">
        <f>IFERROR(__xludf.DUMMYFUNCTION("""COMPUTED_VALUE"""),381.05)</f>
        <v>381.05</v>
      </c>
      <c r="AA580" s="11">
        <f>IFERROR(__xludf.DUMMYFUNCTION("""COMPUTED_VALUE"""),43892.66666666667)</f>
        <v>43892.66667</v>
      </c>
      <c r="AB580" s="9">
        <f>IFERROR(__xludf.DUMMYFUNCTION("""COMPUTED_VALUE"""),1906.49)</f>
        <v>1906.49</v>
      </c>
      <c r="AC580" s="11">
        <f>IFERROR(__xludf.DUMMYFUNCTION("""COMPUTED_VALUE"""),43892.66666666667)</f>
        <v>43892.66667</v>
      </c>
      <c r="AD580" s="9">
        <f>IFERROR(__xludf.DUMMYFUNCTION("""COMPUTED_VALUE"""),1953.95)</f>
        <v>1953.95</v>
      </c>
    </row>
    <row r="581">
      <c r="B581" s="11">
        <f>IFERROR(__xludf.DUMMYFUNCTION("""COMPUTED_VALUE"""),43893.66666666667)</f>
        <v>43893.66667</v>
      </c>
      <c r="C581" s="9">
        <f>IFERROR(__xludf.DUMMYFUNCTION("""COMPUTED_VALUE"""),161.0)</f>
        <v>161</v>
      </c>
      <c r="D581" s="11">
        <f>IFERROR(__xludf.DUMMYFUNCTION("""COMPUTED_VALUE"""),43893.66666666667)</f>
        <v>43893.66667</v>
      </c>
      <c r="E581" s="9">
        <f>IFERROR(__xludf.DUMMYFUNCTION("""COMPUTED_VALUE"""),149.1)</f>
        <v>149.1</v>
      </c>
      <c r="G581" s="11">
        <f>IFERROR(__xludf.DUMMYFUNCTION("""COMPUTED_VALUE"""),43893.66666666667)</f>
        <v>43893.66667</v>
      </c>
      <c r="H581" s="9">
        <f>IFERROR(__xludf.DUMMYFUNCTION("""COMPUTED_VALUE"""),1399.42)</f>
        <v>1399.42</v>
      </c>
      <c r="I581" s="11">
        <f>IFERROR(__xludf.DUMMYFUNCTION("""COMPUTED_VALUE"""),43893.66666666667)</f>
        <v>43893.66667</v>
      </c>
      <c r="J581" s="9">
        <f>IFERROR(__xludf.DUMMYFUNCTION("""COMPUTED_VALUE"""),1341.39)</f>
        <v>1341.39</v>
      </c>
      <c r="L581" s="11">
        <f>IFERROR(__xludf.DUMMYFUNCTION("""COMPUTED_VALUE"""),43893.66666666667)</f>
        <v>43893.66667</v>
      </c>
      <c r="M581" s="9">
        <f>IFERROR(__xludf.DUMMYFUNCTION("""COMPUTED_VALUE"""),75.92)</f>
        <v>75.92</v>
      </c>
      <c r="N581" s="11">
        <f>IFERROR(__xludf.DUMMYFUNCTION("""COMPUTED_VALUE"""),43893.66666666667)</f>
        <v>43893.66667</v>
      </c>
      <c r="O581" s="9">
        <f>IFERROR(__xludf.DUMMYFUNCTION("""COMPUTED_VALUE"""),72.33)</f>
        <v>72.33</v>
      </c>
      <c r="Q581" s="11">
        <f>IFERROR(__xludf.DUMMYFUNCTION("""COMPUTED_VALUE"""),43893.66666666667)</f>
        <v>43893.66667</v>
      </c>
      <c r="R581" s="9">
        <f>IFERROR(__xludf.DUMMYFUNCTION("""COMPUTED_VALUE"""),196.22)</f>
        <v>196.22</v>
      </c>
      <c r="S581" s="11">
        <f>IFERROR(__xludf.DUMMYFUNCTION("""COMPUTED_VALUE"""),43893.66666666667)</f>
        <v>43893.66667</v>
      </c>
      <c r="T581" s="9">
        <f>IFERROR(__xludf.DUMMYFUNCTION("""COMPUTED_VALUE"""),185.89)</f>
        <v>185.89</v>
      </c>
      <c r="V581" s="11">
        <f>IFERROR(__xludf.DUMMYFUNCTION("""COMPUTED_VALUE"""),43893.66666666667)</f>
        <v>43893.66667</v>
      </c>
      <c r="W581" s="9">
        <f>IFERROR(__xludf.DUMMYFUNCTION("""COMPUTED_VALUE"""),381.03)</f>
        <v>381.03</v>
      </c>
      <c r="X581" s="11">
        <f>IFERROR(__xludf.DUMMYFUNCTION("""COMPUTED_VALUE"""),43893.66666666667)</f>
        <v>43893.66667</v>
      </c>
      <c r="Y581" s="9">
        <f>IFERROR(__xludf.DUMMYFUNCTION("""COMPUTED_VALUE"""),368.77)</f>
        <v>368.77</v>
      </c>
      <c r="AA581" s="11">
        <f>IFERROR(__xludf.DUMMYFUNCTION("""COMPUTED_VALUE"""),43893.66666666667)</f>
        <v>43893.66667</v>
      </c>
      <c r="AB581" s="9">
        <f>IFERROR(__xludf.DUMMYFUNCTION("""COMPUTED_VALUE"""),1975.37)</f>
        <v>1975.37</v>
      </c>
      <c r="AC581" s="11">
        <f>IFERROR(__xludf.DUMMYFUNCTION("""COMPUTED_VALUE"""),43893.66666666667)</f>
        <v>43893.66667</v>
      </c>
      <c r="AD581" s="9">
        <f>IFERROR(__xludf.DUMMYFUNCTION("""COMPUTED_VALUE"""),1908.99)</f>
        <v>1908.99</v>
      </c>
    </row>
    <row r="582">
      <c r="B582" s="11">
        <f>IFERROR(__xludf.DUMMYFUNCTION("""COMPUTED_VALUE"""),43894.66666666667)</f>
        <v>43894.66667</v>
      </c>
      <c r="C582" s="9">
        <f>IFERROR(__xludf.DUMMYFUNCTION("""COMPUTED_VALUE"""),152.79)</f>
        <v>152.79</v>
      </c>
      <c r="D582" s="11">
        <f>IFERROR(__xludf.DUMMYFUNCTION("""COMPUTED_VALUE"""),43894.66666666667)</f>
        <v>43894.66667</v>
      </c>
      <c r="E582" s="9">
        <f>IFERROR(__xludf.DUMMYFUNCTION("""COMPUTED_VALUE"""),149.9)</f>
        <v>149.9</v>
      </c>
      <c r="G582" s="11">
        <f>IFERROR(__xludf.DUMMYFUNCTION("""COMPUTED_VALUE"""),43894.66666666667)</f>
        <v>43894.66667</v>
      </c>
      <c r="H582" s="9">
        <f>IFERROR(__xludf.DUMMYFUNCTION("""COMPUTED_VALUE"""),1359.23)</f>
        <v>1359.23</v>
      </c>
      <c r="I582" s="11">
        <f>IFERROR(__xludf.DUMMYFUNCTION("""COMPUTED_VALUE"""),43894.66666666667)</f>
        <v>43894.66667</v>
      </c>
      <c r="J582" s="9">
        <f>IFERROR(__xludf.DUMMYFUNCTION("""COMPUTED_VALUE"""),1386.52)</f>
        <v>1386.52</v>
      </c>
      <c r="L582" s="11">
        <f>IFERROR(__xludf.DUMMYFUNCTION("""COMPUTED_VALUE"""),43894.66666666667)</f>
        <v>43894.66667</v>
      </c>
      <c r="M582" s="9">
        <f>IFERROR(__xludf.DUMMYFUNCTION("""COMPUTED_VALUE"""),74.11)</f>
        <v>74.11</v>
      </c>
      <c r="N582" s="11">
        <f>IFERROR(__xludf.DUMMYFUNCTION("""COMPUTED_VALUE"""),43894.66666666667)</f>
        <v>43894.66667</v>
      </c>
      <c r="O582" s="9">
        <f>IFERROR(__xludf.DUMMYFUNCTION("""COMPUTED_VALUE"""),75.69)</f>
        <v>75.69</v>
      </c>
      <c r="Q582" s="11">
        <f>IFERROR(__xludf.DUMMYFUNCTION("""COMPUTED_VALUE"""),43894.66666666667)</f>
        <v>43894.66667</v>
      </c>
      <c r="R582" s="9">
        <f>IFERROR(__xludf.DUMMYFUNCTION("""COMPUTED_VALUE"""),189.17)</f>
        <v>189.17</v>
      </c>
      <c r="S582" s="11">
        <f>IFERROR(__xludf.DUMMYFUNCTION("""COMPUTED_VALUE"""),43894.66666666667)</f>
        <v>43894.66667</v>
      </c>
      <c r="T582" s="9">
        <f>IFERROR(__xludf.DUMMYFUNCTION("""COMPUTED_VALUE"""),191.76)</f>
        <v>191.76</v>
      </c>
      <c r="V582" s="11">
        <f>IFERROR(__xludf.DUMMYFUNCTION("""COMPUTED_VALUE"""),43894.66666666667)</f>
        <v>43894.66667</v>
      </c>
      <c r="W582" s="9">
        <f>IFERROR(__xludf.DUMMYFUNCTION("""COMPUTED_VALUE"""),377.77)</f>
        <v>377.77</v>
      </c>
      <c r="X582" s="11">
        <f>IFERROR(__xludf.DUMMYFUNCTION("""COMPUTED_VALUE"""),43894.66666666667)</f>
        <v>43894.66667</v>
      </c>
      <c r="Y582" s="9">
        <f>IFERROR(__xludf.DUMMYFUNCTION("""COMPUTED_VALUE"""),383.79)</f>
        <v>383.79</v>
      </c>
      <c r="AA582" s="11">
        <f>IFERROR(__xludf.DUMMYFUNCTION("""COMPUTED_VALUE"""),43894.66666666667)</f>
        <v>43894.66667</v>
      </c>
      <c r="AB582" s="9">
        <f>IFERROR(__xludf.DUMMYFUNCTION("""COMPUTED_VALUE"""),1946.57)</f>
        <v>1946.57</v>
      </c>
      <c r="AC582" s="11">
        <f>IFERROR(__xludf.DUMMYFUNCTION("""COMPUTED_VALUE"""),43894.66666666667)</f>
        <v>43894.66667</v>
      </c>
      <c r="AD582" s="9">
        <f>IFERROR(__xludf.DUMMYFUNCTION("""COMPUTED_VALUE"""),1975.83)</f>
        <v>1975.83</v>
      </c>
    </row>
    <row r="583">
      <c r="B583" s="11">
        <f>IFERROR(__xludf.DUMMYFUNCTION("""COMPUTED_VALUE"""),43895.66666666667)</f>
        <v>43895.66667</v>
      </c>
      <c r="C583" s="9">
        <f>IFERROR(__xludf.DUMMYFUNCTION("""COMPUTED_VALUE"""),144.75)</f>
        <v>144.75</v>
      </c>
      <c r="D583" s="11">
        <f>IFERROR(__xludf.DUMMYFUNCTION("""COMPUTED_VALUE"""),43895.66666666667)</f>
        <v>43895.66667</v>
      </c>
      <c r="E583" s="9">
        <f>IFERROR(__xludf.DUMMYFUNCTION("""COMPUTED_VALUE"""),144.91)</f>
        <v>144.91</v>
      </c>
      <c r="G583" s="11">
        <f>IFERROR(__xludf.DUMMYFUNCTION("""COMPUTED_VALUE"""),43895.66666666667)</f>
        <v>43895.66667</v>
      </c>
      <c r="H583" s="9">
        <f>IFERROR(__xludf.DUMMYFUNCTION("""COMPUTED_VALUE"""),1350.2)</f>
        <v>1350.2</v>
      </c>
      <c r="I583" s="11">
        <f>IFERROR(__xludf.DUMMYFUNCTION("""COMPUTED_VALUE"""),43895.66666666667)</f>
        <v>43895.66667</v>
      </c>
      <c r="J583" s="9">
        <f>IFERROR(__xludf.DUMMYFUNCTION("""COMPUTED_VALUE"""),1319.04)</f>
        <v>1319.04</v>
      </c>
      <c r="L583" s="11">
        <f>IFERROR(__xludf.DUMMYFUNCTION("""COMPUTED_VALUE"""),43895.66666666667)</f>
        <v>43895.66667</v>
      </c>
      <c r="M583" s="9">
        <f>IFERROR(__xludf.DUMMYFUNCTION("""COMPUTED_VALUE"""),73.88)</f>
        <v>73.88</v>
      </c>
      <c r="N583" s="11">
        <f>IFERROR(__xludf.DUMMYFUNCTION("""COMPUTED_VALUE"""),43895.66666666667)</f>
        <v>43895.66667</v>
      </c>
      <c r="O583" s="9">
        <f>IFERROR(__xludf.DUMMYFUNCTION("""COMPUTED_VALUE"""),73.23)</f>
        <v>73.23</v>
      </c>
      <c r="Q583" s="11">
        <f>IFERROR(__xludf.DUMMYFUNCTION("""COMPUTED_VALUE"""),43895.66666666667)</f>
        <v>43895.66667</v>
      </c>
      <c r="R583" s="9">
        <f>IFERROR(__xludf.DUMMYFUNCTION("""COMPUTED_VALUE"""),186.78)</f>
        <v>186.78</v>
      </c>
      <c r="S583" s="11">
        <f>IFERROR(__xludf.DUMMYFUNCTION("""COMPUTED_VALUE"""),43895.66666666667)</f>
        <v>43895.66667</v>
      </c>
      <c r="T583" s="9">
        <f>IFERROR(__xludf.DUMMYFUNCTION("""COMPUTED_VALUE"""),185.17)</f>
        <v>185.17</v>
      </c>
      <c r="V583" s="11">
        <f>IFERROR(__xludf.DUMMYFUNCTION("""COMPUTED_VALUE"""),43895.66666666667)</f>
        <v>43895.66667</v>
      </c>
      <c r="W583" s="9">
        <f>IFERROR(__xludf.DUMMYFUNCTION("""COMPUTED_VALUE"""),381.0)</f>
        <v>381</v>
      </c>
      <c r="X583" s="11">
        <f>IFERROR(__xludf.DUMMYFUNCTION("""COMPUTED_VALUE"""),43895.66666666667)</f>
        <v>43895.66667</v>
      </c>
      <c r="Y583" s="9">
        <f>IFERROR(__xludf.DUMMYFUNCTION("""COMPUTED_VALUE"""),372.78)</f>
        <v>372.78</v>
      </c>
      <c r="AA583" s="11">
        <f>IFERROR(__xludf.DUMMYFUNCTION("""COMPUTED_VALUE"""),43895.66666666667)</f>
        <v>43895.66667</v>
      </c>
      <c r="AB583" s="9">
        <f>IFERROR(__xludf.DUMMYFUNCTION("""COMPUTED_VALUE"""),1933.0)</f>
        <v>1933</v>
      </c>
      <c r="AC583" s="11">
        <f>IFERROR(__xludf.DUMMYFUNCTION("""COMPUTED_VALUE"""),43895.66666666667)</f>
        <v>43895.66667</v>
      </c>
      <c r="AD583" s="9">
        <f>IFERROR(__xludf.DUMMYFUNCTION("""COMPUTED_VALUE"""),1924.03)</f>
        <v>1924.03</v>
      </c>
    </row>
    <row r="584">
      <c r="B584" s="11">
        <f>IFERROR(__xludf.DUMMYFUNCTION("""COMPUTED_VALUE"""),43896.66666666667)</f>
        <v>43896.66667</v>
      </c>
      <c r="C584" s="9">
        <f>IFERROR(__xludf.DUMMYFUNCTION("""COMPUTED_VALUE"""),138.0)</f>
        <v>138</v>
      </c>
      <c r="D584" s="11">
        <f>IFERROR(__xludf.DUMMYFUNCTION("""COMPUTED_VALUE"""),43896.66666666667)</f>
        <v>43896.66667</v>
      </c>
      <c r="E584" s="9">
        <f>IFERROR(__xludf.DUMMYFUNCTION("""COMPUTED_VALUE"""),140.7)</f>
        <v>140.7</v>
      </c>
      <c r="G584" s="11">
        <f>IFERROR(__xludf.DUMMYFUNCTION("""COMPUTED_VALUE"""),43896.66666666667)</f>
        <v>43896.66667</v>
      </c>
      <c r="H584" s="9">
        <f>IFERROR(__xludf.DUMMYFUNCTION("""COMPUTED_VALUE"""),1277.06)</f>
        <v>1277.06</v>
      </c>
      <c r="I584" s="11">
        <f>IFERROR(__xludf.DUMMYFUNCTION("""COMPUTED_VALUE"""),43896.66666666667)</f>
        <v>43896.66667</v>
      </c>
      <c r="J584" s="9">
        <f>IFERROR(__xludf.DUMMYFUNCTION("""COMPUTED_VALUE"""),1298.41)</f>
        <v>1298.41</v>
      </c>
      <c r="L584" s="11">
        <f>IFERROR(__xludf.DUMMYFUNCTION("""COMPUTED_VALUE"""),43896.66666666667)</f>
        <v>43896.66667</v>
      </c>
      <c r="M584" s="9">
        <f>IFERROR(__xludf.DUMMYFUNCTION("""COMPUTED_VALUE"""),70.5)</f>
        <v>70.5</v>
      </c>
      <c r="N584" s="11">
        <f>IFERROR(__xludf.DUMMYFUNCTION("""COMPUTED_VALUE"""),43896.66666666667)</f>
        <v>43896.66667</v>
      </c>
      <c r="O584" s="9">
        <f>IFERROR(__xludf.DUMMYFUNCTION("""COMPUTED_VALUE"""),72.26)</f>
        <v>72.26</v>
      </c>
      <c r="Q584" s="11">
        <f>IFERROR(__xludf.DUMMYFUNCTION("""COMPUTED_VALUE"""),43896.66666666667)</f>
        <v>43896.66667</v>
      </c>
      <c r="R584" s="9">
        <f>IFERROR(__xludf.DUMMYFUNCTION("""COMPUTED_VALUE"""),178.33)</f>
        <v>178.33</v>
      </c>
      <c r="S584" s="11">
        <f>IFERROR(__xludf.DUMMYFUNCTION("""COMPUTED_VALUE"""),43896.66666666667)</f>
        <v>43896.66667</v>
      </c>
      <c r="T584" s="9">
        <f>IFERROR(__xludf.DUMMYFUNCTION("""COMPUTED_VALUE"""),181.09)</f>
        <v>181.09</v>
      </c>
      <c r="V584" s="11">
        <f>IFERROR(__xludf.DUMMYFUNCTION("""COMPUTED_VALUE"""),43896.66666666667)</f>
        <v>43896.66667</v>
      </c>
      <c r="W584" s="9">
        <f>IFERROR(__xludf.DUMMYFUNCTION("""COMPUTED_VALUE"""),367.7)</f>
        <v>367.7</v>
      </c>
      <c r="X584" s="11">
        <f>IFERROR(__xludf.DUMMYFUNCTION("""COMPUTED_VALUE"""),43896.66666666667)</f>
        <v>43896.66667</v>
      </c>
      <c r="Y584" s="9">
        <f>IFERROR(__xludf.DUMMYFUNCTION("""COMPUTED_VALUE"""),368.97)</f>
        <v>368.97</v>
      </c>
      <c r="AA584" s="11">
        <f>IFERROR(__xludf.DUMMYFUNCTION("""COMPUTED_VALUE"""),43896.66666666667)</f>
        <v>43896.66667</v>
      </c>
      <c r="AB584" s="9">
        <f>IFERROR(__xludf.DUMMYFUNCTION("""COMPUTED_VALUE"""),1875.0)</f>
        <v>1875</v>
      </c>
      <c r="AC584" s="11">
        <f>IFERROR(__xludf.DUMMYFUNCTION("""COMPUTED_VALUE"""),43896.66666666667)</f>
        <v>43896.66667</v>
      </c>
      <c r="AD584" s="9">
        <f>IFERROR(__xludf.DUMMYFUNCTION("""COMPUTED_VALUE"""),1901.09)</f>
        <v>1901.09</v>
      </c>
    </row>
    <row r="585">
      <c r="B585" s="11">
        <f>IFERROR(__xludf.DUMMYFUNCTION("""COMPUTED_VALUE"""),43899.66666666667)</f>
        <v>43899.66667</v>
      </c>
      <c r="C585" s="9">
        <f>IFERROR(__xludf.DUMMYFUNCTION("""COMPUTED_VALUE"""),121.08)</f>
        <v>121.08</v>
      </c>
      <c r="D585" s="11">
        <f>IFERROR(__xludf.DUMMYFUNCTION("""COMPUTED_VALUE"""),43899.66666666667)</f>
        <v>43899.66667</v>
      </c>
      <c r="E585" s="9">
        <f>IFERROR(__xludf.DUMMYFUNCTION("""COMPUTED_VALUE"""),121.6)</f>
        <v>121.6</v>
      </c>
      <c r="G585" s="11">
        <f>IFERROR(__xludf.DUMMYFUNCTION("""COMPUTED_VALUE"""),43899.66666666667)</f>
        <v>43899.66667</v>
      </c>
      <c r="H585" s="9">
        <f>IFERROR(__xludf.DUMMYFUNCTION("""COMPUTED_VALUE"""),1205.3)</f>
        <v>1205.3</v>
      </c>
      <c r="I585" s="11">
        <f>IFERROR(__xludf.DUMMYFUNCTION("""COMPUTED_VALUE"""),43899.66666666667)</f>
        <v>43899.66667</v>
      </c>
      <c r="J585" s="9">
        <f>IFERROR(__xludf.DUMMYFUNCTION("""COMPUTED_VALUE"""),1215.56)</f>
        <v>1215.56</v>
      </c>
      <c r="L585" s="11">
        <f>IFERROR(__xludf.DUMMYFUNCTION("""COMPUTED_VALUE"""),43899.66666666667)</f>
        <v>43899.66667</v>
      </c>
      <c r="M585" s="9">
        <f>IFERROR(__xludf.DUMMYFUNCTION("""COMPUTED_VALUE"""),65.94)</f>
        <v>65.94</v>
      </c>
      <c r="N585" s="11">
        <f>IFERROR(__xludf.DUMMYFUNCTION("""COMPUTED_VALUE"""),43899.66666666667)</f>
        <v>43899.66667</v>
      </c>
      <c r="O585" s="9">
        <f>IFERROR(__xludf.DUMMYFUNCTION("""COMPUTED_VALUE"""),66.54)</f>
        <v>66.54</v>
      </c>
      <c r="Q585" s="11">
        <f>IFERROR(__xludf.DUMMYFUNCTION("""COMPUTED_VALUE"""),43899.66666666667)</f>
        <v>43899.66667</v>
      </c>
      <c r="R585" s="9">
        <f>IFERROR(__xludf.DUMMYFUNCTION("""COMPUTED_VALUE"""),169.6)</f>
        <v>169.6</v>
      </c>
      <c r="S585" s="11">
        <f>IFERROR(__xludf.DUMMYFUNCTION("""COMPUTED_VALUE"""),43899.66666666667)</f>
        <v>43899.66667</v>
      </c>
      <c r="T585" s="9">
        <f>IFERROR(__xludf.DUMMYFUNCTION("""COMPUTED_VALUE"""),169.5)</f>
        <v>169.5</v>
      </c>
      <c r="V585" s="11">
        <f>IFERROR(__xludf.DUMMYFUNCTION("""COMPUTED_VALUE"""),43899.66666666667)</f>
        <v>43899.66667</v>
      </c>
      <c r="W585" s="9">
        <f>IFERROR(__xludf.DUMMYFUNCTION("""COMPUTED_VALUE"""),343.86)</f>
        <v>343.86</v>
      </c>
      <c r="X585" s="11">
        <f>IFERROR(__xludf.DUMMYFUNCTION("""COMPUTED_VALUE"""),43899.66666666667)</f>
        <v>43899.66667</v>
      </c>
      <c r="Y585" s="9">
        <f>IFERROR(__xludf.DUMMYFUNCTION("""COMPUTED_VALUE"""),346.49)</f>
        <v>346.49</v>
      </c>
      <c r="AA585" s="11">
        <f>IFERROR(__xludf.DUMMYFUNCTION("""COMPUTED_VALUE"""),43899.66666666667)</f>
        <v>43899.66667</v>
      </c>
      <c r="AB585" s="9">
        <f>IFERROR(__xludf.DUMMYFUNCTION("""COMPUTED_VALUE"""),1773.86)</f>
        <v>1773.86</v>
      </c>
      <c r="AC585" s="11">
        <f>IFERROR(__xludf.DUMMYFUNCTION("""COMPUTED_VALUE"""),43899.66666666667)</f>
        <v>43899.66667</v>
      </c>
      <c r="AD585" s="9">
        <f>IFERROR(__xludf.DUMMYFUNCTION("""COMPUTED_VALUE"""),1800.61)</f>
        <v>1800.61</v>
      </c>
    </row>
    <row r="586">
      <c r="B586" s="11">
        <f>IFERROR(__xludf.DUMMYFUNCTION("""COMPUTED_VALUE"""),43900.66666666667)</f>
        <v>43900.66667</v>
      </c>
      <c r="C586" s="9">
        <f>IFERROR(__xludf.DUMMYFUNCTION("""COMPUTED_VALUE"""),131.89)</f>
        <v>131.89</v>
      </c>
      <c r="D586" s="11">
        <f>IFERROR(__xludf.DUMMYFUNCTION("""COMPUTED_VALUE"""),43900.66666666667)</f>
        <v>43900.66667</v>
      </c>
      <c r="E586" s="9">
        <f>IFERROR(__xludf.DUMMYFUNCTION("""COMPUTED_VALUE"""),129.07)</f>
        <v>129.07</v>
      </c>
      <c r="G586" s="11">
        <f>IFERROR(__xludf.DUMMYFUNCTION("""COMPUTED_VALUE"""),43900.66666666667)</f>
        <v>43900.66667</v>
      </c>
      <c r="H586" s="9">
        <f>IFERROR(__xludf.DUMMYFUNCTION("""COMPUTED_VALUE"""),1260.0)</f>
        <v>1260</v>
      </c>
      <c r="I586" s="11">
        <f>IFERROR(__xludf.DUMMYFUNCTION("""COMPUTED_VALUE"""),43900.66666666667)</f>
        <v>43900.66667</v>
      </c>
      <c r="J586" s="9">
        <f>IFERROR(__xludf.DUMMYFUNCTION("""COMPUTED_VALUE"""),1280.39)</f>
        <v>1280.39</v>
      </c>
      <c r="L586" s="11">
        <f>IFERROR(__xludf.DUMMYFUNCTION("""COMPUTED_VALUE"""),43900.66666666667)</f>
        <v>43900.66667</v>
      </c>
      <c r="M586" s="9">
        <f>IFERROR(__xludf.DUMMYFUNCTION("""COMPUTED_VALUE"""),69.29)</f>
        <v>69.29</v>
      </c>
      <c r="N586" s="11">
        <f>IFERROR(__xludf.DUMMYFUNCTION("""COMPUTED_VALUE"""),43900.66666666667)</f>
        <v>43900.66667</v>
      </c>
      <c r="O586" s="9">
        <f>IFERROR(__xludf.DUMMYFUNCTION("""COMPUTED_VALUE"""),71.33)</f>
        <v>71.33</v>
      </c>
      <c r="Q586" s="11">
        <f>IFERROR(__xludf.DUMMYFUNCTION("""COMPUTED_VALUE"""),43900.66666666667)</f>
        <v>43900.66667</v>
      </c>
      <c r="R586" s="9">
        <f>IFERROR(__xludf.DUMMYFUNCTION("""COMPUTED_VALUE"""),174.67)</f>
        <v>174.67</v>
      </c>
      <c r="S586" s="11">
        <f>IFERROR(__xludf.DUMMYFUNCTION("""COMPUTED_VALUE"""),43900.66666666667)</f>
        <v>43900.66667</v>
      </c>
      <c r="T586" s="9">
        <f>IFERROR(__xludf.DUMMYFUNCTION("""COMPUTED_VALUE"""),178.19)</f>
        <v>178.19</v>
      </c>
      <c r="V586" s="11">
        <f>IFERROR(__xludf.DUMMYFUNCTION("""COMPUTED_VALUE"""),43900.66666666667)</f>
        <v>43900.66667</v>
      </c>
      <c r="W586" s="9">
        <f>IFERROR(__xludf.DUMMYFUNCTION("""COMPUTED_VALUE"""),356.43)</f>
        <v>356.43</v>
      </c>
      <c r="X586" s="11">
        <f>IFERROR(__xludf.DUMMYFUNCTION("""COMPUTED_VALUE"""),43900.66666666667)</f>
        <v>43900.66667</v>
      </c>
      <c r="Y586" s="9">
        <f>IFERROR(__xludf.DUMMYFUNCTION("""COMPUTED_VALUE"""),364.13)</f>
        <v>364.13</v>
      </c>
      <c r="AA586" s="11">
        <f>IFERROR(__xludf.DUMMYFUNCTION("""COMPUTED_VALUE"""),43900.66666666667)</f>
        <v>43900.66667</v>
      </c>
      <c r="AB586" s="9">
        <f>IFERROR(__xludf.DUMMYFUNCTION("""COMPUTED_VALUE"""),1870.88)</f>
        <v>1870.88</v>
      </c>
      <c r="AC586" s="11">
        <f>IFERROR(__xludf.DUMMYFUNCTION("""COMPUTED_VALUE"""),43900.66666666667)</f>
        <v>43900.66667</v>
      </c>
      <c r="AD586" s="9">
        <f>IFERROR(__xludf.DUMMYFUNCTION("""COMPUTED_VALUE"""),1891.82)</f>
        <v>1891.82</v>
      </c>
    </row>
    <row r="587">
      <c r="B587" s="11">
        <f>IFERROR(__xludf.DUMMYFUNCTION("""COMPUTED_VALUE"""),43901.66666666667)</f>
        <v>43901.66667</v>
      </c>
      <c r="C587" s="9">
        <f>IFERROR(__xludf.DUMMYFUNCTION("""COMPUTED_VALUE"""),128.04)</f>
        <v>128.04</v>
      </c>
      <c r="D587" s="11">
        <f>IFERROR(__xludf.DUMMYFUNCTION("""COMPUTED_VALUE"""),43901.66666666667)</f>
        <v>43901.66667</v>
      </c>
      <c r="E587" s="9">
        <f>IFERROR(__xludf.DUMMYFUNCTION("""COMPUTED_VALUE"""),126.85)</f>
        <v>126.85</v>
      </c>
      <c r="G587" s="11">
        <f>IFERROR(__xludf.DUMMYFUNCTION("""COMPUTED_VALUE"""),43901.66666666667)</f>
        <v>43901.66667</v>
      </c>
      <c r="H587" s="9">
        <f>IFERROR(__xludf.DUMMYFUNCTION("""COMPUTED_VALUE"""),1249.7)</f>
        <v>1249.7</v>
      </c>
      <c r="I587" s="11">
        <f>IFERROR(__xludf.DUMMYFUNCTION("""COMPUTED_VALUE"""),43901.66666666667)</f>
        <v>43901.66667</v>
      </c>
      <c r="J587" s="9">
        <f>IFERROR(__xludf.DUMMYFUNCTION("""COMPUTED_VALUE"""),1215.41)</f>
        <v>1215.41</v>
      </c>
      <c r="L587" s="11">
        <f>IFERROR(__xludf.DUMMYFUNCTION("""COMPUTED_VALUE"""),43901.66666666667)</f>
        <v>43901.66667</v>
      </c>
      <c r="M587" s="9">
        <f>IFERROR(__xludf.DUMMYFUNCTION("""COMPUTED_VALUE"""),69.35)</f>
        <v>69.35</v>
      </c>
      <c r="N587" s="11">
        <f>IFERROR(__xludf.DUMMYFUNCTION("""COMPUTED_VALUE"""),43901.66666666667)</f>
        <v>43901.66667</v>
      </c>
      <c r="O587" s="9">
        <f>IFERROR(__xludf.DUMMYFUNCTION("""COMPUTED_VALUE"""),68.86)</f>
        <v>68.86</v>
      </c>
      <c r="Q587" s="11">
        <f>IFERROR(__xludf.DUMMYFUNCTION("""COMPUTED_VALUE"""),43901.66666666667)</f>
        <v>43901.66667</v>
      </c>
      <c r="R587" s="9">
        <f>IFERROR(__xludf.DUMMYFUNCTION("""COMPUTED_VALUE"""),174.01)</f>
        <v>174.01</v>
      </c>
      <c r="S587" s="11">
        <f>IFERROR(__xludf.DUMMYFUNCTION("""COMPUTED_VALUE"""),43901.66666666667)</f>
        <v>43901.66667</v>
      </c>
      <c r="T587" s="9">
        <f>IFERROR(__xludf.DUMMYFUNCTION("""COMPUTED_VALUE"""),170.24)</f>
        <v>170.24</v>
      </c>
      <c r="V587" s="11">
        <f>IFERROR(__xludf.DUMMYFUNCTION("""COMPUTED_VALUE"""),43901.66666666667)</f>
        <v>43901.66667</v>
      </c>
      <c r="W587" s="9">
        <f>IFERROR(__xludf.DUMMYFUNCTION("""COMPUTED_VALUE"""),358.92)</f>
        <v>358.92</v>
      </c>
      <c r="X587" s="11">
        <f>IFERROR(__xludf.DUMMYFUNCTION("""COMPUTED_VALUE"""),43901.66666666667)</f>
        <v>43901.66667</v>
      </c>
      <c r="Y587" s="9">
        <f>IFERROR(__xludf.DUMMYFUNCTION("""COMPUTED_VALUE"""),349.92)</f>
        <v>349.92</v>
      </c>
      <c r="AA587" s="11">
        <f>IFERROR(__xludf.DUMMYFUNCTION("""COMPUTED_VALUE"""),43901.66666666667)</f>
        <v>43901.66667</v>
      </c>
      <c r="AB587" s="9">
        <f>IFERROR(__xludf.DUMMYFUNCTION("""COMPUTED_VALUE"""),1857.85)</f>
        <v>1857.85</v>
      </c>
      <c r="AC587" s="11">
        <f>IFERROR(__xludf.DUMMYFUNCTION("""COMPUTED_VALUE"""),43901.66666666667)</f>
        <v>43901.66667</v>
      </c>
      <c r="AD587" s="9">
        <f>IFERROR(__xludf.DUMMYFUNCTION("""COMPUTED_VALUE"""),1820.86)</f>
        <v>1820.86</v>
      </c>
    </row>
    <row r="588">
      <c r="B588" s="11">
        <f>IFERROR(__xludf.DUMMYFUNCTION("""COMPUTED_VALUE"""),43902.66666666667)</f>
        <v>43902.66667</v>
      </c>
      <c r="C588" s="9">
        <f>IFERROR(__xludf.DUMMYFUNCTION("""COMPUTED_VALUE"""),116.18)</f>
        <v>116.18</v>
      </c>
      <c r="D588" s="11">
        <f>IFERROR(__xludf.DUMMYFUNCTION("""COMPUTED_VALUE"""),43902.66666666667)</f>
        <v>43902.66667</v>
      </c>
      <c r="E588" s="9">
        <f>IFERROR(__xludf.DUMMYFUNCTION("""COMPUTED_VALUE"""),112.11)</f>
        <v>112.11</v>
      </c>
      <c r="G588" s="11">
        <f>IFERROR(__xludf.DUMMYFUNCTION("""COMPUTED_VALUE"""),43902.66666666667)</f>
        <v>43902.66667</v>
      </c>
      <c r="H588" s="9">
        <f>IFERROR(__xludf.DUMMYFUNCTION("""COMPUTED_VALUE"""),1126.0)</f>
        <v>1126</v>
      </c>
      <c r="I588" s="11">
        <f>IFERROR(__xludf.DUMMYFUNCTION("""COMPUTED_VALUE"""),43902.66666666667)</f>
        <v>43902.66667</v>
      </c>
      <c r="J588" s="9">
        <f>IFERROR(__xludf.DUMMYFUNCTION("""COMPUTED_VALUE"""),1114.91)</f>
        <v>1114.91</v>
      </c>
      <c r="L588" s="11">
        <f>IFERROR(__xludf.DUMMYFUNCTION("""COMPUTED_VALUE"""),43902.66666666667)</f>
        <v>43902.66667</v>
      </c>
      <c r="M588" s="9">
        <f>IFERROR(__xludf.DUMMYFUNCTION("""COMPUTED_VALUE"""),63.99)</f>
        <v>63.99</v>
      </c>
      <c r="N588" s="11">
        <f>IFERROR(__xludf.DUMMYFUNCTION("""COMPUTED_VALUE"""),43902.66666666667)</f>
        <v>43902.66667</v>
      </c>
      <c r="O588" s="9">
        <f>IFERROR(__xludf.DUMMYFUNCTION("""COMPUTED_VALUE"""),62.06)</f>
        <v>62.06</v>
      </c>
      <c r="Q588" s="11">
        <f>IFERROR(__xludf.DUMMYFUNCTION("""COMPUTED_VALUE"""),43902.66666666667)</f>
        <v>43902.66667</v>
      </c>
      <c r="R588" s="9">
        <f>IFERROR(__xludf.DUMMYFUNCTION("""COMPUTED_VALUE"""),159.54)</f>
        <v>159.54</v>
      </c>
      <c r="S588" s="11">
        <f>IFERROR(__xludf.DUMMYFUNCTION("""COMPUTED_VALUE"""),43902.66666666667)</f>
        <v>43902.66667</v>
      </c>
      <c r="T588" s="9">
        <f>IFERROR(__xludf.DUMMYFUNCTION("""COMPUTED_VALUE"""),154.47)</f>
        <v>154.47</v>
      </c>
      <c r="V588" s="11">
        <f>IFERROR(__xludf.DUMMYFUNCTION("""COMPUTED_VALUE"""),43902.66666666667)</f>
        <v>43902.66667</v>
      </c>
      <c r="W588" s="9">
        <f>IFERROR(__xludf.DUMMYFUNCTION("""COMPUTED_VALUE"""),326.5)</f>
        <v>326.5</v>
      </c>
      <c r="X588" s="11">
        <f>IFERROR(__xludf.DUMMYFUNCTION("""COMPUTED_VALUE"""),43902.66666666667)</f>
        <v>43902.66667</v>
      </c>
      <c r="Y588" s="9">
        <f>IFERROR(__xludf.DUMMYFUNCTION("""COMPUTED_VALUE"""),315.25)</f>
        <v>315.25</v>
      </c>
      <c r="AA588" s="11">
        <f>IFERROR(__xludf.DUMMYFUNCTION("""COMPUTED_VALUE"""),43902.66666666667)</f>
        <v>43902.66667</v>
      </c>
      <c r="AB588" s="9">
        <f>IFERROR(__xludf.DUMMYFUNCTION("""COMPUTED_VALUE"""),1721.98)</f>
        <v>1721.98</v>
      </c>
      <c r="AC588" s="11">
        <f>IFERROR(__xludf.DUMMYFUNCTION("""COMPUTED_VALUE"""),43902.66666666667)</f>
        <v>43902.66667</v>
      </c>
      <c r="AD588" s="9">
        <f>IFERROR(__xludf.DUMMYFUNCTION("""COMPUTED_VALUE"""),1676.61)</f>
        <v>1676.61</v>
      </c>
    </row>
    <row r="589">
      <c r="B589" s="11">
        <f>IFERROR(__xludf.DUMMYFUNCTION("""COMPUTED_VALUE"""),43903.66666666667)</f>
        <v>43903.66667</v>
      </c>
      <c r="C589" s="9">
        <f>IFERROR(__xludf.DUMMYFUNCTION("""COMPUTED_VALUE"""),119.0)</f>
        <v>119</v>
      </c>
      <c r="D589" s="11">
        <f>IFERROR(__xludf.DUMMYFUNCTION("""COMPUTED_VALUE"""),43903.66666666667)</f>
        <v>43903.66667</v>
      </c>
      <c r="E589" s="9">
        <f>IFERROR(__xludf.DUMMYFUNCTION("""COMPUTED_VALUE"""),109.32)</f>
        <v>109.32</v>
      </c>
      <c r="G589" s="11">
        <f>IFERROR(__xludf.DUMMYFUNCTION("""COMPUTED_VALUE"""),43903.66666666667)</f>
        <v>43903.66667</v>
      </c>
      <c r="H589" s="9">
        <f>IFERROR(__xludf.DUMMYFUNCTION("""COMPUTED_VALUE"""),1179.0)</f>
        <v>1179</v>
      </c>
      <c r="I589" s="11">
        <f>IFERROR(__xludf.DUMMYFUNCTION("""COMPUTED_VALUE"""),43903.66666666667)</f>
        <v>43903.66667</v>
      </c>
      <c r="J589" s="9">
        <f>IFERROR(__xludf.DUMMYFUNCTION("""COMPUTED_VALUE"""),1219.73)</f>
        <v>1219.73</v>
      </c>
      <c r="L589" s="11">
        <f>IFERROR(__xludf.DUMMYFUNCTION("""COMPUTED_VALUE"""),43903.66666666667)</f>
        <v>43903.66667</v>
      </c>
      <c r="M589" s="9">
        <f>IFERROR(__xludf.DUMMYFUNCTION("""COMPUTED_VALUE"""),66.22)</f>
        <v>66.22</v>
      </c>
      <c r="N589" s="11">
        <f>IFERROR(__xludf.DUMMYFUNCTION("""COMPUTED_VALUE"""),43903.66666666667)</f>
        <v>43903.66667</v>
      </c>
      <c r="O589" s="9">
        <f>IFERROR(__xludf.DUMMYFUNCTION("""COMPUTED_VALUE"""),69.49)</f>
        <v>69.49</v>
      </c>
      <c r="Q589" s="11">
        <f>IFERROR(__xludf.DUMMYFUNCTION("""COMPUTED_VALUE"""),43903.66666666667)</f>
        <v>43903.66667</v>
      </c>
      <c r="R589" s="9">
        <f>IFERROR(__xludf.DUMMYFUNCTION("""COMPUTED_VALUE"""),163.53)</f>
        <v>163.53</v>
      </c>
      <c r="S589" s="11">
        <f>IFERROR(__xludf.DUMMYFUNCTION("""COMPUTED_VALUE"""),43903.66666666667)</f>
        <v>43903.66667</v>
      </c>
      <c r="T589" s="9">
        <f>IFERROR(__xludf.DUMMYFUNCTION("""COMPUTED_VALUE"""),170.28)</f>
        <v>170.28</v>
      </c>
      <c r="V589" s="11">
        <f>IFERROR(__xludf.DUMMYFUNCTION("""COMPUTED_VALUE"""),43903.66666666667)</f>
        <v>43903.66667</v>
      </c>
      <c r="W589" s="9">
        <f>IFERROR(__xludf.DUMMYFUNCTION("""COMPUTED_VALUE"""),330.51)</f>
        <v>330.51</v>
      </c>
      <c r="X589" s="11">
        <f>IFERROR(__xludf.DUMMYFUNCTION("""COMPUTED_VALUE"""),43903.66666666667)</f>
        <v>43903.66667</v>
      </c>
      <c r="Y589" s="9">
        <f>IFERROR(__xludf.DUMMYFUNCTION("""COMPUTED_VALUE"""),336.3)</f>
        <v>336.3</v>
      </c>
      <c r="AA589" s="11">
        <f>IFERROR(__xludf.DUMMYFUNCTION("""COMPUTED_VALUE"""),43903.66666666667)</f>
        <v>43903.66667</v>
      </c>
      <c r="AB589" s="9">
        <f>IFERROR(__xludf.DUMMYFUNCTION("""COMPUTED_VALUE"""),1755.0)</f>
        <v>1755</v>
      </c>
      <c r="AC589" s="11">
        <f>IFERROR(__xludf.DUMMYFUNCTION("""COMPUTED_VALUE"""),43903.66666666667)</f>
        <v>43903.66667</v>
      </c>
      <c r="AD589" s="9">
        <f>IFERROR(__xludf.DUMMYFUNCTION("""COMPUTED_VALUE"""),1785.0)</f>
        <v>1785</v>
      </c>
    </row>
    <row r="590">
      <c r="B590" s="11">
        <f>IFERROR(__xludf.DUMMYFUNCTION("""COMPUTED_VALUE"""),43906.66666666667)</f>
        <v>43906.66667</v>
      </c>
      <c r="C590" s="9">
        <f>IFERROR(__xludf.DUMMYFUNCTION("""COMPUTED_VALUE"""),93.9)</f>
        <v>93.9</v>
      </c>
      <c r="D590" s="11">
        <f>IFERROR(__xludf.DUMMYFUNCTION("""COMPUTED_VALUE"""),43906.66666666667)</f>
        <v>43906.66667</v>
      </c>
      <c r="E590" s="9">
        <f>IFERROR(__xludf.DUMMYFUNCTION("""COMPUTED_VALUE"""),89.01)</f>
        <v>89.01</v>
      </c>
      <c r="G590" s="11">
        <f>IFERROR(__xludf.DUMMYFUNCTION("""COMPUTED_VALUE"""),43906.66666666667)</f>
        <v>43906.66667</v>
      </c>
      <c r="H590" s="9">
        <f>IFERROR(__xludf.DUMMYFUNCTION("""COMPUTED_VALUE"""),1096.0)</f>
        <v>1096</v>
      </c>
      <c r="I590" s="11">
        <f>IFERROR(__xludf.DUMMYFUNCTION("""COMPUTED_VALUE"""),43906.66666666667)</f>
        <v>43906.66667</v>
      </c>
      <c r="J590" s="9">
        <f>IFERROR(__xludf.DUMMYFUNCTION("""COMPUTED_VALUE"""),1084.33)</f>
        <v>1084.33</v>
      </c>
      <c r="L590" s="11">
        <f>IFERROR(__xludf.DUMMYFUNCTION("""COMPUTED_VALUE"""),43906.66666666667)</f>
        <v>43906.66667</v>
      </c>
      <c r="M590" s="9">
        <f>IFERROR(__xludf.DUMMYFUNCTION("""COMPUTED_VALUE"""),60.49)</f>
        <v>60.49</v>
      </c>
      <c r="N590" s="11">
        <f>IFERROR(__xludf.DUMMYFUNCTION("""COMPUTED_VALUE"""),43906.66666666667)</f>
        <v>43906.66667</v>
      </c>
      <c r="O590" s="9">
        <f>IFERROR(__xludf.DUMMYFUNCTION("""COMPUTED_VALUE"""),60.55)</f>
        <v>60.55</v>
      </c>
      <c r="Q590" s="11">
        <f>IFERROR(__xludf.DUMMYFUNCTION("""COMPUTED_VALUE"""),43906.66666666667)</f>
        <v>43906.66667</v>
      </c>
      <c r="R590" s="9">
        <f>IFERROR(__xludf.DUMMYFUNCTION("""COMPUTED_VALUE"""),152.32)</f>
        <v>152.32</v>
      </c>
      <c r="S590" s="11">
        <f>IFERROR(__xludf.DUMMYFUNCTION("""COMPUTED_VALUE"""),43906.66666666667)</f>
        <v>43906.66667</v>
      </c>
      <c r="T590" s="9">
        <f>IFERROR(__xludf.DUMMYFUNCTION("""COMPUTED_VALUE"""),146.01)</f>
        <v>146.01</v>
      </c>
      <c r="V590" s="11">
        <f>IFERROR(__xludf.DUMMYFUNCTION("""COMPUTED_VALUE"""),43906.66666666667)</f>
        <v>43906.66667</v>
      </c>
      <c r="W590" s="9">
        <f>IFERROR(__xludf.DUMMYFUNCTION("""COMPUTED_VALUE"""),306.63)</f>
        <v>306.63</v>
      </c>
      <c r="X590" s="11">
        <f>IFERROR(__xludf.DUMMYFUNCTION("""COMPUTED_VALUE"""),43906.66666666667)</f>
        <v>43906.66667</v>
      </c>
      <c r="Y590" s="9">
        <f>IFERROR(__xludf.DUMMYFUNCTION("""COMPUTED_VALUE"""),298.84)</f>
        <v>298.84</v>
      </c>
      <c r="AA590" s="11">
        <f>IFERROR(__xludf.DUMMYFUNCTION("""COMPUTED_VALUE"""),43906.66666666667)</f>
        <v>43906.66667</v>
      </c>
      <c r="AB590" s="9">
        <f>IFERROR(__xludf.DUMMYFUNCTION("""COMPUTED_VALUE"""),1641.51)</f>
        <v>1641.51</v>
      </c>
      <c r="AC590" s="11">
        <f>IFERROR(__xludf.DUMMYFUNCTION("""COMPUTED_VALUE"""),43906.66666666667)</f>
        <v>43906.66667</v>
      </c>
      <c r="AD590" s="9">
        <f>IFERROR(__xludf.DUMMYFUNCTION("""COMPUTED_VALUE"""),1689.15)</f>
        <v>1689.15</v>
      </c>
    </row>
    <row r="591">
      <c r="B591" s="11">
        <f>IFERROR(__xludf.DUMMYFUNCTION("""COMPUTED_VALUE"""),43907.66666666667)</f>
        <v>43907.66667</v>
      </c>
      <c r="C591" s="9">
        <f>IFERROR(__xludf.DUMMYFUNCTION("""COMPUTED_VALUE"""),88.0)</f>
        <v>88</v>
      </c>
      <c r="D591" s="11">
        <f>IFERROR(__xludf.DUMMYFUNCTION("""COMPUTED_VALUE"""),43907.66666666667)</f>
        <v>43907.66667</v>
      </c>
      <c r="E591" s="9">
        <f>IFERROR(__xludf.DUMMYFUNCTION("""COMPUTED_VALUE"""),86.04)</f>
        <v>86.04</v>
      </c>
      <c r="G591" s="11">
        <f>IFERROR(__xludf.DUMMYFUNCTION("""COMPUTED_VALUE"""),43907.66666666667)</f>
        <v>43907.66667</v>
      </c>
      <c r="H591" s="9">
        <f>IFERROR(__xludf.DUMMYFUNCTION("""COMPUTED_VALUE"""),1093.11)</f>
        <v>1093.11</v>
      </c>
      <c r="I591" s="11">
        <f>IFERROR(__xludf.DUMMYFUNCTION("""COMPUTED_VALUE"""),43907.66666666667)</f>
        <v>43907.66667</v>
      </c>
      <c r="J591" s="9">
        <f>IFERROR(__xludf.DUMMYFUNCTION("""COMPUTED_VALUE"""),1119.8)</f>
        <v>1119.8</v>
      </c>
      <c r="L591" s="11">
        <f>IFERROR(__xludf.DUMMYFUNCTION("""COMPUTED_VALUE"""),43907.66666666667)</f>
        <v>43907.66667</v>
      </c>
      <c r="M591" s="9">
        <f>IFERROR(__xludf.DUMMYFUNCTION("""COMPUTED_VALUE"""),61.88)</f>
        <v>61.88</v>
      </c>
      <c r="N591" s="11">
        <f>IFERROR(__xludf.DUMMYFUNCTION("""COMPUTED_VALUE"""),43907.66666666667)</f>
        <v>43907.66667</v>
      </c>
      <c r="O591" s="9">
        <f>IFERROR(__xludf.DUMMYFUNCTION("""COMPUTED_VALUE"""),63.22)</f>
        <v>63.22</v>
      </c>
      <c r="Q591" s="11">
        <f>IFERROR(__xludf.DUMMYFUNCTION("""COMPUTED_VALUE"""),43907.66666666667)</f>
        <v>43907.66667</v>
      </c>
      <c r="R591" s="9">
        <f>IFERROR(__xludf.DUMMYFUNCTION("""COMPUTED_VALUE"""),150.74)</f>
        <v>150.74</v>
      </c>
      <c r="S591" s="11">
        <f>IFERROR(__xludf.DUMMYFUNCTION("""COMPUTED_VALUE"""),43907.66666666667)</f>
        <v>43907.66667</v>
      </c>
      <c r="T591" s="9">
        <f>IFERROR(__xludf.DUMMYFUNCTION("""COMPUTED_VALUE"""),149.42)</f>
        <v>149.42</v>
      </c>
      <c r="V591" s="11">
        <f>IFERROR(__xludf.DUMMYFUNCTION("""COMPUTED_VALUE"""),43907.66666666667)</f>
        <v>43907.66667</v>
      </c>
      <c r="W591" s="9">
        <f>IFERROR(__xludf.DUMMYFUNCTION("""COMPUTED_VALUE"""),306.19)</f>
        <v>306.19</v>
      </c>
      <c r="X591" s="11">
        <f>IFERROR(__xludf.DUMMYFUNCTION("""COMPUTED_VALUE"""),43907.66666666667)</f>
        <v>43907.66667</v>
      </c>
      <c r="Y591" s="9">
        <f>IFERROR(__xludf.DUMMYFUNCTION("""COMPUTED_VALUE"""),319.75)</f>
        <v>319.75</v>
      </c>
      <c r="AA591" s="11">
        <f>IFERROR(__xludf.DUMMYFUNCTION("""COMPUTED_VALUE"""),43907.66666666667)</f>
        <v>43907.66667</v>
      </c>
      <c r="AB591" s="9">
        <f>IFERROR(__xludf.DUMMYFUNCTION("""COMPUTED_VALUE"""),1775.47)</f>
        <v>1775.47</v>
      </c>
      <c r="AC591" s="11">
        <f>IFERROR(__xludf.DUMMYFUNCTION("""COMPUTED_VALUE"""),43907.66666666667)</f>
        <v>43907.66667</v>
      </c>
      <c r="AD591" s="9">
        <f>IFERROR(__xludf.DUMMYFUNCTION("""COMPUTED_VALUE"""),1807.84)</f>
        <v>1807.84</v>
      </c>
    </row>
    <row r="592">
      <c r="B592" s="11">
        <f>IFERROR(__xludf.DUMMYFUNCTION("""COMPUTED_VALUE"""),43908.66666666667)</f>
        <v>43908.66667</v>
      </c>
      <c r="C592" s="9">
        <f>IFERROR(__xludf.DUMMYFUNCTION("""COMPUTED_VALUE"""),77.8)</f>
        <v>77.8</v>
      </c>
      <c r="D592" s="11">
        <f>IFERROR(__xludf.DUMMYFUNCTION("""COMPUTED_VALUE"""),43908.66666666667)</f>
        <v>43908.66667</v>
      </c>
      <c r="E592" s="9">
        <f>IFERROR(__xludf.DUMMYFUNCTION("""COMPUTED_VALUE"""),72.24)</f>
        <v>72.24</v>
      </c>
      <c r="G592" s="11">
        <f>IFERROR(__xludf.DUMMYFUNCTION("""COMPUTED_VALUE"""),43908.66666666667)</f>
        <v>43908.66667</v>
      </c>
      <c r="H592" s="9">
        <f>IFERROR(__xludf.DUMMYFUNCTION("""COMPUTED_VALUE"""),1056.51)</f>
        <v>1056.51</v>
      </c>
      <c r="I592" s="11">
        <f>IFERROR(__xludf.DUMMYFUNCTION("""COMPUTED_VALUE"""),43908.66666666667)</f>
        <v>43908.66667</v>
      </c>
      <c r="J592" s="9">
        <f>IFERROR(__xludf.DUMMYFUNCTION("""COMPUTED_VALUE"""),1096.8)</f>
        <v>1096.8</v>
      </c>
      <c r="L592" s="11">
        <f>IFERROR(__xludf.DUMMYFUNCTION("""COMPUTED_VALUE"""),43908.66666666667)</f>
        <v>43908.66667</v>
      </c>
      <c r="M592" s="9">
        <f>IFERROR(__xludf.DUMMYFUNCTION("""COMPUTED_VALUE"""),59.94)</f>
        <v>59.94</v>
      </c>
      <c r="N592" s="11">
        <f>IFERROR(__xludf.DUMMYFUNCTION("""COMPUTED_VALUE"""),43908.66666666667)</f>
        <v>43908.66667</v>
      </c>
      <c r="O592" s="9">
        <f>IFERROR(__xludf.DUMMYFUNCTION("""COMPUTED_VALUE"""),61.67)</f>
        <v>61.67</v>
      </c>
      <c r="Q592" s="11">
        <f>IFERROR(__xludf.DUMMYFUNCTION("""COMPUTED_VALUE"""),43908.66666666667)</f>
        <v>43908.66667</v>
      </c>
      <c r="R592" s="9">
        <f>IFERROR(__xludf.DUMMYFUNCTION("""COMPUTED_VALUE"""),139.75)</f>
        <v>139.75</v>
      </c>
      <c r="S592" s="11">
        <f>IFERROR(__xludf.DUMMYFUNCTION("""COMPUTED_VALUE"""),43908.66666666667)</f>
        <v>43908.66667</v>
      </c>
      <c r="T592" s="9">
        <f>IFERROR(__xludf.DUMMYFUNCTION("""COMPUTED_VALUE"""),146.96)</f>
        <v>146.96</v>
      </c>
      <c r="V592" s="11">
        <f>IFERROR(__xludf.DUMMYFUNCTION("""COMPUTED_VALUE"""),43908.66666666667)</f>
        <v>43908.66667</v>
      </c>
      <c r="W592" s="9">
        <f>IFERROR(__xludf.DUMMYFUNCTION("""COMPUTED_VALUE"""),302.4)</f>
        <v>302.4</v>
      </c>
      <c r="X592" s="11">
        <f>IFERROR(__xludf.DUMMYFUNCTION("""COMPUTED_VALUE"""),43908.66666666667)</f>
        <v>43908.66667</v>
      </c>
      <c r="Y592" s="9">
        <f>IFERROR(__xludf.DUMMYFUNCTION("""COMPUTED_VALUE"""),315.47)</f>
        <v>315.47</v>
      </c>
      <c r="AA592" s="11">
        <f>IFERROR(__xludf.DUMMYFUNCTION("""COMPUTED_VALUE"""),43908.66666666667)</f>
        <v>43908.66667</v>
      </c>
      <c r="AB592" s="9">
        <f>IFERROR(__xludf.DUMMYFUNCTION("""COMPUTED_VALUE"""),1750.0)</f>
        <v>1750</v>
      </c>
      <c r="AC592" s="11">
        <f>IFERROR(__xludf.DUMMYFUNCTION("""COMPUTED_VALUE"""),43908.66666666667)</f>
        <v>43908.66667</v>
      </c>
      <c r="AD592" s="9">
        <f>IFERROR(__xludf.DUMMYFUNCTION("""COMPUTED_VALUE"""),1830.0)</f>
        <v>1830</v>
      </c>
    </row>
    <row r="593">
      <c r="B593" s="11">
        <f>IFERROR(__xludf.DUMMYFUNCTION("""COMPUTED_VALUE"""),43909.66666666667)</f>
        <v>43909.66667</v>
      </c>
      <c r="C593" s="9">
        <f>IFERROR(__xludf.DUMMYFUNCTION("""COMPUTED_VALUE"""),74.94)</f>
        <v>74.94</v>
      </c>
      <c r="D593" s="11">
        <f>IFERROR(__xludf.DUMMYFUNCTION("""COMPUTED_VALUE"""),43909.66666666667)</f>
        <v>43909.66667</v>
      </c>
      <c r="E593" s="9">
        <f>IFERROR(__xludf.DUMMYFUNCTION("""COMPUTED_VALUE"""),85.53)</f>
        <v>85.53</v>
      </c>
      <c r="G593" s="11">
        <f>IFERROR(__xludf.DUMMYFUNCTION("""COMPUTED_VALUE"""),43909.66666666667)</f>
        <v>43909.66667</v>
      </c>
      <c r="H593" s="9">
        <f>IFERROR(__xludf.DUMMYFUNCTION("""COMPUTED_VALUE"""),1093.05)</f>
        <v>1093.05</v>
      </c>
      <c r="I593" s="11">
        <f>IFERROR(__xludf.DUMMYFUNCTION("""COMPUTED_VALUE"""),43909.66666666667)</f>
        <v>43909.66667</v>
      </c>
      <c r="J593" s="9">
        <f>IFERROR(__xludf.DUMMYFUNCTION("""COMPUTED_VALUE"""),1115.29)</f>
        <v>1115.29</v>
      </c>
      <c r="L593" s="11">
        <f>IFERROR(__xludf.DUMMYFUNCTION("""COMPUTED_VALUE"""),43909.66666666667)</f>
        <v>43909.66667</v>
      </c>
      <c r="M593" s="9">
        <f>IFERROR(__xludf.DUMMYFUNCTION("""COMPUTED_VALUE"""),61.85)</f>
        <v>61.85</v>
      </c>
      <c r="N593" s="11">
        <f>IFERROR(__xludf.DUMMYFUNCTION("""COMPUTED_VALUE"""),43909.66666666667)</f>
        <v>43909.66667</v>
      </c>
      <c r="O593" s="9">
        <f>IFERROR(__xludf.DUMMYFUNCTION("""COMPUTED_VALUE"""),61.2)</f>
        <v>61.2</v>
      </c>
      <c r="Q593" s="11">
        <f>IFERROR(__xludf.DUMMYFUNCTION("""COMPUTED_VALUE"""),43909.66666666667)</f>
        <v>43909.66667</v>
      </c>
      <c r="R593" s="9">
        <f>IFERROR(__xludf.DUMMYFUNCTION("""COMPUTED_VALUE"""),146.62)</f>
        <v>146.62</v>
      </c>
      <c r="S593" s="11">
        <f>IFERROR(__xludf.DUMMYFUNCTION("""COMPUTED_VALUE"""),43909.66666666667)</f>
        <v>43909.66667</v>
      </c>
      <c r="T593" s="9">
        <f>IFERROR(__xludf.DUMMYFUNCTION("""COMPUTED_VALUE"""),153.13)</f>
        <v>153.13</v>
      </c>
      <c r="V593" s="11">
        <f>IFERROR(__xludf.DUMMYFUNCTION("""COMPUTED_VALUE"""),43909.66666666667)</f>
        <v>43909.66667</v>
      </c>
      <c r="W593" s="9">
        <f>IFERROR(__xludf.DUMMYFUNCTION("""COMPUTED_VALUE"""),324.33)</f>
        <v>324.33</v>
      </c>
      <c r="X593" s="11">
        <f>IFERROR(__xludf.DUMMYFUNCTION("""COMPUTED_VALUE"""),43909.66666666667)</f>
        <v>43909.66667</v>
      </c>
      <c r="Y593" s="9">
        <f>IFERROR(__xludf.DUMMYFUNCTION("""COMPUTED_VALUE"""),332.03)</f>
        <v>332.03</v>
      </c>
      <c r="AA593" s="11">
        <f>IFERROR(__xludf.DUMMYFUNCTION("""COMPUTED_VALUE"""),43909.66666666667)</f>
        <v>43909.66667</v>
      </c>
      <c r="AB593" s="9">
        <f>IFERROR(__xludf.DUMMYFUNCTION("""COMPUTED_VALUE"""),1860.0)</f>
        <v>1860</v>
      </c>
      <c r="AC593" s="11">
        <f>IFERROR(__xludf.DUMMYFUNCTION("""COMPUTED_VALUE"""),43909.66666666667)</f>
        <v>43909.66667</v>
      </c>
      <c r="AD593" s="9">
        <f>IFERROR(__xludf.DUMMYFUNCTION("""COMPUTED_VALUE"""),1880.93)</f>
        <v>1880.93</v>
      </c>
    </row>
    <row r="594">
      <c r="B594" s="11">
        <f>IFERROR(__xludf.DUMMYFUNCTION("""COMPUTED_VALUE"""),43910.66666666667)</f>
        <v>43910.66667</v>
      </c>
      <c r="C594" s="9">
        <f>IFERROR(__xludf.DUMMYFUNCTION("""COMPUTED_VALUE"""),87.64)</f>
        <v>87.64</v>
      </c>
      <c r="D594" s="11">
        <f>IFERROR(__xludf.DUMMYFUNCTION("""COMPUTED_VALUE"""),43910.66666666667)</f>
        <v>43910.66667</v>
      </c>
      <c r="E594" s="9">
        <f>IFERROR(__xludf.DUMMYFUNCTION("""COMPUTED_VALUE"""),85.51)</f>
        <v>85.51</v>
      </c>
      <c r="G594" s="11">
        <f>IFERROR(__xludf.DUMMYFUNCTION("""COMPUTED_VALUE"""),43910.66666666667)</f>
        <v>43910.66667</v>
      </c>
      <c r="H594" s="9">
        <f>IFERROR(__xludf.DUMMYFUNCTION("""COMPUTED_VALUE"""),1135.72)</f>
        <v>1135.72</v>
      </c>
      <c r="I594" s="11">
        <f>IFERROR(__xludf.DUMMYFUNCTION("""COMPUTED_VALUE"""),43910.66666666667)</f>
        <v>43910.66667</v>
      </c>
      <c r="J594" s="9">
        <f>IFERROR(__xludf.DUMMYFUNCTION("""COMPUTED_VALUE"""),1072.32)</f>
        <v>1072.32</v>
      </c>
      <c r="L594" s="11">
        <f>IFERROR(__xludf.DUMMYFUNCTION("""COMPUTED_VALUE"""),43910.66666666667)</f>
        <v>43910.66667</v>
      </c>
      <c r="M594" s="9">
        <f>IFERROR(__xludf.DUMMYFUNCTION("""COMPUTED_VALUE"""),61.8)</f>
        <v>61.8</v>
      </c>
      <c r="N594" s="11">
        <f>IFERROR(__xludf.DUMMYFUNCTION("""COMPUTED_VALUE"""),43910.66666666667)</f>
        <v>43910.66667</v>
      </c>
      <c r="O594" s="9">
        <f>IFERROR(__xludf.DUMMYFUNCTION("""COMPUTED_VALUE"""),57.31)</f>
        <v>57.31</v>
      </c>
      <c r="Q594" s="11">
        <f>IFERROR(__xludf.DUMMYFUNCTION("""COMPUTED_VALUE"""),43910.66666666667)</f>
        <v>43910.66667</v>
      </c>
      <c r="R594" s="9">
        <f>IFERROR(__xludf.DUMMYFUNCTION("""COMPUTED_VALUE"""),156.02)</f>
        <v>156.02</v>
      </c>
      <c r="S594" s="11">
        <f>IFERROR(__xludf.DUMMYFUNCTION("""COMPUTED_VALUE"""),43910.66666666667)</f>
        <v>43910.66667</v>
      </c>
      <c r="T594" s="9">
        <f>IFERROR(__xludf.DUMMYFUNCTION("""COMPUTED_VALUE"""),149.73)</f>
        <v>149.73</v>
      </c>
      <c r="V594" s="11">
        <f>IFERROR(__xludf.DUMMYFUNCTION("""COMPUTED_VALUE"""),43910.66666666667)</f>
        <v>43910.66667</v>
      </c>
      <c r="W594" s="9">
        <f>IFERROR(__xludf.DUMMYFUNCTION("""COMPUTED_VALUE"""),342.31)</f>
        <v>342.31</v>
      </c>
      <c r="X594" s="11">
        <f>IFERROR(__xludf.DUMMYFUNCTION("""COMPUTED_VALUE"""),43910.66666666667)</f>
        <v>43910.66667</v>
      </c>
      <c r="Y594" s="9">
        <f>IFERROR(__xludf.DUMMYFUNCTION("""COMPUTED_VALUE"""),332.83)</f>
        <v>332.83</v>
      </c>
      <c r="AA594" s="11">
        <f>IFERROR(__xludf.DUMMYFUNCTION("""COMPUTED_VALUE"""),43910.66666666667)</f>
        <v>43910.66667</v>
      </c>
      <c r="AB594" s="9">
        <f>IFERROR(__xludf.DUMMYFUNCTION("""COMPUTED_VALUE"""),1926.31)</f>
        <v>1926.31</v>
      </c>
      <c r="AC594" s="11">
        <f>IFERROR(__xludf.DUMMYFUNCTION("""COMPUTED_VALUE"""),43910.66666666667)</f>
        <v>43910.66667</v>
      </c>
      <c r="AD594" s="9">
        <f>IFERROR(__xludf.DUMMYFUNCTION("""COMPUTED_VALUE"""),1846.09)</f>
        <v>1846.09</v>
      </c>
    </row>
    <row r="595">
      <c r="B595" s="11">
        <f>IFERROR(__xludf.DUMMYFUNCTION("""COMPUTED_VALUE"""),43913.66666666667)</f>
        <v>43913.66667</v>
      </c>
      <c r="C595" s="9">
        <f>IFERROR(__xludf.DUMMYFUNCTION("""COMPUTED_VALUE"""),86.72)</f>
        <v>86.72</v>
      </c>
      <c r="D595" s="11">
        <f>IFERROR(__xludf.DUMMYFUNCTION("""COMPUTED_VALUE"""),43913.66666666667)</f>
        <v>43913.66667</v>
      </c>
      <c r="E595" s="9">
        <f>IFERROR(__xludf.DUMMYFUNCTION("""COMPUTED_VALUE"""),86.86)</f>
        <v>86.86</v>
      </c>
      <c r="G595" s="11">
        <f>IFERROR(__xludf.DUMMYFUNCTION("""COMPUTED_VALUE"""),43913.66666666667)</f>
        <v>43913.66667</v>
      </c>
      <c r="H595" s="9">
        <f>IFERROR(__xludf.DUMMYFUNCTION("""COMPUTED_VALUE"""),1061.32)</f>
        <v>1061.32</v>
      </c>
      <c r="I595" s="11">
        <f>IFERROR(__xludf.DUMMYFUNCTION("""COMPUTED_VALUE"""),43913.66666666667)</f>
        <v>43913.66667</v>
      </c>
      <c r="J595" s="9">
        <f>IFERROR(__xludf.DUMMYFUNCTION("""COMPUTED_VALUE"""),1056.62)</f>
        <v>1056.62</v>
      </c>
      <c r="L595" s="11">
        <f>IFERROR(__xludf.DUMMYFUNCTION("""COMPUTED_VALUE"""),43913.66666666667)</f>
        <v>43913.66667</v>
      </c>
      <c r="M595" s="9">
        <f>IFERROR(__xludf.DUMMYFUNCTION("""COMPUTED_VALUE"""),57.02)</f>
        <v>57.02</v>
      </c>
      <c r="N595" s="11">
        <f>IFERROR(__xludf.DUMMYFUNCTION("""COMPUTED_VALUE"""),43913.66666666667)</f>
        <v>43913.66667</v>
      </c>
      <c r="O595" s="9">
        <f>IFERROR(__xludf.DUMMYFUNCTION("""COMPUTED_VALUE"""),56.09)</f>
        <v>56.09</v>
      </c>
      <c r="Q595" s="11">
        <f>IFERROR(__xludf.DUMMYFUNCTION("""COMPUTED_VALUE"""),43913.66666666667)</f>
        <v>43913.66667</v>
      </c>
      <c r="R595" s="9">
        <f>IFERROR(__xludf.DUMMYFUNCTION("""COMPUTED_VALUE"""),149.66)</f>
        <v>149.66</v>
      </c>
      <c r="S595" s="11">
        <f>IFERROR(__xludf.DUMMYFUNCTION("""COMPUTED_VALUE"""),43913.66666666667)</f>
        <v>43913.66667</v>
      </c>
      <c r="T595" s="9">
        <f>IFERROR(__xludf.DUMMYFUNCTION("""COMPUTED_VALUE"""),148.1)</f>
        <v>148.1</v>
      </c>
      <c r="V595" s="11">
        <f>IFERROR(__xludf.DUMMYFUNCTION("""COMPUTED_VALUE"""),43913.66666666667)</f>
        <v>43913.66667</v>
      </c>
      <c r="W595" s="9">
        <f>IFERROR(__xludf.DUMMYFUNCTION("""COMPUTED_VALUE"""),347.89)</f>
        <v>347.89</v>
      </c>
      <c r="X595" s="11">
        <f>IFERROR(__xludf.DUMMYFUNCTION("""COMPUTED_VALUE"""),43913.66666666667)</f>
        <v>43913.66667</v>
      </c>
      <c r="Y595" s="9">
        <f>IFERROR(__xludf.DUMMYFUNCTION("""COMPUTED_VALUE"""),360.27)</f>
        <v>360.27</v>
      </c>
      <c r="AA595" s="11">
        <f>IFERROR(__xludf.DUMMYFUNCTION("""COMPUTED_VALUE"""),43913.66666666667)</f>
        <v>43913.66667</v>
      </c>
      <c r="AB595" s="9">
        <f>IFERROR(__xludf.DUMMYFUNCTION("""COMPUTED_VALUE"""),1827.75)</f>
        <v>1827.75</v>
      </c>
      <c r="AC595" s="11">
        <f>IFERROR(__xludf.DUMMYFUNCTION("""COMPUTED_VALUE"""),43913.66666666667)</f>
        <v>43913.66667</v>
      </c>
      <c r="AD595" s="9">
        <f>IFERROR(__xludf.DUMMYFUNCTION("""COMPUTED_VALUE"""),1902.83)</f>
        <v>1902.83</v>
      </c>
    </row>
    <row r="596">
      <c r="B596" s="11">
        <f>IFERROR(__xludf.DUMMYFUNCTION("""COMPUTED_VALUE"""),43914.66666666667)</f>
        <v>43914.66667</v>
      </c>
      <c r="C596" s="9">
        <f>IFERROR(__xludf.DUMMYFUNCTION("""COMPUTED_VALUE"""),95.46)</f>
        <v>95.46</v>
      </c>
      <c r="D596" s="11">
        <f>IFERROR(__xludf.DUMMYFUNCTION("""COMPUTED_VALUE"""),43914.66666666667)</f>
        <v>43914.66667</v>
      </c>
      <c r="E596" s="9">
        <f>IFERROR(__xludf.DUMMYFUNCTION("""COMPUTED_VALUE"""),101.0)</f>
        <v>101</v>
      </c>
      <c r="G596" s="11">
        <f>IFERROR(__xludf.DUMMYFUNCTION("""COMPUTED_VALUE"""),43914.66666666667)</f>
        <v>43914.66667</v>
      </c>
      <c r="H596" s="9">
        <f>IFERROR(__xludf.DUMMYFUNCTION("""COMPUTED_VALUE"""),1103.77)</f>
        <v>1103.77</v>
      </c>
      <c r="I596" s="11">
        <f>IFERROR(__xludf.DUMMYFUNCTION("""COMPUTED_VALUE"""),43914.66666666667)</f>
        <v>43914.66667</v>
      </c>
      <c r="J596" s="9">
        <f>IFERROR(__xludf.DUMMYFUNCTION("""COMPUTED_VALUE"""),1134.46)</f>
        <v>1134.46</v>
      </c>
      <c r="L596" s="11">
        <f>IFERROR(__xludf.DUMMYFUNCTION("""COMPUTED_VALUE"""),43914.66666666667)</f>
        <v>43914.66667</v>
      </c>
      <c r="M596" s="9">
        <f>IFERROR(__xludf.DUMMYFUNCTION("""COMPUTED_VALUE"""),59.09)</f>
        <v>59.09</v>
      </c>
      <c r="N596" s="11">
        <f>IFERROR(__xludf.DUMMYFUNCTION("""COMPUTED_VALUE"""),43914.66666666667)</f>
        <v>43914.66667</v>
      </c>
      <c r="O596" s="9">
        <f>IFERROR(__xludf.DUMMYFUNCTION("""COMPUTED_VALUE"""),61.72)</f>
        <v>61.72</v>
      </c>
      <c r="Q596" s="11">
        <f>IFERROR(__xludf.DUMMYFUNCTION("""COMPUTED_VALUE"""),43914.66666666667)</f>
        <v>43914.66667</v>
      </c>
      <c r="R596" s="9">
        <f>IFERROR(__xludf.DUMMYFUNCTION("""COMPUTED_VALUE"""),155.21)</f>
        <v>155.21</v>
      </c>
      <c r="S596" s="11">
        <f>IFERROR(__xludf.DUMMYFUNCTION("""COMPUTED_VALUE"""),43914.66666666667)</f>
        <v>43914.66667</v>
      </c>
      <c r="T596" s="9">
        <f>IFERROR(__xludf.DUMMYFUNCTION("""COMPUTED_VALUE"""),160.98)</f>
        <v>160.98</v>
      </c>
      <c r="V596" s="11">
        <f>IFERROR(__xludf.DUMMYFUNCTION("""COMPUTED_VALUE"""),43914.66666666667)</f>
        <v>43914.66667</v>
      </c>
      <c r="W596" s="9">
        <f>IFERROR(__xludf.DUMMYFUNCTION("""COMPUTED_VALUE"""),369.99)</f>
        <v>369.99</v>
      </c>
      <c r="X596" s="11">
        <f>IFERROR(__xludf.DUMMYFUNCTION("""COMPUTED_VALUE"""),43914.66666666667)</f>
        <v>43914.66667</v>
      </c>
      <c r="Y596" s="9">
        <f>IFERROR(__xludf.DUMMYFUNCTION("""COMPUTED_VALUE"""),357.32)</f>
        <v>357.32</v>
      </c>
      <c r="AA596" s="11">
        <f>IFERROR(__xludf.DUMMYFUNCTION("""COMPUTED_VALUE"""),43914.66666666667)</f>
        <v>43914.66667</v>
      </c>
      <c r="AB596" s="9">
        <f>IFERROR(__xludf.DUMMYFUNCTION("""COMPUTED_VALUE"""),1951.5)</f>
        <v>1951.5</v>
      </c>
      <c r="AC596" s="11">
        <f>IFERROR(__xludf.DUMMYFUNCTION("""COMPUTED_VALUE"""),43914.66666666667)</f>
        <v>43914.66667</v>
      </c>
      <c r="AD596" s="9">
        <f>IFERROR(__xludf.DUMMYFUNCTION("""COMPUTED_VALUE"""),1940.1)</f>
        <v>1940.1</v>
      </c>
    </row>
    <row r="597">
      <c r="B597" s="11">
        <f>IFERROR(__xludf.DUMMYFUNCTION("""COMPUTED_VALUE"""),43915.66666666667)</f>
        <v>43915.66667</v>
      </c>
      <c r="C597" s="9">
        <f>IFERROR(__xludf.DUMMYFUNCTION("""COMPUTED_VALUE"""),109.05)</f>
        <v>109.05</v>
      </c>
      <c r="D597" s="11">
        <f>IFERROR(__xludf.DUMMYFUNCTION("""COMPUTED_VALUE"""),43915.66666666667)</f>
        <v>43915.66667</v>
      </c>
      <c r="E597" s="9">
        <f>IFERROR(__xludf.DUMMYFUNCTION("""COMPUTED_VALUE"""),107.85)</f>
        <v>107.85</v>
      </c>
      <c r="G597" s="11">
        <f>IFERROR(__xludf.DUMMYFUNCTION("""COMPUTED_VALUE"""),43915.66666666667)</f>
        <v>43915.66667</v>
      </c>
      <c r="H597" s="9">
        <f>IFERROR(__xludf.DUMMYFUNCTION("""COMPUTED_VALUE"""),1126.47)</f>
        <v>1126.47</v>
      </c>
      <c r="I597" s="11">
        <f>IFERROR(__xludf.DUMMYFUNCTION("""COMPUTED_VALUE"""),43915.66666666667)</f>
        <v>43915.66667</v>
      </c>
      <c r="J597" s="9">
        <f>IFERROR(__xludf.DUMMYFUNCTION("""COMPUTED_VALUE"""),1102.49)</f>
        <v>1102.49</v>
      </c>
      <c r="L597" s="11">
        <f>IFERROR(__xludf.DUMMYFUNCTION("""COMPUTED_VALUE"""),43915.66666666667)</f>
        <v>43915.66667</v>
      </c>
      <c r="M597" s="9">
        <f>IFERROR(__xludf.DUMMYFUNCTION("""COMPUTED_VALUE"""),62.69)</f>
        <v>62.69</v>
      </c>
      <c r="N597" s="11">
        <f>IFERROR(__xludf.DUMMYFUNCTION("""COMPUTED_VALUE"""),43915.66666666667)</f>
        <v>43915.66667</v>
      </c>
      <c r="O597" s="9">
        <f>IFERROR(__xludf.DUMMYFUNCTION("""COMPUTED_VALUE"""),61.38)</f>
        <v>61.38</v>
      </c>
      <c r="Q597" s="11">
        <f>IFERROR(__xludf.DUMMYFUNCTION("""COMPUTED_VALUE"""),43915.66666666667)</f>
        <v>43915.66667</v>
      </c>
      <c r="R597" s="9">
        <f>IFERROR(__xludf.DUMMYFUNCTION("""COMPUTED_VALUE"""),158.92)</f>
        <v>158.92</v>
      </c>
      <c r="S597" s="11">
        <f>IFERROR(__xludf.DUMMYFUNCTION("""COMPUTED_VALUE"""),43915.66666666667)</f>
        <v>43915.66667</v>
      </c>
      <c r="T597" s="9">
        <f>IFERROR(__xludf.DUMMYFUNCTION("""COMPUTED_VALUE"""),156.21)</f>
        <v>156.21</v>
      </c>
      <c r="V597" s="11">
        <f>IFERROR(__xludf.DUMMYFUNCTION("""COMPUTED_VALUE"""),43915.66666666667)</f>
        <v>43915.66667</v>
      </c>
      <c r="W597" s="9">
        <f>IFERROR(__xludf.DUMMYFUNCTION("""COMPUTED_VALUE"""),361.02)</f>
        <v>361.02</v>
      </c>
      <c r="X597" s="11">
        <f>IFERROR(__xludf.DUMMYFUNCTION("""COMPUTED_VALUE"""),43915.66666666667)</f>
        <v>43915.66667</v>
      </c>
      <c r="Y597" s="9">
        <f>IFERROR(__xludf.DUMMYFUNCTION("""COMPUTED_VALUE"""),342.39)</f>
        <v>342.39</v>
      </c>
      <c r="AA597" s="11">
        <f>IFERROR(__xludf.DUMMYFUNCTION("""COMPUTED_VALUE"""),43915.66666666667)</f>
        <v>43915.66667</v>
      </c>
      <c r="AB597" s="9">
        <f>IFERROR(__xludf.DUMMYFUNCTION("""COMPUTED_VALUE"""),1920.69)</f>
        <v>1920.69</v>
      </c>
      <c r="AC597" s="11">
        <f>IFERROR(__xludf.DUMMYFUNCTION("""COMPUTED_VALUE"""),43915.66666666667)</f>
        <v>43915.66667</v>
      </c>
      <c r="AD597" s="9">
        <f>IFERROR(__xludf.DUMMYFUNCTION("""COMPUTED_VALUE"""),1885.84)</f>
        <v>1885.84</v>
      </c>
    </row>
    <row r="598">
      <c r="B598" s="11">
        <f>IFERROR(__xludf.DUMMYFUNCTION("""COMPUTED_VALUE"""),43916.66666666667)</f>
        <v>43916.66667</v>
      </c>
      <c r="C598" s="9">
        <f>IFERROR(__xludf.DUMMYFUNCTION("""COMPUTED_VALUE"""),109.48)</f>
        <v>109.48</v>
      </c>
      <c r="D598" s="11">
        <f>IFERROR(__xludf.DUMMYFUNCTION("""COMPUTED_VALUE"""),43916.66666666667)</f>
        <v>43916.66667</v>
      </c>
      <c r="E598" s="9">
        <f>IFERROR(__xludf.DUMMYFUNCTION("""COMPUTED_VALUE"""),105.63)</f>
        <v>105.63</v>
      </c>
      <c r="G598" s="11">
        <f>IFERROR(__xludf.DUMMYFUNCTION("""COMPUTED_VALUE"""),43916.66666666667)</f>
        <v>43916.66667</v>
      </c>
      <c r="H598" s="9">
        <f>IFERROR(__xludf.DUMMYFUNCTION("""COMPUTED_VALUE"""),1111.8)</f>
        <v>1111.8</v>
      </c>
      <c r="I598" s="11">
        <f>IFERROR(__xludf.DUMMYFUNCTION("""COMPUTED_VALUE"""),43916.66666666667)</f>
        <v>43916.66667</v>
      </c>
      <c r="J598" s="9">
        <f>IFERROR(__xludf.DUMMYFUNCTION("""COMPUTED_VALUE"""),1161.75)</f>
        <v>1161.75</v>
      </c>
      <c r="L598" s="11">
        <f>IFERROR(__xludf.DUMMYFUNCTION("""COMPUTED_VALUE"""),43916.66666666667)</f>
        <v>43916.66667</v>
      </c>
      <c r="M598" s="9">
        <f>IFERROR(__xludf.DUMMYFUNCTION("""COMPUTED_VALUE"""),61.63)</f>
        <v>61.63</v>
      </c>
      <c r="N598" s="11">
        <f>IFERROR(__xludf.DUMMYFUNCTION("""COMPUTED_VALUE"""),43916.66666666667)</f>
        <v>43916.66667</v>
      </c>
      <c r="O598" s="9">
        <f>IFERROR(__xludf.DUMMYFUNCTION("""COMPUTED_VALUE"""),64.61)</f>
        <v>64.61</v>
      </c>
      <c r="Q598" s="11">
        <f>IFERROR(__xludf.DUMMYFUNCTION("""COMPUTED_VALUE"""),43916.66666666667)</f>
        <v>43916.66667</v>
      </c>
      <c r="R598" s="9">
        <f>IFERROR(__xludf.DUMMYFUNCTION("""COMPUTED_VALUE"""),158.25)</f>
        <v>158.25</v>
      </c>
      <c r="S598" s="11">
        <f>IFERROR(__xludf.DUMMYFUNCTION("""COMPUTED_VALUE"""),43916.66666666667)</f>
        <v>43916.66667</v>
      </c>
      <c r="T598" s="9">
        <f>IFERROR(__xludf.DUMMYFUNCTION("""COMPUTED_VALUE"""),163.34)</f>
        <v>163.34</v>
      </c>
      <c r="V598" s="11">
        <f>IFERROR(__xludf.DUMMYFUNCTION("""COMPUTED_VALUE"""),43916.66666666667)</f>
        <v>43916.66667</v>
      </c>
      <c r="W598" s="9">
        <f>IFERROR(__xludf.DUMMYFUNCTION("""COMPUTED_VALUE"""),344.0)</f>
        <v>344</v>
      </c>
      <c r="X598" s="11">
        <f>IFERROR(__xludf.DUMMYFUNCTION("""COMPUTED_VALUE"""),43916.66666666667)</f>
        <v>43916.66667</v>
      </c>
      <c r="Y598" s="9">
        <f>IFERROR(__xludf.DUMMYFUNCTION("""COMPUTED_VALUE"""),362.99)</f>
        <v>362.99</v>
      </c>
      <c r="AA598" s="11">
        <f>IFERROR(__xludf.DUMMYFUNCTION("""COMPUTED_VALUE"""),43916.66666666667)</f>
        <v>43916.66667</v>
      </c>
      <c r="AB598" s="9">
        <f>IFERROR(__xludf.DUMMYFUNCTION("""COMPUTED_VALUE"""),1902.0)</f>
        <v>1902</v>
      </c>
      <c r="AC598" s="11">
        <f>IFERROR(__xludf.DUMMYFUNCTION("""COMPUTED_VALUE"""),43916.66666666667)</f>
        <v>43916.66667</v>
      </c>
      <c r="AD598" s="9">
        <f>IFERROR(__xludf.DUMMYFUNCTION("""COMPUTED_VALUE"""),1955.49)</f>
        <v>1955.49</v>
      </c>
    </row>
    <row r="599">
      <c r="B599" s="11">
        <f>IFERROR(__xludf.DUMMYFUNCTION("""COMPUTED_VALUE"""),43917.66666666667)</f>
        <v>43917.66667</v>
      </c>
      <c r="C599" s="9">
        <f>IFERROR(__xludf.DUMMYFUNCTION("""COMPUTED_VALUE"""),101.0)</f>
        <v>101</v>
      </c>
      <c r="D599" s="11">
        <f>IFERROR(__xludf.DUMMYFUNCTION("""COMPUTED_VALUE"""),43917.66666666667)</f>
        <v>43917.66667</v>
      </c>
      <c r="E599" s="9">
        <f>IFERROR(__xludf.DUMMYFUNCTION("""COMPUTED_VALUE"""),102.87)</f>
        <v>102.87</v>
      </c>
      <c r="G599" s="11">
        <f>IFERROR(__xludf.DUMMYFUNCTION("""COMPUTED_VALUE"""),43917.66666666667)</f>
        <v>43917.66667</v>
      </c>
      <c r="H599" s="9">
        <f>IFERROR(__xludf.DUMMYFUNCTION("""COMPUTED_VALUE"""),1125.67)</f>
        <v>1125.67</v>
      </c>
      <c r="I599" s="11">
        <f>IFERROR(__xludf.DUMMYFUNCTION("""COMPUTED_VALUE"""),43917.66666666667)</f>
        <v>43917.66667</v>
      </c>
      <c r="J599" s="9">
        <f>IFERROR(__xludf.DUMMYFUNCTION("""COMPUTED_VALUE"""),1110.71)</f>
        <v>1110.71</v>
      </c>
      <c r="L599" s="11">
        <f>IFERROR(__xludf.DUMMYFUNCTION("""COMPUTED_VALUE"""),43917.66666666667)</f>
        <v>43917.66667</v>
      </c>
      <c r="M599" s="9">
        <f>IFERROR(__xludf.DUMMYFUNCTION("""COMPUTED_VALUE"""),63.19)</f>
        <v>63.19</v>
      </c>
      <c r="N599" s="11">
        <f>IFERROR(__xludf.DUMMYFUNCTION("""COMPUTED_VALUE"""),43917.66666666667)</f>
        <v>43917.66667</v>
      </c>
      <c r="O599" s="9">
        <f>IFERROR(__xludf.DUMMYFUNCTION("""COMPUTED_VALUE"""),61.94)</f>
        <v>61.94</v>
      </c>
      <c r="Q599" s="11">
        <f>IFERROR(__xludf.DUMMYFUNCTION("""COMPUTED_VALUE"""),43917.66666666667)</f>
        <v>43917.66667</v>
      </c>
      <c r="R599" s="9">
        <f>IFERROR(__xludf.DUMMYFUNCTION("""COMPUTED_VALUE"""),158.2)</f>
        <v>158.2</v>
      </c>
      <c r="S599" s="11">
        <f>IFERROR(__xludf.DUMMYFUNCTION("""COMPUTED_VALUE"""),43917.66666666667)</f>
        <v>43917.66667</v>
      </c>
      <c r="T599" s="9">
        <f>IFERROR(__xludf.DUMMYFUNCTION("""COMPUTED_VALUE"""),156.79)</f>
        <v>156.79</v>
      </c>
      <c r="V599" s="11">
        <f>IFERROR(__xludf.DUMMYFUNCTION("""COMPUTED_VALUE"""),43917.66666666667)</f>
        <v>43917.66667</v>
      </c>
      <c r="W599" s="9">
        <f>IFERROR(__xludf.DUMMYFUNCTION("""COMPUTED_VALUE"""),359.09)</f>
        <v>359.09</v>
      </c>
      <c r="X599" s="11">
        <f>IFERROR(__xludf.DUMMYFUNCTION("""COMPUTED_VALUE"""),43917.66666666667)</f>
        <v>43917.66667</v>
      </c>
      <c r="Y599" s="9">
        <f>IFERROR(__xludf.DUMMYFUNCTION("""COMPUTED_VALUE"""),357.12)</f>
        <v>357.12</v>
      </c>
      <c r="AA599" s="11">
        <f>IFERROR(__xludf.DUMMYFUNCTION("""COMPUTED_VALUE"""),43917.66666666667)</f>
        <v>43917.66667</v>
      </c>
      <c r="AB599" s="9">
        <f>IFERROR(__xludf.DUMMYFUNCTION("""COMPUTED_VALUE"""),1930.86)</f>
        <v>1930.86</v>
      </c>
      <c r="AC599" s="11">
        <f>IFERROR(__xludf.DUMMYFUNCTION("""COMPUTED_VALUE"""),43917.66666666667)</f>
        <v>43917.66667</v>
      </c>
      <c r="AD599" s="9">
        <f>IFERROR(__xludf.DUMMYFUNCTION("""COMPUTED_VALUE"""),1900.1)</f>
        <v>1900.1</v>
      </c>
    </row>
    <row r="600">
      <c r="B600" s="11">
        <f>IFERROR(__xludf.DUMMYFUNCTION("""COMPUTED_VALUE"""),43920.66666666667)</f>
        <v>43920.66667</v>
      </c>
      <c r="C600" s="9">
        <f>IFERROR(__xludf.DUMMYFUNCTION("""COMPUTED_VALUE"""),102.05)</f>
        <v>102.05</v>
      </c>
      <c r="D600" s="11">
        <f>IFERROR(__xludf.DUMMYFUNCTION("""COMPUTED_VALUE"""),43920.66666666667)</f>
        <v>43920.66667</v>
      </c>
      <c r="E600" s="9">
        <f>IFERROR(__xludf.DUMMYFUNCTION("""COMPUTED_VALUE"""),100.43)</f>
        <v>100.43</v>
      </c>
      <c r="G600" s="11">
        <f>IFERROR(__xludf.DUMMYFUNCTION("""COMPUTED_VALUE"""),43920.66666666667)</f>
        <v>43920.66667</v>
      </c>
      <c r="H600" s="9">
        <f>IFERROR(__xludf.DUMMYFUNCTION("""COMPUTED_VALUE"""),1125.04)</f>
        <v>1125.04</v>
      </c>
      <c r="I600" s="11">
        <f>IFERROR(__xludf.DUMMYFUNCTION("""COMPUTED_VALUE"""),43920.66666666667)</f>
        <v>43920.66667</v>
      </c>
      <c r="J600" s="9">
        <f>IFERROR(__xludf.DUMMYFUNCTION("""COMPUTED_VALUE"""),1146.82)</f>
        <v>1146.82</v>
      </c>
      <c r="L600" s="11">
        <f>IFERROR(__xludf.DUMMYFUNCTION("""COMPUTED_VALUE"""),43920.66666666667)</f>
        <v>43920.66667</v>
      </c>
      <c r="M600" s="9">
        <f>IFERROR(__xludf.DUMMYFUNCTION("""COMPUTED_VALUE"""),62.69)</f>
        <v>62.69</v>
      </c>
      <c r="N600" s="11">
        <f>IFERROR(__xludf.DUMMYFUNCTION("""COMPUTED_VALUE"""),43920.66666666667)</f>
        <v>43920.66667</v>
      </c>
      <c r="O600" s="9">
        <f>IFERROR(__xludf.DUMMYFUNCTION("""COMPUTED_VALUE"""),63.7)</f>
        <v>63.7</v>
      </c>
      <c r="Q600" s="11">
        <f>IFERROR(__xludf.DUMMYFUNCTION("""COMPUTED_VALUE"""),43920.66666666667)</f>
        <v>43920.66667</v>
      </c>
      <c r="R600" s="9">
        <f>IFERROR(__xludf.DUMMYFUNCTION("""COMPUTED_VALUE"""),159.18)</f>
        <v>159.18</v>
      </c>
      <c r="S600" s="11">
        <f>IFERROR(__xludf.DUMMYFUNCTION("""COMPUTED_VALUE"""),43920.66666666667)</f>
        <v>43920.66667</v>
      </c>
      <c r="T600" s="9">
        <f>IFERROR(__xludf.DUMMYFUNCTION("""COMPUTED_VALUE"""),165.95)</f>
        <v>165.95</v>
      </c>
      <c r="V600" s="11">
        <f>IFERROR(__xludf.DUMMYFUNCTION("""COMPUTED_VALUE"""),43920.66666666667)</f>
        <v>43920.66667</v>
      </c>
      <c r="W600" s="9">
        <f>IFERROR(__xludf.DUMMYFUNCTION("""COMPUTED_VALUE"""),363.0)</f>
        <v>363</v>
      </c>
      <c r="X600" s="11">
        <f>IFERROR(__xludf.DUMMYFUNCTION("""COMPUTED_VALUE"""),43920.66666666667)</f>
        <v>43920.66667</v>
      </c>
      <c r="Y600" s="9">
        <f>IFERROR(__xludf.DUMMYFUNCTION("""COMPUTED_VALUE"""),370.96)</f>
        <v>370.96</v>
      </c>
      <c r="AA600" s="11">
        <f>IFERROR(__xludf.DUMMYFUNCTION("""COMPUTED_VALUE"""),43920.66666666667)</f>
        <v>43920.66667</v>
      </c>
      <c r="AB600" s="9">
        <f>IFERROR(__xludf.DUMMYFUNCTION("""COMPUTED_VALUE"""),1922.83)</f>
        <v>1922.83</v>
      </c>
      <c r="AC600" s="11">
        <f>IFERROR(__xludf.DUMMYFUNCTION("""COMPUTED_VALUE"""),43920.66666666667)</f>
        <v>43920.66667</v>
      </c>
      <c r="AD600" s="9">
        <f>IFERROR(__xludf.DUMMYFUNCTION("""COMPUTED_VALUE"""),1963.95)</f>
        <v>1963.95</v>
      </c>
    </row>
    <row r="601">
      <c r="B601" s="11">
        <f>IFERROR(__xludf.DUMMYFUNCTION("""COMPUTED_VALUE"""),43921.66666666667)</f>
        <v>43921.66667</v>
      </c>
      <c r="C601" s="9">
        <f>IFERROR(__xludf.DUMMYFUNCTION("""COMPUTED_VALUE"""),100.25)</f>
        <v>100.25</v>
      </c>
      <c r="D601" s="11">
        <f>IFERROR(__xludf.DUMMYFUNCTION("""COMPUTED_VALUE"""),43921.66666666667)</f>
        <v>43921.66667</v>
      </c>
      <c r="E601" s="9">
        <f>IFERROR(__xludf.DUMMYFUNCTION("""COMPUTED_VALUE"""),104.8)</f>
        <v>104.8</v>
      </c>
      <c r="G601" s="11">
        <f>IFERROR(__xludf.DUMMYFUNCTION("""COMPUTED_VALUE"""),43921.66666666667)</f>
        <v>43921.66667</v>
      </c>
      <c r="H601" s="9">
        <f>IFERROR(__xludf.DUMMYFUNCTION("""COMPUTED_VALUE"""),1147.3)</f>
        <v>1147.3</v>
      </c>
      <c r="I601" s="11">
        <f>IFERROR(__xludf.DUMMYFUNCTION("""COMPUTED_VALUE"""),43921.66666666667)</f>
        <v>43921.66667</v>
      </c>
      <c r="J601" s="9">
        <f>IFERROR(__xludf.DUMMYFUNCTION("""COMPUTED_VALUE"""),1162.81)</f>
        <v>1162.81</v>
      </c>
      <c r="L601" s="11">
        <f>IFERROR(__xludf.DUMMYFUNCTION("""COMPUTED_VALUE"""),43921.66666666667)</f>
        <v>43921.66667</v>
      </c>
      <c r="M601" s="9">
        <f>IFERROR(__xludf.DUMMYFUNCTION("""COMPUTED_VALUE"""),63.9)</f>
        <v>63.9</v>
      </c>
      <c r="N601" s="11">
        <f>IFERROR(__xludf.DUMMYFUNCTION("""COMPUTED_VALUE"""),43921.66666666667)</f>
        <v>43921.66667</v>
      </c>
      <c r="O601" s="9">
        <f>IFERROR(__xludf.DUMMYFUNCTION("""COMPUTED_VALUE"""),63.57)</f>
        <v>63.57</v>
      </c>
      <c r="Q601" s="11">
        <f>IFERROR(__xludf.DUMMYFUNCTION("""COMPUTED_VALUE"""),43921.66666666667)</f>
        <v>43921.66667</v>
      </c>
      <c r="R601" s="9">
        <f>IFERROR(__xludf.DUMMYFUNCTION("""COMPUTED_VALUE"""),165.48)</f>
        <v>165.48</v>
      </c>
      <c r="S601" s="11">
        <f>IFERROR(__xludf.DUMMYFUNCTION("""COMPUTED_VALUE"""),43921.66666666667)</f>
        <v>43921.66667</v>
      </c>
      <c r="T601" s="9">
        <f>IFERROR(__xludf.DUMMYFUNCTION("""COMPUTED_VALUE"""),166.8)</f>
        <v>166.8</v>
      </c>
      <c r="V601" s="11">
        <f>IFERROR(__xludf.DUMMYFUNCTION("""COMPUTED_VALUE"""),43921.66666666667)</f>
        <v>43921.66667</v>
      </c>
      <c r="W601" s="9">
        <f>IFERROR(__xludf.DUMMYFUNCTION("""COMPUTED_VALUE"""),367.93)</f>
        <v>367.93</v>
      </c>
      <c r="X601" s="11">
        <f>IFERROR(__xludf.DUMMYFUNCTION("""COMPUTED_VALUE"""),43921.66666666667)</f>
        <v>43921.66667</v>
      </c>
      <c r="Y601" s="9">
        <f>IFERROR(__xludf.DUMMYFUNCTION("""COMPUTED_VALUE"""),375.5)</f>
        <v>375.5</v>
      </c>
      <c r="AA601" s="11">
        <f>IFERROR(__xludf.DUMMYFUNCTION("""COMPUTED_VALUE"""),43921.66666666667)</f>
        <v>43921.66667</v>
      </c>
      <c r="AB601" s="9">
        <f>IFERROR(__xludf.DUMMYFUNCTION("""COMPUTED_VALUE"""),1964.35)</f>
        <v>1964.35</v>
      </c>
      <c r="AC601" s="11">
        <f>IFERROR(__xludf.DUMMYFUNCTION("""COMPUTED_VALUE"""),43921.66666666667)</f>
        <v>43921.66667</v>
      </c>
      <c r="AD601" s="9">
        <f>IFERROR(__xludf.DUMMYFUNCTION("""COMPUTED_VALUE"""),1949.72)</f>
        <v>1949.72</v>
      </c>
    </row>
    <row r="602">
      <c r="B602" s="11">
        <f>IFERROR(__xludf.DUMMYFUNCTION("""COMPUTED_VALUE"""),43922.66666666667)</f>
        <v>43922.66667</v>
      </c>
      <c r="C602" s="9">
        <f>IFERROR(__xludf.DUMMYFUNCTION("""COMPUTED_VALUE"""),100.8)</f>
        <v>100.8</v>
      </c>
      <c r="D602" s="11">
        <f>IFERROR(__xludf.DUMMYFUNCTION("""COMPUTED_VALUE"""),43922.66666666667)</f>
        <v>43922.66667</v>
      </c>
      <c r="E602" s="9">
        <f>IFERROR(__xludf.DUMMYFUNCTION("""COMPUTED_VALUE"""),96.31)</f>
        <v>96.31</v>
      </c>
      <c r="G602" s="11">
        <f>IFERROR(__xludf.DUMMYFUNCTION("""COMPUTED_VALUE"""),43922.66666666667)</f>
        <v>43922.66667</v>
      </c>
      <c r="H602" s="9">
        <f>IFERROR(__xludf.DUMMYFUNCTION("""COMPUTED_VALUE"""),1122.0)</f>
        <v>1122</v>
      </c>
      <c r="I602" s="11">
        <f>IFERROR(__xludf.DUMMYFUNCTION("""COMPUTED_VALUE"""),43922.66666666667)</f>
        <v>43922.66667</v>
      </c>
      <c r="J602" s="9">
        <f>IFERROR(__xludf.DUMMYFUNCTION("""COMPUTED_VALUE"""),1105.62)</f>
        <v>1105.62</v>
      </c>
      <c r="L602" s="11">
        <f>IFERROR(__xludf.DUMMYFUNCTION("""COMPUTED_VALUE"""),43922.66666666667)</f>
        <v>43922.66667</v>
      </c>
      <c r="M602" s="9">
        <f>IFERROR(__xludf.DUMMYFUNCTION("""COMPUTED_VALUE"""),61.63)</f>
        <v>61.63</v>
      </c>
      <c r="N602" s="11">
        <f>IFERROR(__xludf.DUMMYFUNCTION("""COMPUTED_VALUE"""),43922.66666666667)</f>
        <v>43922.66667</v>
      </c>
      <c r="O602" s="9">
        <f>IFERROR(__xludf.DUMMYFUNCTION("""COMPUTED_VALUE"""),60.23)</f>
        <v>60.23</v>
      </c>
      <c r="Q602" s="11">
        <f>IFERROR(__xludf.DUMMYFUNCTION("""COMPUTED_VALUE"""),43922.66666666667)</f>
        <v>43922.66667</v>
      </c>
      <c r="R602" s="9">
        <f>IFERROR(__xludf.DUMMYFUNCTION("""COMPUTED_VALUE"""),161.62)</f>
        <v>161.62</v>
      </c>
      <c r="S602" s="11">
        <f>IFERROR(__xludf.DUMMYFUNCTION("""COMPUTED_VALUE"""),43922.66666666667)</f>
        <v>43922.66667</v>
      </c>
      <c r="T602" s="9">
        <f>IFERROR(__xludf.DUMMYFUNCTION("""COMPUTED_VALUE"""),159.6)</f>
        <v>159.6</v>
      </c>
      <c r="V602" s="11">
        <f>IFERROR(__xludf.DUMMYFUNCTION("""COMPUTED_VALUE"""),43922.66666666667)</f>
        <v>43922.66667</v>
      </c>
      <c r="W602" s="9">
        <f>IFERROR(__xludf.DUMMYFUNCTION("""COMPUTED_VALUE"""),376.05)</f>
        <v>376.05</v>
      </c>
      <c r="X602" s="11">
        <f>IFERROR(__xludf.DUMMYFUNCTION("""COMPUTED_VALUE"""),43922.66666666667)</f>
        <v>43922.66667</v>
      </c>
      <c r="Y602" s="9">
        <f>IFERROR(__xludf.DUMMYFUNCTION("""COMPUTED_VALUE"""),364.08)</f>
        <v>364.08</v>
      </c>
      <c r="AA602" s="11">
        <f>IFERROR(__xludf.DUMMYFUNCTION("""COMPUTED_VALUE"""),43922.66666666667)</f>
        <v>43922.66667</v>
      </c>
      <c r="AB602" s="9">
        <f>IFERROR(__xludf.DUMMYFUNCTION("""COMPUTED_VALUE"""),1932.97)</f>
        <v>1932.97</v>
      </c>
      <c r="AC602" s="11">
        <f>IFERROR(__xludf.DUMMYFUNCTION("""COMPUTED_VALUE"""),43922.66666666667)</f>
        <v>43922.66667</v>
      </c>
      <c r="AD602" s="9">
        <f>IFERROR(__xludf.DUMMYFUNCTION("""COMPUTED_VALUE"""),1907.7)</f>
        <v>1907.7</v>
      </c>
    </row>
    <row r="603">
      <c r="B603" s="11">
        <f>IFERROR(__xludf.DUMMYFUNCTION("""COMPUTED_VALUE"""),43923.66666666667)</f>
        <v>43923.66667</v>
      </c>
      <c r="C603" s="9">
        <f>IFERROR(__xludf.DUMMYFUNCTION("""COMPUTED_VALUE"""),96.21)</f>
        <v>96.21</v>
      </c>
      <c r="D603" s="11">
        <f>IFERROR(__xludf.DUMMYFUNCTION("""COMPUTED_VALUE"""),43923.66666666667)</f>
        <v>43923.66667</v>
      </c>
      <c r="E603" s="9">
        <f>IFERROR(__xludf.DUMMYFUNCTION("""COMPUTED_VALUE"""),90.89)</f>
        <v>90.89</v>
      </c>
      <c r="G603" s="11">
        <f>IFERROR(__xludf.DUMMYFUNCTION("""COMPUTED_VALUE"""),43923.66666666667)</f>
        <v>43923.66667</v>
      </c>
      <c r="H603" s="9">
        <f>IFERROR(__xludf.DUMMYFUNCTION("""COMPUTED_VALUE"""),1098.26)</f>
        <v>1098.26</v>
      </c>
      <c r="I603" s="11">
        <f>IFERROR(__xludf.DUMMYFUNCTION("""COMPUTED_VALUE"""),43923.66666666667)</f>
        <v>43923.66667</v>
      </c>
      <c r="J603" s="9">
        <f>IFERROR(__xludf.DUMMYFUNCTION("""COMPUTED_VALUE"""),1120.84)</f>
        <v>1120.84</v>
      </c>
      <c r="L603" s="11">
        <f>IFERROR(__xludf.DUMMYFUNCTION("""COMPUTED_VALUE"""),43923.66666666667)</f>
        <v>43923.66667</v>
      </c>
      <c r="M603" s="9">
        <f>IFERROR(__xludf.DUMMYFUNCTION("""COMPUTED_VALUE"""),60.09)</f>
        <v>60.09</v>
      </c>
      <c r="N603" s="11">
        <f>IFERROR(__xludf.DUMMYFUNCTION("""COMPUTED_VALUE"""),43923.66666666667)</f>
        <v>43923.66667</v>
      </c>
      <c r="O603" s="9">
        <f>IFERROR(__xludf.DUMMYFUNCTION("""COMPUTED_VALUE"""),61.23)</f>
        <v>61.23</v>
      </c>
      <c r="Q603" s="11">
        <f>IFERROR(__xludf.DUMMYFUNCTION("""COMPUTED_VALUE"""),43923.66666666667)</f>
        <v>43923.66667</v>
      </c>
      <c r="R603" s="9">
        <f>IFERROR(__xludf.DUMMYFUNCTION("""COMPUTED_VALUE"""),159.1)</f>
        <v>159.1</v>
      </c>
      <c r="S603" s="11">
        <f>IFERROR(__xludf.DUMMYFUNCTION("""COMPUTED_VALUE"""),43923.66666666667)</f>
        <v>43923.66667</v>
      </c>
      <c r="T603" s="9">
        <f>IFERROR(__xludf.DUMMYFUNCTION("""COMPUTED_VALUE"""),158.19)</f>
        <v>158.19</v>
      </c>
      <c r="V603" s="11">
        <f>IFERROR(__xludf.DUMMYFUNCTION("""COMPUTED_VALUE"""),43923.66666666667)</f>
        <v>43923.66667</v>
      </c>
      <c r="W603" s="9">
        <f>IFERROR(__xludf.DUMMYFUNCTION("""COMPUTED_VALUE"""),364.08)</f>
        <v>364.08</v>
      </c>
      <c r="X603" s="11">
        <f>IFERROR(__xludf.DUMMYFUNCTION("""COMPUTED_VALUE"""),43923.66666666667)</f>
        <v>43923.66667</v>
      </c>
      <c r="Y603" s="9">
        <f>IFERROR(__xludf.DUMMYFUNCTION("""COMPUTED_VALUE"""),370.08)</f>
        <v>370.08</v>
      </c>
      <c r="AA603" s="11">
        <f>IFERROR(__xludf.DUMMYFUNCTION("""COMPUTED_VALUE"""),43923.66666666667)</f>
        <v>43923.66667</v>
      </c>
      <c r="AB603" s="9">
        <f>IFERROR(__xludf.DUMMYFUNCTION("""COMPUTED_VALUE"""),1901.64)</f>
        <v>1901.64</v>
      </c>
      <c r="AC603" s="11">
        <f>IFERROR(__xludf.DUMMYFUNCTION("""COMPUTED_VALUE"""),43923.66666666667)</f>
        <v>43923.66667</v>
      </c>
      <c r="AD603" s="9">
        <f>IFERROR(__xludf.DUMMYFUNCTION("""COMPUTED_VALUE"""),1918.83)</f>
        <v>1918.83</v>
      </c>
    </row>
    <row r="604">
      <c r="B604" s="11">
        <f>IFERROR(__xludf.DUMMYFUNCTION("""COMPUTED_VALUE"""),43924.66666666667)</f>
        <v>43924.66667</v>
      </c>
      <c r="C604" s="9">
        <f>IFERROR(__xludf.DUMMYFUNCTION("""COMPUTED_VALUE"""),101.9)</f>
        <v>101.9</v>
      </c>
      <c r="D604" s="11">
        <f>IFERROR(__xludf.DUMMYFUNCTION("""COMPUTED_VALUE"""),43924.66666666667)</f>
        <v>43924.66667</v>
      </c>
      <c r="E604" s="9">
        <f>IFERROR(__xludf.DUMMYFUNCTION("""COMPUTED_VALUE"""),96.0)</f>
        <v>96</v>
      </c>
      <c r="G604" s="11">
        <f>IFERROR(__xludf.DUMMYFUNCTION("""COMPUTED_VALUE"""),43924.66666666667)</f>
        <v>43924.66667</v>
      </c>
      <c r="H604" s="9">
        <f>IFERROR(__xludf.DUMMYFUNCTION("""COMPUTED_VALUE"""),1119.02)</f>
        <v>1119.02</v>
      </c>
      <c r="I604" s="11">
        <f>IFERROR(__xludf.DUMMYFUNCTION("""COMPUTED_VALUE"""),43924.66666666667)</f>
        <v>43924.66667</v>
      </c>
      <c r="J604" s="9">
        <f>IFERROR(__xludf.DUMMYFUNCTION("""COMPUTED_VALUE"""),1097.88)</f>
        <v>1097.88</v>
      </c>
      <c r="L604" s="11">
        <f>IFERROR(__xludf.DUMMYFUNCTION("""COMPUTED_VALUE"""),43924.66666666667)</f>
        <v>43924.66667</v>
      </c>
      <c r="M604" s="9">
        <f>IFERROR(__xludf.DUMMYFUNCTION("""COMPUTED_VALUE"""),60.7)</f>
        <v>60.7</v>
      </c>
      <c r="N604" s="11">
        <f>IFERROR(__xludf.DUMMYFUNCTION("""COMPUTED_VALUE"""),43924.66666666667)</f>
        <v>43924.66667</v>
      </c>
      <c r="O604" s="9">
        <f>IFERROR(__xludf.DUMMYFUNCTION("""COMPUTED_VALUE"""),60.35)</f>
        <v>60.35</v>
      </c>
      <c r="Q604" s="11">
        <f>IFERROR(__xludf.DUMMYFUNCTION("""COMPUTED_VALUE"""),43924.66666666667)</f>
        <v>43924.66667</v>
      </c>
      <c r="R604" s="9">
        <f>IFERROR(__xludf.DUMMYFUNCTION("""COMPUTED_VALUE"""),157.15)</f>
        <v>157.15</v>
      </c>
      <c r="S604" s="11">
        <f>IFERROR(__xludf.DUMMYFUNCTION("""COMPUTED_VALUE"""),43924.66666666667)</f>
        <v>43924.66667</v>
      </c>
      <c r="T604" s="9">
        <f>IFERROR(__xludf.DUMMYFUNCTION("""COMPUTED_VALUE"""),154.18)</f>
        <v>154.18</v>
      </c>
      <c r="V604" s="11">
        <f>IFERROR(__xludf.DUMMYFUNCTION("""COMPUTED_VALUE"""),43924.66666666667)</f>
        <v>43924.66667</v>
      </c>
      <c r="W604" s="9">
        <f>IFERROR(__xludf.DUMMYFUNCTION("""COMPUTED_VALUE"""),367.47)</f>
        <v>367.47</v>
      </c>
      <c r="X604" s="11">
        <f>IFERROR(__xludf.DUMMYFUNCTION("""COMPUTED_VALUE"""),43924.66666666667)</f>
        <v>43924.66667</v>
      </c>
      <c r="Y604" s="9">
        <f>IFERROR(__xludf.DUMMYFUNCTION("""COMPUTED_VALUE"""),361.76)</f>
        <v>361.76</v>
      </c>
      <c r="AA604" s="11">
        <f>IFERROR(__xludf.DUMMYFUNCTION("""COMPUTED_VALUE"""),43924.66666666667)</f>
        <v>43924.66667</v>
      </c>
      <c r="AB604" s="9">
        <f>IFERROR(__xludf.DUMMYFUNCTION("""COMPUTED_VALUE"""),1911.15)</f>
        <v>1911.15</v>
      </c>
      <c r="AC604" s="11">
        <f>IFERROR(__xludf.DUMMYFUNCTION("""COMPUTED_VALUE"""),43924.66666666667)</f>
        <v>43924.66667</v>
      </c>
      <c r="AD604" s="9">
        <f>IFERROR(__xludf.DUMMYFUNCTION("""COMPUTED_VALUE"""),1906.59)</f>
        <v>1906.59</v>
      </c>
    </row>
    <row r="605">
      <c r="B605" s="11">
        <f>IFERROR(__xludf.DUMMYFUNCTION("""COMPUTED_VALUE"""),43927.66666666667)</f>
        <v>43927.66667</v>
      </c>
      <c r="C605" s="9">
        <f>IFERROR(__xludf.DUMMYFUNCTION("""COMPUTED_VALUE"""),102.24)</f>
        <v>102.24</v>
      </c>
      <c r="D605" s="11">
        <f>IFERROR(__xludf.DUMMYFUNCTION("""COMPUTED_VALUE"""),43927.66666666667)</f>
        <v>43927.66667</v>
      </c>
      <c r="E605" s="9">
        <f>IFERROR(__xludf.DUMMYFUNCTION("""COMPUTED_VALUE"""),103.25)</f>
        <v>103.25</v>
      </c>
      <c r="G605" s="11">
        <f>IFERROR(__xludf.DUMMYFUNCTION("""COMPUTED_VALUE"""),43927.66666666667)</f>
        <v>43927.66667</v>
      </c>
      <c r="H605" s="9">
        <f>IFERROR(__xludf.DUMMYFUNCTION("""COMPUTED_VALUE"""),1138.0)</f>
        <v>1138</v>
      </c>
      <c r="I605" s="11">
        <f>IFERROR(__xludf.DUMMYFUNCTION("""COMPUTED_VALUE"""),43927.66666666667)</f>
        <v>43927.66667</v>
      </c>
      <c r="J605" s="9">
        <f>IFERROR(__xludf.DUMMYFUNCTION("""COMPUTED_VALUE"""),1186.92)</f>
        <v>1186.92</v>
      </c>
      <c r="L605" s="11">
        <f>IFERROR(__xludf.DUMMYFUNCTION("""COMPUTED_VALUE"""),43927.66666666667)</f>
        <v>43927.66667</v>
      </c>
      <c r="M605" s="9">
        <f>IFERROR(__xludf.DUMMYFUNCTION("""COMPUTED_VALUE"""),62.73)</f>
        <v>62.73</v>
      </c>
      <c r="N605" s="11">
        <f>IFERROR(__xludf.DUMMYFUNCTION("""COMPUTED_VALUE"""),43927.66666666667)</f>
        <v>43927.66667</v>
      </c>
      <c r="O605" s="9">
        <f>IFERROR(__xludf.DUMMYFUNCTION("""COMPUTED_VALUE"""),65.62)</f>
        <v>65.62</v>
      </c>
      <c r="Q605" s="11">
        <f>IFERROR(__xludf.DUMMYFUNCTION("""COMPUTED_VALUE"""),43927.66666666667)</f>
        <v>43927.66667</v>
      </c>
      <c r="R605" s="9">
        <f>IFERROR(__xludf.DUMMYFUNCTION("""COMPUTED_VALUE"""),160.15)</f>
        <v>160.15</v>
      </c>
      <c r="S605" s="11">
        <f>IFERROR(__xludf.DUMMYFUNCTION("""COMPUTED_VALUE"""),43927.66666666667)</f>
        <v>43927.66667</v>
      </c>
      <c r="T605" s="9">
        <f>IFERROR(__xludf.DUMMYFUNCTION("""COMPUTED_VALUE"""),165.55)</f>
        <v>165.55</v>
      </c>
      <c r="V605" s="11">
        <f>IFERROR(__xludf.DUMMYFUNCTION("""COMPUTED_VALUE"""),43927.66666666667)</f>
        <v>43927.66667</v>
      </c>
      <c r="W605" s="9">
        <f>IFERROR(__xludf.DUMMYFUNCTION("""COMPUTED_VALUE"""),365.22)</f>
        <v>365.22</v>
      </c>
      <c r="X605" s="11">
        <f>IFERROR(__xludf.DUMMYFUNCTION("""COMPUTED_VALUE"""),43927.66666666667)</f>
        <v>43927.66667</v>
      </c>
      <c r="Y605" s="9">
        <f>IFERROR(__xludf.DUMMYFUNCTION("""COMPUTED_VALUE"""),379.96)</f>
        <v>379.96</v>
      </c>
      <c r="AA605" s="11">
        <f>IFERROR(__xludf.DUMMYFUNCTION("""COMPUTED_VALUE"""),43927.66666666667)</f>
        <v>43927.66667</v>
      </c>
      <c r="AB605" s="9">
        <f>IFERROR(__xludf.DUMMYFUNCTION("""COMPUTED_VALUE"""),1936.0)</f>
        <v>1936</v>
      </c>
      <c r="AC605" s="11">
        <f>IFERROR(__xludf.DUMMYFUNCTION("""COMPUTED_VALUE"""),43927.66666666667)</f>
        <v>43927.66667</v>
      </c>
      <c r="AD605" s="9">
        <f>IFERROR(__xludf.DUMMYFUNCTION("""COMPUTED_VALUE"""),1997.59)</f>
        <v>1997.59</v>
      </c>
    </row>
    <row r="606">
      <c r="B606" s="11">
        <f>IFERROR(__xludf.DUMMYFUNCTION("""COMPUTED_VALUE"""),43928.66666666667)</f>
        <v>43928.66667</v>
      </c>
      <c r="C606" s="9">
        <f>IFERROR(__xludf.DUMMYFUNCTION("""COMPUTED_VALUE"""),109.0)</f>
        <v>109</v>
      </c>
      <c r="D606" s="11">
        <f>IFERROR(__xludf.DUMMYFUNCTION("""COMPUTED_VALUE"""),43928.66666666667)</f>
        <v>43928.66667</v>
      </c>
      <c r="E606" s="9">
        <f>IFERROR(__xludf.DUMMYFUNCTION("""COMPUTED_VALUE"""),109.09)</f>
        <v>109.09</v>
      </c>
      <c r="G606" s="11">
        <f>IFERROR(__xludf.DUMMYFUNCTION("""COMPUTED_VALUE"""),43928.66666666667)</f>
        <v>43928.66667</v>
      </c>
      <c r="H606" s="9">
        <f>IFERROR(__xludf.DUMMYFUNCTION("""COMPUTED_VALUE"""),1221.0)</f>
        <v>1221</v>
      </c>
      <c r="I606" s="11">
        <f>IFERROR(__xludf.DUMMYFUNCTION("""COMPUTED_VALUE"""),43928.66666666667)</f>
        <v>43928.66667</v>
      </c>
      <c r="J606" s="9">
        <f>IFERROR(__xludf.DUMMYFUNCTION("""COMPUTED_VALUE"""),1186.51)</f>
        <v>1186.51</v>
      </c>
      <c r="L606" s="11">
        <f>IFERROR(__xludf.DUMMYFUNCTION("""COMPUTED_VALUE"""),43928.66666666667)</f>
        <v>43928.66667</v>
      </c>
      <c r="M606" s="9">
        <f>IFERROR(__xludf.DUMMYFUNCTION("""COMPUTED_VALUE"""),67.7)</f>
        <v>67.7</v>
      </c>
      <c r="N606" s="11">
        <f>IFERROR(__xludf.DUMMYFUNCTION("""COMPUTED_VALUE"""),43928.66666666667)</f>
        <v>43928.66667</v>
      </c>
      <c r="O606" s="9">
        <f>IFERROR(__xludf.DUMMYFUNCTION("""COMPUTED_VALUE"""),64.86)</f>
        <v>64.86</v>
      </c>
      <c r="Q606" s="11">
        <f>IFERROR(__xludf.DUMMYFUNCTION("""COMPUTED_VALUE"""),43928.66666666667)</f>
        <v>43928.66667</v>
      </c>
      <c r="R606" s="9">
        <f>IFERROR(__xludf.DUMMYFUNCTION("""COMPUTED_VALUE"""),171.79)</f>
        <v>171.79</v>
      </c>
      <c r="S606" s="11">
        <f>IFERROR(__xludf.DUMMYFUNCTION("""COMPUTED_VALUE"""),43928.66666666667)</f>
        <v>43928.66667</v>
      </c>
      <c r="T606" s="9">
        <f>IFERROR(__xludf.DUMMYFUNCTION("""COMPUTED_VALUE"""),168.83)</f>
        <v>168.83</v>
      </c>
      <c r="V606" s="11">
        <f>IFERROR(__xludf.DUMMYFUNCTION("""COMPUTED_VALUE"""),43928.66666666667)</f>
        <v>43928.66667</v>
      </c>
      <c r="W606" s="9">
        <f>IFERROR(__xludf.DUMMYFUNCTION("""COMPUTED_VALUE"""),380.0)</f>
        <v>380</v>
      </c>
      <c r="X606" s="11">
        <f>IFERROR(__xludf.DUMMYFUNCTION("""COMPUTED_VALUE"""),43928.66666666667)</f>
        <v>43928.66667</v>
      </c>
      <c r="Y606" s="9">
        <f>IFERROR(__xludf.DUMMYFUNCTION("""COMPUTED_VALUE"""),372.28)</f>
        <v>372.28</v>
      </c>
      <c r="AA606" s="11">
        <f>IFERROR(__xludf.DUMMYFUNCTION("""COMPUTED_VALUE"""),43928.66666666667)</f>
        <v>43928.66667</v>
      </c>
      <c r="AB606" s="9">
        <f>IFERROR(__xludf.DUMMYFUNCTION("""COMPUTED_VALUE"""),2017.11)</f>
        <v>2017.11</v>
      </c>
      <c r="AC606" s="11">
        <f>IFERROR(__xludf.DUMMYFUNCTION("""COMPUTED_VALUE"""),43928.66666666667)</f>
        <v>43928.66667</v>
      </c>
      <c r="AD606" s="9">
        <f>IFERROR(__xludf.DUMMYFUNCTION("""COMPUTED_VALUE"""),2011.6)</f>
        <v>2011.6</v>
      </c>
    </row>
    <row r="607">
      <c r="B607" s="11">
        <f>IFERROR(__xludf.DUMMYFUNCTION("""COMPUTED_VALUE"""),43929.66666666667)</f>
        <v>43929.66667</v>
      </c>
      <c r="C607" s="9">
        <f>IFERROR(__xludf.DUMMYFUNCTION("""COMPUTED_VALUE"""),110.84)</f>
        <v>110.84</v>
      </c>
      <c r="D607" s="11">
        <f>IFERROR(__xludf.DUMMYFUNCTION("""COMPUTED_VALUE"""),43929.66666666667)</f>
        <v>43929.66667</v>
      </c>
      <c r="E607" s="9">
        <f>IFERROR(__xludf.DUMMYFUNCTION("""COMPUTED_VALUE"""),109.77)</f>
        <v>109.77</v>
      </c>
      <c r="G607" s="11">
        <f>IFERROR(__xludf.DUMMYFUNCTION("""COMPUTED_VALUE"""),43929.66666666667)</f>
        <v>43929.66667</v>
      </c>
      <c r="H607" s="9">
        <f>IFERROR(__xludf.DUMMYFUNCTION("""COMPUTED_VALUE"""),1206.5)</f>
        <v>1206.5</v>
      </c>
      <c r="I607" s="11">
        <f>IFERROR(__xludf.DUMMYFUNCTION("""COMPUTED_VALUE"""),43929.66666666667)</f>
        <v>43929.66667</v>
      </c>
      <c r="J607" s="9">
        <f>IFERROR(__xludf.DUMMYFUNCTION("""COMPUTED_VALUE"""),1210.28)</f>
        <v>1210.28</v>
      </c>
      <c r="L607" s="11">
        <f>IFERROR(__xludf.DUMMYFUNCTION("""COMPUTED_VALUE"""),43929.66666666667)</f>
        <v>43929.66667</v>
      </c>
      <c r="M607" s="9">
        <f>IFERROR(__xludf.DUMMYFUNCTION("""COMPUTED_VALUE"""),65.69)</f>
        <v>65.69</v>
      </c>
      <c r="N607" s="11">
        <f>IFERROR(__xludf.DUMMYFUNCTION("""COMPUTED_VALUE"""),43929.66666666667)</f>
        <v>43929.66667</v>
      </c>
      <c r="O607" s="9">
        <f>IFERROR(__xludf.DUMMYFUNCTION("""COMPUTED_VALUE"""),66.52)</f>
        <v>66.52</v>
      </c>
      <c r="Q607" s="11">
        <f>IFERROR(__xludf.DUMMYFUNCTION("""COMPUTED_VALUE"""),43929.66666666667)</f>
        <v>43929.66667</v>
      </c>
      <c r="R607" s="9">
        <f>IFERROR(__xludf.DUMMYFUNCTION("""COMPUTED_VALUE"""),171.25)</f>
        <v>171.25</v>
      </c>
      <c r="S607" s="11">
        <f>IFERROR(__xludf.DUMMYFUNCTION("""COMPUTED_VALUE"""),43929.66666666667)</f>
        <v>43929.66667</v>
      </c>
      <c r="T607" s="9">
        <f>IFERROR(__xludf.DUMMYFUNCTION("""COMPUTED_VALUE"""),174.28)</f>
        <v>174.28</v>
      </c>
      <c r="V607" s="11">
        <f>IFERROR(__xludf.DUMMYFUNCTION("""COMPUTED_VALUE"""),43929.66666666667)</f>
        <v>43929.66667</v>
      </c>
      <c r="W607" s="9">
        <f>IFERROR(__xludf.DUMMYFUNCTION("""COMPUTED_VALUE"""),374.01)</f>
        <v>374.01</v>
      </c>
      <c r="X607" s="11">
        <f>IFERROR(__xludf.DUMMYFUNCTION("""COMPUTED_VALUE"""),43929.66666666667)</f>
        <v>43929.66667</v>
      </c>
      <c r="Y607" s="9">
        <f>IFERROR(__xludf.DUMMYFUNCTION("""COMPUTED_VALUE"""),371.12)</f>
        <v>371.12</v>
      </c>
      <c r="AA607" s="11">
        <f>IFERROR(__xludf.DUMMYFUNCTION("""COMPUTED_VALUE"""),43929.66666666667)</f>
        <v>43929.66667</v>
      </c>
      <c r="AB607" s="9">
        <f>IFERROR(__xludf.DUMMYFUNCTION("""COMPUTED_VALUE"""),2021.0)</f>
        <v>2021</v>
      </c>
      <c r="AC607" s="11">
        <f>IFERROR(__xludf.DUMMYFUNCTION("""COMPUTED_VALUE"""),43929.66666666667)</f>
        <v>43929.66667</v>
      </c>
      <c r="AD607" s="9">
        <f>IFERROR(__xludf.DUMMYFUNCTION("""COMPUTED_VALUE"""),2043.0)</f>
        <v>2043</v>
      </c>
    </row>
    <row r="608">
      <c r="B608" s="11">
        <f>IFERROR(__xludf.DUMMYFUNCTION("""COMPUTED_VALUE"""),43930.66666666667)</f>
        <v>43930.66667</v>
      </c>
      <c r="C608" s="9">
        <f>IFERROR(__xludf.DUMMYFUNCTION("""COMPUTED_VALUE"""),112.42)</f>
        <v>112.42</v>
      </c>
      <c r="D608" s="11">
        <f>IFERROR(__xludf.DUMMYFUNCTION("""COMPUTED_VALUE"""),43930.66666666667)</f>
        <v>43930.66667</v>
      </c>
      <c r="E608" s="9">
        <f>IFERROR(__xludf.DUMMYFUNCTION("""COMPUTED_VALUE"""),114.6)</f>
        <v>114.6</v>
      </c>
      <c r="G608" s="11">
        <f>IFERROR(__xludf.DUMMYFUNCTION("""COMPUTED_VALUE"""),43930.66666666667)</f>
        <v>43930.66667</v>
      </c>
      <c r="H608" s="9">
        <f>IFERROR(__xludf.DUMMYFUNCTION("""COMPUTED_VALUE"""),1224.08)</f>
        <v>1224.08</v>
      </c>
      <c r="I608" s="11">
        <f>IFERROR(__xludf.DUMMYFUNCTION("""COMPUTED_VALUE"""),43930.66666666667)</f>
        <v>43930.66667</v>
      </c>
      <c r="J608" s="9">
        <f>IFERROR(__xludf.DUMMYFUNCTION("""COMPUTED_VALUE"""),1211.45)</f>
        <v>1211.45</v>
      </c>
      <c r="L608" s="11">
        <f>IFERROR(__xludf.DUMMYFUNCTION("""COMPUTED_VALUE"""),43930.66666666667)</f>
        <v>43930.66667</v>
      </c>
      <c r="M608" s="9">
        <f>IFERROR(__xludf.DUMMYFUNCTION("""COMPUTED_VALUE"""),67.18)</f>
        <v>67.18</v>
      </c>
      <c r="N608" s="11">
        <f>IFERROR(__xludf.DUMMYFUNCTION("""COMPUTED_VALUE"""),43930.66666666667)</f>
        <v>43930.66667</v>
      </c>
      <c r="O608" s="9">
        <f>IFERROR(__xludf.DUMMYFUNCTION("""COMPUTED_VALUE"""),67.0)</f>
        <v>67</v>
      </c>
      <c r="Q608" s="11">
        <f>IFERROR(__xludf.DUMMYFUNCTION("""COMPUTED_VALUE"""),43930.66666666667)</f>
        <v>43930.66667</v>
      </c>
      <c r="R608" s="9">
        <f>IFERROR(__xludf.DUMMYFUNCTION("""COMPUTED_VALUE"""),175.9)</f>
        <v>175.9</v>
      </c>
      <c r="S608" s="11">
        <f>IFERROR(__xludf.DUMMYFUNCTION("""COMPUTED_VALUE"""),43930.66666666667)</f>
        <v>43930.66667</v>
      </c>
      <c r="T608" s="9">
        <f>IFERROR(__xludf.DUMMYFUNCTION("""COMPUTED_VALUE"""),175.19)</f>
        <v>175.19</v>
      </c>
      <c r="V608" s="11">
        <f>IFERROR(__xludf.DUMMYFUNCTION("""COMPUTED_VALUE"""),43930.66666666667)</f>
        <v>43930.66667</v>
      </c>
      <c r="W608" s="9">
        <f>IFERROR(__xludf.DUMMYFUNCTION("""COMPUTED_VALUE"""),371.06)</f>
        <v>371.06</v>
      </c>
      <c r="X608" s="11">
        <f>IFERROR(__xludf.DUMMYFUNCTION("""COMPUTED_VALUE"""),43930.66666666667)</f>
        <v>43930.66667</v>
      </c>
      <c r="Y608" s="9">
        <f>IFERROR(__xludf.DUMMYFUNCTION("""COMPUTED_VALUE"""),370.72)</f>
        <v>370.72</v>
      </c>
      <c r="AA608" s="11">
        <f>IFERROR(__xludf.DUMMYFUNCTION("""COMPUTED_VALUE"""),43930.66666666667)</f>
        <v>43930.66667</v>
      </c>
      <c r="AB608" s="9">
        <f>IFERROR(__xludf.DUMMYFUNCTION("""COMPUTED_VALUE"""),2044.3)</f>
        <v>2044.3</v>
      </c>
      <c r="AC608" s="11">
        <f>IFERROR(__xludf.DUMMYFUNCTION("""COMPUTED_VALUE"""),43930.66666666667)</f>
        <v>43930.66667</v>
      </c>
      <c r="AD608" s="9">
        <f>IFERROR(__xludf.DUMMYFUNCTION("""COMPUTED_VALUE"""),2042.76)</f>
        <v>2042.76</v>
      </c>
    </row>
    <row r="609">
      <c r="B609" s="11">
        <f>IFERROR(__xludf.DUMMYFUNCTION("""COMPUTED_VALUE"""),43934.66666666667)</f>
        <v>43934.66667</v>
      </c>
      <c r="C609" s="9">
        <f>IFERROR(__xludf.DUMMYFUNCTION("""COMPUTED_VALUE"""),118.03)</f>
        <v>118.03</v>
      </c>
      <c r="D609" s="11">
        <f>IFERROR(__xludf.DUMMYFUNCTION("""COMPUTED_VALUE"""),43934.66666666667)</f>
        <v>43934.66667</v>
      </c>
      <c r="E609" s="9">
        <f>IFERROR(__xludf.DUMMYFUNCTION("""COMPUTED_VALUE"""),130.19)</f>
        <v>130.19</v>
      </c>
      <c r="G609" s="11">
        <f>IFERROR(__xludf.DUMMYFUNCTION("""COMPUTED_VALUE"""),43934.66666666667)</f>
        <v>43934.66667</v>
      </c>
      <c r="H609" s="9">
        <f>IFERROR(__xludf.DUMMYFUNCTION("""COMPUTED_VALUE"""),1209.18)</f>
        <v>1209.18</v>
      </c>
      <c r="I609" s="11">
        <f>IFERROR(__xludf.DUMMYFUNCTION("""COMPUTED_VALUE"""),43934.66666666667)</f>
        <v>43934.66667</v>
      </c>
      <c r="J609" s="9">
        <f>IFERROR(__xludf.DUMMYFUNCTION("""COMPUTED_VALUE"""),1217.56)</f>
        <v>1217.56</v>
      </c>
      <c r="L609" s="11">
        <f>IFERROR(__xludf.DUMMYFUNCTION("""COMPUTED_VALUE"""),43934.66666666667)</f>
        <v>43934.66667</v>
      </c>
      <c r="M609" s="9">
        <f>IFERROR(__xludf.DUMMYFUNCTION("""COMPUTED_VALUE"""),67.08)</f>
        <v>67.08</v>
      </c>
      <c r="N609" s="11">
        <f>IFERROR(__xludf.DUMMYFUNCTION("""COMPUTED_VALUE"""),43934.66666666667)</f>
        <v>43934.66667</v>
      </c>
      <c r="O609" s="9">
        <f>IFERROR(__xludf.DUMMYFUNCTION("""COMPUTED_VALUE"""),68.31)</f>
        <v>68.31</v>
      </c>
      <c r="Q609" s="11">
        <f>IFERROR(__xludf.DUMMYFUNCTION("""COMPUTED_VALUE"""),43934.66666666667)</f>
        <v>43934.66667</v>
      </c>
      <c r="R609" s="9">
        <f>IFERROR(__xludf.DUMMYFUNCTION("""COMPUTED_VALUE"""),173.67)</f>
        <v>173.67</v>
      </c>
      <c r="S609" s="11">
        <f>IFERROR(__xludf.DUMMYFUNCTION("""COMPUTED_VALUE"""),43934.66666666667)</f>
        <v>43934.66667</v>
      </c>
      <c r="T609" s="9">
        <f>IFERROR(__xludf.DUMMYFUNCTION("""COMPUTED_VALUE"""),174.79)</f>
        <v>174.79</v>
      </c>
      <c r="V609" s="11">
        <f>IFERROR(__xludf.DUMMYFUNCTION("""COMPUTED_VALUE"""),43934.66666666667)</f>
        <v>43934.66667</v>
      </c>
      <c r="W609" s="9">
        <f>IFERROR(__xludf.DUMMYFUNCTION("""COMPUTED_VALUE"""),371.31)</f>
        <v>371.31</v>
      </c>
      <c r="X609" s="11">
        <f>IFERROR(__xludf.DUMMYFUNCTION("""COMPUTED_VALUE"""),43934.66666666667)</f>
        <v>43934.66667</v>
      </c>
      <c r="Y609" s="9">
        <f>IFERROR(__xludf.DUMMYFUNCTION("""COMPUTED_VALUE"""),396.72)</f>
        <v>396.72</v>
      </c>
      <c r="AA609" s="11">
        <f>IFERROR(__xludf.DUMMYFUNCTION("""COMPUTED_VALUE"""),43934.66666666667)</f>
        <v>43934.66667</v>
      </c>
      <c r="AB609" s="9">
        <f>IFERROR(__xludf.DUMMYFUNCTION("""COMPUTED_VALUE"""),2040.0)</f>
        <v>2040</v>
      </c>
      <c r="AC609" s="11">
        <f>IFERROR(__xludf.DUMMYFUNCTION("""COMPUTED_VALUE"""),43934.66666666667)</f>
        <v>43934.66667</v>
      </c>
      <c r="AD609" s="9">
        <f>IFERROR(__xludf.DUMMYFUNCTION("""COMPUTED_VALUE"""),2168.87)</f>
        <v>2168.87</v>
      </c>
    </row>
    <row r="610">
      <c r="B610" s="11">
        <f>IFERROR(__xludf.DUMMYFUNCTION("""COMPUTED_VALUE"""),43935.66666666667)</f>
        <v>43935.66667</v>
      </c>
      <c r="C610" s="9">
        <f>IFERROR(__xludf.DUMMYFUNCTION("""COMPUTED_VALUE"""),139.79)</f>
        <v>139.79</v>
      </c>
      <c r="D610" s="11">
        <f>IFERROR(__xludf.DUMMYFUNCTION("""COMPUTED_VALUE"""),43935.66666666667)</f>
        <v>43935.66667</v>
      </c>
      <c r="E610" s="9">
        <f>IFERROR(__xludf.DUMMYFUNCTION("""COMPUTED_VALUE"""),141.98)</f>
        <v>141.98</v>
      </c>
      <c r="G610" s="11">
        <f>IFERROR(__xludf.DUMMYFUNCTION("""COMPUTED_VALUE"""),43935.66666666667)</f>
        <v>43935.66667</v>
      </c>
      <c r="H610" s="9">
        <f>IFERROR(__xludf.DUMMYFUNCTION("""COMPUTED_VALUE"""),1245.09)</f>
        <v>1245.09</v>
      </c>
      <c r="I610" s="11">
        <f>IFERROR(__xludf.DUMMYFUNCTION("""COMPUTED_VALUE"""),43935.66666666667)</f>
        <v>43935.66667</v>
      </c>
      <c r="J610" s="9">
        <f>IFERROR(__xludf.DUMMYFUNCTION("""COMPUTED_VALUE"""),1269.23)</f>
        <v>1269.23</v>
      </c>
      <c r="L610" s="11">
        <f>IFERROR(__xludf.DUMMYFUNCTION("""COMPUTED_VALUE"""),43935.66666666667)</f>
        <v>43935.66667</v>
      </c>
      <c r="M610" s="9">
        <f>IFERROR(__xludf.DUMMYFUNCTION("""COMPUTED_VALUE"""),70.0)</f>
        <v>70</v>
      </c>
      <c r="N610" s="11">
        <f>IFERROR(__xludf.DUMMYFUNCTION("""COMPUTED_VALUE"""),43935.66666666667)</f>
        <v>43935.66667</v>
      </c>
      <c r="O610" s="9">
        <f>IFERROR(__xludf.DUMMYFUNCTION("""COMPUTED_VALUE"""),71.76)</f>
        <v>71.76</v>
      </c>
      <c r="Q610" s="11">
        <f>IFERROR(__xludf.DUMMYFUNCTION("""COMPUTED_VALUE"""),43935.66666666667)</f>
        <v>43935.66667</v>
      </c>
      <c r="R610" s="9">
        <f>IFERROR(__xludf.DUMMYFUNCTION("""COMPUTED_VALUE"""),178.98)</f>
        <v>178.98</v>
      </c>
      <c r="S610" s="11">
        <f>IFERROR(__xludf.DUMMYFUNCTION("""COMPUTED_VALUE"""),43935.66666666667)</f>
        <v>43935.66667</v>
      </c>
      <c r="T610" s="9">
        <f>IFERROR(__xludf.DUMMYFUNCTION("""COMPUTED_VALUE"""),178.17)</f>
        <v>178.17</v>
      </c>
      <c r="V610" s="11">
        <f>IFERROR(__xludf.DUMMYFUNCTION("""COMPUTED_VALUE"""),43935.66666666667)</f>
        <v>43935.66667</v>
      </c>
      <c r="W610" s="9">
        <f>IFERROR(__xludf.DUMMYFUNCTION("""COMPUTED_VALUE"""),397.5)</f>
        <v>397.5</v>
      </c>
      <c r="X610" s="11">
        <f>IFERROR(__xludf.DUMMYFUNCTION("""COMPUTED_VALUE"""),43935.66666666667)</f>
        <v>43935.66667</v>
      </c>
      <c r="Y610" s="9">
        <f>IFERROR(__xludf.DUMMYFUNCTION("""COMPUTED_VALUE"""),413.55)</f>
        <v>413.55</v>
      </c>
      <c r="AA610" s="11">
        <f>IFERROR(__xludf.DUMMYFUNCTION("""COMPUTED_VALUE"""),43935.66666666667)</f>
        <v>43935.66667</v>
      </c>
      <c r="AB610" s="9">
        <f>IFERROR(__xludf.DUMMYFUNCTION("""COMPUTED_VALUE"""),2200.47)</f>
        <v>2200.47</v>
      </c>
      <c r="AC610" s="11">
        <f>IFERROR(__xludf.DUMMYFUNCTION("""COMPUTED_VALUE"""),43935.66666666667)</f>
        <v>43935.66667</v>
      </c>
      <c r="AD610" s="9">
        <f>IFERROR(__xludf.DUMMYFUNCTION("""COMPUTED_VALUE"""),2283.32)</f>
        <v>2283.32</v>
      </c>
    </row>
    <row r="611">
      <c r="B611" s="11">
        <f>IFERROR(__xludf.DUMMYFUNCTION("""COMPUTED_VALUE"""),43936.66666666667)</f>
        <v>43936.66667</v>
      </c>
      <c r="C611" s="9">
        <f>IFERROR(__xludf.DUMMYFUNCTION("""COMPUTED_VALUE"""),148.4)</f>
        <v>148.4</v>
      </c>
      <c r="D611" s="11">
        <f>IFERROR(__xludf.DUMMYFUNCTION("""COMPUTED_VALUE"""),43936.66666666667)</f>
        <v>43936.66667</v>
      </c>
      <c r="E611" s="9">
        <f>IFERROR(__xludf.DUMMYFUNCTION("""COMPUTED_VALUE"""),145.97)</f>
        <v>145.97</v>
      </c>
      <c r="G611" s="11">
        <f>IFERROR(__xludf.DUMMYFUNCTION("""COMPUTED_VALUE"""),43936.66666666667)</f>
        <v>43936.66667</v>
      </c>
      <c r="H611" s="9">
        <f>IFERROR(__xludf.DUMMYFUNCTION("""COMPUTED_VALUE"""),1245.61)</f>
        <v>1245.61</v>
      </c>
      <c r="I611" s="11">
        <f>IFERROR(__xludf.DUMMYFUNCTION("""COMPUTED_VALUE"""),43936.66666666667)</f>
        <v>43936.66667</v>
      </c>
      <c r="J611" s="9">
        <f>IFERROR(__xludf.DUMMYFUNCTION("""COMPUTED_VALUE"""),1262.47)</f>
        <v>1262.47</v>
      </c>
      <c r="L611" s="11">
        <f>IFERROR(__xludf.DUMMYFUNCTION("""COMPUTED_VALUE"""),43936.66666666667)</f>
        <v>43936.66667</v>
      </c>
      <c r="M611" s="9">
        <f>IFERROR(__xludf.DUMMYFUNCTION("""COMPUTED_VALUE"""),70.6)</f>
        <v>70.6</v>
      </c>
      <c r="N611" s="11">
        <f>IFERROR(__xludf.DUMMYFUNCTION("""COMPUTED_VALUE"""),43936.66666666667)</f>
        <v>43936.66667</v>
      </c>
      <c r="O611" s="9">
        <f>IFERROR(__xludf.DUMMYFUNCTION("""COMPUTED_VALUE"""),71.11)</f>
        <v>71.11</v>
      </c>
      <c r="Q611" s="11">
        <f>IFERROR(__xludf.DUMMYFUNCTION("""COMPUTED_VALUE"""),43936.66666666667)</f>
        <v>43936.66667</v>
      </c>
      <c r="R611" s="9">
        <f>IFERROR(__xludf.DUMMYFUNCTION("""COMPUTED_VALUE"""),175.19)</f>
        <v>175.19</v>
      </c>
      <c r="S611" s="11">
        <f>IFERROR(__xludf.DUMMYFUNCTION("""COMPUTED_VALUE"""),43936.66666666667)</f>
        <v>43936.66667</v>
      </c>
      <c r="T611" s="9">
        <f>IFERROR(__xludf.DUMMYFUNCTION("""COMPUTED_VALUE"""),176.97)</f>
        <v>176.97</v>
      </c>
      <c r="V611" s="11">
        <f>IFERROR(__xludf.DUMMYFUNCTION("""COMPUTED_VALUE"""),43936.66666666667)</f>
        <v>43936.66667</v>
      </c>
      <c r="W611" s="9">
        <f>IFERROR(__xludf.DUMMYFUNCTION("""COMPUTED_VALUE"""),413.0)</f>
        <v>413</v>
      </c>
      <c r="X611" s="11">
        <f>IFERROR(__xludf.DUMMYFUNCTION("""COMPUTED_VALUE"""),43936.66666666667)</f>
        <v>43936.66667</v>
      </c>
      <c r="Y611" s="9">
        <f>IFERROR(__xludf.DUMMYFUNCTION("""COMPUTED_VALUE"""),426.75)</f>
        <v>426.75</v>
      </c>
      <c r="AA611" s="11">
        <f>IFERROR(__xludf.DUMMYFUNCTION("""COMPUTED_VALUE"""),43936.66666666667)</f>
        <v>43936.66667</v>
      </c>
      <c r="AB611" s="9">
        <f>IFERROR(__xludf.DUMMYFUNCTION("""COMPUTED_VALUE"""),2257.68)</f>
        <v>2257.68</v>
      </c>
      <c r="AC611" s="11">
        <f>IFERROR(__xludf.DUMMYFUNCTION("""COMPUTED_VALUE"""),43936.66666666667)</f>
        <v>43936.66667</v>
      </c>
      <c r="AD611" s="9">
        <f>IFERROR(__xludf.DUMMYFUNCTION("""COMPUTED_VALUE"""),2307.68)</f>
        <v>2307.68</v>
      </c>
    </row>
    <row r="612">
      <c r="B612" s="11">
        <f>IFERROR(__xludf.DUMMYFUNCTION("""COMPUTED_VALUE"""),43937.66666666667)</f>
        <v>43937.66667</v>
      </c>
      <c r="C612" s="9">
        <f>IFERROR(__xludf.DUMMYFUNCTION("""COMPUTED_VALUE"""),143.39)</f>
        <v>143.39</v>
      </c>
      <c r="D612" s="11">
        <f>IFERROR(__xludf.DUMMYFUNCTION("""COMPUTED_VALUE"""),43937.66666666667)</f>
        <v>43937.66667</v>
      </c>
      <c r="E612" s="9">
        <f>IFERROR(__xludf.DUMMYFUNCTION("""COMPUTED_VALUE"""),149.04)</f>
        <v>149.04</v>
      </c>
      <c r="G612" s="11">
        <f>IFERROR(__xludf.DUMMYFUNCTION("""COMPUTED_VALUE"""),43937.66666666667)</f>
        <v>43937.66667</v>
      </c>
      <c r="H612" s="9">
        <f>IFERROR(__xludf.DUMMYFUNCTION("""COMPUTED_VALUE"""),1274.1)</f>
        <v>1274.1</v>
      </c>
      <c r="I612" s="11">
        <f>IFERROR(__xludf.DUMMYFUNCTION("""COMPUTED_VALUE"""),43937.66666666667)</f>
        <v>43937.66667</v>
      </c>
      <c r="J612" s="9">
        <f>IFERROR(__xludf.DUMMYFUNCTION("""COMPUTED_VALUE"""),1263.47)</f>
        <v>1263.47</v>
      </c>
      <c r="L612" s="11">
        <f>IFERROR(__xludf.DUMMYFUNCTION("""COMPUTED_VALUE"""),43937.66666666667)</f>
        <v>43937.66667</v>
      </c>
      <c r="M612" s="9">
        <f>IFERROR(__xludf.DUMMYFUNCTION("""COMPUTED_VALUE"""),71.85)</f>
        <v>71.85</v>
      </c>
      <c r="N612" s="11">
        <f>IFERROR(__xludf.DUMMYFUNCTION("""COMPUTED_VALUE"""),43937.66666666667)</f>
        <v>43937.66667</v>
      </c>
      <c r="O612" s="9">
        <f>IFERROR(__xludf.DUMMYFUNCTION("""COMPUTED_VALUE"""),71.67)</f>
        <v>71.67</v>
      </c>
      <c r="Q612" s="11">
        <f>IFERROR(__xludf.DUMMYFUNCTION("""COMPUTED_VALUE"""),43937.66666666667)</f>
        <v>43937.66667</v>
      </c>
      <c r="R612" s="9">
        <f>IFERROR(__xludf.DUMMYFUNCTION("""COMPUTED_VALUE"""),177.95)</f>
        <v>177.95</v>
      </c>
      <c r="S612" s="11">
        <f>IFERROR(__xludf.DUMMYFUNCTION("""COMPUTED_VALUE"""),43937.66666666667)</f>
        <v>43937.66667</v>
      </c>
      <c r="T612" s="9">
        <f>IFERROR(__xludf.DUMMYFUNCTION("""COMPUTED_VALUE"""),176.25)</f>
        <v>176.25</v>
      </c>
      <c r="V612" s="11">
        <f>IFERROR(__xludf.DUMMYFUNCTION("""COMPUTED_VALUE"""),43937.66666666667)</f>
        <v>43937.66667</v>
      </c>
      <c r="W612" s="9">
        <f>IFERROR(__xludf.DUMMYFUNCTION("""COMPUTED_VALUE"""),437.0)</f>
        <v>437</v>
      </c>
      <c r="X612" s="11">
        <f>IFERROR(__xludf.DUMMYFUNCTION("""COMPUTED_VALUE"""),43937.66666666667)</f>
        <v>43937.66667</v>
      </c>
      <c r="Y612" s="9">
        <f>IFERROR(__xludf.DUMMYFUNCTION("""COMPUTED_VALUE"""),439.17)</f>
        <v>439.17</v>
      </c>
      <c r="AA612" s="11">
        <f>IFERROR(__xludf.DUMMYFUNCTION("""COMPUTED_VALUE"""),43937.66666666667)</f>
        <v>43937.66667</v>
      </c>
      <c r="AB612" s="9">
        <f>IFERROR(__xludf.DUMMYFUNCTION("""COMPUTED_VALUE"""),2346.0)</f>
        <v>2346</v>
      </c>
      <c r="AC612" s="11">
        <f>IFERROR(__xludf.DUMMYFUNCTION("""COMPUTED_VALUE"""),43937.66666666667)</f>
        <v>43937.66667</v>
      </c>
      <c r="AD612" s="9">
        <f>IFERROR(__xludf.DUMMYFUNCTION("""COMPUTED_VALUE"""),2408.19)</f>
        <v>2408.19</v>
      </c>
    </row>
    <row r="613">
      <c r="B613" s="11">
        <f>IFERROR(__xludf.DUMMYFUNCTION("""COMPUTED_VALUE"""),43938.66666666667)</f>
        <v>43938.66667</v>
      </c>
      <c r="C613" s="9">
        <f>IFERROR(__xludf.DUMMYFUNCTION("""COMPUTED_VALUE"""),154.46)</f>
        <v>154.46</v>
      </c>
      <c r="D613" s="11">
        <f>IFERROR(__xludf.DUMMYFUNCTION("""COMPUTED_VALUE"""),43938.66666666667)</f>
        <v>43938.66667</v>
      </c>
      <c r="E613" s="9">
        <f>IFERROR(__xludf.DUMMYFUNCTION("""COMPUTED_VALUE"""),150.78)</f>
        <v>150.78</v>
      </c>
      <c r="G613" s="11">
        <f>IFERROR(__xludf.DUMMYFUNCTION("""COMPUTED_VALUE"""),43938.66666666667)</f>
        <v>43938.66667</v>
      </c>
      <c r="H613" s="9">
        <f>IFERROR(__xludf.DUMMYFUNCTION("""COMPUTED_VALUE"""),1284.85)</f>
        <v>1284.85</v>
      </c>
      <c r="I613" s="11">
        <f>IFERROR(__xludf.DUMMYFUNCTION("""COMPUTED_VALUE"""),43938.66666666667)</f>
        <v>43938.66667</v>
      </c>
      <c r="J613" s="9">
        <f>IFERROR(__xludf.DUMMYFUNCTION("""COMPUTED_VALUE"""),1283.25)</f>
        <v>1283.25</v>
      </c>
      <c r="L613" s="11">
        <f>IFERROR(__xludf.DUMMYFUNCTION("""COMPUTED_VALUE"""),43938.66666666667)</f>
        <v>43938.66667</v>
      </c>
      <c r="M613" s="9">
        <f>IFERROR(__xludf.DUMMYFUNCTION("""COMPUTED_VALUE"""),71.17)</f>
        <v>71.17</v>
      </c>
      <c r="N613" s="11">
        <f>IFERROR(__xludf.DUMMYFUNCTION("""COMPUTED_VALUE"""),43938.66666666667)</f>
        <v>43938.66667</v>
      </c>
      <c r="O613" s="9">
        <f>IFERROR(__xludf.DUMMYFUNCTION("""COMPUTED_VALUE"""),70.7)</f>
        <v>70.7</v>
      </c>
      <c r="Q613" s="11">
        <f>IFERROR(__xludf.DUMMYFUNCTION("""COMPUTED_VALUE"""),43938.66666666667)</f>
        <v>43938.66667</v>
      </c>
      <c r="R613" s="9">
        <f>IFERROR(__xludf.DUMMYFUNCTION("""COMPUTED_VALUE"""),179.2)</f>
        <v>179.2</v>
      </c>
      <c r="S613" s="11">
        <f>IFERROR(__xludf.DUMMYFUNCTION("""COMPUTED_VALUE"""),43938.66666666667)</f>
        <v>43938.66667</v>
      </c>
      <c r="T613" s="9">
        <f>IFERROR(__xludf.DUMMYFUNCTION("""COMPUTED_VALUE"""),179.24)</f>
        <v>179.24</v>
      </c>
      <c r="V613" s="11">
        <f>IFERROR(__xludf.DUMMYFUNCTION("""COMPUTED_VALUE"""),43938.66666666667)</f>
        <v>43938.66667</v>
      </c>
      <c r="W613" s="9">
        <f>IFERROR(__xludf.DUMMYFUNCTION("""COMPUTED_VALUE"""),431.0)</f>
        <v>431</v>
      </c>
      <c r="X613" s="11">
        <f>IFERROR(__xludf.DUMMYFUNCTION("""COMPUTED_VALUE"""),43938.66666666667)</f>
        <v>43938.66667</v>
      </c>
      <c r="Y613" s="9">
        <f>IFERROR(__xludf.DUMMYFUNCTION("""COMPUTED_VALUE"""),422.96)</f>
        <v>422.96</v>
      </c>
      <c r="AA613" s="11">
        <f>IFERROR(__xludf.DUMMYFUNCTION("""COMPUTED_VALUE"""),43938.66666666667)</f>
        <v>43938.66667</v>
      </c>
      <c r="AB613" s="9">
        <f>IFERROR(__xludf.DUMMYFUNCTION("""COMPUTED_VALUE"""),2372.33)</f>
        <v>2372.33</v>
      </c>
      <c r="AC613" s="11">
        <f>IFERROR(__xludf.DUMMYFUNCTION("""COMPUTED_VALUE"""),43938.66666666667)</f>
        <v>43938.66667</v>
      </c>
      <c r="AD613" s="9">
        <f>IFERROR(__xludf.DUMMYFUNCTION("""COMPUTED_VALUE"""),2375.0)</f>
        <v>2375</v>
      </c>
    </row>
    <row r="614">
      <c r="B614" s="11">
        <f>IFERROR(__xludf.DUMMYFUNCTION("""COMPUTED_VALUE"""),43941.66666666667)</f>
        <v>43941.66667</v>
      </c>
      <c r="C614" s="9">
        <f>IFERROR(__xludf.DUMMYFUNCTION("""COMPUTED_VALUE"""),146.54)</f>
        <v>146.54</v>
      </c>
      <c r="D614" s="11">
        <f>IFERROR(__xludf.DUMMYFUNCTION("""COMPUTED_VALUE"""),43941.66666666667)</f>
        <v>43941.66667</v>
      </c>
      <c r="E614" s="9">
        <f>IFERROR(__xludf.DUMMYFUNCTION("""COMPUTED_VALUE"""),149.27)</f>
        <v>149.27</v>
      </c>
      <c r="G614" s="11">
        <f>IFERROR(__xludf.DUMMYFUNCTION("""COMPUTED_VALUE"""),43941.66666666667)</f>
        <v>43941.66667</v>
      </c>
      <c r="H614" s="9">
        <f>IFERROR(__xludf.DUMMYFUNCTION("""COMPUTED_VALUE"""),1271.0)</f>
        <v>1271</v>
      </c>
      <c r="I614" s="11">
        <f>IFERROR(__xludf.DUMMYFUNCTION("""COMPUTED_VALUE"""),43941.66666666667)</f>
        <v>43941.66667</v>
      </c>
      <c r="J614" s="9">
        <f>IFERROR(__xludf.DUMMYFUNCTION("""COMPUTED_VALUE"""),1266.61)</f>
        <v>1266.61</v>
      </c>
      <c r="L614" s="11">
        <f>IFERROR(__xludf.DUMMYFUNCTION("""COMPUTED_VALUE"""),43941.66666666667)</f>
        <v>43941.66667</v>
      </c>
      <c r="M614" s="9">
        <f>IFERROR(__xludf.DUMMYFUNCTION("""COMPUTED_VALUE"""),69.49)</f>
        <v>69.49</v>
      </c>
      <c r="N614" s="11">
        <f>IFERROR(__xludf.DUMMYFUNCTION("""COMPUTED_VALUE"""),43941.66666666667)</f>
        <v>43941.66667</v>
      </c>
      <c r="O614" s="9">
        <f>IFERROR(__xludf.DUMMYFUNCTION("""COMPUTED_VALUE"""),69.23)</f>
        <v>69.23</v>
      </c>
      <c r="Q614" s="11">
        <f>IFERROR(__xludf.DUMMYFUNCTION("""COMPUTED_VALUE"""),43941.66666666667)</f>
        <v>43941.66667</v>
      </c>
      <c r="R614" s="9">
        <f>IFERROR(__xludf.DUMMYFUNCTION("""COMPUTED_VALUE"""),177.41)</f>
        <v>177.41</v>
      </c>
      <c r="S614" s="11">
        <f>IFERROR(__xludf.DUMMYFUNCTION("""COMPUTED_VALUE"""),43941.66666666667)</f>
        <v>43941.66667</v>
      </c>
      <c r="T614" s="9">
        <f>IFERROR(__xludf.DUMMYFUNCTION("""COMPUTED_VALUE"""),178.24)</f>
        <v>178.24</v>
      </c>
      <c r="V614" s="11">
        <f>IFERROR(__xludf.DUMMYFUNCTION("""COMPUTED_VALUE"""),43941.66666666667)</f>
        <v>43941.66667</v>
      </c>
      <c r="W614" s="9">
        <f>IFERROR(__xludf.DUMMYFUNCTION("""COMPUTED_VALUE"""),435.17)</f>
        <v>435.17</v>
      </c>
      <c r="X614" s="11">
        <f>IFERROR(__xludf.DUMMYFUNCTION("""COMPUTED_VALUE"""),43941.66666666667)</f>
        <v>43941.66667</v>
      </c>
      <c r="Y614" s="9">
        <f>IFERROR(__xludf.DUMMYFUNCTION("""COMPUTED_VALUE"""),437.49)</f>
        <v>437.49</v>
      </c>
      <c r="AA614" s="11">
        <f>IFERROR(__xludf.DUMMYFUNCTION("""COMPUTED_VALUE"""),43941.66666666667)</f>
        <v>43941.66667</v>
      </c>
      <c r="AB614" s="9">
        <f>IFERROR(__xludf.DUMMYFUNCTION("""COMPUTED_VALUE"""),2389.95)</f>
        <v>2389.95</v>
      </c>
      <c r="AC614" s="11">
        <f>IFERROR(__xludf.DUMMYFUNCTION("""COMPUTED_VALUE"""),43941.66666666667)</f>
        <v>43941.66667</v>
      </c>
      <c r="AD614" s="9">
        <f>IFERROR(__xludf.DUMMYFUNCTION("""COMPUTED_VALUE"""),2393.61)</f>
        <v>2393.61</v>
      </c>
    </row>
    <row r="615">
      <c r="B615" s="11">
        <f>IFERROR(__xludf.DUMMYFUNCTION("""COMPUTED_VALUE"""),43942.66666666667)</f>
        <v>43942.66667</v>
      </c>
      <c r="C615" s="9">
        <f>IFERROR(__xludf.DUMMYFUNCTION("""COMPUTED_VALUE"""),146.02)</f>
        <v>146.02</v>
      </c>
      <c r="D615" s="11">
        <f>IFERROR(__xludf.DUMMYFUNCTION("""COMPUTED_VALUE"""),43942.66666666667)</f>
        <v>43942.66667</v>
      </c>
      <c r="E615" s="9">
        <f>IFERROR(__xludf.DUMMYFUNCTION("""COMPUTED_VALUE"""),137.34)</f>
        <v>137.34</v>
      </c>
      <c r="G615" s="11">
        <f>IFERROR(__xludf.DUMMYFUNCTION("""COMPUTED_VALUE"""),43942.66666666667)</f>
        <v>43942.66667</v>
      </c>
      <c r="H615" s="9">
        <f>IFERROR(__xludf.DUMMYFUNCTION("""COMPUTED_VALUE"""),1247.0)</f>
        <v>1247</v>
      </c>
      <c r="I615" s="11">
        <f>IFERROR(__xludf.DUMMYFUNCTION("""COMPUTED_VALUE"""),43942.66666666667)</f>
        <v>43942.66667</v>
      </c>
      <c r="J615" s="9">
        <f>IFERROR(__xludf.DUMMYFUNCTION("""COMPUTED_VALUE"""),1216.34)</f>
        <v>1216.34</v>
      </c>
      <c r="L615" s="11">
        <f>IFERROR(__xludf.DUMMYFUNCTION("""COMPUTED_VALUE"""),43942.66666666667)</f>
        <v>43942.66667</v>
      </c>
      <c r="M615" s="9">
        <f>IFERROR(__xludf.DUMMYFUNCTION("""COMPUTED_VALUE"""),69.07)</f>
        <v>69.07</v>
      </c>
      <c r="N615" s="11">
        <f>IFERROR(__xludf.DUMMYFUNCTION("""COMPUTED_VALUE"""),43942.66666666667)</f>
        <v>43942.66667</v>
      </c>
      <c r="O615" s="9">
        <f>IFERROR(__xludf.DUMMYFUNCTION("""COMPUTED_VALUE"""),67.09)</f>
        <v>67.09</v>
      </c>
      <c r="Q615" s="11">
        <f>IFERROR(__xludf.DUMMYFUNCTION("""COMPUTED_VALUE"""),43942.66666666667)</f>
        <v>43942.66667</v>
      </c>
      <c r="R615" s="9">
        <f>IFERROR(__xludf.DUMMYFUNCTION("""COMPUTED_VALUE"""),175.25)</f>
        <v>175.25</v>
      </c>
      <c r="S615" s="11">
        <f>IFERROR(__xludf.DUMMYFUNCTION("""COMPUTED_VALUE"""),43942.66666666667)</f>
        <v>43942.66667</v>
      </c>
      <c r="T615" s="9">
        <f>IFERROR(__xludf.DUMMYFUNCTION("""COMPUTED_VALUE"""),170.8)</f>
        <v>170.8</v>
      </c>
      <c r="V615" s="11">
        <f>IFERROR(__xludf.DUMMYFUNCTION("""COMPUTED_VALUE"""),43942.66666666667)</f>
        <v>43942.66667</v>
      </c>
      <c r="W615" s="9">
        <f>IFERROR(__xludf.DUMMYFUNCTION("""COMPUTED_VALUE"""),444.77)</f>
        <v>444.77</v>
      </c>
      <c r="X615" s="11">
        <f>IFERROR(__xludf.DUMMYFUNCTION("""COMPUTED_VALUE"""),43942.66666666667)</f>
        <v>43942.66667</v>
      </c>
      <c r="Y615" s="9">
        <f>IFERROR(__xludf.DUMMYFUNCTION("""COMPUTED_VALUE"""),433.83)</f>
        <v>433.83</v>
      </c>
      <c r="AA615" s="11">
        <f>IFERROR(__xludf.DUMMYFUNCTION("""COMPUTED_VALUE"""),43942.66666666667)</f>
        <v>43942.66667</v>
      </c>
      <c r="AB615" s="9">
        <f>IFERROR(__xludf.DUMMYFUNCTION("""COMPUTED_VALUE"""),2416.61)</f>
        <v>2416.61</v>
      </c>
      <c r="AC615" s="11">
        <f>IFERROR(__xludf.DUMMYFUNCTION("""COMPUTED_VALUE"""),43942.66666666667)</f>
        <v>43942.66667</v>
      </c>
      <c r="AD615" s="9">
        <f>IFERROR(__xludf.DUMMYFUNCTION("""COMPUTED_VALUE"""),2328.12)</f>
        <v>2328.12</v>
      </c>
    </row>
    <row r="616">
      <c r="B616" s="11">
        <f>IFERROR(__xludf.DUMMYFUNCTION("""COMPUTED_VALUE"""),43943.66666666667)</f>
        <v>43943.66667</v>
      </c>
      <c r="C616" s="9">
        <f>IFERROR(__xludf.DUMMYFUNCTION("""COMPUTED_VALUE"""),140.8)</f>
        <v>140.8</v>
      </c>
      <c r="D616" s="11">
        <f>IFERROR(__xludf.DUMMYFUNCTION("""COMPUTED_VALUE"""),43943.66666666667)</f>
        <v>43943.66667</v>
      </c>
      <c r="E616" s="9">
        <f>IFERROR(__xludf.DUMMYFUNCTION("""COMPUTED_VALUE"""),146.42)</f>
        <v>146.42</v>
      </c>
      <c r="G616" s="11">
        <f>IFERROR(__xludf.DUMMYFUNCTION("""COMPUTED_VALUE"""),43943.66666666667)</f>
        <v>43943.66667</v>
      </c>
      <c r="H616" s="9">
        <f>IFERROR(__xludf.DUMMYFUNCTION("""COMPUTED_VALUE"""),1245.54)</f>
        <v>1245.54</v>
      </c>
      <c r="I616" s="11">
        <f>IFERROR(__xludf.DUMMYFUNCTION("""COMPUTED_VALUE"""),43943.66666666667)</f>
        <v>43943.66667</v>
      </c>
      <c r="J616" s="9">
        <f>IFERROR(__xludf.DUMMYFUNCTION("""COMPUTED_VALUE"""),1263.21)</f>
        <v>1263.21</v>
      </c>
      <c r="L616" s="11">
        <f>IFERROR(__xludf.DUMMYFUNCTION("""COMPUTED_VALUE"""),43943.66666666667)</f>
        <v>43943.66667</v>
      </c>
      <c r="M616" s="9">
        <f>IFERROR(__xludf.DUMMYFUNCTION("""COMPUTED_VALUE"""),68.4)</f>
        <v>68.4</v>
      </c>
      <c r="N616" s="11">
        <f>IFERROR(__xludf.DUMMYFUNCTION("""COMPUTED_VALUE"""),43943.66666666667)</f>
        <v>43943.66667</v>
      </c>
      <c r="O616" s="9">
        <f>IFERROR(__xludf.DUMMYFUNCTION("""COMPUTED_VALUE"""),69.03)</f>
        <v>69.03</v>
      </c>
      <c r="Q616" s="11">
        <f>IFERROR(__xludf.DUMMYFUNCTION("""COMPUTED_VALUE"""),43943.66666666667)</f>
        <v>43943.66667</v>
      </c>
      <c r="R616" s="9">
        <f>IFERROR(__xludf.DUMMYFUNCTION("""COMPUTED_VALUE"""),178.45)</f>
        <v>178.45</v>
      </c>
      <c r="S616" s="11">
        <f>IFERROR(__xludf.DUMMYFUNCTION("""COMPUTED_VALUE"""),43943.66666666667)</f>
        <v>43943.66667</v>
      </c>
      <c r="T616" s="9">
        <f>IFERROR(__xludf.DUMMYFUNCTION("""COMPUTED_VALUE"""),182.28)</f>
        <v>182.28</v>
      </c>
      <c r="V616" s="11">
        <f>IFERROR(__xludf.DUMMYFUNCTION("""COMPUTED_VALUE"""),43943.66666666667)</f>
        <v>43943.66667</v>
      </c>
      <c r="W616" s="9">
        <f>IFERROR(__xludf.DUMMYFUNCTION("""COMPUTED_VALUE"""),429.73)</f>
        <v>429.73</v>
      </c>
      <c r="X616" s="11">
        <f>IFERROR(__xludf.DUMMYFUNCTION("""COMPUTED_VALUE"""),43943.66666666667)</f>
        <v>43943.66667</v>
      </c>
      <c r="Y616" s="9">
        <f>IFERROR(__xludf.DUMMYFUNCTION("""COMPUTED_VALUE"""),421.42)</f>
        <v>421.42</v>
      </c>
      <c r="AA616" s="11">
        <f>IFERROR(__xludf.DUMMYFUNCTION("""COMPUTED_VALUE"""),43943.66666666667)</f>
        <v>43943.66667</v>
      </c>
      <c r="AB616" s="9">
        <f>IFERROR(__xludf.DUMMYFUNCTION("""COMPUTED_VALUE"""),2369.0)</f>
        <v>2369</v>
      </c>
      <c r="AC616" s="11">
        <f>IFERROR(__xludf.DUMMYFUNCTION("""COMPUTED_VALUE"""),43943.66666666667)</f>
        <v>43943.66667</v>
      </c>
      <c r="AD616" s="9">
        <f>IFERROR(__xludf.DUMMYFUNCTION("""COMPUTED_VALUE"""),2363.49)</f>
        <v>2363.49</v>
      </c>
    </row>
    <row r="617">
      <c r="B617" s="11">
        <f>IFERROR(__xludf.DUMMYFUNCTION("""COMPUTED_VALUE"""),43944.66666666667)</f>
        <v>43944.66667</v>
      </c>
      <c r="C617" s="9">
        <f>IFERROR(__xludf.DUMMYFUNCTION("""COMPUTED_VALUE"""),145.52)</f>
        <v>145.52</v>
      </c>
      <c r="D617" s="11">
        <f>IFERROR(__xludf.DUMMYFUNCTION("""COMPUTED_VALUE"""),43944.66666666667)</f>
        <v>43944.66667</v>
      </c>
      <c r="E617" s="9">
        <f>IFERROR(__xludf.DUMMYFUNCTION("""COMPUTED_VALUE"""),141.13)</f>
        <v>141.13</v>
      </c>
      <c r="G617" s="11">
        <f>IFERROR(__xludf.DUMMYFUNCTION("""COMPUTED_VALUE"""),43944.66666666667)</f>
        <v>43944.66667</v>
      </c>
      <c r="H617" s="9">
        <f>IFERROR(__xludf.DUMMYFUNCTION("""COMPUTED_VALUE"""),1271.55)</f>
        <v>1271.55</v>
      </c>
      <c r="I617" s="11">
        <f>IFERROR(__xludf.DUMMYFUNCTION("""COMPUTED_VALUE"""),43944.66666666667)</f>
        <v>43944.66667</v>
      </c>
      <c r="J617" s="9">
        <f>IFERROR(__xludf.DUMMYFUNCTION("""COMPUTED_VALUE"""),1276.31)</f>
        <v>1276.31</v>
      </c>
      <c r="L617" s="11">
        <f>IFERROR(__xludf.DUMMYFUNCTION("""COMPUTED_VALUE"""),43944.66666666667)</f>
        <v>43944.66667</v>
      </c>
      <c r="M617" s="9">
        <f>IFERROR(__xludf.DUMMYFUNCTION("""COMPUTED_VALUE"""),68.97)</f>
        <v>68.97</v>
      </c>
      <c r="N617" s="11">
        <f>IFERROR(__xludf.DUMMYFUNCTION("""COMPUTED_VALUE"""),43944.66666666667)</f>
        <v>43944.66667</v>
      </c>
      <c r="O617" s="9">
        <f>IFERROR(__xludf.DUMMYFUNCTION("""COMPUTED_VALUE"""),68.76)</f>
        <v>68.76</v>
      </c>
      <c r="Q617" s="11">
        <f>IFERROR(__xludf.DUMMYFUNCTION("""COMPUTED_VALUE"""),43944.66666666667)</f>
        <v>43944.66667</v>
      </c>
      <c r="R617" s="9">
        <f>IFERROR(__xludf.DUMMYFUNCTION("""COMPUTED_VALUE"""),184.08)</f>
        <v>184.08</v>
      </c>
      <c r="S617" s="11">
        <f>IFERROR(__xludf.DUMMYFUNCTION("""COMPUTED_VALUE"""),43944.66666666667)</f>
        <v>43944.66667</v>
      </c>
      <c r="T617" s="9">
        <f>IFERROR(__xludf.DUMMYFUNCTION("""COMPUTED_VALUE"""),185.13)</f>
        <v>185.13</v>
      </c>
      <c r="V617" s="11">
        <f>IFERROR(__xludf.DUMMYFUNCTION("""COMPUTED_VALUE"""),43944.66666666667)</f>
        <v>43944.66667</v>
      </c>
      <c r="W617" s="9">
        <f>IFERROR(__xludf.DUMMYFUNCTION("""COMPUTED_VALUE"""),419.26)</f>
        <v>419.26</v>
      </c>
      <c r="X617" s="11">
        <f>IFERROR(__xludf.DUMMYFUNCTION("""COMPUTED_VALUE"""),43944.66666666667)</f>
        <v>43944.66667</v>
      </c>
      <c r="Y617" s="9">
        <f>IFERROR(__xludf.DUMMYFUNCTION("""COMPUTED_VALUE"""),426.7)</f>
        <v>426.7</v>
      </c>
      <c r="AA617" s="11">
        <f>IFERROR(__xludf.DUMMYFUNCTION("""COMPUTED_VALUE"""),43944.66666666667)</f>
        <v>43944.66667</v>
      </c>
      <c r="AB617" s="9">
        <f>IFERROR(__xludf.DUMMYFUNCTION("""COMPUTED_VALUE"""),2399.98)</f>
        <v>2399.98</v>
      </c>
      <c r="AC617" s="11">
        <f>IFERROR(__xludf.DUMMYFUNCTION("""COMPUTED_VALUE"""),43944.66666666667)</f>
        <v>43944.66667</v>
      </c>
      <c r="AD617" s="9">
        <f>IFERROR(__xludf.DUMMYFUNCTION("""COMPUTED_VALUE"""),2399.45)</f>
        <v>2399.45</v>
      </c>
    </row>
    <row r="618">
      <c r="B618" s="11">
        <f>IFERROR(__xludf.DUMMYFUNCTION("""COMPUTED_VALUE"""),43945.66666666667)</f>
        <v>43945.66667</v>
      </c>
      <c r="C618" s="9">
        <f>IFERROR(__xludf.DUMMYFUNCTION("""COMPUTED_VALUE"""),142.16)</f>
        <v>142.16</v>
      </c>
      <c r="D618" s="11">
        <f>IFERROR(__xludf.DUMMYFUNCTION("""COMPUTED_VALUE"""),43945.66666666667)</f>
        <v>43945.66667</v>
      </c>
      <c r="E618" s="9">
        <f>IFERROR(__xludf.DUMMYFUNCTION("""COMPUTED_VALUE"""),145.03)</f>
        <v>145.03</v>
      </c>
      <c r="G618" s="11">
        <f>IFERROR(__xludf.DUMMYFUNCTION("""COMPUTED_VALUE"""),43945.66666666667)</f>
        <v>43945.66667</v>
      </c>
      <c r="H618" s="9">
        <f>IFERROR(__xludf.DUMMYFUNCTION("""COMPUTED_VALUE"""),1261.17)</f>
        <v>1261.17</v>
      </c>
      <c r="I618" s="11">
        <f>IFERROR(__xludf.DUMMYFUNCTION("""COMPUTED_VALUE"""),43945.66666666667)</f>
        <v>43945.66667</v>
      </c>
      <c r="J618" s="9">
        <f>IFERROR(__xludf.DUMMYFUNCTION("""COMPUTED_VALUE"""),1279.31)</f>
        <v>1279.31</v>
      </c>
      <c r="L618" s="11">
        <f>IFERROR(__xludf.DUMMYFUNCTION("""COMPUTED_VALUE"""),43945.66666666667)</f>
        <v>43945.66667</v>
      </c>
      <c r="M618" s="9">
        <f>IFERROR(__xludf.DUMMYFUNCTION("""COMPUTED_VALUE"""),69.3)</f>
        <v>69.3</v>
      </c>
      <c r="N618" s="11">
        <f>IFERROR(__xludf.DUMMYFUNCTION("""COMPUTED_VALUE"""),43945.66666666667)</f>
        <v>43945.66667</v>
      </c>
      <c r="O618" s="9">
        <f>IFERROR(__xludf.DUMMYFUNCTION("""COMPUTED_VALUE"""),70.74)</f>
        <v>70.74</v>
      </c>
      <c r="Q618" s="11">
        <f>IFERROR(__xludf.DUMMYFUNCTION("""COMPUTED_VALUE"""),43945.66666666667)</f>
        <v>43945.66667</v>
      </c>
      <c r="R618" s="9">
        <f>IFERROR(__xludf.DUMMYFUNCTION("""COMPUTED_VALUE"""),183.23)</f>
        <v>183.23</v>
      </c>
      <c r="S618" s="11">
        <f>IFERROR(__xludf.DUMMYFUNCTION("""COMPUTED_VALUE"""),43945.66666666667)</f>
        <v>43945.66667</v>
      </c>
      <c r="T618" s="9">
        <f>IFERROR(__xludf.DUMMYFUNCTION("""COMPUTED_VALUE"""),190.07)</f>
        <v>190.07</v>
      </c>
      <c r="V618" s="11">
        <f>IFERROR(__xludf.DUMMYFUNCTION("""COMPUTED_VALUE"""),43945.66666666667)</f>
        <v>43945.66667</v>
      </c>
      <c r="W618" s="9">
        <f>IFERROR(__xludf.DUMMYFUNCTION("""COMPUTED_VALUE"""),425.0)</f>
        <v>425</v>
      </c>
      <c r="X618" s="11">
        <f>IFERROR(__xludf.DUMMYFUNCTION("""COMPUTED_VALUE"""),43945.66666666667)</f>
        <v>43945.66667</v>
      </c>
      <c r="Y618" s="9">
        <f>IFERROR(__xludf.DUMMYFUNCTION("""COMPUTED_VALUE"""),424.99)</f>
        <v>424.99</v>
      </c>
      <c r="AA618" s="11">
        <f>IFERROR(__xludf.DUMMYFUNCTION("""COMPUTED_VALUE"""),43945.66666666667)</f>
        <v>43945.66667</v>
      </c>
      <c r="AB618" s="9">
        <f>IFERROR(__xludf.DUMMYFUNCTION("""COMPUTED_VALUE"""),2417.0)</f>
        <v>2417</v>
      </c>
      <c r="AC618" s="11">
        <f>IFERROR(__xludf.DUMMYFUNCTION("""COMPUTED_VALUE"""),43945.66666666667)</f>
        <v>43945.66667</v>
      </c>
      <c r="AD618" s="9">
        <f>IFERROR(__xludf.DUMMYFUNCTION("""COMPUTED_VALUE"""),2410.22)</f>
        <v>2410.22</v>
      </c>
    </row>
    <row r="619">
      <c r="B619" s="11">
        <f>IFERROR(__xludf.DUMMYFUNCTION("""COMPUTED_VALUE"""),43948.66666666667)</f>
        <v>43948.66667</v>
      </c>
      <c r="C619" s="9">
        <f>IFERROR(__xludf.DUMMYFUNCTION("""COMPUTED_VALUE"""),147.52)</f>
        <v>147.52</v>
      </c>
      <c r="D619" s="11">
        <f>IFERROR(__xludf.DUMMYFUNCTION("""COMPUTED_VALUE"""),43948.66666666667)</f>
        <v>43948.66667</v>
      </c>
      <c r="E619" s="9">
        <f>IFERROR(__xludf.DUMMYFUNCTION("""COMPUTED_VALUE"""),159.75)</f>
        <v>159.75</v>
      </c>
      <c r="G619" s="11">
        <f>IFERROR(__xludf.DUMMYFUNCTION("""COMPUTED_VALUE"""),43948.66666666667)</f>
        <v>43948.66667</v>
      </c>
      <c r="H619" s="9">
        <f>IFERROR(__xludf.DUMMYFUNCTION("""COMPUTED_VALUE"""),1296.0)</f>
        <v>1296</v>
      </c>
      <c r="I619" s="11">
        <f>IFERROR(__xludf.DUMMYFUNCTION("""COMPUTED_VALUE"""),43948.66666666667)</f>
        <v>43948.66667</v>
      </c>
      <c r="J619" s="9">
        <f>IFERROR(__xludf.DUMMYFUNCTION("""COMPUTED_VALUE"""),1275.88)</f>
        <v>1275.88</v>
      </c>
      <c r="L619" s="11">
        <f>IFERROR(__xludf.DUMMYFUNCTION("""COMPUTED_VALUE"""),43948.66666666667)</f>
        <v>43948.66667</v>
      </c>
      <c r="M619" s="9">
        <f>IFERROR(__xludf.DUMMYFUNCTION("""COMPUTED_VALUE"""),70.45)</f>
        <v>70.45</v>
      </c>
      <c r="N619" s="11">
        <f>IFERROR(__xludf.DUMMYFUNCTION("""COMPUTED_VALUE"""),43948.66666666667)</f>
        <v>43948.66667</v>
      </c>
      <c r="O619" s="9">
        <f>IFERROR(__xludf.DUMMYFUNCTION("""COMPUTED_VALUE"""),70.79)</f>
        <v>70.79</v>
      </c>
      <c r="Q619" s="11">
        <f>IFERROR(__xludf.DUMMYFUNCTION("""COMPUTED_VALUE"""),43948.66666666667)</f>
        <v>43948.66667</v>
      </c>
      <c r="R619" s="9">
        <f>IFERROR(__xludf.DUMMYFUNCTION("""COMPUTED_VALUE"""),192.66)</f>
        <v>192.66</v>
      </c>
      <c r="S619" s="11">
        <f>IFERROR(__xludf.DUMMYFUNCTION("""COMPUTED_VALUE"""),43948.66666666667)</f>
        <v>43948.66667</v>
      </c>
      <c r="T619" s="9">
        <f>IFERROR(__xludf.DUMMYFUNCTION("""COMPUTED_VALUE"""),187.5)</f>
        <v>187.5</v>
      </c>
      <c r="V619" s="11">
        <f>IFERROR(__xludf.DUMMYFUNCTION("""COMPUTED_VALUE"""),43948.66666666667)</f>
        <v>43948.66667</v>
      </c>
      <c r="W619" s="9">
        <f>IFERROR(__xludf.DUMMYFUNCTION("""COMPUTED_VALUE"""),425.0)</f>
        <v>425</v>
      </c>
      <c r="X619" s="11">
        <f>IFERROR(__xludf.DUMMYFUNCTION("""COMPUTED_VALUE"""),43948.66666666667)</f>
        <v>43948.66667</v>
      </c>
      <c r="Y619" s="9">
        <f>IFERROR(__xludf.DUMMYFUNCTION("""COMPUTED_VALUE"""),421.38)</f>
        <v>421.38</v>
      </c>
      <c r="AA619" s="11">
        <f>IFERROR(__xludf.DUMMYFUNCTION("""COMPUTED_VALUE"""),43948.66666666667)</f>
        <v>43948.66667</v>
      </c>
      <c r="AB619" s="9">
        <f>IFERROR(__xludf.DUMMYFUNCTION("""COMPUTED_VALUE"""),2443.2)</f>
        <v>2443.2</v>
      </c>
      <c r="AC619" s="11">
        <f>IFERROR(__xludf.DUMMYFUNCTION("""COMPUTED_VALUE"""),43948.66666666667)</f>
        <v>43948.66667</v>
      </c>
      <c r="AD619" s="9">
        <f>IFERROR(__xludf.DUMMYFUNCTION("""COMPUTED_VALUE"""),2376.0)</f>
        <v>2376</v>
      </c>
    </row>
    <row r="620">
      <c r="B620" s="11">
        <f>IFERROR(__xludf.DUMMYFUNCTION("""COMPUTED_VALUE"""),43949.66666666667)</f>
        <v>43949.66667</v>
      </c>
      <c r="C620" s="9">
        <f>IFERROR(__xludf.DUMMYFUNCTION("""COMPUTED_VALUE"""),159.13)</f>
        <v>159.13</v>
      </c>
      <c r="D620" s="11">
        <f>IFERROR(__xludf.DUMMYFUNCTION("""COMPUTED_VALUE"""),43949.66666666667)</f>
        <v>43949.66667</v>
      </c>
      <c r="E620" s="9">
        <f>IFERROR(__xludf.DUMMYFUNCTION("""COMPUTED_VALUE"""),153.82)</f>
        <v>153.82</v>
      </c>
      <c r="G620" s="11">
        <f>IFERROR(__xludf.DUMMYFUNCTION("""COMPUTED_VALUE"""),43949.66666666667)</f>
        <v>43949.66667</v>
      </c>
      <c r="H620" s="9">
        <f>IFERROR(__xludf.DUMMYFUNCTION("""COMPUTED_VALUE"""),1287.93)</f>
        <v>1287.93</v>
      </c>
      <c r="I620" s="11">
        <f>IFERROR(__xludf.DUMMYFUNCTION("""COMPUTED_VALUE"""),43949.66666666667)</f>
        <v>43949.66667</v>
      </c>
      <c r="J620" s="9">
        <f>IFERROR(__xludf.DUMMYFUNCTION("""COMPUTED_VALUE"""),1233.67)</f>
        <v>1233.67</v>
      </c>
      <c r="L620" s="11">
        <f>IFERROR(__xludf.DUMMYFUNCTION("""COMPUTED_VALUE"""),43949.66666666667)</f>
        <v>43949.66667</v>
      </c>
      <c r="M620" s="9">
        <f>IFERROR(__xludf.DUMMYFUNCTION("""COMPUTED_VALUE"""),71.27)</f>
        <v>71.27</v>
      </c>
      <c r="N620" s="11">
        <f>IFERROR(__xludf.DUMMYFUNCTION("""COMPUTED_VALUE"""),43949.66666666667)</f>
        <v>43949.66667</v>
      </c>
      <c r="O620" s="9">
        <f>IFERROR(__xludf.DUMMYFUNCTION("""COMPUTED_VALUE"""),69.65)</f>
        <v>69.65</v>
      </c>
      <c r="Q620" s="11">
        <f>IFERROR(__xludf.DUMMYFUNCTION("""COMPUTED_VALUE"""),43949.66666666667)</f>
        <v>43949.66667</v>
      </c>
      <c r="R620" s="9">
        <f>IFERROR(__xludf.DUMMYFUNCTION("""COMPUTED_VALUE"""),188.66)</f>
        <v>188.66</v>
      </c>
      <c r="S620" s="11">
        <f>IFERROR(__xludf.DUMMYFUNCTION("""COMPUTED_VALUE"""),43949.66666666667)</f>
        <v>43949.66667</v>
      </c>
      <c r="T620" s="9">
        <f>IFERROR(__xludf.DUMMYFUNCTION("""COMPUTED_VALUE"""),182.91)</f>
        <v>182.91</v>
      </c>
      <c r="V620" s="11">
        <f>IFERROR(__xludf.DUMMYFUNCTION("""COMPUTED_VALUE"""),43949.66666666667)</f>
        <v>43949.66667</v>
      </c>
      <c r="W620" s="9">
        <f>IFERROR(__xludf.DUMMYFUNCTION("""COMPUTED_VALUE"""),419.99)</f>
        <v>419.99</v>
      </c>
      <c r="X620" s="11">
        <f>IFERROR(__xludf.DUMMYFUNCTION("""COMPUTED_VALUE"""),43949.66666666667)</f>
        <v>43949.66667</v>
      </c>
      <c r="Y620" s="9">
        <f>IFERROR(__xludf.DUMMYFUNCTION("""COMPUTED_VALUE"""),403.83)</f>
        <v>403.83</v>
      </c>
      <c r="AA620" s="11">
        <f>IFERROR(__xludf.DUMMYFUNCTION("""COMPUTED_VALUE"""),43949.66666666667)</f>
        <v>43949.66667</v>
      </c>
      <c r="AB620" s="9">
        <f>IFERROR(__xludf.DUMMYFUNCTION("""COMPUTED_VALUE"""),2372.1)</f>
        <v>2372.1</v>
      </c>
      <c r="AC620" s="11">
        <f>IFERROR(__xludf.DUMMYFUNCTION("""COMPUTED_VALUE"""),43949.66666666667)</f>
        <v>43949.66667</v>
      </c>
      <c r="AD620" s="9">
        <f>IFERROR(__xludf.DUMMYFUNCTION("""COMPUTED_VALUE"""),2314.08)</f>
        <v>2314.08</v>
      </c>
    </row>
    <row r="621">
      <c r="B621" s="11">
        <f>IFERROR(__xludf.DUMMYFUNCTION("""COMPUTED_VALUE"""),43950.66666666667)</f>
        <v>43950.66667</v>
      </c>
      <c r="C621" s="9">
        <f>IFERROR(__xludf.DUMMYFUNCTION("""COMPUTED_VALUE"""),158.03)</f>
        <v>158.03</v>
      </c>
      <c r="D621" s="11">
        <f>IFERROR(__xludf.DUMMYFUNCTION("""COMPUTED_VALUE"""),43950.66666666667)</f>
        <v>43950.66667</v>
      </c>
      <c r="E621" s="9">
        <f>IFERROR(__xludf.DUMMYFUNCTION("""COMPUTED_VALUE"""),160.1)</f>
        <v>160.1</v>
      </c>
      <c r="G621" s="11">
        <f>IFERROR(__xludf.DUMMYFUNCTION("""COMPUTED_VALUE"""),43950.66666666667)</f>
        <v>43950.66667</v>
      </c>
      <c r="H621" s="9">
        <f>IFERROR(__xludf.DUMMYFUNCTION("""COMPUTED_VALUE"""),1341.46)</f>
        <v>1341.46</v>
      </c>
      <c r="I621" s="11">
        <f>IFERROR(__xludf.DUMMYFUNCTION("""COMPUTED_VALUE"""),43950.66666666667)</f>
        <v>43950.66667</v>
      </c>
      <c r="J621" s="9">
        <f>IFERROR(__xludf.DUMMYFUNCTION("""COMPUTED_VALUE"""),1341.48)</f>
        <v>1341.48</v>
      </c>
      <c r="L621" s="11">
        <f>IFERROR(__xludf.DUMMYFUNCTION("""COMPUTED_VALUE"""),43950.66666666667)</f>
        <v>43950.66667</v>
      </c>
      <c r="M621" s="9">
        <f>IFERROR(__xludf.DUMMYFUNCTION("""COMPUTED_VALUE"""),71.18)</f>
        <v>71.18</v>
      </c>
      <c r="N621" s="11">
        <f>IFERROR(__xludf.DUMMYFUNCTION("""COMPUTED_VALUE"""),43950.66666666667)</f>
        <v>43950.66667</v>
      </c>
      <c r="O621" s="9">
        <f>IFERROR(__xludf.DUMMYFUNCTION("""COMPUTED_VALUE"""),71.93)</f>
        <v>71.93</v>
      </c>
      <c r="Q621" s="11">
        <f>IFERROR(__xludf.DUMMYFUNCTION("""COMPUTED_VALUE"""),43950.66666666667)</f>
        <v>43950.66667</v>
      </c>
      <c r="R621" s="9">
        <f>IFERROR(__xludf.DUMMYFUNCTION("""COMPUTED_VALUE"""),190.93)</f>
        <v>190.93</v>
      </c>
      <c r="S621" s="11">
        <f>IFERROR(__xludf.DUMMYFUNCTION("""COMPUTED_VALUE"""),43950.66666666667)</f>
        <v>43950.66667</v>
      </c>
      <c r="T621" s="9">
        <f>IFERROR(__xludf.DUMMYFUNCTION("""COMPUTED_VALUE"""),194.19)</f>
        <v>194.19</v>
      </c>
      <c r="V621" s="11">
        <f>IFERROR(__xludf.DUMMYFUNCTION("""COMPUTED_VALUE"""),43950.66666666667)</f>
        <v>43950.66667</v>
      </c>
      <c r="W621" s="9">
        <f>IFERROR(__xludf.DUMMYFUNCTION("""COMPUTED_VALUE"""),399.53)</f>
        <v>399.53</v>
      </c>
      <c r="X621" s="11">
        <f>IFERROR(__xludf.DUMMYFUNCTION("""COMPUTED_VALUE"""),43950.66666666667)</f>
        <v>43950.66667</v>
      </c>
      <c r="Y621" s="9">
        <f>IFERROR(__xludf.DUMMYFUNCTION("""COMPUTED_VALUE"""),411.89)</f>
        <v>411.89</v>
      </c>
      <c r="AA621" s="11">
        <f>IFERROR(__xludf.DUMMYFUNCTION("""COMPUTED_VALUE"""),43950.66666666667)</f>
        <v>43950.66667</v>
      </c>
      <c r="AB621" s="9">
        <f>IFERROR(__xludf.DUMMYFUNCTION("""COMPUTED_VALUE"""),2330.01)</f>
        <v>2330.01</v>
      </c>
      <c r="AC621" s="11">
        <f>IFERROR(__xludf.DUMMYFUNCTION("""COMPUTED_VALUE"""),43950.66666666667)</f>
        <v>43950.66667</v>
      </c>
      <c r="AD621" s="9">
        <f>IFERROR(__xludf.DUMMYFUNCTION("""COMPUTED_VALUE"""),2372.71)</f>
        <v>2372.71</v>
      </c>
    </row>
    <row r="622">
      <c r="B622" s="11">
        <f>IFERROR(__xludf.DUMMYFUNCTION("""COMPUTED_VALUE"""),43951.66666666667)</f>
        <v>43951.66667</v>
      </c>
      <c r="C622" s="9">
        <f>IFERROR(__xludf.DUMMYFUNCTION("""COMPUTED_VALUE"""),171.04)</f>
        <v>171.04</v>
      </c>
      <c r="D622" s="11">
        <f>IFERROR(__xludf.DUMMYFUNCTION("""COMPUTED_VALUE"""),43951.66666666667)</f>
        <v>43951.66667</v>
      </c>
      <c r="E622" s="9">
        <f>IFERROR(__xludf.DUMMYFUNCTION("""COMPUTED_VALUE"""),156.38)</f>
        <v>156.38</v>
      </c>
      <c r="G622" s="11">
        <f>IFERROR(__xludf.DUMMYFUNCTION("""COMPUTED_VALUE"""),43951.66666666667)</f>
        <v>43951.66667</v>
      </c>
      <c r="H622" s="9">
        <f>IFERROR(__xludf.DUMMYFUNCTION("""COMPUTED_VALUE"""),1324.88)</f>
        <v>1324.88</v>
      </c>
      <c r="I622" s="11">
        <f>IFERROR(__xludf.DUMMYFUNCTION("""COMPUTED_VALUE"""),43951.66666666667)</f>
        <v>43951.66667</v>
      </c>
      <c r="J622" s="9">
        <f>IFERROR(__xludf.DUMMYFUNCTION("""COMPUTED_VALUE"""),1348.66)</f>
        <v>1348.66</v>
      </c>
      <c r="L622" s="11">
        <f>IFERROR(__xludf.DUMMYFUNCTION("""COMPUTED_VALUE"""),43951.66666666667)</f>
        <v>43951.66667</v>
      </c>
      <c r="M622" s="9">
        <f>IFERROR(__xludf.DUMMYFUNCTION("""COMPUTED_VALUE"""),72.49)</f>
        <v>72.49</v>
      </c>
      <c r="N622" s="11">
        <f>IFERROR(__xludf.DUMMYFUNCTION("""COMPUTED_VALUE"""),43951.66666666667)</f>
        <v>43951.66667</v>
      </c>
      <c r="O622" s="9">
        <f>IFERROR(__xludf.DUMMYFUNCTION("""COMPUTED_VALUE"""),73.45)</f>
        <v>73.45</v>
      </c>
      <c r="Q622" s="11">
        <f>IFERROR(__xludf.DUMMYFUNCTION("""COMPUTED_VALUE"""),43951.66666666667)</f>
        <v>43951.66667</v>
      </c>
      <c r="R622" s="9">
        <f>IFERROR(__xludf.DUMMYFUNCTION("""COMPUTED_VALUE"""),206.92)</f>
        <v>206.92</v>
      </c>
      <c r="S622" s="11">
        <f>IFERROR(__xludf.DUMMYFUNCTION("""COMPUTED_VALUE"""),43951.66666666667)</f>
        <v>43951.66667</v>
      </c>
      <c r="T622" s="9">
        <f>IFERROR(__xludf.DUMMYFUNCTION("""COMPUTED_VALUE"""),204.71)</f>
        <v>204.71</v>
      </c>
      <c r="V622" s="11">
        <f>IFERROR(__xludf.DUMMYFUNCTION("""COMPUTED_VALUE"""),43951.66666666667)</f>
        <v>43951.66667</v>
      </c>
      <c r="W622" s="9">
        <f>IFERROR(__xludf.DUMMYFUNCTION("""COMPUTED_VALUE"""),410.31)</f>
        <v>410.31</v>
      </c>
      <c r="X622" s="11">
        <f>IFERROR(__xludf.DUMMYFUNCTION("""COMPUTED_VALUE"""),43951.66666666667)</f>
        <v>43951.66667</v>
      </c>
      <c r="Y622" s="9">
        <f>IFERROR(__xludf.DUMMYFUNCTION("""COMPUTED_VALUE"""),419.85)</f>
        <v>419.85</v>
      </c>
      <c r="AA622" s="11">
        <f>IFERROR(__xludf.DUMMYFUNCTION("""COMPUTED_VALUE"""),43951.66666666667)</f>
        <v>43951.66667</v>
      </c>
      <c r="AB622" s="9">
        <f>IFERROR(__xludf.DUMMYFUNCTION("""COMPUTED_VALUE"""),2419.84)</f>
        <v>2419.84</v>
      </c>
      <c r="AC622" s="11">
        <f>IFERROR(__xludf.DUMMYFUNCTION("""COMPUTED_VALUE"""),43951.66666666667)</f>
        <v>43951.66667</v>
      </c>
      <c r="AD622" s="9">
        <f>IFERROR(__xludf.DUMMYFUNCTION("""COMPUTED_VALUE"""),2474.0)</f>
        <v>2474</v>
      </c>
    </row>
    <row r="623">
      <c r="B623" s="11">
        <f>IFERROR(__xludf.DUMMYFUNCTION("""COMPUTED_VALUE"""),43952.66666666667)</f>
        <v>43952.66667</v>
      </c>
      <c r="C623" s="9">
        <f>IFERROR(__xludf.DUMMYFUNCTION("""COMPUTED_VALUE"""),151.0)</f>
        <v>151</v>
      </c>
      <c r="D623" s="11">
        <f>IFERROR(__xludf.DUMMYFUNCTION("""COMPUTED_VALUE"""),43952.66666666667)</f>
        <v>43952.66667</v>
      </c>
      <c r="E623" s="9">
        <f>IFERROR(__xludf.DUMMYFUNCTION("""COMPUTED_VALUE"""),140.26)</f>
        <v>140.26</v>
      </c>
      <c r="G623" s="11">
        <f>IFERROR(__xludf.DUMMYFUNCTION("""COMPUTED_VALUE"""),43952.66666666667)</f>
        <v>43952.66667</v>
      </c>
      <c r="H623" s="9">
        <f>IFERROR(__xludf.DUMMYFUNCTION("""COMPUTED_VALUE"""),1328.5)</f>
        <v>1328.5</v>
      </c>
      <c r="I623" s="11">
        <f>IFERROR(__xludf.DUMMYFUNCTION("""COMPUTED_VALUE"""),43952.66666666667)</f>
        <v>43952.66667</v>
      </c>
      <c r="J623" s="9">
        <f>IFERROR(__xludf.DUMMYFUNCTION("""COMPUTED_VALUE"""),1320.61)</f>
        <v>1320.61</v>
      </c>
      <c r="L623" s="11">
        <f>IFERROR(__xludf.DUMMYFUNCTION("""COMPUTED_VALUE"""),43952.66666666667)</f>
        <v>43952.66667</v>
      </c>
      <c r="M623" s="9">
        <f>IFERROR(__xludf.DUMMYFUNCTION("""COMPUTED_VALUE"""),71.56)</f>
        <v>71.56</v>
      </c>
      <c r="N623" s="11">
        <f>IFERROR(__xludf.DUMMYFUNCTION("""COMPUTED_VALUE"""),43952.66666666667)</f>
        <v>43952.66667</v>
      </c>
      <c r="O623" s="9">
        <f>IFERROR(__xludf.DUMMYFUNCTION("""COMPUTED_VALUE"""),72.27)</f>
        <v>72.27</v>
      </c>
      <c r="Q623" s="11">
        <f>IFERROR(__xludf.DUMMYFUNCTION("""COMPUTED_VALUE"""),43952.66666666667)</f>
        <v>43952.66667</v>
      </c>
      <c r="R623" s="9">
        <f>IFERROR(__xludf.DUMMYFUNCTION("""COMPUTED_VALUE"""),201.6)</f>
        <v>201.6</v>
      </c>
      <c r="S623" s="11">
        <f>IFERROR(__xludf.DUMMYFUNCTION("""COMPUTED_VALUE"""),43952.66666666667)</f>
        <v>43952.66667</v>
      </c>
      <c r="T623" s="9">
        <f>IFERROR(__xludf.DUMMYFUNCTION("""COMPUTED_VALUE"""),202.27)</f>
        <v>202.27</v>
      </c>
      <c r="V623" s="11">
        <f>IFERROR(__xludf.DUMMYFUNCTION("""COMPUTED_VALUE"""),43952.66666666667)</f>
        <v>43952.66667</v>
      </c>
      <c r="W623" s="9">
        <f>IFERROR(__xludf.DUMMYFUNCTION("""COMPUTED_VALUE"""),415.1)</f>
        <v>415.1</v>
      </c>
      <c r="X623" s="11">
        <f>IFERROR(__xludf.DUMMYFUNCTION("""COMPUTED_VALUE"""),43952.66666666667)</f>
        <v>43952.66667</v>
      </c>
      <c r="Y623" s="9">
        <f>IFERROR(__xludf.DUMMYFUNCTION("""COMPUTED_VALUE"""),415.27)</f>
        <v>415.27</v>
      </c>
      <c r="AA623" s="11">
        <f>IFERROR(__xludf.DUMMYFUNCTION("""COMPUTED_VALUE"""),43952.66666666667)</f>
        <v>43952.66667</v>
      </c>
      <c r="AB623" s="9">
        <f>IFERROR(__xludf.DUMMYFUNCTION("""COMPUTED_VALUE"""),2336.8)</f>
        <v>2336.8</v>
      </c>
      <c r="AC623" s="11">
        <f>IFERROR(__xludf.DUMMYFUNCTION("""COMPUTED_VALUE"""),43952.66666666667)</f>
        <v>43952.66667</v>
      </c>
      <c r="AD623" s="9">
        <f>IFERROR(__xludf.DUMMYFUNCTION("""COMPUTED_VALUE"""),2286.04)</f>
        <v>2286.04</v>
      </c>
    </row>
    <row r="624">
      <c r="B624" s="11">
        <f>IFERROR(__xludf.DUMMYFUNCTION("""COMPUTED_VALUE"""),43955.66666666667)</f>
        <v>43955.66667</v>
      </c>
      <c r="C624" s="9">
        <f>IFERROR(__xludf.DUMMYFUNCTION("""COMPUTED_VALUE"""),140.2)</f>
        <v>140.2</v>
      </c>
      <c r="D624" s="11">
        <f>IFERROR(__xludf.DUMMYFUNCTION("""COMPUTED_VALUE"""),43955.66666666667)</f>
        <v>43955.66667</v>
      </c>
      <c r="E624" s="9">
        <f>IFERROR(__xludf.DUMMYFUNCTION("""COMPUTED_VALUE"""),152.24)</f>
        <v>152.24</v>
      </c>
      <c r="G624" s="11">
        <f>IFERROR(__xludf.DUMMYFUNCTION("""COMPUTED_VALUE"""),43955.66666666667)</f>
        <v>43955.66667</v>
      </c>
      <c r="H624" s="9">
        <f>IFERROR(__xludf.DUMMYFUNCTION("""COMPUTED_VALUE"""),1308.23)</f>
        <v>1308.23</v>
      </c>
      <c r="I624" s="11">
        <f>IFERROR(__xludf.DUMMYFUNCTION("""COMPUTED_VALUE"""),43955.66666666667)</f>
        <v>43955.66667</v>
      </c>
      <c r="J624" s="9">
        <f>IFERROR(__xludf.DUMMYFUNCTION("""COMPUTED_VALUE"""),1326.8)</f>
        <v>1326.8</v>
      </c>
      <c r="L624" s="11">
        <f>IFERROR(__xludf.DUMMYFUNCTION("""COMPUTED_VALUE"""),43955.66666666667)</f>
        <v>43955.66667</v>
      </c>
      <c r="M624" s="9">
        <f>IFERROR(__xludf.DUMMYFUNCTION("""COMPUTED_VALUE"""),72.29)</f>
        <v>72.29</v>
      </c>
      <c r="N624" s="11">
        <f>IFERROR(__xludf.DUMMYFUNCTION("""COMPUTED_VALUE"""),43955.66666666667)</f>
        <v>43955.66667</v>
      </c>
      <c r="O624" s="9">
        <f>IFERROR(__xludf.DUMMYFUNCTION("""COMPUTED_VALUE"""),73.29)</f>
        <v>73.29</v>
      </c>
      <c r="Q624" s="11">
        <f>IFERROR(__xludf.DUMMYFUNCTION("""COMPUTED_VALUE"""),43955.66666666667)</f>
        <v>43955.66667</v>
      </c>
      <c r="R624" s="9">
        <f>IFERROR(__xludf.DUMMYFUNCTION("""COMPUTED_VALUE"""),200.2)</f>
        <v>200.2</v>
      </c>
      <c r="S624" s="11">
        <f>IFERROR(__xludf.DUMMYFUNCTION("""COMPUTED_VALUE"""),43955.66666666667)</f>
        <v>43955.66667</v>
      </c>
      <c r="T624" s="9">
        <f>IFERROR(__xludf.DUMMYFUNCTION("""COMPUTED_VALUE"""),205.26)</f>
        <v>205.26</v>
      </c>
      <c r="V624" s="11">
        <f>IFERROR(__xludf.DUMMYFUNCTION("""COMPUTED_VALUE"""),43955.66666666667)</f>
        <v>43955.66667</v>
      </c>
      <c r="W624" s="9">
        <f>IFERROR(__xludf.DUMMYFUNCTION("""COMPUTED_VALUE"""),417.78)</f>
        <v>417.78</v>
      </c>
      <c r="X624" s="11">
        <f>IFERROR(__xludf.DUMMYFUNCTION("""COMPUTED_VALUE"""),43955.66666666667)</f>
        <v>43955.66667</v>
      </c>
      <c r="Y624" s="9">
        <f>IFERROR(__xludf.DUMMYFUNCTION("""COMPUTED_VALUE"""),428.15)</f>
        <v>428.15</v>
      </c>
      <c r="AA624" s="11">
        <f>IFERROR(__xludf.DUMMYFUNCTION("""COMPUTED_VALUE"""),43955.66666666667)</f>
        <v>43955.66667</v>
      </c>
      <c r="AB624" s="9">
        <f>IFERROR(__xludf.DUMMYFUNCTION("""COMPUTED_VALUE"""),2256.38)</f>
        <v>2256.38</v>
      </c>
      <c r="AC624" s="11">
        <f>IFERROR(__xludf.DUMMYFUNCTION("""COMPUTED_VALUE"""),43955.66666666667)</f>
        <v>43955.66667</v>
      </c>
      <c r="AD624" s="9">
        <f>IFERROR(__xludf.DUMMYFUNCTION("""COMPUTED_VALUE"""),2315.99)</f>
        <v>2315.99</v>
      </c>
    </row>
    <row r="625">
      <c r="B625" s="11">
        <f>IFERROR(__xludf.DUMMYFUNCTION("""COMPUTED_VALUE"""),43956.66666666667)</f>
        <v>43956.66667</v>
      </c>
      <c r="C625" s="9">
        <f>IFERROR(__xludf.DUMMYFUNCTION("""COMPUTED_VALUE"""),157.96)</f>
        <v>157.96</v>
      </c>
      <c r="D625" s="11">
        <f>IFERROR(__xludf.DUMMYFUNCTION("""COMPUTED_VALUE"""),43956.66666666667)</f>
        <v>43956.66667</v>
      </c>
      <c r="E625" s="9">
        <f>IFERROR(__xludf.DUMMYFUNCTION("""COMPUTED_VALUE"""),153.64)</f>
        <v>153.64</v>
      </c>
      <c r="G625" s="11">
        <f>IFERROR(__xludf.DUMMYFUNCTION("""COMPUTED_VALUE"""),43956.66666666667)</f>
        <v>43956.66667</v>
      </c>
      <c r="H625" s="9">
        <f>IFERROR(__xludf.DUMMYFUNCTION("""COMPUTED_VALUE"""),1337.92)</f>
        <v>1337.92</v>
      </c>
      <c r="I625" s="11">
        <f>IFERROR(__xludf.DUMMYFUNCTION("""COMPUTED_VALUE"""),43956.66666666667)</f>
        <v>43956.66667</v>
      </c>
      <c r="J625" s="9">
        <f>IFERROR(__xludf.DUMMYFUNCTION("""COMPUTED_VALUE"""),1351.11)</f>
        <v>1351.11</v>
      </c>
      <c r="L625" s="11">
        <f>IFERROR(__xludf.DUMMYFUNCTION("""COMPUTED_VALUE"""),43956.66666666667)</f>
        <v>43956.66667</v>
      </c>
      <c r="M625" s="9">
        <f>IFERROR(__xludf.DUMMYFUNCTION("""COMPUTED_VALUE"""),73.77)</f>
        <v>73.77</v>
      </c>
      <c r="N625" s="11">
        <f>IFERROR(__xludf.DUMMYFUNCTION("""COMPUTED_VALUE"""),43956.66666666667)</f>
        <v>43956.66667</v>
      </c>
      <c r="O625" s="9">
        <f>IFERROR(__xludf.DUMMYFUNCTION("""COMPUTED_VALUE"""),74.39)</f>
        <v>74.39</v>
      </c>
      <c r="Q625" s="11">
        <f>IFERROR(__xludf.DUMMYFUNCTION("""COMPUTED_VALUE"""),43956.66666666667)</f>
        <v>43956.66667</v>
      </c>
      <c r="R625" s="9">
        <f>IFERROR(__xludf.DUMMYFUNCTION("""COMPUTED_VALUE"""),207.02)</f>
        <v>207.02</v>
      </c>
      <c r="S625" s="11">
        <f>IFERROR(__xludf.DUMMYFUNCTION("""COMPUTED_VALUE"""),43956.66666666667)</f>
        <v>43956.66667</v>
      </c>
      <c r="T625" s="9">
        <f>IFERROR(__xludf.DUMMYFUNCTION("""COMPUTED_VALUE"""),207.07)</f>
        <v>207.07</v>
      </c>
      <c r="V625" s="11">
        <f>IFERROR(__xludf.DUMMYFUNCTION("""COMPUTED_VALUE"""),43956.66666666667)</f>
        <v>43956.66667</v>
      </c>
      <c r="W625" s="9">
        <f>IFERROR(__xludf.DUMMYFUNCTION("""COMPUTED_VALUE"""),427.56)</f>
        <v>427.56</v>
      </c>
      <c r="X625" s="11">
        <f>IFERROR(__xludf.DUMMYFUNCTION("""COMPUTED_VALUE"""),43956.66666666667)</f>
        <v>43956.66667</v>
      </c>
      <c r="Y625" s="9">
        <f>IFERROR(__xludf.DUMMYFUNCTION("""COMPUTED_VALUE"""),424.68)</f>
        <v>424.68</v>
      </c>
      <c r="AA625" s="11">
        <f>IFERROR(__xludf.DUMMYFUNCTION("""COMPUTED_VALUE"""),43956.66666666667)</f>
        <v>43956.66667</v>
      </c>
      <c r="AB625" s="9">
        <f>IFERROR(__xludf.DUMMYFUNCTION("""COMPUTED_VALUE"""),2340.0)</f>
        <v>2340</v>
      </c>
      <c r="AC625" s="11">
        <f>IFERROR(__xludf.DUMMYFUNCTION("""COMPUTED_VALUE"""),43956.66666666667)</f>
        <v>43956.66667</v>
      </c>
      <c r="AD625" s="9">
        <f>IFERROR(__xludf.DUMMYFUNCTION("""COMPUTED_VALUE"""),2317.8)</f>
        <v>2317.8</v>
      </c>
    </row>
    <row r="626">
      <c r="B626" s="11">
        <f>IFERROR(__xludf.DUMMYFUNCTION("""COMPUTED_VALUE"""),43957.66666666667)</f>
        <v>43957.66667</v>
      </c>
      <c r="C626" s="9">
        <f>IFERROR(__xludf.DUMMYFUNCTION("""COMPUTED_VALUE"""),155.3)</f>
        <v>155.3</v>
      </c>
      <c r="D626" s="11">
        <f>IFERROR(__xludf.DUMMYFUNCTION("""COMPUTED_VALUE"""),43957.66666666667)</f>
        <v>43957.66667</v>
      </c>
      <c r="E626" s="9">
        <f>IFERROR(__xludf.DUMMYFUNCTION("""COMPUTED_VALUE"""),156.52)</f>
        <v>156.52</v>
      </c>
      <c r="G626" s="11">
        <f>IFERROR(__xludf.DUMMYFUNCTION("""COMPUTED_VALUE"""),43957.66666666667)</f>
        <v>43957.66667</v>
      </c>
      <c r="H626" s="9">
        <f>IFERROR(__xludf.DUMMYFUNCTION("""COMPUTED_VALUE"""),1361.69)</f>
        <v>1361.69</v>
      </c>
      <c r="I626" s="11">
        <f>IFERROR(__xludf.DUMMYFUNCTION("""COMPUTED_VALUE"""),43957.66666666667)</f>
        <v>43957.66667</v>
      </c>
      <c r="J626" s="9">
        <f>IFERROR(__xludf.DUMMYFUNCTION("""COMPUTED_VALUE"""),1347.3)</f>
        <v>1347.3</v>
      </c>
      <c r="L626" s="11">
        <f>IFERROR(__xludf.DUMMYFUNCTION("""COMPUTED_VALUE"""),43957.66666666667)</f>
        <v>43957.66667</v>
      </c>
      <c r="M626" s="9">
        <f>IFERROR(__xludf.DUMMYFUNCTION("""COMPUTED_VALUE"""),75.11)</f>
        <v>75.11</v>
      </c>
      <c r="N626" s="11">
        <f>IFERROR(__xludf.DUMMYFUNCTION("""COMPUTED_VALUE"""),43957.66666666667)</f>
        <v>43957.66667</v>
      </c>
      <c r="O626" s="9">
        <f>IFERROR(__xludf.DUMMYFUNCTION("""COMPUTED_VALUE"""),75.16)</f>
        <v>75.16</v>
      </c>
      <c r="Q626" s="11">
        <f>IFERROR(__xludf.DUMMYFUNCTION("""COMPUTED_VALUE"""),43957.66666666667)</f>
        <v>43957.66667</v>
      </c>
      <c r="R626" s="9">
        <f>IFERROR(__xludf.DUMMYFUNCTION("""COMPUTED_VALUE"""),208.12)</f>
        <v>208.12</v>
      </c>
      <c r="S626" s="11">
        <f>IFERROR(__xludf.DUMMYFUNCTION("""COMPUTED_VALUE"""),43957.66666666667)</f>
        <v>43957.66667</v>
      </c>
      <c r="T626" s="9">
        <f>IFERROR(__xludf.DUMMYFUNCTION("""COMPUTED_VALUE"""),208.47)</f>
        <v>208.47</v>
      </c>
      <c r="V626" s="11">
        <f>IFERROR(__xludf.DUMMYFUNCTION("""COMPUTED_VALUE"""),43957.66666666667)</f>
        <v>43957.66667</v>
      </c>
      <c r="W626" s="9">
        <f>IFERROR(__xludf.DUMMYFUNCTION("""COMPUTED_VALUE"""),429.3)</f>
        <v>429.3</v>
      </c>
      <c r="X626" s="11">
        <f>IFERROR(__xludf.DUMMYFUNCTION("""COMPUTED_VALUE"""),43957.66666666667)</f>
        <v>43957.66667</v>
      </c>
      <c r="Y626" s="9">
        <f>IFERROR(__xludf.DUMMYFUNCTION("""COMPUTED_VALUE"""),434.26)</f>
        <v>434.26</v>
      </c>
      <c r="AA626" s="11">
        <f>IFERROR(__xludf.DUMMYFUNCTION("""COMPUTED_VALUE"""),43957.66666666667)</f>
        <v>43957.66667</v>
      </c>
      <c r="AB626" s="9">
        <f>IFERROR(__xludf.DUMMYFUNCTION("""COMPUTED_VALUE"""),2329.44)</f>
        <v>2329.44</v>
      </c>
      <c r="AC626" s="11">
        <f>IFERROR(__xludf.DUMMYFUNCTION("""COMPUTED_VALUE"""),43957.66666666667)</f>
        <v>43957.66667</v>
      </c>
      <c r="AD626" s="9">
        <f>IFERROR(__xludf.DUMMYFUNCTION("""COMPUTED_VALUE"""),2351.26)</f>
        <v>2351.26</v>
      </c>
    </row>
    <row r="627">
      <c r="B627" s="11">
        <f>IFERROR(__xludf.DUMMYFUNCTION("""COMPUTED_VALUE"""),43958.66666666667)</f>
        <v>43958.66667</v>
      </c>
      <c r="C627" s="9">
        <f>IFERROR(__xludf.DUMMYFUNCTION("""COMPUTED_VALUE"""),155.44)</f>
        <v>155.44</v>
      </c>
      <c r="D627" s="11">
        <f>IFERROR(__xludf.DUMMYFUNCTION("""COMPUTED_VALUE"""),43958.66666666667)</f>
        <v>43958.66667</v>
      </c>
      <c r="E627" s="9">
        <f>IFERROR(__xludf.DUMMYFUNCTION("""COMPUTED_VALUE"""),156.01)</f>
        <v>156.01</v>
      </c>
      <c r="G627" s="11">
        <f>IFERROR(__xludf.DUMMYFUNCTION("""COMPUTED_VALUE"""),43958.66666666667)</f>
        <v>43958.66667</v>
      </c>
      <c r="H627" s="9">
        <f>IFERROR(__xludf.DUMMYFUNCTION("""COMPUTED_VALUE"""),1365.94)</f>
        <v>1365.94</v>
      </c>
      <c r="I627" s="11">
        <f>IFERROR(__xludf.DUMMYFUNCTION("""COMPUTED_VALUE"""),43958.66666666667)</f>
        <v>43958.66667</v>
      </c>
      <c r="J627" s="9">
        <f>IFERROR(__xludf.DUMMYFUNCTION("""COMPUTED_VALUE"""),1372.56)</f>
        <v>1372.56</v>
      </c>
      <c r="L627" s="11">
        <f>IFERROR(__xludf.DUMMYFUNCTION("""COMPUTED_VALUE"""),43958.66666666667)</f>
        <v>43958.66667</v>
      </c>
      <c r="M627" s="9">
        <f>IFERROR(__xludf.DUMMYFUNCTION("""COMPUTED_VALUE"""),75.81)</f>
        <v>75.81</v>
      </c>
      <c r="N627" s="11">
        <f>IFERROR(__xludf.DUMMYFUNCTION("""COMPUTED_VALUE"""),43958.66666666667)</f>
        <v>43958.66667</v>
      </c>
      <c r="O627" s="9">
        <f>IFERROR(__xludf.DUMMYFUNCTION("""COMPUTED_VALUE"""),75.94)</f>
        <v>75.94</v>
      </c>
      <c r="Q627" s="11">
        <f>IFERROR(__xludf.DUMMYFUNCTION("""COMPUTED_VALUE"""),43958.66666666667)</f>
        <v>43958.66667</v>
      </c>
      <c r="R627" s="9">
        <f>IFERROR(__xludf.DUMMYFUNCTION("""COMPUTED_VALUE"""),211.16)</f>
        <v>211.16</v>
      </c>
      <c r="S627" s="11">
        <f>IFERROR(__xludf.DUMMYFUNCTION("""COMPUTED_VALUE"""),43958.66666666667)</f>
        <v>43958.66667</v>
      </c>
      <c r="T627" s="9">
        <f>IFERROR(__xludf.DUMMYFUNCTION("""COMPUTED_VALUE"""),211.26)</f>
        <v>211.26</v>
      </c>
      <c r="V627" s="11">
        <f>IFERROR(__xludf.DUMMYFUNCTION("""COMPUTED_VALUE"""),43958.66666666667)</f>
        <v>43958.66667</v>
      </c>
      <c r="W627" s="9">
        <f>IFERROR(__xludf.DUMMYFUNCTION("""COMPUTED_VALUE"""),436.89)</f>
        <v>436.89</v>
      </c>
      <c r="X627" s="11">
        <f>IFERROR(__xludf.DUMMYFUNCTION("""COMPUTED_VALUE"""),43958.66666666667)</f>
        <v>43958.66667</v>
      </c>
      <c r="Y627" s="9">
        <f>IFERROR(__xludf.DUMMYFUNCTION("""COMPUTED_VALUE"""),436.53)</f>
        <v>436.53</v>
      </c>
      <c r="AA627" s="11">
        <f>IFERROR(__xludf.DUMMYFUNCTION("""COMPUTED_VALUE"""),43958.66666666667)</f>
        <v>43958.66667</v>
      </c>
      <c r="AB627" s="9">
        <f>IFERROR(__xludf.DUMMYFUNCTION("""COMPUTED_VALUE"""),2374.78)</f>
        <v>2374.78</v>
      </c>
      <c r="AC627" s="11">
        <f>IFERROR(__xludf.DUMMYFUNCTION("""COMPUTED_VALUE"""),43958.66666666667)</f>
        <v>43958.66667</v>
      </c>
      <c r="AD627" s="9">
        <f>IFERROR(__xludf.DUMMYFUNCTION("""COMPUTED_VALUE"""),2367.61)</f>
        <v>2367.61</v>
      </c>
    </row>
    <row r="628">
      <c r="B628" s="11">
        <f>IFERROR(__xludf.DUMMYFUNCTION("""COMPUTED_VALUE"""),43959.66666666667)</f>
        <v>43959.66667</v>
      </c>
      <c r="C628" s="9">
        <f>IFERROR(__xludf.DUMMYFUNCTION("""COMPUTED_VALUE"""),158.75)</f>
        <v>158.75</v>
      </c>
      <c r="D628" s="11">
        <f>IFERROR(__xludf.DUMMYFUNCTION("""COMPUTED_VALUE"""),43959.66666666667)</f>
        <v>43959.66667</v>
      </c>
      <c r="E628" s="9">
        <f>IFERROR(__xludf.DUMMYFUNCTION("""COMPUTED_VALUE"""),163.88)</f>
        <v>163.88</v>
      </c>
      <c r="G628" s="11">
        <f>IFERROR(__xludf.DUMMYFUNCTION("""COMPUTED_VALUE"""),43959.66666666667)</f>
        <v>43959.66667</v>
      </c>
      <c r="H628" s="9">
        <f>IFERROR(__xludf.DUMMYFUNCTION("""COMPUTED_VALUE"""),1383.13)</f>
        <v>1383.13</v>
      </c>
      <c r="I628" s="11">
        <f>IFERROR(__xludf.DUMMYFUNCTION("""COMPUTED_VALUE"""),43959.66666666667)</f>
        <v>43959.66667</v>
      </c>
      <c r="J628" s="9">
        <f>IFERROR(__xludf.DUMMYFUNCTION("""COMPUTED_VALUE"""),1388.37)</f>
        <v>1388.37</v>
      </c>
      <c r="L628" s="11">
        <f>IFERROR(__xludf.DUMMYFUNCTION("""COMPUTED_VALUE"""),43959.66666666667)</f>
        <v>43959.66667</v>
      </c>
      <c r="M628" s="9">
        <f>IFERROR(__xludf.DUMMYFUNCTION("""COMPUTED_VALUE"""),76.41)</f>
        <v>76.41</v>
      </c>
      <c r="N628" s="11">
        <f>IFERROR(__xludf.DUMMYFUNCTION("""COMPUTED_VALUE"""),43959.66666666667)</f>
        <v>43959.66667</v>
      </c>
      <c r="O628" s="9">
        <f>IFERROR(__xludf.DUMMYFUNCTION("""COMPUTED_VALUE"""),77.53)</f>
        <v>77.53</v>
      </c>
      <c r="Q628" s="11">
        <f>IFERROR(__xludf.DUMMYFUNCTION("""COMPUTED_VALUE"""),43959.66666666667)</f>
        <v>43959.66667</v>
      </c>
      <c r="R628" s="9">
        <f>IFERROR(__xludf.DUMMYFUNCTION("""COMPUTED_VALUE"""),212.24)</f>
        <v>212.24</v>
      </c>
      <c r="S628" s="11">
        <f>IFERROR(__xludf.DUMMYFUNCTION("""COMPUTED_VALUE"""),43959.66666666667)</f>
        <v>43959.66667</v>
      </c>
      <c r="T628" s="9">
        <f>IFERROR(__xludf.DUMMYFUNCTION("""COMPUTED_VALUE"""),212.35)</f>
        <v>212.35</v>
      </c>
      <c r="V628" s="11">
        <f>IFERROR(__xludf.DUMMYFUNCTION("""COMPUTED_VALUE"""),43959.66666666667)</f>
        <v>43959.66667</v>
      </c>
      <c r="W628" s="9">
        <f>IFERROR(__xludf.DUMMYFUNCTION("""COMPUTED_VALUE"""),434.14)</f>
        <v>434.14</v>
      </c>
      <c r="X628" s="11">
        <f>IFERROR(__xludf.DUMMYFUNCTION("""COMPUTED_VALUE"""),43959.66666666667)</f>
        <v>43959.66667</v>
      </c>
      <c r="Y628" s="9">
        <f>IFERROR(__xludf.DUMMYFUNCTION("""COMPUTED_VALUE"""),435.55)</f>
        <v>435.55</v>
      </c>
      <c r="AA628" s="11">
        <f>IFERROR(__xludf.DUMMYFUNCTION("""COMPUTED_VALUE"""),43959.66666666667)</f>
        <v>43959.66667</v>
      </c>
      <c r="AB628" s="9">
        <f>IFERROR(__xludf.DUMMYFUNCTION("""COMPUTED_VALUE"""),2372.14)</f>
        <v>2372.14</v>
      </c>
      <c r="AC628" s="11">
        <f>IFERROR(__xludf.DUMMYFUNCTION("""COMPUTED_VALUE"""),43959.66666666667)</f>
        <v>43959.66667</v>
      </c>
      <c r="AD628" s="9">
        <f>IFERROR(__xludf.DUMMYFUNCTION("""COMPUTED_VALUE"""),2379.61)</f>
        <v>2379.61</v>
      </c>
    </row>
    <row r="629">
      <c r="B629" s="11">
        <f>IFERROR(__xludf.DUMMYFUNCTION("""COMPUTED_VALUE"""),43962.66666666667)</f>
        <v>43962.66667</v>
      </c>
      <c r="C629" s="9">
        <f>IFERROR(__xludf.DUMMYFUNCTION("""COMPUTED_VALUE"""),158.1)</f>
        <v>158.1</v>
      </c>
      <c r="D629" s="11">
        <f>IFERROR(__xludf.DUMMYFUNCTION("""COMPUTED_VALUE"""),43962.66666666667)</f>
        <v>43962.66667</v>
      </c>
      <c r="E629" s="9">
        <f>IFERROR(__xludf.DUMMYFUNCTION("""COMPUTED_VALUE"""),162.26)</f>
        <v>162.26</v>
      </c>
      <c r="G629" s="11">
        <f>IFERROR(__xludf.DUMMYFUNCTION("""COMPUTED_VALUE"""),43962.66666666667)</f>
        <v>43962.66667</v>
      </c>
      <c r="H629" s="9">
        <f>IFERROR(__xludf.DUMMYFUNCTION("""COMPUTED_VALUE"""),1378.28)</f>
        <v>1378.28</v>
      </c>
      <c r="I629" s="11">
        <f>IFERROR(__xludf.DUMMYFUNCTION("""COMPUTED_VALUE"""),43962.66666666667)</f>
        <v>43962.66667</v>
      </c>
      <c r="J629" s="9">
        <f>IFERROR(__xludf.DUMMYFUNCTION("""COMPUTED_VALUE"""),1403.26)</f>
        <v>1403.26</v>
      </c>
      <c r="L629" s="11">
        <f>IFERROR(__xludf.DUMMYFUNCTION("""COMPUTED_VALUE"""),43962.66666666667)</f>
        <v>43962.66667</v>
      </c>
      <c r="M629" s="9">
        <f>IFERROR(__xludf.DUMMYFUNCTION("""COMPUTED_VALUE"""),77.03)</f>
        <v>77.03</v>
      </c>
      <c r="N629" s="11">
        <f>IFERROR(__xludf.DUMMYFUNCTION("""COMPUTED_VALUE"""),43962.66666666667)</f>
        <v>43962.66667</v>
      </c>
      <c r="O629" s="9">
        <f>IFERROR(__xludf.DUMMYFUNCTION("""COMPUTED_VALUE"""),78.75)</f>
        <v>78.75</v>
      </c>
      <c r="Q629" s="11">
        <f>IFERROR(__xludf.DUMMYFUNCTION("""COMPUTED_VALUE"""),43962.66666666667)</f>
        <v>43962.66667</v>
      </c>
      <c r="R629" s="9">
        <f>IFERROR(__xludf.DUMMYFUNCTION("""COMPUTED_VALUE"""),210.89)</f>
        <v>210.89</v>
      </c>
      <c r="S629" s="11">
        <f>IFERROR(__xludf.DUMMYFUNCTION("""COMPUTED_VALUE"""),43962.66666666667)</f>
        <v>43962.66667</v>
      </c>
      <c r="T629" s="9">
        <f>IFERROR(__xludf.DUMMYFUNCTION("""COMPUTED_VALUE"""),213.18)</f>
        <v>213.18</v>
      </c>
      <c r="V629" s="11">
        <f>IFERROR(__xludf.DUMMYFUNCTION("""COMPUTED_VALUE"""),43962.66666666667)</f>
        <v>43962.66667</v>
      </c>
      <c r="W629" s="9">
        <f>IFERROR(__xludf.DUMMYFUNCTION("""COMPUTED_VALUE"""),436.33)</f>
        <v>436.33</v>
      </c>
      <c r="X629" s="11">
        <f>IFERROR(__xludf.DUMMYFUNCTION("""COMPUTED_VALUE"""),43962.66666666667)</f>
        <v>43962.66667</v>
      </c>
      <c r="Y629" s="9">
        <f>IFERROR(__xludf.DUMMYFUNCTION("""COMPUTED_VALUE"""),440.52)</f>
        <v>440.52</v>
      </c>
      <c r="AA629" s="11">
        <f>IFERROR(__xludf.DUMMYFUNCTION("""COMPUTED_VALUE"""),43962.66666666667)</f>
        <v>43962.66667</v>
      </c>
      <c r="AB629" s="9">
        <f>IFERROR(__xludf.DUMMYFUNCTION("""COMPUTED_VALUE"""),2374.7)</f>
        <v>2374.7</v>
      </c>
      <c r="AC629" s="11">
        <f>IFERROR(__xludf.DUMMYFUNCTION("""COMPUTED_VALUE"""),43962.66666666667)</f>
        <v>43962.66667</v>
      </c>
      <c r="AD629" s="9">
        <f>IFERROR(__xludf.DUMMYFUNCTION("""COMPUTED_VALUE"""),2409.0)</f>
        <v>2409</v>
      </c>
    </row>
    <row r="630">
      <c r="B630" s="11">
        <f>IFERROR(__xludf.DUMMYFUNCTION("""COMPUTED_VALUE"""),43963.66666666667)</f>
        <v>43963.66667</v>
      </c>
      <c r="C630" s="9">
        <f>IFERROR(__xludf.DUMMYFUNCTION("""COMPUTED_VALUE"""),165.4)</f>
        <v>165.4</v>
      </c>
      <c r="D630" s="11">
        <f>IFERROR(__xludf.DUMMYFUNCTION("""COMPUTED_VALUE"""),43963.66666666667)</f>
        <v>43963.66667</v>
      </c>
      <c r="E630" s="9">
        <f>IFERROR(__xludf.DUMMYFUNCTION("""COMPUTED_VALUE"""),161.88)</f>
        <v>161.88</v>
      </c>
      <c r="G630" s="11">
        <f>IFERROR(__xludf.DUMMYFUNCTION("""COMPUTED_VALUE"""),43963.66666666667)</f>
        <v>43963.66667</v>
      </c>
      <c r="H630" s="9">
        <f>IFERROR(__xludf.DUMMYFUNCTION("""COMPUTED_VALUE"""),1407.12)</f>
        <v>1407.12</v>
      </c>
      <c r="I630" s="11">
        <f>IFERROR(__xludf.DUMMYFUNCTION("""COMPUTED_VALUE"""),43963.66666666667)</f>
        <v>43963.66667</v>
      </c>
      <c r="J630" s="9">
        <f>IFERROR(__xludf.DUMMYFUNCTION("""COMPUTED_VALUE"""),1375.74)</f>
        <v>1375.74</v>
      </c>
      <c r="L630" s="11">
        <f>IFERROR(__xludf.DUMMYFUNCTION("""COMPUTED_VALUE"""),43963.66666666667)</f>
        <v>43963.66667</v>
      </c>
      <c r="M630" s="9">
        <f>IFERROR(__xludf.DUMMYFUNCTION("""COMPUTED_VALUE"""),79.46)</f>
        <v>79.46</v>
      </c>
      <c r="N630" s="11">
        <f>IFERROR(__xludf.DUMMYFUNCTION("""COMPUTED_VALUE"""),43963.66666666667)</f>
        <v>43963.66667</v>
      </c>
      <c r="O630" s="9">
        <f>IFERROR(__xludf.DUMMYFUNCTION("""COMPUTED_VALUE"""),77.85)</f>
        <v>77.85</v>
      </c>
      <c r="Q630" s="11">
        <f>IFERROR(__xludf.DUMMYFUNCTION("""COMPUTED_VALUE"""),43963.66666666667)</f>
        <v>43963.66667</v>
      </c>
      <c r="R630" s="9">
        <f>IFERROR(__xludf.DUMMYFUNCTION("""COMPUTED_VALUE"""),213.29)</f>
        <v>213.29</v>
      </c>
      <c r="S630" s="11">
        <f>IFERROR(__xludf.DUMMYFUNCTION("""COMPUTED_VALUE"""),43963.66666666667)</f>
        <v>43963.66667</v>
      </c>
      <c r="T630" s="9">
        <f>IFERROR(__xludf.DUMMYFUNCTION("""COMPUTED_VALUE"""),210.1)</f>
        <v>210.1</v>
      </c>
      <c r="V630" s="11">
        <f>IFERROR(__xludf.DUMMYFUNCTION("""COMPUTED_VALUE"""),43963.66666666667)</f>
        <v>43963.66667</v>
      </c>
      <c r="W630" s="9">
        <f>IFERROR(__xludf.DUMMYFUNCTION("""COMPUTED_VALUE"""),442.0)</f>
        <v>442</v>
      </c>
      <c r="X630" s="11">
        <f>IFERROR(__xludf.DUMMYFUNCTION("""COMPUTED_VALUE"""),43963.66666666667)</f>
        <v>43963.66667</v>
      </c>
      <c r="Y630" s="9">
        <f>IFERROR(__xludf.DUMMYFUNCTION("""COMPUTED_VALUE"""),431.82)</f>
        <v>431.82</v>
      </c>
      <c r="AA630" s="11">
        <f>IFERROR(__xludf.DUMMYFUNCTION("""COMPUTED_VALUE"""),43963.66666666667)</f>
        <v>43963.66667</v>
      </c>
      <c r="AB630" s="9">
        <f>IFERROR(__xludf.DUMMYFUNCTION("""COMPUTED_VALUE"""),2411.85)</f>
        <v>2411.85</v>
      </c>
      <c r="AC630" s="11">
        <f>IFERROR(__xludf.DUMMYFUNCTION("""COMPUTED_VALUE"""),43963.66666666667)</f>
        <v>43963.66667</v>
      </c>
      <c r="AD630" s="9">
        <f>IFERROR(__xludf.DUMMYFUNCTION("""COMPUTED_VALUE"""),2356.95)</f>
        <v>2356.95</v>
      </c>
    </row>
    <row r="631">
      <c r="B631" s="11">
        <f>IFERROR(__xludf.DUMMYFUNCTION("""COMPUTED_VALUE"""),43964.66666666667)</f>
        <v>43964.66667</v>
      </c>
      <c r="C631" s="9">
        <f>IFERROR(__xludf.DUMMYFUNCTION("""COMPUTED_VALUE"""),164.17)</f>
        <v>164.17</v>
      </c>
      <c r="D631" s="11">
        <f>IFERROR(__xludf.DUMMYFUNCTION("""COMPUTED_VALUE"""),43964.66666666667)</f>
        <v>43964.66667</v>
      </c>
      <c r="E631" s="9">
        <f>IFERROR(__xludf.DUMMYFUNCTION("""COMPUTED_VALUE"""),158.19)</f>
        <v>158.19</v>
      </c>
      <c r="G631" s="11">
        <f>IFERROR(__xludf.DUMMYFUNCTION("""COMPUTED_VALUE"""),43964.66666666667)</f>
        <v>43964.66667</v>
      </c>
      <c r="H631" s="9">
        <f>IFERROR(__xludf.DUMMYFUNCTION("""COMPUTED_VALUE"""),1377.05)</f>
        <v>1377.05</v>
      </c>
      <c r="I631" s="11">
        <f>IFERROR(__xludf.DUMMYFUNCTION("""COMPUTED_VALUE"""),43964.66666666667)</f>
        <v>43964.66667</v>
      </c>
      <c r="J631" s="9">
        <f>IFERROR(__xludf.DUMMYFUNCTION("""COMPUTED_VALUE"""),1349.33)</f>
        <v>1349.33</v>
      </c>
      <c r="L631" s="11">
        <f>IFERROR(__xludf.DUMMYFUNCTION("""COMPUTED_VALUE"""),43964.66666666667)</f>
        <v>43964.66667</v>
      </c>
      <c r="M631" s="9">
        <f>IFERROR(__xludf.DUMMYFUNCTION("""COMPUTED_VALUE"""),78.04)</f>
        <v>78.04</v>
      </c>
      <c r="N631" s="11">
        <f>IFERROR(__xludf.DUMMYFUNCTION("""COMPUTED_VALUE"""),43964.66666666667)</f>
        <v>43964.66667</v>
      </c>
      <c r="O631" s="9">
        <f>IFERROR(__xludf.DUMMYFUNCTION("""COMPUTED_VALUE"""),76.91)</f>
        <v>76.91</v>
      </c>
      <c r="Q631" s="11">
        <f>IFERROR(__xludf.DUMMYFUNCTION("""COMPUTED_VALUE"""),43964.66666666667)</f>
        <v>43964.66667</v>
      </c>
      <c r="R631" s="9">
        <f>IFERROR(__xludf.DUMMYFUNCTION("""COMPUTED_VALUE"""),209.43)</f>
        <v>209.43</v>
      </c>
      <c r="S631" s="11">
        <f>IFERROR(__xludf.DUMMYFUNCTION("""COMPUTED_VALUE"""),43964.66666666667)</f>
        <v>43964.66667</v>
      </c>
      <c r="T631" s="9">
        <f>IFERROR(__xludf.DUMMYFUNCTION("""COMPUTED_VALUE"""),205.1)</f>
        <v>205.1</v>
      </c>
      <c r="V631" s="11">
        <f>IFERROR(__xludf.DUMMYFUNCTION("""COMPUTED_VALUE"""),43964.66666666667)</f>
        <v>43964.66667</v>
      </c>
      <c r="W631" s="9">
        <f>IFERROR(__xludf.DUMMYFUNCTION("""COMPUTED_VALUE"""),435.69)</f>
        <v>435.69</v>
      </c>
      <c r="X631" s="11">
        <f>IFERROR(__xludf.DUMMYFUNCTION("""COMPUTED_VALUE"""),43964.66666666667)</f>
        <v>43964.66667</v>
      </c>
      <c r="Y631" s="9">
        <f>IFERROR(__xludf.DUMMYFUNCTION("""COMPUTED_VALUE"""),438.27)</f>
        <v>438.27</v>
      </c>
      <c r="AA631" s="11">
        <f>IFERROR(__xludf.DUMMYFUNCTION("""COMPUTED_VALUE"""),43964.66666666667)</f>
        <v>43964.66667</v>
      </c>
      <c r="AB631" s="9">
        <f>IFERROR(__xludf.DUMMYFUNCTION("""COMPUTED_VALUE"""),2366.8)</f>
        <v>2366.8</v>
      </c>
      <c r="AC631" s="11">
        <f>IFERROR(__xludf.DUMMYFUNCTION("""COMPUTED_VALUE"""),43964.66666666667)</f>
        <v>43964.66667</v>
      </c>
      <c r="AD631" s="9">
        <f>IFERROR(__xludf.DUMMYFUNCTION("""COMPUTED_VALUE"""),2367.92)</f>
        <v>2367.92</v>
      </c>
    </row>
    <row r="632">
      <c r="B632" s="11">
        <f>IFERROR(__xludf.DUMMYFUNCTION("""COMPUTED_VALUE"""),43965.66666666667)</f>
        <v>43965.66667</v>
      </c>
      <c r="C632" s="9">
        <f>IFERROR(__xludf.DUMMYFUNCTION("""COMPUTED_VALUE"""),156.0)</f>
        <v>156</v>
      </c>
      <c r="D632" s="11">
        <f>IFERROR(__xludf.DUMMYFUNCTION("""COMPUTED_VALUE"""),43965.66666666667)</f>
        <v>43965.66667</v>
      </c>
      <c r="E632" s="9">
        <f>IFERROR(__xludf.DUMMYFUNCTION("""COMPUTED_VALUE"""),160.67)</f>
        <v>160.67</v>
      </c>
      <c r="G632" s="11">
        <f>IFERROR(__xludf.DUMMYFUNCTION("""COMPUTED_VALUE"""),43965.66666666667)</f>
        <v>43965.66667</v>
      </c>
      <c r="H632" s="9">
        <f>IFERROR(__xludf.DUMMYFUNCTION("""COMPUTED_VALUE"""),1335.02)</f>
        <v>1335.02</v>
      </c>
      <c r="I632" s="11">
        <f>IFERROR(__xludf.DUMMYFUNCTION("""COMPUTED_VALUE"""),43965.66666666667)</f>
        <v>43965.66667</v>
      </c>
      <c r="J632" s="9">
        <f>IFERROR(__xludf.DUMMYFUNCTION("""COMPUTED_VALUE"""),1356.13)</f>
        <v>1356.13</v>
      </c>
      <c r="L632" s="11">
        <f>IFERROR(__xludf.DUMMYFUNCTION("""COMPUTED_VALUE"""),43965.66666666667)</f>
        <v>43965.66667</v>
      </c>
      <c r="M632" s="9">
        <f>IFERROR(__xludf.DUMMYFUNCTION("""COMPUTED_VALUE"""),76.13)</f>
        <v>76.13</v>
      </c>
      <c r="N632" s="11">
        <f>IFERROR(__xludf.DUMMYFUNCTION("""COMPUTED_VALUE"""),43965.66666666667)</f>
        <v>43965.66667</v>
      </c>
      <c r="O632" s="9">
        <f>IFERROR(__xludf.DUMMYFUNCTION("""COMPUTED_VALUE"""),77.39)</f>
        <v>77.39</v>
      </c>
      <c r="Q632" s="11">
        <f>IFERROR(__xludf.DUMMYFUNCTION("""COMPUTED_VALUE"""),43965.66666666667)</f>
        <v>43965.66667</v>
      </c>
      <c r="R632" s="9">
        <f>IFERROR(__xludf.DUMMYFUNCTION("""COMPUTED_VALUE"""),202.56)</f>
        <v>202.56</v>
      </c>
      <c r="S632" s="11">
        <f>IFERROR(__xludf.DUMMYFUNCTION("""COMPUTED_VALUE"""),43965.66666666667)</f>
        <v>43965.66667</v>
      </c>
      <c r="T632" s="9">
        <f>IFERROR(__xludf.DUMMYFUNCTION("""COMPUTED_VALUE"""),206.81)</f>
        <v>206.81</v>
      </c>
      <c r="V632" s="11">
        <f>IFERROR(__xludf.DUMMYFUNCTION("""COMPUTED_VALUE"""),43965.66666666667)</f>
        <v>43965.66667</v>
      </c>
      <c r="W632" s="9">
        <f>IFERROR(__xludf.DUMMYFUNCTION("""COMPUTED_VALUE"""),444.9)</f>
        <v>444.9</v>
      </c>
      <c r="X632" s="11">
        <f>IFERROR(__xludf.DUMMYFUNCTION("""COMPUTED_VALUE"""),43965.66666666667)</f>
        <v>43965.66667</v>
      </c>
      <c r="Y632" s="9">
        <f>IFERROR(__xludf.DUMMYFUNCTION("""COMPUTED_VALUE"""),441.95)</f>
        <v>441.95</v>
      </c>
      <c r="AA632" s="11">
        <f>IFERROR(__xludf.DUMMYFUNCTION("""COMPUTED_VALUE"""),43965.66666666667)</f>
        <v>43965.66667</v>
      </c>
      <c r="AB632" s="9">
        <f>IFERROR(__xludf.DUMMYFUNCTION("""COMPUTED_VALUE"""),2361.01)</f>
        <v>2361.01</v>
      </c>
      <c r="AC632" s="11">
        <f>IFERROR(__xludf.DUMMYFUNCTION("""COMPUTED_VALUE"""),43965.66666666667)</f>
        <v>43965.66667</v>
      </c>
      <c r="AD632" s="9">
        <f>IFERROR(__xludf.DUMMYFUNCTION("""COMPUTED_VALUE"""),2388.85)</f>
        <v>2388.85</v>
      </c>
    </row>
    <row r="633">
      <c r="B633" s="11">
        <f>IFERROR(__xludf.DUMMYFUNCTION("""COMPUTED_VALUE"""),43966.66666666667)</f>
        <v>43966.66667</v>
      </c>
      <c r="C633" s="9">
        <f>IFERROR(__xludf.DUMMYFUNCTION("""COMPUTED_VALUE"""),158.07)</f>
        <v>158.07</v>
      </c>
      <c r="D633" s="11">
        <f>IFERROR(__xludf.DUMMYFUNCTION("""COMPUTED_VALUE"""),43966.66666666667)</f>
        <v>43966.66667</v>
      </c>
      <c r="E633" s="9">
        <f>IFERROR(__xludf.DUMMYFUNCTION("""COMPUTED_VALUE"""),159.83)</f>
        <v>159.83</v>
      </c>
      <c r="G633" s="11">
        <f>IFERROR(__xludf.DUMMYFUNCTION("""COMPUTED_VALUE"""),43966.66666666667)</f>
        <v>43966.66667</v>
      </c>
      <c r="H633" s="9">
        <f>IFERROR(__xludf.DUMMYFUNCTION("""COMPUTED_VALUE"""),1350.0)</f>
        <v>1350</v>
      </c>
      <c r="I633" s="11">
        <f>IFERROR(__xludf.DUMMYFUNCTION("""COMPUTED_VALUE"""),43966.66666666667)</f>
        <v>43966.66667</v>
      </c>
      <c r="J633" s="9">
        <f>IFERROR(__xludf.DUMMYFUNCTION("""COMPUTED_VALUE"""),1373.19)</f>
        <v>1373.19</v>
      </c>
      <c r="L633" s="11">
        <f>IFERROR(__xludf.DUMMYFUNCTION("""COMPUTED_VALUE"""),43966.66666666667)</f>
        <v>43966.66667</v>
      </c>
      <c r="M633" s="9">
        <f>IFERROR(__xludf.DUMMYFUNCTION("""COMPUTED_VALUE"""),75.09)</f>
        <v>75.09</v>
      </c>
      <c r="N633" s="11">
        <f>IFERROR(__xludf.DUMMYFUNCTION("""COMPUTED_VALUE"""),43966.66666666667)</f>
        <v>43966.66667</v>
      </c>
      <c r="O633" s="9">
        <f>IFERROR(__xludf.DUMMYFUNCTION("""COMPUTED_VALUE"""),76.93)</f>
        <v>76.93</v>
      </c>
      <c r="Q633" s="11">
        <f>IFERROR(__xludf.DUMMYFUNCTION("""COMPUTED_VALUE"""),43966.66666666667)</f>
        <v>43966.66667</v>
      </c>
      <c r="R633" s="9">
        <f>IFERROR(__xludf.DUMMYFUNCTION("""COMPUTED_VALUE"""),205.27)</f>
        <v>205.27</v>
      </c>
      <c r="S633" s="11">
        <f>IFERROR(__xludf.DUMMYFUNCTION("""COMPUTED_VALUE"""),43966.66666666667)</f>
        <v>43966.66667</v>
      </c>
      <c r="T633" s="9">
        <f>IFERROR(__xludf.DUMMYFUNCTION("""COMPUTED_VALUE"""),210.88)</f>
        <v>210.88</v>
      </c>
      <c r="V633" s="11">
        <f>IFERROR(__xludf.DUMMYFUNCTION("""COMPUTED_VALUE"""),43966.66666666667)</f>
        <v>43966.66667</v>
      </c>
      <c r="W633" s="9">
        <f>IFERROR(__xludf.DUMMYFUNCTION("""COMPUTED_VALUE"""),440.7)</f>
        <v>440.7</v>
      </c>
      <c r="X633" s="11">
        <f>IFERROR(__xludf.DUMMYFUNCTION("""COMPUTED_VALUE"""),43966.66666666667)</f>
        <v>43966.66667</v>
      </c>
      <c r="Y633" s="9">
        <f>IFERROR(__xludf.DUMMYFUNCTION("""COMPUTED_VALUE"""),454.19)</f>
        <v>454.19</v>
      </c>
      <c r="AA633" s="11">
        <f>IFERROR(__xludf.DUMMYFUNCTION("""COMPUTED_VALUE"""),43966.66666666667)</f>
        <v>43966.66667</v>
      </c>
      <c r="AB633" s="9">
        <f>IFERROR(__xludf.DUMMYFUNCTION("""COMPUTED_VALUE"""),2368.52)</f>
        <v>2368.52</v>
      </c>
      <c r="AC633" s="11">
        <f>IFERROR(__xludf.DUMMYFUNCTION("""COMPUTED_VALUE"""),43966.66666666667)</f>
        <v>43966.66667</v>
      </c>
      <c r="AD633" s="9">
        <f>IFERROR(__xludf.DUMMYFUNCTION("""COMPUTED_VALUE"""),2409.78)</f>
        <v>2409.78</v>
      </c>
    </row>
    <row r="634">
      <c r="B634" s="11">
        <f>IFERROR(__xludf.DUMMYFUNCTION("""COMPUTED_VALUE"""),43969.66666666667)</f>
        <v>43969.66667</v>
      </c>
      <c r="C634" s="9">
        <f>IFERROR(__xludf.DUMMYFUNCTION("""COMPUTED_VALUE"""),165.56)</f>
        <v>165.56</v>
      </c>
      <c r="D634" s="11">
        <f>IFERROR(__xludf.DUMMYFUNCTION("""COMPUTED_VALUE"""),43969.66666666667)</f>
        <v>43969.66667</v>
      </c>
      <c r="E634" s="9">
        <f>IFERROR(__xludf.DUMMYFUNCTION("""COMPUTED_VALUE"""),162.73)</f>
        <v>162.73</v>
      </c>
      <c r="G634" s="11">
        <f>IFERROR(__xludf.DUMMYFUNCTION("""COMPUTED_VALUE"""),43969.66666666667)</f>
        <v>43969.66667</v>
      </c>
      <c r="H634" s="9">
        <f>IFERROR(__xludf.DUMMYFUNCTION("""COMPUTED_VALUE"""),1361.75)</f>
        <v>1361.75</v>
      </c>
      <c r="I634" s="11">
        <f>IFERROR(__xludf.DUMMYFUNCTION("""COMPUTED_VALUE"""),43969.66666666667)</f>
        <v>43969.66667</v>
      </c>
      <c r="J634" s="9">
        <f>IFERROR(__xludf.DUMMYFUNCTION("""COMPUTED_VALUE"""),1383.94)</f>
        <v>1383.94</v>
      </c>
      <c r="L634" s="11">
        <f>IFERROR(__xludf.DUMMYFUNCTION("""COMPUTED_VALUE"""),43969.66666666667)</f>
        <v>43969.66667</v>
      </c>
      <c r="M634" s="9">
        <f>IFERROR(__xludf.DUMMYFUNCTION("""COMPUTED_VALUE"""),78.29)</f>
        <v>78.29</v>
      </c>
      <c r="N634" s="11">
        <f>IFERROR(__xludf.DUMMYFUNCTION("""COMPUTED_VALUE"""),43969.66666666667)</f>
        <v>43969.66667</v>
      </c>
      <c r="O634" s="9">
        <f>IFERROR(__xludf.DUMMYFUNCTION("""COMPUTED_VALUE"""),78.74)</f>
        <v>78.74</v>
      </c>
      <c r="Q634" s="11">
        <f>IFERROR(__xludf.DUMMYFUNCTION("""COMPUTED_VALUE"""),43969.66666666667)</f>
        <v>43969.66667</v>
      </c>
      <c r="R634" s="9">
        <f>IFERROR(__xludf.DUMMYFUNCTION("""COMPUTED_VALUE"""),212.15)</f>
        <v>212.15</v>
      </c>
      <c r="S634" s="11">
        <f>IFERROR(__xludf.DUMMYFUNCTION("""COMPUTED_VALUE"""),43969.66666666667)</f>
        <v>43969.66667</v>
      </c>
      <c r="T634" s="9">
        <f>IFERROR(__xludf.DUMMYFUNCTION("""COMPUTED_VALUE"""),213.19)</f>
        <v>213.19</v>
      </c>
      <c r="V634" s="11">
        <f>IFERROR(__xludf.DUMMYFUNCTION("""COMPUTED_VALUE"""),43969.66666666667)</f>
        <v>43969.66667</v>
      </c>
      <c r="W634" s="9">
        <f>IFERROR(__xludf.DUMMYFUNCTION("""COMPUTED_VALUE"""),451.16)</f>
        <v>451.16</v>
      </c>
      <c r="X634" s="11">
        <f>IFERROR(__xludf.DUMMYFUNCTION("""COMPUTED_VALUE"""),43969.66666666667)</f>
        <v>43969.66667</v>
      </c>
      <c r="Y634" s="9">
        <f>IFERROR(__xludf.DUMMYFUNCTION("""COMPUTED_VALUE"""),452.58)</f>
        <v>452.58</v>
      </c>
      <c r="AA634" s="11">
        <f>IFERROR(__xludf.DUMMYFUNCTION("""COMPUTED_VALUE"""),43969.66666666667)</f>
        <v>43969.66667</v>
      </c>
      <c r="AB634" s="9">
        <f>IFERROR(__xludf.DUMMYFUNCTION("""COMPUTED_VALUE"""),2404.35)</f>
        <v>2404.35</v>
      </c>
      <c r="AC634" s="11">
        <f>IFERROR(__xludf.DUMMYFUNCTION("""COMPUTED_VALUE"""),43969.66666666667)</f>
        <v>43969.66667</v>
      </c>
      <c r="AD634" s="9">
        <f>IFERROR(__xludf.DUMMYFUNCTION("""COMPUTED_VALUE"""),2426.26)</f>
        <v>2426.26</v>
      </c>
    </row>
    <row r="635">
      <c r="B635" s="11">
        <f>IFERROR(__xludf.DUMMYFUNCTION("""COMPUTED_VALUE"""),43970.66666666667)</f>
        <v>43970.66667</v>
      </c>
      <c r="C635" s="9">
        <f>IFERROR(__xludf.DUMMYFUNCTION("""COMPUTED_VALUE"""),163.03)</f>
        <v>163.03</v>
      </c>
      <c r="D635" s="11">
        <f>IFERROR(__xludf.DUMMYFUNCTION("""COMPUTED_VALUE"""),43970.66666666667)</f>
        <v>43970.66667</v>
      </c>
      <c r="E635" s="9">
        <f>IFERROR(__xludf.DUMMYFUNCTION("""COMPUTED_VALUE"""),161.6)</f>
        <v>161.6</v>
      </c>
      <c r="G635" s="11">
        <f>IFERROR(__xludf.DUMMYFUNCTION("""COMPUTED_VALUE"""),43970.66666666667)</f>
        <v>43970.66667</v>
      </c>
      <c r="H635" s="9">
        <f>IFERROR(__xludf.DUMMYFUNCTION("""COMPUTED_VALUE"""),1387.0)</f>
        <v>1387</v>
      </c>
      <c r="I635" s="11">
        <f>IFERROR(__xludf.DUMMYFUNCTION("""COMPUTED_VALUE"""),43970.66666666667)</f>
        <v>43970.66667</v>
      </c>
      <c r="J635" s="9">
        <f>IFERROR(__xludf.DUMMYFUNCTION("""COMPUTED_VALUE"""),1373.49)</f>
        <v>1373.49</v>
      </c>
      <c r="L635" s="11">
        <f>IFERROR(__xludf.DUMMYFUNCTION("""COMPUTED_VALUE"""),43970.66666666667)</f>
        <v>43970.66667</v>
      </c>
      <c r="M635" s="9">
        <f>IFERROR(__xludf.DUMMYFUNCTION("""COMPUTED_VALUE"""),78.76)</f>
        <v>78.76</v>
      </c>
      <c r="N635" s="11">
        <f>IFERROR(__xludf.DUMMYFUNCTION("""COMPUTED_VALUE"""),43970.66666666667)</f>
        <v>43970.66667</v>
      </c>
      <c r="O635" s="9">
        <f>IFERROR(__xludf.DUMMYFUNCTION("""COMPUTED_VALUE"""),78.29)</f>
        <v>78.29</v>
      </c>
      <c r="Q635" s="11">
        <f>IFERROR(__xludf.DUMMYFUNCTION("""COMPUTED_VALUE"""),43970.66666666667)</f>
        <v>43970.66667</v>
      </c>
      <c r="R635" s="9">
        <f>IFERROR(__xludf.DUMMYFUNCTION("""COMPUTED_VALUE"""),213.27)</f>
        <v>213.27</v>
      </c>
      <c r="S635" s="11">
        <f>IFERROR(__xludf.DUMMYFUNCTION("""COMPUTED_VALUE"""),43970.66666666667)</f>
        <v>43970.66667</v>
      </c>
      <c r="T635" s="9">
        <f>IFERROR(__xludf.DUMMYFUNCTION("""COMPUTED_VALUE"""),216.88)</f>
        <v>216.88</v>
      </c>
      <c r="V635" s="11">
        <f>IFERROR(__xludf.DUMMYFUNCTION("""COMPUTED_VALUE"""),43970.66666666667)</f>
        <v>43970.66667</v>
      </c>
      <c r="W635" s="9">
        <f>IFERROR(__xludf.DUMMYFUNCTION("""COMPUTED_VALUE"""),453.4)</f>
        <v>453.4</v>
      </c>
      <c r="X635" s="11">
        <f>IFERROR(__xludf.DUMMYFUNCTION("""COMPUTED_VALUE"""),43970.66666666667)</f>
        <v>43970.66667</v>
      </c>
      <c r="Y635" s="9">
        <f>IFERROR(__xludf.DUMMYFUNCTION("""COMPUTED_VALUE"""),451.04)</f>
        <v>451.04</v>
      </c>
      <c r="AA635" s="11">
        <f>IFERROR(__xludf.DUMMYFUNCTION("""COMPUTED_VALUE"""),43970.66666666667)</f>
        <v>43970.66667</v>
      </c>
      <c r="AB635" s="9">
        <f>IFERROR(__xludf.DUMMYFUNCTION("""COMPUTED_VALUE"""),2429.83)</f>
        <v>2429.83</v>
      </c>
      <c r="AC635" s="11">
        <f>IFERROR(__xludf.DUMMYFUNCTION("""COMPUTED_VALUE"""),43970.66666666667)</f>
        <v>43970.66667</v>
      </c>
      <c r="AD635" s="9">
        <f>IFERROR(__xludf.DUMMYFUNCTION("""COMPUTED_VALUE"""),2449.33)</f>
        <v>2449.33</v>
      </c>
    </row>
    <row r="636">
      <c r="B636" s="11">
        <f>IFERROR(__xludf.DUMMYFUNCTION("""COMPUTED_VALUE"""),43971.66666666667)</f>
        <v>43971.66667</v>
      </c>
      <c r="C636" s="9">
        <f>IFERROR(__xludf.DUMMYFUNCTION("""COMPUTED_VALUE"""),164.1)</f>
        <v>164.1</v>
      </c>
      <c r="D636" s="11">
        <f>IFERROR(__xludf.DUMMYFUNCTION("""COMPUTED_VALUE"""),43971.66666666667)</f>
        <v>43971.66667</v>
      </c>
      <c r="E636" s="9">
        <f>IFERROR(__xludf.DUMMYFUNCTION("""COMPUTED_VALUE"""),163.11)</f>
        <v>163.11</v>
      </c>
      <c r="G636" s="11">
        <f>IFERROR(__xludf.DUMMYFUNCTION("""COMPUTED_VALUE"""),43971.66666666667)</f>
        <v>43971.66667</v>
      </c>
      <c r="H636" s="9">
        <f>IFERROR(__xludf.DUMMYFUNCTION("""COMPUTED_VALUE"""),1389.58)</f>
        <v>1389.58</v>
      </c>
      <c r="I636" s="11">
        <f>IFERROR(__xludf.DUMMYFUNCTION("""COMPUTED_VALUE"""),43971.66666666667)</f>
        <v>43971.66667</v>
      </c>
      <c r="J636" s="9">
        <f>IFERROR(__xludf.DUMMYFUNCTION("""COMPUTED_VALUE"""),1406.72)</f>
        <v>1406.72</v>
      </c>
      <c r="L636" s="11">
        <f>IFERROR(__xludf.DUMMYFUNCTION("""COMPUTED_VALUE"""),43971.66666666667)</f>
        <v>43971.66667</v>
      </c>
      <c r="M636" s="9">
        <f>IFERROR(__xludf.DUMMYFUNCTION("""COMPUTED_VALUE"""),79.17)</f>
        <v>79.17</v>
      </c>
      <c r="N636" s="11">
        <f>IFERROR(__xludf.DUMMYFUNCTION("""COMPUTED_VALUE"""),43971.66666666667)</f>
        <v>43971.66667</v>
      </c>
      <c r="O636" s="9">
        <f>IFERROR(__xludf.DUMMYFUNCTION("""COMPUTED_VALUE"""),79.81)</f>
        <v>79.81</v>
      </c>
      <c r="Q636" s="11">
        <f>IFERROR(__xludf.DUMMYFUNCTION("""COMPUTED_VALUE"""),43971.66666666667)</f>
        <v>43971.66667</v>
      </c>
      <c r="R636" s="9">
        <f>IFERROR(__xludf.DUMMYFUNCTION("""COMPUTED_VALUE"""),223.5)</f>
        <v>223.5</v>
      </c>
      <c r="S636" s="11">
        <f>IFERROR(__xludf.DUMMYFUNCTION("""COMPUTED_VALUE"""),43971.66666666667)</f>
        <v>43971.66667</v>
      </c>
      <c r="T636" s="9">
        <f>IFERROR(__xludf.DUMMYFUNCTION("""COMPUTED_VALUE"""),229.97)</f>
        <v>229.97</v>
      </c>
      <c r="V636" s="11">
        <f>IFERROR(__xludf.DUMMYFUNCTION("""COMPUTED_VALUE"""),43971.66666666667)</f>
        <v>43971.66667</v>
      </c>
      <c r="W636" s="9">
        <f>IFERROR(__xludf.DUMMYFUNCTION("""COMPUTED_VALUE"""),454.25)</f>
        <v>454.25</v>
      </c>
      <c r="X636" s="11">
        <f>IFERROR(__xludf.DUMMYFUNCTION("""COMPUTED_VALUE"""),43971.66666666667)</f>
        <v>43971.66667</v>
      </c>
      <c r="Y636" s="9">
        <f>IFERROR(__xludf.DUMMYFUNCTION("""COMPUTED_VALUE"""),447.67)</f>
        <v>447.67</v>
      </c>
      <c r="AA636" s="11">
        <f>IFERROR(__xludf.DUMMYFUNCTION("""COMPUTED_VALUE"""),43971.66666666667)</f>
        <v>43971.66667</v>
      </c>
      <c r="AB636" s="9">
        <f>IFERROR(__xludf.DUMMYFUNCTION("""COMPUTED_VALUE"""),2477.87)</f>
        <v>2477.87</v>
      </c>
      <c r="AC636" s="11">
        <f>IFERROR(__xludf.DUMMYFUNCTION("""COMPUTED_VALUE"""),43971.66666666667)</f>
        <v>43971.66667</v>
      </c>
      <c r="AD636" s="9">
        <f>IFERROR(__xludf.DUMMYFUNCTION("""COMPUTED_VALUE"""),2497.94)</f>
        <v>2497.94</v>
      </c>
    </row>
    <row r="637">
      <c r="B637" s="11">
        <f>IFERROR(__xludf.DUMMYFUNCTION("""COMPUTED_VALUE"""),43972.66666666667)</f>
        <v>43972.66667</v>
      </c>
      <c r="C637" s="9">
        <f>IFERROR(__xludf.DUMMYFUNCTION("""COMPUTED_VALUE"""),163.2)</f>
        <v>163.2</v>
      </c>
      <c r="D637" s="11">
        <f>IFERROR(__xludf.DUMMYFUNCTION("""COMPUTED_VALUE"""),43972.66666666667)</f>
        <v>43972.66667</v>
      </c>
      <c r="E637" s="9">
        <f>IFERROR(__xludf.DUMMYFUNCTION("""COMPUTED_VALUE"""),165.52)</f>
        <v>165.52</v>
      </c>
      <c r="G637" s="11">
        <f>IFERROR(__xludf.DUMMYFUNCTION("""COMPUTED_VALUE"""),43972.66666666667)</f>
        <v>43972.66667</v>
      </c>
      <c r="H637" s="9">
        <f>IFERROR(__xludf.DUMMYFUNCTION("""COMPUTED_VALUE"""),1408.0)</f>
        <v>1408</v>
      </c>
      <c r="I637" s="11">
        <f>IFERROR(__xludf.DUMMYFUNCTION("""COMPUTED_VALUE"""),43972.66666666667)</f>
        <v>43972.66667</v>
      </c>
      <c r="J637" s="9">
        <f>IFERROR(__xludf.DUMMYFUNCTION("""COMPUTED_VALUE"""),1402.8)</f>
        <v>1402.8</v>
      </c>
      <c r="L637" s="11">
        <f>IFERROR(__xludf.DUMMYFUNCTION("""COMPUTED_VALUE"""),43972.66666666667)</f>
        <v>43972.66667</v>
      </c>
      <c r="M637" s="9">
        <f>IFERROR(__xludf.DUMMYFUNCTION("""COMPUTED_VALUE"""),79.67)</f>
        <v>79.67</v>
      </c>
      <c r="N637" s="11">
        <f>IFERROR(__xludf.DUMMYFUNCTION("""COMPUTED_VALUE"""),43972.66666666667)</f>
        <v>43972.66667</v>
      </c>
      <c r="O637" s="9">
        <f>IFERROR(__xludf.DUMMYFUNCTION("""COMPUTED_VALUE"""),79.21)</f>
        <v>79.21</v>
      </c>
      <c r="Q637" s="11">
        <f>IFERROR(__xludf.DUMMYFUNCTION("""COMPUTED_VALUE"""),43972.66666666667)</f>
        <v>43972.66667</v>
      </c>
      <c r="R637" s="9">
        <f>IFERROR(__xludf.DUMMYFUNCTION("""COMPUTED_VALUE"""),234.72)</f>
        <v>234.72</v>
      </c>
      <c r="S637" s="11">
        <f>IFERROR(__xludf.DUMMYFUNCTION("""COMPUTED_VALUE"""),43972.66666666667)</f>
        <v>43972.66667</v>
      </c>
      <c r="T637" s="9">
        <f>IFERROR(__xludf.DUMMYFUNCTION("""COMPUTED_VALUE"""),231.39)</f>
        <v>231.39</v>
      </c>
      <c r="V637" s="11">
        <f>IFERROR(__xludf.DUMMYFUNCTION("""COMPUTED_VALUE"""),43972.66666666667)</f>
        <v>43972.66667</v>
      </c>
      <c r="W637" s="9">
        <f>IFERROR(__xludf.DUMMYFUNCTION("""COMPUTED_VALUE"""),448.56)</f>
        <v>448.56</v>
      </c>
      <c r="X637" s="11">
        <f>IFERROR(__xludf.DUMMYFUNCTION("""COMPUTED_VALUE"""),43972.66666666667)</f>
        <v>43972.66667</v>
      </c>
      <c r="Y637" s="9">
        <f>IFERROR(__xludf.DUMMYFUNCTION("""COMPUTED_VALUE"""),436.25)</f>
        <v>436.25</v>
      </c>
      <c r="AA637" s="11">
        <f>IFERROR(__xludf.DUMMYFUNCTION("""COMPUTED_VALUE"""),43972.66666666667)</f>
        <v>43972.66667</v>
      </c>
      <c r="AB637" s="9">
        <f>IFERROR(__xludf.DUMMYFUNCTION("""COMPUTED_VALUE"""),2500.0)</f>
        <v>2500</v>
      </c>
      <c r="AC637" s="11">
        <f>IFERROR(__xludf.DUMMYFUNCTION("""COMPUTED_VALUE"""),43972.66666666667)</f>
        <v>43972.66667</v>
      </c>
      <c r="AD637" s="9">
        <f>IFERROR(__xludf.DUMMYFUNCTION("""COMPUTED_VALUE"""),2446.74)</f>
        <v>2446.74</v>
      </c>
    </row>
    <row r="638">
      <c r="B638" s="11">
        <f>IFERROR(__xludf.DUMMYFUNCTION("""COMPUTED_VALUE"""),43973.66666666667)</f>
        <v>43973.66667</v>
      </c>
      <c r="C638" s="9">
        <f>IFERROR(__xludf.DUMMYFUNCTION("""COMPUTED_VALUE"""),164.43)</f>
        <v>164.43</v>
      </c>
      <c r="D638" s="11">
        <f>IFERROR(__xludf.DUMMYFUNCTION("""COMPUTED_VALUE"""),43973.66666666667)</f>
        <v>43973.66667</v>
      </c>
      <c r="E638" s="9">
        <f>IFERROR(__xludf.DUMMYFUNCTION("""COMPUTED_VALUE"""),163.38)</f>
        <v>163.38</v>
      </c>
      <c r="G638" s="11">
        <f>IFERROR(__xludf.DUMMYFUNCTION("""COMPUTED_VALUE"""),43973.66666666667)</f>
        <v>43973.66667</v>
      </c>
      <c r="H638" s="9">
        <f>IFERROR(__xludf.DUMMYFUNCTION("""COMPUTED_VALUE"""),1396.71)</f>
        <v>1396.71</v>
      </c>
      <c r="I638" s="11">
        <f>IFERROR(__xludf.DUMMYFUNCTION("""COMPUTED_VALUE"""),43973.66666666667)</f>
        <v>43973.66667</v>
      </c>
      <c r="J638" s="9">
        <f>IFERROR(__xludf.DUMMYFUNCTION("""COMPUTED_VALUE"""),1410.42)</f>
        <v>1410.42</v>
      </c>
      <c r="L638" s="11">
        <f>IFERROR(__xludf.DUMMYFUNCTION("""COMPUTED_VALUE"""),43973.66666666667)</f>
        <v>43973.66667</v>
      </c>
      <c r="M638" s="9">
        <f>IFERROR(__xludf.DUMMYFUNCTION("""COMPUTED_VALUE"""),78.94)</f>
        <v>78.94</v>
      </c>
      <c r="N638" s="11">
        <f>IFERROR(__xludf.DUMMYFUNCTION("""COMPUTED_VALUE"""),43973.66666666667)</f>
        <v>43973.66667</v>
      </c>
      <c r="O638" s="9">
        <f>IFERROR(__xludf.DUMMYFUNCTION("""COMPUTED_VALUE"""),79.72)</f>
        <v>79.72</v>
      </c>
      <c r="Q638" s="11">
        <f>IFERROR(__xludf.DUMMYFUNCTION("""COMPUTED_VALUE"""),43973.66666666667)</f>
        <v>43973.66667</v>
      </c>
      <c r="R638" s="9">
        <f>IFERROR(__xludf.DUMMYFUNCTION("""COMPUTED_VALUE"""),231.51)</f>
        <v>231.51</v>
      </c>
      <c r="S638" s="11">
        <f>IFERROR(__xludf.DUMMYFUNCTION("""COMPUTED_VALUE"""),43973.66666666667)</f>
        <v>43973.66667</v>
      </c>
      <c r="T638" s="9">
        <f>IFERROR(__xludf.DUMMYFUNCTION("""COMPUTED_VALUE"""),234.91)</f>
        <v>234.91</v>
      </c>
      <c r="V638" s="11">
        <f>IFERROR(__xludf.DUMMYFUNCTION("""COMPUTED_VALUE"""),43973.66666666667)</f>
        <v>43973.66667</v>
      </c>
      <c r="W638" s="9">
        <f>IFERROR(__xludf.DUMMYFUNCTION("""COMPUTED_VALUE"""),437.0)</f>
        <v>437</v>
      </c>
      <c r="X638" s="11">
        <f>IFERROR(__xludf.DUMMYFUNCTION("""COMPUTED_VALUE"""),43973.66666666667)</f>
        <v>43973.66667</v>
      </c>
      <c r="Y638" s="9">
        <f>IFERROR(__xludf.DUMMYFUNCTION("""COMPUTED_VALUE"""),429.32)</f>
        <v>429.32</v>
      </c>
      <c r="AA638" s="11">
        <f>IFERROR(__xludf.DUMMYFUNCTION("""COMPUTED_VALUE"""),43973.66666666667)</f>
        <v>43973.66667</v>
      </c>
      <c r="AB638" s="9">
        <f>IFERROR(__xludf.DUMMYFUNCTION("""COMPUTED_VALUE"""),2455.01)</f>
        <v>2455.01</v>
      </c>
      <c r="AC638" s="11">
        <f>IFERROR(__xludf.DUMMYFUNCTION("""COMPUTED_VALUE"""),43973.66666666667)</f>
        <v>43973.66667</v>
      </c>
      <c r="AD638" s="9">
        <f>IFERROR(__xludf.DUMMYFUNCTION("""COMPUTED_VALUE"""),2436.88)</f>
        <v>2436.88</v>
      </c>
    </row>
    <row r="639">
      <c r="B639" s="11">
        <f>IFERROR(__xludf.DUMMYFUNCTION("""COMPUTED_VALUE"""),43977.66666666667)</f>
        <v>43977.66667</v>
      </c>
      <c r="C639" s="9">
        <f>IFERROR(__xludf.DUMMYFUNCTION("""COMPUTED_VALUE"""),166.9)</f>
        <v>166.9</v>
      </c>
      <c r="D639" s="11">
        <f>IFERROR(__xludf.DUMMYFUNCTION("""COMPUTED_VALUE"""),43977.66666666667)</f>
        <v>43977.66667</v>
      </c>
      <c r="E639" s="9">
        <f>IFERROR(__xludf.DUMMYFUNCTION("""COMPUTED_VALUE"""),163.77)</f>
        <v>163.77</v>
      </c>
      <c r="G639" s="11">
        <f>IFERROR(__xludf.DUMMYFUNCTION("""COMPUTED_VALUE"""),43977.66666666667)</f>
        <v>43977.66667</v>
      </c>
      <c r="H639" s="9">
        <f>IFERROR(__xludf.DUMMYFUNCTION("""COMPUTED_VALUE"""),1437.27)</f>
        <v>1437.27</v>
      </c>
      <c r="I639" s="11">
        <f>IFERROR(__xludf.DUMMYFUNCTION("""COMPUTED_VALUE"""),43977.66666666667)</f>
        <v>43977.66667</v>
      </c>
      <c r="J639" s="9">
        <f>IFERROR(__xludf.DUMMYFUNCTION("""COMPUTED_VALUE"""),1417.02)</f>
        <v>1417.02</v>
      </c>
      <c r="L639" s="11">
        <f>IFERROR(__xludf.DUMMYFUNCTION("""COMPUTED_VALUE"""),43977.66666666667)</f>
        <v>43977.66667</v>
      </c>
      <c r="M639" s="9">
        <f>IFERROR(__xludf.DUMMYFUNCTION("""COMPUTED_VALUE"""),80.88)</f>
        <v>80.88</v>
      </c>
      <c r="N639" s="11">
        <f>IFERROR(__xludf.DUMMYFUNCTION("""COMPUTED_VALUE"""),43977.66666666667)</f>
        <v>43977.66667</v>
      </c>
      <c r="O639" s="9">
        <f>IFERROR(__xludf.DUMMYFUNCTION("""COMPUTED_VALUE"""),79.18)</f>
        <v>79.18</v>
      </c>
      <c r="Q639" s="11">
        <f>IFERROR(__xludf.DUMMYFUNCTION("""COMPUTED_VALUE"""),43977.66666666667)</f>
        <v>43977.66667</v>
      </c>
      <c r="R639" s="9">
        <f>IFERROR(__xludf.DUMMYFUNCTION("""COMPUTED_VALUE"""),239.77)</f>
        <v>239.77</v>
      </c>
      <c r="S639" s="11">
        <f>IFERROR(__xludf.DUMMYFUNCTION("""COMPUTED_VALUE"""),43977.66666666667)</f>
        <v>43977.66667</v>
      </c>
      <c r="T639" s="9">
        <f>IFERROR(__xludf.DUMMYFUNCTION("""COMPUTED_VALUE"""),232.2)</f>
        <v>232.2</v>
      </c>
      <c r="V639" s="11">
        <f>IFERROR(__xludf.DUMMYFUNCTION("""COMPUTED_VALUE"""),43977.66666666667)</f>
        <v>43977.66667</v>
      </c>
      <c r="W639" s="9">
        <f>IFERROR(__xludf.DUMMYFUNCTION("""COMPUTED_VALUE"""),427.77)</f>
        <v>427.77</v>
      </c>
      <c r="X639" s="11">
        <f>IFERROR(__xludf.DUMMYFUNCTION("""COMPUTED_VALUE"""),43977.66666666667)</f>
        <v>43977.66667</v>
      </c>
      <c r="Y639" s="9">
        <f>IFERROR(__xludf.DUMMYFUNCTION("""COMPUTED_VALUE"""),414.77)</f>
        <v>414.77</v>
      </c>
      <c r="AA639" s="11">
        <f>IFERROR(__xludf.DUMMYFUNCTION("""COMPUTED_VALUE"""),43977.66666666667)</f>
        <v>43977.66667</v>
      </c>
      <c r="AB639" s="9">
        <f>IFERROR(__xludf.DUMMYFUNCTION("""COMPUTED_VALUE"""),2458.0)</f>
        <v>2458</v>
      </c>
      <c r="AC639" s="11">
        <f>IFERROR(__xludf.DUMMYFUNCTION("""COMPUTED_VALUE"""),43977.66666666667)</f>
        <v>43977.66667</v>
      </c>
      <c r="AD639" s="9">
        <f>IFERROR(__xludf.DUMMYFUNCTION("""COMPUTED_VALUE"""),2421.86)</f>
        <v>2421.86</v>
      </c>
    </row>
    <row r="640">
      <c r="B640" s="11">
        <f>IFERROR(__xludf.DUMMYFUNCTION("""COMPUTED_VALUE"""),43978.66666666667)</f>
        <v>43978.66667</v>
      </c>
      <c r="C640" s="9">
        <f>IFERROR(__xludf.DUMMYFUNCTION("""COMPUTED_VALUE"""),164.17)</f>
        <v>164.17</v>
      </c>
      <c r="D640" s="11">
        <f>IFERROR(__xludf.DUMMYFUNCTION("""COMPUTED_VALUE"""),43978.66666666667)</f>
        <v>43978.66667</v>
      </c>
      <c r="E640" s="9">
        <f>IFERROR(__xludf.DUMMYFUNCTION("""COMPUTED_VALUE"""),164.05)</f>
        <v>164.05</v>
      </c>
      <c r="G640" s="11">
        <f>IFERROR(__xludf.DUMMYFUNCTION("""COMPUTED_VALUE"""),43978.66666666667)</f>
        <v>43978.66667</v>
      </c>
      <c r="H640" s="9">
        <f>IFERROR(__xludf.DUMMYFUNCTION("""COMPUTED_VALUE"""),1417.25)</f>
        <v>1417.25</v>
      </c>
      <c r="I640" s="11">
        <f>IFERROR(__xludf.DUMMYFUNCTION("""COMPUTED_VALUE"""),43978.66666666667)</f>
        <v>43978.66667</v>
      </c>
      <c r="J640" s="9">
        <f>IFERROR(__xludf.DUMMYFUNCTION("""COMPUTED_VALUE"""),1417.84)</f>
        <v>1417.84</v>
      </c>
      <c r="L640" s="11">
        <f>IFERROR(__xludf.DUMMYFUNCTION("""COMPUTED_VALUE"""),43978.66666666667)</f>
        <v>43978.66667</v>
      </c>
      <c r="M640" s="9">
        <f>IFERROR(__xludf.DUMMYFUNCTION("""COMPUTED_VALUE"""),79.04)</f>
        <v>79.04</v>
      </c>
      <c r="N640" s="11">
        <f>IFERROR(__xludf.DUMMYFUNCTION("""COMPUTED_VALUE"""),43978.66666666667)</f>
        <v>43978.66667</v>
      </c>
      <c r="O640" s="9">
        <f>IFERROR(__xludf.DUMMYFUNCTION("""COMPUTED_VALUE"""),79.53)</f>
        <v>79.53</v>
      </c>
      <c r="Q640" s="11">
        <f>IFERROR(__xludf.DUMMYFUNCTION("""COMPUTED_VALUE"""),43978.66666666667)</f>
        <v>43978.66667</v>
      </c>
      <c r="R640" s="9">
        <f>IFERROR(__xludf.DUMMYFUNCTION("""COMPUTED_VALUE"""),229.07)</f>
        <v>229.07</v>
      </c>
      <c r="S640" s="11">
        <f>IFERROR(__xludf.DUMMYFUNCTION("""COMPUTED_VALUE"""),43978.66666666667)</f>
        <v>43978.66667</v>
      </c>
      <c r="T640" s="9">
        <f>IFERROR(__xludf.DUMMYFUNCTION("""COMPUTED_VALUE"""),229.14)</f>
        <v>229.14</v>
      </c>
      <c r="V640" s="11">
        <f>IFERROR(__xludf.DUMMYFUNCTION("""COMPUTED_VALUE"""),43978.66666666667)</f>
        <v>43978.66667</v>
      </c>
      <c r="W640" s="9">
        <f>IFERROR(__xludf.DUMMYFUNCTION("""COMPUTED_VALUE"""),410.38)</f>
        <v>410.38</v>
      </c>
      <c r="X640" s="11">
        <f>IFERROR(__xludf.DUMMYFUNCTION("""COMPUTED_VALUE"""),43978.66666666667)</f>
        <v>43978.66667</v>
      </c>
      <c r="Y640" s="9">
        <f>IFERROR(__xludf.DUMMYFUNCTION("""COMPUTED_VALUE"""),419.89)</f>
        <v>419.89</v>
      </c>
      <c r="AA640" s="11">
        <f>IFERROR(__xludf.DUMMYFUNCTION("""COMPUTED_VALUE"""),43978.66666666667)</f>
        <v>43978.66667</v>
      </c>
      <c r="AB640" s="9">
        <f>IFERROR(__xludf.DUMMYFUNCTION("""COMPUTED_VALUE"""),2404.99)</f>
        <v>2404.99</v>
      </c>
      <c r="AC640" s="11">
        <f>IFERROR(__xludf.DUMMYFUNCTION("""COMPUTED_VALUE"""),43978.66666666667)</f>
        <v>43978.66667</v>
      </c>
      <c r="AD640" s="9">
        <f>IFERROR(__xludf.DUMMYFUNCTION("""COMPUTED_VALUE"""),2410.39)</f>
        <v>2410.39</v>
      </c>
    </row>
    <row r="641">
      <c r="B641" s="11">
        <f>IFERROR(__xludf.DUMMYFUNCTION("""COMPUTED_VALUE"""),43979.66666666667)</f>
        <v>43979.66667</v>
      </c>
      <c r="C641" s="9">
        <f>IFERROR(__xludf.DUMMYFUNCTION("""COMPUTED_VALUE"""),162.7)</f>
        <v>162.7</v>
      </c>
      <c r="D641" s="11">
        <f>IFERROR(__xludf.DUMMYFUNCTION("""COMPUTED_VALUE"""),43979.66666666667)</f>
        <v>43979.66667</v>
      </c>
      <c r="E641" s="9">
        <f>IFERROR(__xludf.DUMMYFUNCTION("""COMPUTED_VALUE"""),161.16)</f>
        <v>161.16</v>
      </c>
      <c r="G641" s="11">
        <f>IFERROR(__xludf.DUMMYFUNCTION("""COMPUTED_VALUE"""),43979.66666666667)</f>
        <v>43979.66667</v>
      </c>
      <c r="H641" s="9">
        <f>IFERROR(__xludf.DUMMYFUNCTION("""COMPUTED_VALUE"""),1396.86)</f>
        <v>1396.86</v>
      </c>
      <c r="I641" s="11">
        <f>IFERROR(__xludf.DUMMYFUNCTION("""COMPUTED_VALUE"""),43979.66666666667)</f>
        <v>43979.66667</v>
      </c>
      <c r="J641" s="9">
        <f>IFERROR(__xludf.DUMMYFUNCTION("""COMPUTED_VALUE"""),1416.73)</f>
        <v>1416.73</v>
      </c>
      <c r="L641" s="11">
        <f>IFERROR(__xludf.DUMMYFUNCTION("""COMPUTED_VALUE"""),43979.66666666667)</f>
        <v>43979.66667</v>
      </c>
      <c r="M641" s="9">
        <f>IFERROR(__xludf.DUMMYFUNCTION("""COMPUTED_VALUE"""),79.19)</f>
        <v>79.19</v>
      </c>
      <c r="N641" s="11">
        <f>IFERROR(__xludf.DUMMYFUNCTION("""COMPUTED_VALUE"""),43979.66666666667)</f>
        <v>43979.66667</v>
      </c>
      <c r="O641" s="9">
        <f>IFERROR(__xludf.DUMMYFUNCTION("""COMPUTED_VALUE"""),79.56)</f>
        <v>79.56</v>
      </c>
      <c r="Q641" s="11">
        <f>IFERROR(__xludf.DUMMYFUNCTION("""COMPUTED_VALUE"""),43979.66666666667)</f>
        <v>43979.66667</v>
      </c>
      <c r="R641" s="9">
        <f>IFERROR(__xludf.DUMMYFUNCTION("""COMPUTED_VALUE"""),224.3)</f>
        <v>224.3</v>
      </c>
      <c r="S641" s="11">
        <f>IFERROR(__xludf.DUMMYFUNCTION("""COMPUTED_VALUE"""),43979.66666666667)</f>
        <v>43979.66667</v>
      </c>
      <c r="T641" s="9">
        <f>IFERROR(__xludf.DUMMYFUNCTION("""COMPUTED_VALUE"""),225.46)</f>
        <v>225.46</v>
      </c>
      <c r="V641" s="11">
        <f>IFERROR(__xludf.DUMMYFUNCTION("""COMPUTED_VALUE"""),43979.66666666667)</f>
        <v>43979.66667</v>
      </c>
      <c r="W641" s="9">
        <f>IFERROR(__xludf.DUMMYFUNCTION("""COMPUTED_VALUE"""),417.24)</f>
        <v>417.24</v>
      </c>
      <c r="X641" s="11">
        <f>IFERROR(__xludf.DUMMYFUNCTION("""COMPUTED_VALUE"""),43979.66666666667)</f>
        <v>43979.66667</v>
      </c>
      <c r="Y641" s="9">
        <f>IFERROR(__xludf.DUMMYFUNCTION("""COMPUTED_VALUE"""),413.44)</f>
        <v>413.44</v>
      </c>
      <c r="AA641" s="11">
        <f>IFERROR(__xludf.DUMMYFUNCTION("""COMPUTED_VALUE"""),43979.66666666667)</f>
        <v>43979.66667</v>
      </c>
      <c r="AB641" s="9">
        <f>IFERROR(__xludf.DUMMYFUNCTION("""COMPUTED_VALUE"""),2384.33)</f>
        <v>2384.33</v>
      </c>
      <c r="AC641" s="11">
        <f>IFERROR(__xludf.DUMMYFUNCTION("""COMPUTED_VALUE"""),43979.66666666667)</f>
        <v>43979.66667</v>
      </c>
      <c r="AD641" s="9">
        <f>IFERROR(__xludf.DUMMYFUNCTION("""COMPUTED_VALUE"""),2401.1)</f>
        <v>2401.1</v>
      </c>
    </row>
    <row r="642">
      <c r="B642" s="11">
        <f>IFERROR(__xludf.DUMMYFUNCTION("""COMPUTED_VALUE"""),43980.66666666667)</f>
        <v>43980.66667</v>
      </c>
      <c r="C642" s="9">
        <f>IFERROR(__xludf.DUMMYFUNCTION("""COMPUTED_VALUE"""),161.75)</f>
        <v>161.75</v>
      </c>
      <c r="D642" s="11">
        <f>IFERROR(__xludf.DUMMYFUNCTION("""COMPUTED_VALUE"""),43980.66666666667)</f>
        <v>43980.66667</v>
      </c>
      <c r="E642" s="9">
        <f>IFERROR(__xludf.DUMMYFUNCTION("""COMPUTED_VALUE"""),167.0)</f>
        <v>167</v>
      </c>
      <c r="G642" s="11">
        <f>IFERROR(__xludf.DUMMYFUNCTION("""COMPUTED_VALUE"""),43980.66666666667)</f>
        <v>43980.66667</v>
      </c>
      <c r="H642" s="9">
        <f>IFERROR(__xludf.DUMMYFUNCTION("""COMPUTED_VALUE"""),1416.94)</f>
        <v>1416.94</v>
      </c>
      <c r="I642" s="11">
        <f>IFERROR(__xludf.DUMMYFUNCTION("""COMPUTED_VALUE"""),43980.66666666667)</f>
        <v>43980.66667</v>
      </c>
      <c r="J642" s="9">
        <f>IFERROR(__xludf.DUMMYFUNCTION("""COMPUTED_VALUE"""),1428.92)</f>
        <v>1428.92</v>
      </c>
      <c r="L642" s="11">
        <f>IFERROR(__xludf.DUMMYFUNCTION("""COMPUTED_VALUE"""),43980.66666666667)</f>
        <v>43980.66667</v>
      </c>
      <c r="M642" s="9">
        <f>IFERROR(__xludf.DUMMYFUNCTION("""COMPUTED_VALUE"""),79.81)</f>
        <v>79.81</v>
      </c>
      <c r="N642" s="11">
        <f>IFERROR(__xludf.DUMMYFUNCTION("""COMPUTED_VALUE"""),43980.66666666667)</f>
        <v>43980.66667</v>
      </c>
      <c r="O642" s="9">
        <f>IFERROR(__xludf.DUMMYFUNCTION("""COMPUTED_VALUE"""),79.49)</f>
        <v>79.49</v>
      </c>
      <c r="Q642" s="11">
        <f>IFERROR(__xludf.DUMMYFUNCTION("""COMPUTED_VALUE"""),43980.66666666667)</f>
        <v>43980.66667</v>
      </c>
      <c r="R642" s="9">
        <f>IFERROR(__xludf.DUMMYFUNCTION("""COMPUTED_VALUE"""),225.2)</f>
        <v>225.2</v>
      </c>
      <c r="S642" s="11">
        <f>IFERROR(__xludf.DUMMYFUNCTION("""COMPUTED_VALUE"""),43980.66666666667)</f>
        <v>43980.66667</v>
      </c>
      <c r="T642" s="9">
        <f>IFERROR(__xludf.DUMMYFUNCTION("""COMPUTED_VALUE"""),225.09)</f>
        <v>225.09</v>
      </c>
      <c r="V642" s="11">
        <f>IFERROR(__xludf.DUMMYFUNCTION("""COMPUTED_VALUE"""),43980.66666666667)</f>
        <v>43980.66667</v>
      </c>
      <c r="W642" s="9">
        <f>IFERROR(__xludf.DUMMYFUNCTION("""COMPUTED_VALUE"""),417.46)</f>
        <v>417.46</v>
      </c>
      <c r="X642" s="11">
        <f>IFERROR(__xludf.DUMMYFUNCTION("""COMPUTED_VALUE"""),43980.66666666667)</f>
        <v>43980.66667</v>
      </c>
      <c r="Y642" s="9">
        <f>IFERROR(__xludf.DUMMYFUNCTION("""COMPUTED_VALUE"""),419.73)</f>
        <v>419.73</v>
      </c>
      <c r="AA642" s="11">
        <f>IFERROR(__xludf.DUMMYFUNCTION("""COMPUTED_VALUE"""),43980.66666666667)</f>
        <v>43980.66667</v>
      </c>
      <c r="AB642" s="9">
        <f>IFERROR(__xludf.DUMMYFUNCTION("""COMPUTED_VALUE"""),2415.94)</f>
        <v>2415.94</v>
      </c>
      <c r="AC642" s="11">
        <f>IFERROR(__xludf.DUMMYFUNCTION("""COMPUTED_VALUE"""),43980.66666666667)</f>
        <v>43980.66667</v>
      </c>
      <c r="AD642" s="9">
        <f>IFERROR(__xludf.DUMMYFUNCTION("""COMPUTED_VALUE"""),2442.37)</f>
        <v>2442.37</v>
      </c>
    </row>
    <row r="643">
      <c r="B643" s="11">
        <f>IFERROR(__xludf.DUMMYFUNCTION("""COMPUTED_VALUE"""),43983.66666666667)</f>
        <v>43983.66667</v>
      </c>
      <c r="C643" s="9">
        <f>IFERROR(__xludf.DUMMYFUNCTION("""COMPUTED_VALUE"""),171.6)</f>
        <v>171.6</v>
      </c>
      <c r="D643" s="11">
        <f>IFERROR(__xludf.DUMMYFUNCTION("""COMPUTED_VALUE"""),43983.66666666667)</f>
        <v>43983.66667</v>
      </c>
      <c r="E643" s="9">
        <f>IFERROR(__xludf.DUMMYFUNCTION("""COMPUTED_VALUE"""),179.62)</f>
        <v>179.62</v>
      </c>
      <c r="G643" s="11">
        <f>IFERROR(__xludf.DUMMYFUNCTION("""COMPUTED_VALUE"""),43983.66666666667)</f>
        <v>43983.66667</v>
      </c>
      <c r="H643" s="9">
        <f>IFERROR(__xludf.DUMMYFUNCTION("""COMPUTED_VALUE"""),1418.39)</f>
        <v>1418.39</v>
      </c>
      <c r="I643" s="11">
        <f>IFERROR(__xludf.DUMMYFUNCTION("""COMPUTED_VALUE"""),43983.66666666667)</f>
        <v>43983.66667</v>
      </c>
      <c r="J643" s="9">
        <f>IFERROR(__xludf.DUMMYFUNCTION("""COMPUTED_VALUE"""),1431.82)</f>
        <v>1431.82</v>
      </c>
      <c r="L643" s="11">
        <f>IFERROR(__xludf.DUMMYFUNCTION("""COMPUTED_VALUE"""),43983.66666666667)</f>
        <v>43983.66667</v>
      </c>
      <c r="M643" s="9">
        <f>IFERROR(__xludf.DUMMYFUNCTION("""COMPUTED_VALUE"""),79.44)</f>
        <v>79.44</v>
      </c>
      <c r="N643" s="11">
        <f>IFERROR(__xludf.DUMMYFUNCTION("""COMPUTED_VALUE"""),43983.66666666667)</f>
        <v>43983.66667</v>
      </c>
      <c r="O643" s="9">
        <f>IFERROR(__xludf.DUMMYFUNCTION("""COMPUTED_VALUE"""),80.46)</f>
        <v>80.46</v>
      </c>
      <c r="Q643" s="11">
        <f>IFERROR(__xludf.DUMMYFUNCTION("""COMPUTED_VALUE"""),43983.66666666667)</f>
        <v>43983.66667</v>
      </c>
      <c r="R643" s="9">
        <f>IFERROR(__xludf.DUMMYFUNCTION("""COMPUTED_VALUE"""),224.59)</f>
        <v>224.59</v>
      </c>
      <c r="S643" s="11">
        <f>IFERROR(__xludf.DUMMYFUNCTION("""COMPUTED_VALUE"""),43983.66666666667)</f>
        <v>43983.66667</v>
      </c>
      <c r="T643" s="9">
        <f>IFERROR(__xludf.DUMMYFUNCTION("""COMPUTED_VALUE"""),231.91)</f>
        <v>231.91</v>
      </c>
      <c r="V643" s="11">
        <f>IFERROR(__xludf.DUMMYFUNCTION("""COMPUTED_VALUE"""),43983.66666666667)</f>
        <v>43983.66667</v>
      </c>
      <c r="W643" s="9">
        <f>IFERROR(__xludf.DUMMYFUNCTION("""COMPUTED_VALUE"""),418.83)</f>
        <v>418.83</v>
      </c>
      <c r="X643" s="11">
        <f>IFERROR(__xludf.DUMMYFUNCTION("""COMPUTED_VALUE"""),43983.66666666667)</f>
        <v>43983.66667</v>
      </c>
      <c r="Y643" s="9">
        <f>IFERROR(__xludf.DUMMYFUNCTION("""COMPUTED_VALUE"""),425.92)</f>
        <v>425.92</v>
      </c>
      <c r="AA643" s="11">
        <f>IFERROR(__xludf.DUMMYFUNCTION("""COMPUTED_VALUE"""),43983.66666666667)</f>
        <v>43983.66667</v>
      </c>
      <c r="AB643" s="9">
        <f>IFERROR(__xludf.DUMMYFUNCTION("""COMPUTED_VALUE"""),2448.0)</f>
        <v>2448</v>
      </c>
      <c r="AC643" s="11">
        <f>IFERROR(__xludf.DUMMYFUNCTION("""COMPUTED_VALUE"""),43983.66666666667)</f>
        <v>43983.66667</v>
      </c>
      <c r="AD643" s="9">
        <f>IFERROR(__xludf.DUMMYFUNCTION("""COMPUTED_VALUE"""),2471.04)</f>
        <v>2471.04</v>
      </c>
    </row>
    <row r="644">
      <c r="B644" s="11">
        <f>IFERROR(__xludf.DUMMYFUNCTION("""COMPUTED_VALUE"""),43984.66666666667)</f>
        <v>43984.66667</v>
      </c>
      <c r="C644" s="9">
        <f>IFERROR(__xludf.DUMMYFUNCTION("""COMPUTED_VALUE"""),178.94)</f>
        <v>178.94</v>
      </c>
      <c r="D644" s="11">
        <f>IFERROR(__xludf.DUMMYFUNCTION("""COMPUTED_VALUE"""),43984.66666666667)</f>
        <v>43984.66667</v>
      </c>
      <c r="E644" s="9">
        <f>IFERROR(__xludf.DUMMYFUNCTION("""COMPUTED_VALUE"""),176.31)</f>
        <v>176.31</v>
      </c>
      <c r="G644" s="11">
        <f>IFERROR(__xludf.DUMMYFUNCTION("""COMPUTED_VALUE"""),43984.66666666667)</f>
        <v>43984.66667</v>
      </c>
      <c r="H644" s="9">
        <f>IFERROR(__xludf.DUMMYFUNCTION("""COMPUTED_VALUE"""),1430.55)</f>
        <v>1430.55</v>
      </c>
      <c r="I644" s="11">
        <f>IFERROR(__xludf.DUMMYFUNCTION("""COMPUTED_VALUE"""),43984.66666666667)</f>
        <v>43984.66667</v>
      </c>
      <c r="J644" s="9">
        <f>IFERROR(__xludf.DUMMYFUNCTION("""COMPUTED_VALUE"""),1439.22)</f>
        <v>1439.22</v>
      </c>
      <c r="L644" s="11">
        <f>IFERROR(__xludf.DUMMYFUNCTION("""COMPUTED_VALUE"""),43984.66666666667)</f>
        <v>43984.66667</v>
      </c>
      <c r="M644" s="9">
        <f>IFERROR(__xludf.DUMMYFUNCTION("""COMPUTED_VALUE"""),80.19)</f>
        <v>80.19</v>
      </c>
      <c r="N644" s="11">
        <f>IFERROR(__xludf.DUMMYFUNCTION("""COMPUTED_VALUE"""),43984.66666666667)</f>
        <v>43984.66667</v>
      </c>
      <c r="O644" s="9">
        <f>IFERROR(__xludf.DUMMYFUNCTION("""COMPUTED_VALUE"""),80.83)</f>
        <v>80.83</v>
      </c>
      <c r="Q644" s="11">
        <f>IFERROR(__xludf.DUMMYFUNCTION("""COMPUTED_VALUE"""),43984.66666666667)</f>
        <v>43984.66667</v>
      </c>
      <c r="R644" s="9">
        <f>IFERROR(__xludf.DUMMYFUNCTION("""COMPUTED_VALUE"""),230.94)</f>
        <v>230.94</v>
      </c>
      <c r="S644" s="11">
        <f>IFERROR(__xludf.DUMMYFUNCTION("""COMPUTED_VALUE"""),43984.66666666667)</f>
        <v>43984.66667</v>
      </c>
      <c r="T644" s="9">
        <f>IFERROR(__xludf.DUMMYFUNCTION("""COMPUTED_VALUE"""),232.72)</f>
        <v>232.72</v>
      </c>
      <c r="V644" s="11">
        <f>IFERROR(__xludf.DUMMYFUNCTION("""COMPUTED_VALUE"""),43984.66666666667)</f>
        <v>43984.66667</v>
      </c>
      <c r="W644" s="9">
        <f>IFERROR(__xludf.DUMMYFUNCTION("""COMPUTED_VALUE"""),425.87)</f>
        <v>425.87</v>
      </c>
      <c r="X644" s="11">
        <f>IFERROR(__xludf.DUMMYFUNCTION("""COMPUTED_VALUE"""),43984.66666666667)</f>
        <v>43984.66667</v>
      </c>
      <c r="Y644" s="9">
        <f>IFERROR(__xludf.DUMMYFUNCTION("""COMPUTED_VALUE"""),427.31)</f>
        <v>427.31</v>
      </c>
      <c r="AA644" s="11">
        <f>IFERROR(__xludf.DUMMYFUNCTION("""COMPUTED_VALUE"""),43984.66666666667)</f>
        <v>43984.66667</v>
      </c>
      <c r="AB644" s="9">
        <f>IFERROR(__xludf.DUMMYFUNCTION("""COMPUTED_VALUE"""),2467.0)</f>
        <v>2467</v>
      </c>
      <c r="AC644" s="11">
        <f>IFERROR(__xludf.DUMMYFUNCTION("""COMPUTED_VALUE"""),43984.66666666667)</f>
        <v>43984.66667</v>
      </c>
      <c r="AD644" s="9">
        <f>IFERROR(__xludf.DUMMYFUNCTION("""COMPUTED_VALUE"""),2472.41)</f>
        <v>2472.41</v>
      </c>
    </row>
    <row r="645">
      <c r="B645" s="11">
        <f>IFERROR(__xludf.DUMMYFUNCTION("""COMPUTED_VALUE"""),43985.66666666667)</f>
        <v>43985.66667</v>
      </c>
      <c r="C645" s="9">
        <f>IFERROR(__xludf.DUMMYFUNCTION("""COMPUTED_VALUE"""),177.62)</f>
        <v>177.62</v>
      </c>
      <c r="D645" s="11">
        <f>IFERROR(__xludf.DUMMYFUNCTION("""COMPUTED_VALUE"""),43985.66666666667)</f>
        <v>43985.66667</v>
      </c>
      <c r="E645" s="9">
        <f>IFERROR(__xludf.DUMMYFUNCTION("""COMPUTED_VALUE"""),176.59)</f>
        <v>176.59</v>
      </c>
      <c r="G645" s="11">
        <f>IFERROR(__xludf.DUMMYFUNCTION("""COMPUTED_VALUE"""),43985.66666666667)</f>
        <v>43985.66667</v>
      </c>
      <c r="H645" s="9">
        <f>IFERROR(__xludf.DUMMYFUNCTION("""COMPUTED_VALUE"""),1438.3)</f>
        <v>1438.3</v>
      </c>
      <c r="I645" s="11">
        <f>IFERROR(__xludf.DUMMYFUNCTION("""COMPUTED_VALUE"""),43985.66666666667)</f>
        <v>43985.66667</v>
      </c>
      <c r="J645" s="9">
        <f>IFERROR(__xludf.DUMMYFUNCTION("""COMPUTED_VALUE"""),1436.38)</f>
        <v>1436.38</v>
      </c>
      <c r="L645" s="11">
        <f>IFERROR(__xludf.DUMMYFUNCTION("""COMPUTED_VALUE"""),43985.66666666667)</f>
        <v>43985.66667</v>
      </c>
      <c r="M645" s="9">
        <f>IFERROR(__xludf.DUMMYFUNCTION("""COMPUTED_VALUE"""),81.17)</f>
        <v>81.17</v>
      </c>
      <c r="N645" s="11">
        <f>IFERROR(__xludf.DUMMYFUNCTION("""COMPUTED_VALUE"""),43985.66666666667)</f>
        <v>43985.66667</v>
      </c>
      <c r="O645" s="9">
        <f>IFERROR(__xludf.DUMMYFUNCTION("""COMPUTED_VALUE"""),81.28)</f>
        <v>81.28</v>
      </c>
      <c r="Q645" s="11">
        <f>IFERROR(__xludf.DUMMYFUNCTION("""COMPUTED_VALUE"""),43985.66666666667)</f>
        <v>43985.66667</v>
      </c>
      <c r="R645" s="9">
        <f>IFERROR(__xludf.DUMMYFUNCTION("""COMPUTED_VALUE"""),232.11)</f>
        <v>232.11</v>
      </c>
      <c r="S645" s="11">
        <f>IFERROR(__xludf.DUMMYFUNCTION("""COMPUTED_VALUE"""),43985.66666666667)</f>
        <v>43985.66667</v>
      </c>
      <c r="T645" s="9">
        <f>IFERROR(__xludf.DUMMYFUNCTION("""COMPUTED_VALUE"""),230.16)</f>
        <v>230.16</v>
      </c>
      <c r="V645" s="11">
        <f>IFERROR(__xludf.DUMMYFUNCTION("""COMPUTED_VALUE"""),43985.66666666667)</f>
        <v>43985.66667</v>
      </c>
      <c r="W645" s="9">
        <f>IFERROR(__xludf.DUMMYFUNCTION("""COMPUTED_VALUE"""),426.95)</f>
        <v>426.95</v>
      </c>
      <c r="X645" s="11">
        <f>IFERROR(__xludf.DUMMYFUNCTION("""COMPUTED_VALUE"""),43985.66666666667)</f>
        <v>43985.66667</v>
      </c>
      <c r="Y645" s="9">
        <f>IFERROR(__xludf.DUMMYFUNCTION("""COMPUTED_VALUE"""),421.97)</f>
        <v>421.97</v>
      </c>
      <c r="AA645" s="11">
        <f>IFERROR(__xludf.DUMMYFUNCTION("""COMPUTED_VALUE"""),43985.66666666667)</f>
        <v>43985.66667</v>
      </c>
      <c r="AB645" s="9">
        <f>IFERROR(__xludf.DUMMYFUNCTION("""COMPUTED_VALUE"""),2468.01)</f>
        <v>2468.01</v>
      </c>
      <c r="AC645" s="11">
        <f>IFERROR(__xludf.DUMMYFUNCTION("""COMPUTED_VALUE"""),43985.66666666667)</f>
        <v>43985.66667</v>
      </c>
      <c r="AD645" s="9">
        <f>IFERROR(__xludf.DUMMYFUNCTION("""COMPUTED_VALUE"""),2478.4)</f>
        <v>2478.4</v>
      </c>
    </row>
    <row r="646">
      <c r="B646" s="11">
        <f>IFERROR(__xludf.DUMMYFUNCTION("""COMPUTED_VALUE"""),43986.66666666667)</f>
        <v>43986.66667</v>
      </c>
      <c r="C646" s="9">
        <f>IFERROR(__xludf.DUMMYFUNCTION("""COMPUTED_VALUE"""),177.98)</f>
        <v>177.98</v>
      </c>
      <c r="D646" s="11">
        <f>IFERROR(__xludf.DUMMYFUNCTION("""COMPUTED_VALUE"""),43986.66666666667)</f>
        <v>43986.66667</v>
      </c>
      <c r="E646" s="9">
        <f>IFERROR(__xludf.DUMMYFUNCTION("""COMPUTED_VALUE"""),172.88)</f>
        <v>172.88</v>
      </c>
      <c r="G646" s="11">
        <f>IFERROR(__xludf.DUMMYFUNCTION("""COMPUTED_VALUE"""),43986.66666666667)</f>
        <v>43986.66667</v>
      </c>
      <c r="H646" s="9">
        <f>IFERROR(__xludf.DUMMYFUNCTION("""COMPUTED_VALUE"""),1430.4)</f>
        <v>1430.4</v>
      </c>
      <c r="I646" s="11">
        <f>IFERROR(__xludf.DUMMYFUNCTION("""COMPUTED_VALUE"""),43986.66666666667)</f>
        <v>43986.66667</v>
      </c>
      <c r="J646" s="9">
        <f>IFERROR(__xludf.DUMMYFUNCTION("""COMPUTED_VALUE"""),1412.18)</f>
        <v>1412.18</v>
      </c>
      <c r="L646" s="11">
        <f>IFERROR(__xludf.DUMMYFUNCTION("""COMPUTED_VALUE"""),43986.66666666667)</f>
        <v>43986.66667</v>
      </c>
      <c r="M646" s="9">
        <f>IFERROR(__xludf.DUMMYFUNCTION("""COMPUTED_VALUE"""),81.1)</f>
        <v>81.1</v>
      </c>
      <c r="N646" s="11">
        <f>IFERROR(__xludf.DUMMYFUNCTION("""COMPUTED_VALUE"""),43986.66666666667)</f>
        <v>43986.66667</v>
      </c>
      <c r="O646" s="9">
        <f>IFERROR(__xludf.DUMMYFUNCTION("""COMPUTED_VALUE"""),80.58)</f>
        <v>80.58</v>
      </c>
      <c r="Q646" s="11">
        <f>IFERROR(__xludf.DUMMYFUNCTION("""COMPUTED_VALUE"""),43986.66666666667)</f>
        <v>43986.66667</v>
      </c>
      <c r="R646" s="9">
        <f>IFERROR(__xludf.DUMMYFUNCTION("""COMPUTED_VALUE"""),229.56)</f>
        <v>229.56</v>
      </c>
      <c r="S646" s="11">
        <f>IFERROR(__xludf.DUMMYFUNCTION("""COMPUTED_VALUE"""),43986.66666666667)</f>
        <v>43986.66667</v>
      </c>
      <c r="T646" s="9">
        <f>IFERROR(__xludf.DUMMYFUNCTION("""COMPUTED_VALUE"""),226.29)</f>
        <v>226.29</v>
      </c>
      <c r="V646" s="11">
        <f>IFERROR(__xludf.DUMMYFUNCTION("""COMPUTED_VALUE"""),43986.66666666667)</f>
        <v>43986.66667</v>
      </c>
      <c r="W646" s="9">
        <f>IFERROR(__xludf.DUMMYFUNCTION("""COMPUTED_VALUE"""),422.39)</f>
        <v>422.39</v>
      </c>
      <c r="X646" s="11">
        <f>IFERROR(__xludf.DUMMYFUNCTION("""COMPUTED_VALUE"""),43986.66666666667)</f>
        <v>43986.66667</v>
      </c>
      <c r="Y646" s="9">
        <f>IFERROR(__xludf.DUMMYFUNCTION("""COMPUTED_VALUE"""),414.33)</f>
        <v>414.33</v>
      </c>
      <c r="AA646" s="11">
        <f>IFERROR(__xludf.DUMMYFUNCTION("""COMPUTED_VALUE"""),43986.66666666667)</f>
        <v>43986.66667</v>
      </c>
      <c r="AB646" s="9">
        <f>IFERROR(__xludf.DUMMYFUNCTION("""COMPUTED_VALUE"""),2477.43)</f>
        <v>2477.43</v>
      </c>
      <c r="AC646" s="11">
        <f>IFERROR(__xludf.DUMMYFUNCTION("""COMPUTED_VALUE"""),43986.66666666667)</f>
        <v>43986.66667</v>
      </c>
      <c r="AD646" s="9">
        <f>IFERROR(__xludf.DUMMYFUNCTION("""COMPUTED_VALUE"""),2460.6)</f>
        <v>2460.6</v>
      </c>
    </row>
    <row r="647">
      <c r="B647" s="11">
        <f>IFERROR(__xludf.DUMMYFUNCTION("""COMPUTED_VALUE"""),43987.66666666667)</f>
        <v>43987.66667</v>
      </c>
      <c r="C647" s="9">
        <f>IFERROR(__xludf.DUMMYFUNCTION("""COMPUTED_VALUE"""),175.57)</f>
        <v>175.57</v>
      </c>
      <c r="D647" s="11">
        <f>IFERROR(__xludf.DUMMYFUNCTION("""COMPUTED_VALUE"""),43987.66666666667)</f>
        <v>43987.66667</v>
      </c>
      <c r="E647" s="9">
        <f>IFERROR(__xludf.DUMMYFUNCTION("""COMPUTED_VALUE"""),177.13)</f>
        <v>177.13</v>
      </c>
      <c r="G647" s="11">
        <f>IFERROR(__xludf.DUMMYFUNCTION("""COMPUTED_VALUE"""),43987.66666666667)</f>
        <v>43987.66667</v>
      </c>
      <c r="H647" s="9">
        <f>IFERROR(__xludf.DUMMYFUNCTION("""COMPUTED_VALUE"""),1413.17)</f>
        <v>1413.17</v>
      </c>
      <c r="I647" s="11">
        <f>IFERROR(__xludf.DUMMYFUNCTION("""COMPUTED_VALUE"""),43987.66666666667)</f>
        <v>43987.66667</v>
      </c>
      <c r="J647" s="9">
        <f>IFERROR(__xludf.DUMMYFUNCTION("""COMPUTED_VALUE"""),1438.39)</f>
        <v>1438.39</v>
      </c>
      <c r="L647" s="11">
        <f>IFERROR(__xludf.DUMMYFUNCTION("""COMPUTED_VALUE"""),43987.66666666667)</f>
        <v>43987.66667</v>
      </c>
      <c r="M647" s="9">
        <f>IFERROR(__xludf.DUMMYFUNCTION("""COMPUTED_VALUE"""),80.84)</f>
        <v>80.84</v>
      </c>
      <c r="N647" s="11">
        <f>IFERROR(__xludf.DUMMYFUNCTION("""COMPUTED_VALUE"""),43987.66666666667)</f>
        <v>43987.66667</v>
      </c>
      <c r="O647" s="9">
        <f>IFERROR(__xludf.DUMMYFUNCTION("""COMPUTED_VALUE"""),82.88)</f>
        <v>82.88</v>
      </c>
      <c r="Q647" s="11">
        <f>IFERROR(__xludf.DUMMYFUNCTION("""COMPUTED_VALUE"""),43987.66666666667)</f>
        <v>43987.66667</v>
      </c>
      <c r="R647" s="9">
        <f>IFERROR(__xludf.DUMMYFUNCTION("""COMPUTED_VALUE"""),226.71)</f>
        <v>226.71</v>
      </c>
      <c r="S647" s="11">
        <f>IFERROR(__xludf.DUMMYFUNCTION("""COMPUTED_VALUE"""),43987.66666666667)</f>
        <v>43987.66667</v>
      </c>
      <c r="T647" s="9">
        <f>IFERROR(__xludf.DUMMYFUNCTION("""COMPUTED_VALUE"""),230.77)</f>
        <v>230.77</v>
      </c>
      <c r="V647" s="11">
        <f>IFERROR(__xludf.DUMMYFUNCTION("""COMPUTED_VALUE"""),43987.66666666667)</f>
        <v>43987.66667</v>
      </c>
      <c r="W647" s="9">
        <f>IFERROR(__xludf.DUMMYFUNCTION("""COMPUTED_VALUE"""),407.29)</f>
        <v>407.29</v>
      </c>
      <c r="X647" s="11">
        <f>IFERROR(__xludf.DUMMYFUNCTION("""COMPUTED_VALUE"""),43987.66666666667)</f>
        <v>43987.66667</v>
      </c>
      <c r="Y647" s="9">
        <f>IFERROR(__xludf.DUMMYFUNCTION("""COMPUTED_VALUE"""),419.6)</f>
        <v>419.6</v>
      </c>
      <c r="AA647" s="11">
        <f>IFERROR(__xludf.DUMMYFUNCTION("""COMPUTED_VALUE"""),43987.66666666667)</f>
        <v>43987.66667</v>
      </c>
      <c r="AB647" s="9">
        <f>IFERROR(__xludf.DUMMYFUNCTION("""COMPUTED_VALUE"""),2444.51)</f>
        <v>2444.51</v>
      </c>
      <c r="AC647" s="11">
        <f>IFERROR(__xludf.DUMMYFUNCTION("""COMPUTED_VALUE"""),43987.66666666667)</f>
        <v>43987.66667</v>
      </c>
      <c r="AD647" s="9">
        <f>IFERROR(__xludf.DUMMYFUNCTION("""COMPUTED_VALUE"""),2483.0)</f>
        <v>2483</v>
      </c>
    </row>
    <row r="648">
      <c r="B648" s="11">
        <f>IFERROR(__xludf.DUMMYFUNCTION("""COMPUTED_VALUE"""),43990.66666666667)</f>
        <v>43990.66667</v>
      </c>
      <c r="C648" s="9">
        <f>IFERROR(__xludf.DUMMYFUNCTION("""COMPUTED_VALUE"""),183.8)</f>
        <v>183.8</v>
      </c>
      <c r="D648" s="11">
        <f>IFERROR(__xludf.DUMMYFUNCTION("""COMPUTED_VALUE"""),43990.66666666667)</f>
        <v>43990.66667</v>
      </c>
      <c r="E648" s="9">
        <f>IFERROR(__xludf.DUMMYFUNCTION("""COMPUTED_VALUE"""),189.98)</f>
        <v>189.98</v>
      </c>
      <c r="G648" s="11">
        <f>IFERROR(__xludf.DUMMYFUNCTION("""COMPUTED_VALUE"""),43990.66666666667)</f>
        <v>43990.66667</v>
      </c>
      <c r="H648" s="9">
        <f>IFERROR(__xludf.DUMMYFUNCTION("""COMPUTED_VALUE"""),1422.34)</f>
        <v>1422.34</v>
      </c>
      <c r="I648" s="11">
        <f>IFERROR(__xludf.DUMMYFUNCTION("""COMPUTED_VALUE"""),43990.66666666667)</f>
        <v>43990.66667</v>
      </c>
      <c r="J648" s="9">
        <f>IFERROR(__xludf.DUMMYFUNCTION("""COMPUTED_VALUE"""),1446.61)</f>
        <v>1446.61</v>
      </c>
      <c r="L648" s="11">
        <f>IFERROR(__xludf.DUMMYFUNCTION("""COMPUTED_VALUE"""),43990.66666666667)</f>
        <v>43990.66667</v>
      </c>
      <c r="M648" s="9">
        <f>IFERROR(__xludf.DUMMYFUNCTION("""COMPUTED_VALUE"""),82.56)</f>
        <v>82.56</v>
      </c>
      <c r="N648" s="11">
        <f>IFERROR(__xludf.DUMMYFUNCTION("""COMPUTED_VALUE"""),43990.66666666667)</f>
        <v>43990.66667</v>
      </c>
      <c r="O648" s="9">
        <f>IFERROR(__xludf.DUMMYFUNCTION("""COMPUTED_VALUE"""),83.37)</f>
        <v>83.37</v>
      </c>
      <c r="Q648" s="11">
        <f>IFERROR(__xludf.DUMMYFUNCTION("""COMPUTED_VALUE"""),43990.66666666667)</f>
        <v>43990.66667</v>
      </c>
      <c r="R648" s="9">
        <f>IFERROR(__xludf.DUMMYFUNCTION("""COMPUTED_VALUE"""),229.03)</f>
        <v>229.03</v>
      </c>
      <c r="S648" s="11">
        <f>IFERROR(__xludf.DUMMYFUNCTION("""COMPUTED_VALUE"""),43990.66666666667)</f>
        <v>43990.66667</v>
      </c>
      <c r="T648" s="9">
        <f>IFERROR(__xludf.DUMMYFUNCTION("""COMPUTED_VALUE"""),231.4)</f>
        <v>231.4</v>
      </c>
      <c r="V648" s="11">
        <f>IFERROR(__xludf.DUMMYFUNCTION("""COMPUTED_VALUE"""),43990.66666666667)</f>
        <v>43990.66667</v>
      </c>
      <c r="W648" s="9">
        <f>IFERROR(__xludf.DUMMYFUNCTION("""COMPUTED_VALUE"""),416.0)</f>
        <v>416</v>
      </c>
      <c r="X648" s="11">
        <f>IFERROR(__xludf.DUMMYFUNCTION("""COMPUTED_VALUE"""),43990.66666666667)</f>
        <v>43990.66667</v>
      </c>
      <c r="Y648" s="9">
        <f>IFERROR(__xludf.DUMMYFUNCTION("""COMPUTED_VALUE"""),419.49)</f>
        <v>419.49</v>
      </c>
      <c r="AA648" s="11">
        <f>IFERROR(__xludf.DUMMYFUNCTION("""COMPUTED_VALUE"""),43990.66666666667)</f>
        <v>43990.66667</v>
      </c>
      <c r="AB648" s="9">
        <f>IFERROR(__xludf.DUMMYFUNCTION("""COMPUTED_VALUE"""),2500.2)</f>
        <v>2500.2</v>
      </c>
      <c r="AC648" s="11">
        <f>IFERROR(__xludf.DUMMYFUNCTION("""COMPUTED_VALUE"""),43990.66666666667)</f>
        <v>43990.66667</v>
      </c>
      <c r="AD648" s="9">
        <f>IFERROR(__xludf.DUMMYFUNCTION("""COMPUTED_VALUE"""),2524.06)</f>
        <v>2524.06</v>
      </c>
    </row>
    <row r="649">
      <c r="B649" s="11">
        <f>IFERROR(__xludf.DUMMYFUNCTION("""COMPUTED_VALUE"""),43991.66666666667)</f>
        <v>43991.66667</v>
      </c>
      <c r="C649" s="9">
        <f>IFERROR(__xludf.DUMMYFUNCTION("""COMPUTED_VALUE"""),188.0)</f>
        <v>188</v>
      </c>
      <c r="D649" s="11">
        <f>IFERROR(__xludf.DUMMYFUNCTION("""COMPUTED_VALUE"""),43991.66666666667)</f>
        <v>43991.66667</v>
      </c>
      <c r="E649" s="9">
        <f>IFERROR(__xludf.DUMMYFUNCTION("""COMPUTED_VALUE"""),188.13)</f>
        <v>188.13</v>
      </c>
      <c r="G649" s="11">
        <f>IFERROR(__xludf.DUMMYFUNCTION("""COMPUTED_VALUE"""),43991.66666666667)</f>
        <v>43991.66667</v>
      </c>
      <c r="H649" s="9">
        <f>IFERROR(__xludf.DUMMYFUNCTION("""COMPUTED_VALUE"""),1445.36)</f>
        <v>1445.36</v>
      </c>
      <c r="I649" s="11">
        <f>IFERROR(__xludf.DUMMYFUNCTION("""COMPUTED_VALUE"""),43991.66666666667)</f>
        <v>43991.66667</v>
      </c>
      <c r="J649" s="9">
        <f>IFERROR(__xludf.DUMMYFUNCTION("""COMPUTED_VALUE"""),1456.16)</f>
        <v>1456.16</v>
      </c>
      <c r="L649" s="11">
        <f>IFERROR(__xludf.DUMMYFUNCTION("""COMPUTED_VALUE"""),43991.66666666667)</f>
        <v>43991.66667</v>
      </c>
      <c r="M649" s="9">
        <f>IFERROR(__xludf.DUMMYFUNCTION("""COMPUTED_VALUE"""),83.04)</f>
        <v>83.04</v>
      </c>
      <c r="N649" s="11">
        <f>IFERROR(__xludf.DUMMYFUNCTION("""COMPUTED_VALUE"""),43991.66666666667)</f>
        <v>43991.66667</v>
      </c>
      <c r="O649" s="9">
        <f>IFERROR(__xludf.DUMMYFUNCTION("""COMPUTED_VALUE"""),86.0)</f>
        <v>86</v>
      </c>
      <c r="Q649" s="11">
        <f>IFERROR(__xludf.DUMMYFUNCTION("""COMPUTED_VALUE"""),43991.66666666667)</f>
        <v>43991.66667</v>
      </c>
      <c r="R649" s="9">
        <f>IFERROR(__xludf.DUMMYFUNCTION("""COMPUTED_VALUE"""),231.52)</f>
        <v>231.52</v>
      </c>
      <c r="S649" s="11">
        <f>IFERROR(__xludf.DUMMYFUNCTION("""COMPUTED_VALUE"""),43991.66666666667)</f>
        <v>43991.66667</v>
      </c>
      <c r="T649" s="9">
        <f>IFERROR(__xludf.DUMMYFUNCTION("""COMPUTED_VALUE"""),238.67)</f>
        <v>238.67</v>
      </c>
      <c r="V649" s="11">
        <f>IFERROR(__xludf.DUMMYFUNCTION("""COMPUTED_VALUE"""),43991.66666666667)</f>
        <v>43991.66667</v>
      </c>
      <c r="W649" s="9">
        <f>IFERROR(__xludf.DUMMYFUNCTION("""COMPUTED_VALUE"""),421.65)</f>
        <v>421.65</v>
      </c>
      <c r="X649" s="11">
        <f>IFERROR(__xludf.DUMMYFUNCTION("""COMPUTED_VALUE"""),43991.66666666667)</f>
        <v>43991.66667</v>
      </c>
      <c r="Y649" s="9">
        <f>IFERROR(__xludf.DUMMYFUNCTION("""COMPUTED_VALUE"""),434.05)</f>
        <v>434.05</v>
      </c>
      <c r="AA649" s="11">
        <f>IFERROR(__xludf.DUMMYFUNCTION("""COMPUTED_VALUE"""),43991.66666666667)</f>
        <v>43991.66667</v>
      </c>
      <c r="AB649" s="9">
        <f>IFERROR(__xludf.DUMMYFUNCTION("""COMPUTED_VALUE"""),2529.44)</f>
        <v>2529.44</v>
      </c>
      <c r="AC649" s="11">
        <f>IFERROR(__xludf.DUMMYFUNCTION("""COMPUTED_VALUE"""),43991.66666666667)</f>
        <v>43991.66667</v>
      </c>
      <c r="AD649" s="9">
        <f>IFERROR(__xludf.DUMMYFUNCTION("""COMPUTED_VALUE"""),2600.86)</f>
        <v>2600.86</v>
      </c>
    </row>
    <row r="650">
      <c r="B650" s="11">
        <f>IFERROR(__xludf.DUMMYFUNCTION("""COMPUTED_VALUE"""),43992.66666666667)</f>
        <v>43992.66667</v>
      </c>
      <c r="C650" s="9">
        <f>IFERROR(__xludf.DUMMYFUNCTION("""COMPUTED_VALUE"""),198.38)</f>
        <v>198.38</v>
      </c>
      <c r="D650" s="11">
        <f>IFERROR(__xludf.DUMMYFUNCTION("""COMPUTED_VALUE"""),43992.66666666667)</f>
        <v>43992.66667</v>
      </c>
      <c r="E650" s="9">
        <f>IFERROR(__xludf.DUMMYFUNCTION("""COMPUTED_VALUE"""),205.01)</f>
        <v>205.01</v>
      </c>
      <c r="G650" s="11">
        <f>IFERROR(__xludf.DUMMYFUNCTION("""COMPUTED_VALUE"""),43992.66666666667)</f>
        <v>43992.66667</v>
      </c>
      <c r="H650" s="9">
        <f>IFERROR(__xludf.DUMMYFUNCTION("""COMPUTED_VALUE"""),1459.54)</f>
        <v>1459.54</v>
      </c>
      <c r="I650" s="11">
        <f>IFERROR(__xludf.DUMMYFUNCTION("""COMPUTED_VALUE"""),43992.66666666667)</f>
        <v>43992.66667</v>
      </c>
      <c r="J650" s="9">
        <f>IFERROR(__xludf.DUMMYFUNCTION("""COMPUTED_VALUE"""),1465.85)</f>
        <v>1465.85</v>
      </c>
      <c r="L650" s="11">
        <f>IFERROR(__xludf.DUMMYFUNCTION("""COMPUTED_VALUE"""),43992.66666666667)</f>
        <v>43992.66667</v>
      </c>
      <c r="M650" s="9">
        <f>IFERROR(__xludf.DUMMYFUNCTION("""COMPUTED_VALUE"""),86.98)</f>
        <v>86.98</v>
      </c>
      <c r="N650" s="11">
        <f>IFERROR(__xludf.DUMMYFUNCTION("""COMPUTED_VALUE"""),43992.66666666667)</f>
        <v>43992.66667</v>
      </c>
      <c r="O650" s="9">
        <f>IFERROR(__xludf.DUMMYFUNCTION("""COMPUTED_VALUE"""),88.21)</f>
        <v>88.21</v>
      </c>
      <c r="Q650" s="11">
        <f>IFERROR(__xludf.DUMMYFUNCTION("""COMPUTED_VALUE"""),43992.66666666667)</f>
        <v>43992.66667</v>
      </c>
      <c r="R650" s="9">
        <f>IFERROR(__xludf.DUMMYFUNCTION("""COMPUTED_VALUE"""),240.96)</f>
        <v>240.96</v>
      </c>
      <c r="S650" s="11">
        <f>IFERROR(__xludf.DUMMYFUNCTION("""COMPUTED_VALUE"""),43992.66666666667)</f>
        <v>43992.66667</v>
      </c>
      <c r="T650" s="9">
        <f>IFERROR(__xludf.DUMMYFUNCTION("""COMPUTED_VALUE"""),236.73)</f>
        <v>236.73</v>
      </c>
      <c r="V650" s="11">
        <f>IFERROR(__xludf.DUMMYFUNCTION("""COMPUTED_VALUE"""),43992.66666666667)</f>
        <v>43992.66667</v>
      </c>
      <c r="W650" s="9">
        <f>IFERROR(__xludf.DUMMYFUNCTION("""COMPUTED_VALUE"""),436.0)</f>
        <v>436</v>
      </c>
      <c r="X650" s="11">
        <f>IFERROR(__xludf.DUMMYFUNCTION("""COMPUTED_VALUE"""),43992.66666666667)</f>
        <v>43992.66667</v>
      </c>
      <c r="Y650" s="9">
        <f>IFERROR(__xludf.DUMMYFUNCTION("""COMPUTED_VALUE"""),434.48)</f>
        <v>434.48</v>
      </c>
      <c r="AA650" s="11">
        <f>IFERROR(__xludf.DUMMYFUNCTION("""COMPUTED_VALUE"""),43992.66666666667)</f>
        <v>43992.66667</v>
      </c>
      <c r="AB650" s="9">
        <f>IFERROR(__xludf.DUMMYFUNCTION("""COMPUTED_VALUE"""),2645.0)</f>
        <v>2645</v>
      </c>
      <c r="AC650" s="11">
        <f>IFERROR(__xludf.DUMMYFUNCTION("""COMPUTED_VALUE"""),43992.66666666667)</f>
        <v>43992.66667</v>
      </c>
      <c r="AD650" s="9">
        <f>IFERROR(__xludf.DUMMYFUNCTION("""COMPUTED_VALUE"""),2647.45)</f>
        <v>2647.45</v>
      </c>
    </row>
    <row r="651">
      <c r="B651" s="11">
        <f>IFERROR(__xludf.DUMMYFUNCTION("""COMPUTED_VALUE"""),43993.66666666667)</f>
        <v>43993.66667</v>
      </c>
      <c r="C651" s="9">
        <f>IFERROR(__xludf.DUMMYFUNCTION("""COMPUTED_VALUE"""),198.04)</f>
        <v>198.04</v>
      </c>
      <c r="D651" s="11">
        <f>IFERROR(__xludf.DUMMYFUNCTION("""COMPUTED_VALUE"""),43993.66666666667)</f>
        <v>43993.66667</v>
      </c>
      <c r="E651" s="9">
        <f>IFERROR(__xludf.DUMMYFUNCTION("""COMPUTED_VALUE"""),194.57)</f>
        <v>194.57</v>
      </c>
      <c r="G651" s="11">
        <f>IFERROR(__xludf.DUMMYFUNCTION("""COMPUTED_VALUE"""),43993.66666666667)</f>
        <v>43993.66667</v>
      </c>
      <c r="H651" s="9">
        <f>IFERROR(__xludf.DUMMYFUNCTION("""COMPUTED_VALUE"""),1442.48)</f>
        <v>1442.48</v>
      </c>
      <c r="I651" s="11">
        <f>IFERROR(__xludf.DUMMYFUNCTION("""COMPUTED_VALUE"""),43993.66666666667)</f>
        <v>43993.66667</v>
      </c>
      <c r="J651" s="9">
        <f>IFERROR(__xludf.DUMMYFUNCTION("""COMPUTED_VALUE"""),1403.84)</f>
        <v>1403.84</v>
      </c>
      <c r="L651" s="11">
        <f>IFERROR(__xludf.DUMMYFUNCTION("""COMPUTED_VALUE"""),43993.66666666667)</f>
        <v>43993.66667</v>
      </c>
      <c r="M651" s="9">
        <f>IFERROR(__xludf.DUMMYFUNCTION("""COMPUTED_VALUE"""),87.33)</f>
        <v>87.33</v>
      </c>
      <c r="N651" s="11">
        <f>IFERROR(__xludf.DUMMYFUNCTION("""COMPUTED_VALUE"""),43993.66666666667)</f>
        <v>43993.66667</v>
      </c>
      <c r="O651" s="9">
        <f>IFERROR(__xludf.DUMMYFUNCTION("""COMPUTED_VALUE"""),83.98)</f>
        <v>83.98</v>
      </c>
      <c r="Q651" s="11">
        <f>IFERROR(__xludf.DUMMYFUNCTION("""COMPUTED_VALUE"""),43993.66666666667)</f>
        <v>43993.66667</v>
      </c>
      <c r="R651" s="9">
        <f>IFERROR(__xludf.DUMMYFUNCTION("""COMPUTED_VALUE"""),229.94)</f>
        <v>229.94</v>
      </c>
      <c r="S651" s="11">
        <f>IFERROR(__xludf.DUMMYFUNCTION("""COMPUTED_VALUE"""),43993.66666666667)</f>
        <v>43993.66667</v>
      </c>
      <c r="T651" s="9">
        <f>IFERROR(__xludf.DUMMYFUNCTION("""COMPUTED_VALUE"""),224.43)</f>
        <v>224.43</v>
      </c>
      <c r="V651" s="11">
        <f>IFERROR(__xludf.DUMMYFUNCTION("""COMPUTED_VALUE"""),43993.66666666667)</f>
        <v>43993.66667</v>
      </c>
      <c r="W651" s="9">
        <f>IFERROR(__xludf.DUMMYFUNCTION("""COMPUTED_VALUE"""),428.2)</f>
        <v>428.2</v>
      </c>
      <c r="X651" s="11">
        <f>IFERROR(__xludf.DUMMYFUNCTION("""COMPUTED_VALUE"""),43993.66666666667)</f>
        <v>43993.66667</v>
      </c>
      <c r="Y651" s="9">
        <f>IFERROR(__xludf.DUMMYFUNCTION("""COMPUTED_VALUE"""),425.56)</f>
        <v>425.56</v>
      </c>
      <c r="AA651" s="11">
        <f>IFERROR(__xludf.DUMMYFUNCTION("""COMPUTED_VALUE"""),43993.66666666667)</f>
        <v>43993.66667</v>
      </c>
      <c r="AB651" s="9">
        <f>IFERROR(__xludf.DUMMYFUNCTION("""COMPUTED_VALUE"""),2603.5)</f>
        <v>2603.5</v>
      </c>
      <c r="AC651" s="11">
        <f>IFERROR(__xludf.DUMMYFUNCTION("""COMPUTED_VALUE"""),43993.66666666667)</f>
        <v>43993.66667</v>
      </c>
      <c r="AD651" s="9">
        <f>IFERROR(__xludf.DUMMYFUNCTION("""COMPUTED_VALUE"""),2557.96)</f>
        <v>2557.96</v>
      </c>
    </row>
    <row r="652">
      <c r="B652" s="11">
        <f>IFERROR(__xludf.DUMMYFUNCTION("""COMPUTED_VALUE"""),43994.66666666667)</f>
        <v>43994.66667</v>
      </c>
      <c r="C652" s="9">
        <f>IFERROR(__xludf.DUMMYFUNCTION("""COMPUTED_VALUE"""),196.0)</f>
        <v>196</v>
      </c>
      <c r="D652" s="11">
        <f>IFERROR(__xludf.DUMMYFUNCTION("""COMPUTED_VALUE"""),43994.66666666667)</f>
        <v>43994.66667</v>
      </c>
      <c r="E652" s="9">
        <f>IFERROR(__xludf.DUMMYFUNCTION("""COMPUTED_VALUE"""),187.06)</f>
        <v>187.06</v>
      </c>
      <c r="G652" s="11">
        <f>IFERROR(__xludf.DUMMYFUNCTION("""COMPUTED_VALUE"""),43994.66666666667)</f>
        <v>43994.66667</v>
      </c>
      <c r="H652" s="9">
        <f>IFERROR(__xludf.DUMMYFUNCTION("""COMPUTED_VALUE"""),1428.49)</f>
        <v>1428.49</v>
      </c>
      <c r="I652" s="11">
        <f>IFERROR(__xludf.DUMMYFUNCTION("""COMPUTED_VALUE"""),43994.66666666667)</f>
        <v>43994.66667</v>
      </c>
      <c r="J652" s="9">
        <f>IFERROR(__xludf.DUMMYFUNCTION("""COMPUTED_VALUE"""),1413.18)</f>
        <v>1413.18</v>
      </c>
      <c r="L652" s="11">
        <f>IFERROR(__xludf.DUMMYFUNCTION("""COMPUTED_VALUE"""),43994.66666666667)</f>
        <v>43994.66667</v>
      </c>
      <c r="M652" s="9">
        <f>IFERROR(__xludf.DUMMYFUNCTION("""COMPUTED_VALUE"""),86.18)</f>
        <v>86.18</v>
      </c>
      <c r="N652" s="11">
        <f>IFERROR(__xludf.DUMMYFUNCTION("""COMPUTED_VALUE"""),43994.66666666667)</f>
        <v>43994.66667</v>
      </c>
      <c r="O652" s="9">
        <f>IFERROR(__xludf.DUMMYFUNCTION("""COMPUTED_VALUE"""),84.7)</f>
        <v>84.7</v>
      </c>
      <c r="Q652" s="11">
        <f>IFERROR(__xludf.DUMMYFUNCTION("""COMPUTED_VALUE"""),43994.66666666667)</f>
        <v>43994.66667</v>
      </c>
      <c r="R652" s="9">
        <f>IFERROR(__xludf.DUMMYFUNCTION("""COMPUTED_VALUE"""),229.9)</f>
        <v>229.9</v>
      </c>
      <c r="S652" s="11">
        <f>IFERROR(__xludf.DUMMYFUNCTION("""COMPUTED_VALUE"""),43994.66666666667)</f>
        <v>43994.66667</v>
      </c>
      <c r="T652" s="9">
        <f>IFERROR(__xludf.DUMMYFUNCTION("""COMPUTED_VALUE"""),228.58)</f>
        <v>228.58</v>
      </c>
      <c r="V652" s="11">
        <f>IFERROR(__xludf.DUMMYFUNCTION("""COMPUTED_VALUE"""),43994.66666666667)</f>
        <v>43994.66667</v>
      </c>
      <c r="W652" s="9">
        <f>IFERROR(__xludf.DUMMYFUNCTION("""COMPUTED_VALUE"""),429.0)</f>
        <v>429</v>
      </c>
      <c r="X652" s="11">
        <f>IFERROR(__xludf.DUMMYFUNCTION("""COMPUTED_VALUE"""),43994.66666666667)</f>
        <v>43994.66667</v>
      </c>
      <c r="Y652" s="9">
        <f>IFERROR(__xludf.DUMMYFUNCTION("""COMPUTED_VALUE"""),418.07)</f>
        <v>418.07</v>
      </c>
      <c r="AA652" s="11">
        <f>IFERROR(__xludf.DUMMYFUNCTION("""COMPUTED_VALUE"""),43994.66666666667)</f>
        <v>43994.66667</v>
      </c>
      <c r="AB652" s="9">
        <f>IFERROR(__xludf.DUMMYFUNCTION("""COMPUTED_VALUE"""),2601.21)</f>
        <v>2601.21</v>
      </c>
      <c r="AC652" s="11">
        <f>IFERROR(__xludf.DUMMYFUNCTION("""COMPUTED_VALUE"""),43994.66666666667)</f>
        <v>43994.66667</v>
      </c>
      <c r="AD652" s="9">
        <f>IFERROR(__xludf.DUMMYFUNCTION("""COMPUTED_VALUE"""),2545.02)</f>
        <v>2545.02</v>
      </c>
    </row>
    <row r="653">
      <c r="B653" s="11">
        <f>IFERROR(__xludf.DUMMYFUNCTION("""COMPUTED_VALUE"""),43997.66666666667)</f>
        <v>43997.66667</v>
      </c>
      <c r="C653" s="9">
        <f>IFERROR(__xludf.DUMMYFUNCTION("""COMPUTED_VALUE"""),183.56)</f>
        <v>183.56</v>
      </c>
      <c r="D653" s="11">
        <f>IFERROR(__xludf.DUMMYFUNCTION("""COMPUTED_VALUE"""),43997.66666666667)</f>
        <v>43997.66667</v>
      </c>
      <c r="E653" s="9">
        <f>IFERROR(__xludf.DUMMYFUNCTION("""COMPUTED_VALUE"""),198.18)</f>
        <v>198.18</v>
      </c>
      <c r="G653" s="11">
        <f>IFERROR(__xludf.DUMMYFUNCTION("""COMPUTED_VALUE"""),43997.66666666667)</f>
        <v>43997.66667</v>
      </c>
      <c r="H653" s="9">
        <f>IFERROR(__xludf.DUMMYFUNCTION("""COMPUTED_VALUE"""),1390.8)</f>
        <v>1390.8</v>
      </c>
      <c r="I653" s="11">
        <f>IFERROR(__xludf.DUMMYFUNCTION("""COMPUTED_VALUE"""),43997.66666666667)</f>
        <v>43997.66667</v>
      </c>
      <c r="J653" s="9">
        <f>IFERROR(__xludf.DUMMYFUNCTION("""COMPUTED_VALUE"""),1419.85)</f>
        <v>1419.85</v>
      </c>
      <c r="L653" s="11">
        <f>IFERROR(__xludf.DUMMYFUNCTION("""COMPUTED_VALUE"""),43997.66666666667)</f>
        <v>43997.66667</v>
      </c>
      <c r="M653" s="9">
        <f>IFERROR(__xludf.DUMMYFUNCTION("""COMPUTED_VALUE"""),83.31)</f>
        <v>83.31</v>
      </c>
      <c r="N653" s="11">
        <f>IFERROR(__xludf.DUMMYFUNCTION("""COMPUTED_VALUE"""),43997.66666666667)</f>
        <v>43997.66667</v>
      </c>
      <c r="O653" s="9">
        <f>IFERROR(__xludf.DUMMYFUNCTION("""COMPUTED_VALUE"""),85.75)</f>
        <v>85.75</v>
      </c>
      <c r="Q653" s="11">
        <f>IFERROR(__xludf.DUMMYFUNCTION("""COMPUTED_VALUE"""),43997.66666666667)</f>
        <v>43997.66667</v>
      </c>
      <c r="R653" s="9">
        <f>IFERROR(__xludf.DUMMYFUNCTION("""COMPUTED_VALUE"""),225.09)</f>
        <v>225.09</v>
      </c>
      <c r="S653" s="11">
        <f>IFERROR(__xludf.DUMMYFUNCTION("""COMPUTED_VALUE"""),43997.66666666667)</f>
        <v>43997.66667</v>
      </c>
      <c r="T653" s="9">
        <f>IFERROR(__xludf.DUMMYFUNCTION("""COMPUTED_VALUE"""),232.5)</f>
        <v>232.5</v>
      </c>
      <c r="V653" s="11">
        <f>IFERROR(__xludf.DUMMYFUNCTION("""COMPUTED_VALUE"""),43997.66666666667)</f>
        <v>43997.66667</v>
      </c>
      <c r="W653" s="9">
        <f>IFERROR(__xludf.DUMMYFUNCTION("""COMPUTED_VALUE"""),421.4)</f>
        <v>421.4</v>
      </c>
      <c r="X653" s="11">
        <f>IFERROR(__xludf.DUMMYFUNCTION("""COMPUTED_VALUE"""),43997.66666666667)</f>
        <v>43997.66667</v>
      </c>
      <c r="Y653" s="9">
        <f>IFERROR(__xludf.DUMMYFUNCTION("""COMPUTED_VALUE"""),425.5)</f>
        <v>425.5</v>
      </c>
      <c r="AA653" s="11">
        <f>IFERROR(__xludf.DUMMYFUNCTION("""COMPUTED_VALUE"""),43997.66666666667)</f>
        <v>43997.66667</v>
      </c>
      <c r="AB653" s="9">
        <f>IFERROR(__xludf.DUMMYFUNCTION("""COMPUTED_VALUE"""),2526.6)</f>
        <v>2526.6</v>
      </c>
      <c r="AC653" s="11">
        <f>IFERROR(__xludf.DUMMYFUNCTION("""COMPUTED_VALUE"""),43997.66666666667)</f>
        <v>43997.66667</v>
      </c>
      <c r="AD653" s="9">
        <f>IFERROR(__xludf.DUMMYFUNCTION("""COMPUTED_VALUE"""),2572.68)</f>
        <v>2572.68</v>
      </c>
    </row>
    <row r="654">
      <c r="B654" s="11">
        <f>IFERROR(__xludf.DUMMYFUNCTION("""COMPUTED_VALUE"""),43998.66666666667)</f>
        <v>43998.66667</v>
      </c>
      <c r="C654" s="9">
        <f>IFERROR(__xludf.DUMMYFUNCTION("""COMPUTED_VALUE"""),202.37)</f>
        <v>202.37</v>
      </c>
      <c r="D654" s="11">
        <f>IFERROR(__xludf.DUMMYFUNCTION("""COMPUTED_VALUE"""),43998.66666666667)</f>
        <v>43998.66667</v>
      </c>
      <c r="E654" s="9">
        <f>IFERROR(__xludf.DUMMYFUNCTION("""COMPUTED_VALUE"""),196.43)</f>
        <v>196.43</v>
      </c>
      <c r="G654" s="11">
        <f>IFERROR(__xludf.DUMMYFUNCTION("""COMPUTED_VALUE"""),43998.66666666667)</f>
        <v>43998.66667</v>
      </c>
      <c r="H654" s="9">
        <f>IFERROR(__xludf.DUMMYFUNCTION("""COMPUTED_VALUE"""),1445.22)</f>
        <v>1445.22</v>
      </c>
      <c r="I654" s="11">
        <f>IFERROR(__xludf.DUMMYFUNCTION("""COMPUTED_VALUE"""),43998.66666666667)</f>
        <v>43998.66667</v>
      </c>
      <c r="J654" s="9">
        <f>IFERROR(__xludf.DUMMYFUNCTION("""COMPUTED_VALUE"""),1442.72)</f>
        <v>1442.72</v>
      </c>
      <c r="L654" s="11">
        <f>IFERROR(__xludf.DUMMYFUNCTION("""COMPUTED_VALUE"""),43998.66666666667)</f>
        <v>43998.66667</v>
      </c>
      <c r="M654" s="9">
        <f>IFERROR(__xludf.DUMMYFUNCTION("""COMPUTED_VALUE"""),87.87)</f>
        <v>87.87</v>
      </c>
      <c r="N654" s="11">
        <f>IFERROR(__xludf.DUMMYFUNCTION("""COMPUTED_VALUE"""),43998.66666666667)</f>
        <v>43998.66667</v>
      </c>
      <c r="O654" s="9">
        <f>IFERROR(__xludf.DUMMYFUNCTION("""COMPUTED_VALUE"""),88.02)</f>
        <v>88.02</v>
      </c>
      <c r="Q654" s="11">
        <f>IFERROR(__xludf.DUMMYFUNCTION("""COMPUTED_VALUE"""),43998.66666666667)</f>
        <v>43998.66667</v>
      </c>
      <c r="R654" s="9">
        <f>IFERROR(__xludf.DUMMYFUNCTION("""COMPUTED_VALUE"""),237.14)</f>
        <v>237.14</v>
      </c>
      <c r="S654" s="11">
        <f>IFERROR(__xludf.DUMMYFUNCTION("""COMPUTED_VALUE"""),43998.66666666667)</f>
        <v>43998.66667</v>
      </c>
      <c r="T654" s="9">
        <f>IFERROR(__xludf.DUMMYFUNCTION("""COMPUTED_VALUE"""),235.65)</f>
        <v>235.65</v>
      </c>
      <c r="V654" s="11">
        <f>IFERROR(__xludf.DUMMYFUNCTION("""COMPUTED_VALUE"""),43998.66666666667)</f>
        <v>43998.66667</v>
      </c>
      <c r="W654" s="9">
        <f>IFERROR(__xludf.DUMMYFUNCTION("""COMPUTED_VALUE"""),425.76)</f>
        <v>425.76</v>
      </c>
      <c r="X654" s="11">
        <f>IFERROR(__xludf.DUMMYFUNCTION("""COMPUTED_VALUE"""),43998.66666666667)</f>
        <v>43998.66667</v>
      </c>
      <c r="Y654" s="9">
        <f>IFERROR(__xludf.DUMMYFUNCTION("""COMPUTED_VALUE"""),436.13)</f>
        <v>436.13</v>
      </c>
      <c r="AA654" s="11">
        <f>IFERROR(__xludf.DUMMYFUNCTION("""COMPUTED_VALUE"""),43998.66666666667)</f>
        <v>43998.66667</v>
      </c>
      <c r="AB654" s="9">
        <f>IFERROR(__xludf.DUMMYFUNCTION("""COMPUTED_VALUE"""),2620.0)</f>
        <v>2620</v>
      </c>
      <c r="AC654" s="11">
        <f>IFERROR(__xludf.DUMMYFUNCTION("""COMPUTED_VALUE"""),43998.66666666667)</f>
        <v>43998.66667</v>
      </c>
      <c r="AD654" s="9">
        <f>IFERROR(__xludf.DUMMYFUNCTION("""COMPUTED_VALUE"""),2615.27)</f>
        <v>2615.27</v>
      </c>
    </row>
    <row r="655">
      <c r="B655" s="11">
        <f>IFERROR(__xludf.DUMMYFUNCTION("""COMPUTED_VALUE"""),43999.66666666667)</f>
        <v>43999.66667</v>
      </c>
      <c r="C655" s="9">
        <f>IFERROR(__xludf.DUMMYFUNCTION("""COMPUTED_VALUE"""),197.54)</f>
        <v>197.54</v>
      </c>
      <c r="D655" s="11">
        <f>IFERROR(__xludf.DUMMYFUNCTION("""COMPUTED_VALUE"""),43999.66666666667)</f>
        <v>43999.66667</v>
      </c>
      <c r="E655" s="9">
        <f>IFERROR(__xludf.DUMMYFUNCTION("""COMPUTED_VALUE"""),198.36)</f>
        <v>198.36</v>
      </c>
      <c r="G655" s="11">
        <f>IFERROR(__xludf.DUMMYFUNCTION("""COMPUTED_VALUE"""),43999.66666666667)</f>
        <v>43999.66667</v>
      </c>
      <c r="H655" s="9">
        <f>IFERROR(__xludf.DUMMYFUNCTION("""COMPUTED_VALUE"""),1447.16)</f>
        <v>1447.16</v>
      </c>
      <c r="I655" s="11">
        <f>IFERROR(__xludf.DUMMYFUNCTION("""COMPUTED_VALUE"""),43999.66666666667)</f>
        <v>43999.66667</v>
      </c>
      <c r="J655" s="9">
        <f>IFERROR(__xludf.DUMMYFUNCTION("""COMPUTED_VALUE"""),1451.12)</f>
        <v>1451.12</v>
      </c>
      <c r="L655" s="11">
        <f>IFERROR(__xludf.DUMMYFUNCTION("""COMPUTED_VALUE"""),43999.66666666667)</f>
        <v>43999.66667</v>
      </c>
      <c r="M655" s="9">
        <f>IFERROR(__xludf.DUMMYFUNCTION("""COMPUTED_VALUE"""),88.79)</f>
        <v>88.79</v>
      </c>
      <c r="N655" s="11">
        <f>IFERROR(__xludf.DUMMYFUNCTION("""COMPUTED_VALUE"""),43999.66666666667)</f>
        <v>43999.66667</v>
      </c>
      <c r="O655" s="9">
        <f>IFERROR(__xludf.DUMMYFUNCTION("""COMPUTED_VALUE"""),87.9)</f>
        <v>87.9</v>
      </c>
      <c r="Q655" s="11">
        <f>IFERROR(__xludf.DUMMYFUNCTION("""COMPUTED_VALUE"""),43999.66666666667)</f>
        <v>43999.66667</v>
      </c>
      <c r="R655" s="9">
        <f>IFERROR(__xludf.DUMMYFUNCTION("""COMPUTED_VALUE"""),235.0)</f>
        <v>235</v>
      </c>
      <c r="S655" s="11">
        <f>IFERROR(__xludf.DUMMYFUNCTION("""COMPUTED_VALUE"""),43999.66666666667)</f>
        <v>43999.66667</v>
      </c>
      <c r="T655" s="9">
        <f>IFERROR(__xludf.DUMMYFUNCTION("""COMPUTED_VALUE"""),235.53)</f>
        <v>235.53</v>
      </c>
      <c r="V655" s="11">
        <f>IFERROR(__xludf.DUMMYFUNCTION("""COMPUTED_VALUE"""),43999.66666666667)</f>
        <v>43999.66667</v>
      </c>
      <c r="W655" s="9">
        <f>IFERROR(__xludf.DUMMYFUNCTION("""COMPUTED_VALUE"""),441.82)</f>
        <v>441.82</v>
      </c>
      <c r="X655" s="11">
        <f>IFERROR(__xludf.DUMMYFUNCTION("""COMPUTED_VALUE"""),43999.66666666667)</f>
        <v>43999.66667</v>
      </c>
      <c r="Y655" s="9">
        <f>IFERROR(__xludf.DUMMYFUNCTION("""COMPUTED_VALUE"""),447.77)</f>
        <v>447.77</v>
      </c>
      <c r="AA655" s="11">
        <f>IFERROR(__xludf.DUMMYFUNCTION("""COMPUTED_VALUE"""),43999.66666666667)</f>
        <v>43999.66667</v>
      </c>
      <c r="AB655" s="9">
        <f>IFERROR(__xludf.DUMMYFUNCTION("""COMPUTED_VALUE"""),2647.5)</f>
        <v>2647.5</v>
      </c>
      <c r="AC655" s="11">
        <f>IFERROR(__xludf.DUMMYFUNCTION("""COMPUTED_VALUE"""),43999.66666666667)</f>
        <v>43999.66667</v>
      </c>
      <c r="AD655" s="9">
        <f>IFERROR(__xludf.DUMMYFUNCTION("""COMPUTED_VALUE"""),2640.98)</f>
        <v>2640.98</v>
      </c>
    </row>
    <row r="656">
      <c r="B656" s="11">
        <f>IFERROR(__xludf.DUMMYFUNCTION("""COMPUTED_VALUE"""),44000.66666666667)</f>
        <v>44000.66667</v>
      </c>
      <c r="C656" s="9">
        <f>IFERROR(__xludf.DUMMYFUNCTION("""COMPUTED_VALUE"""),200.6)</f>
        <v>200.6</v>
      </c>
      <c r="D656" s="11">
        <f>IFERROR(__xludf.DUMMYFUNCTION("""COMPUTED_VALUE"""),44000.66666666667)</f>
        <v>44000.66667</v>
      </c>
      <c r="E656" s="9">
        <f>IFERROR(__xludf.DUMMYFUNCTION("""COMPUTED_VALUE"""),200.79)</f>
        <v>200.79</v>
      </c>
      <c r="G656" s="11">
        <f>IFERROR(__xludf.DUMMYFUNCTION("""COMPUTED_VALUE"""),44000.66666666667)</f>
        <v>44000.66667</v>
      </c>
      <c r="H656" s="9">
        <f>IFERROR(__xludf.DUMMYFUNCTION("""COMPUTED_VALUE"""),1449.16)</f>
        <v>1449.16</v>
      </c>
      <c r="I656" s="11">
        <f>IFERROR(__xludf.DUMMYFUNCTION("""COMPUTED_VALUE"""),44000.66666666667)</f>
        <v>44000.66667</v>
      </c>
      <c r="J656" s="9">
        <f>IFERROR(__xludf.DUMMYFUNCTION("""COMPUTED_VALUE"""),1435.96)</f>
        <v>1435.96</v>
      </c>
      <c r="L656" s="11">
        <f>IFERROR(__xludf.DUMMYFUNCTION("""COMPUTED_VALUE"""),44000.66666666667)</f>
        <v>44000.66667</v>
      </c>
      <c r="M656" s="9">
        <f>IFERROR(__xludf.DUMMYFUNCTION("""COMPUTED_VALUE"""),87.85)</f>
        <v>87.85</v>
      </c>
      <c r="N656" s="11">
        <f>IFERROR(__xludf.DUMMYFUNCTION("""COMPUTED_VALUE"""),44000.66666666667)</f>
        <v>44000.66667</v>
      </c>
      <c r="O656" s="9">
        <f>IFERROR(__xludf.DUMMYFUNCTION("""COMPUTED_VALUE"""),87.93)</f>
        <v>87.93</v>
      </c>
      <c r="Q656" s="11">
        <f>IFERROR(__xludf.DUMMYFUNCTION("""COMPUTED_VALUE"""),44000.66666666667)</f>
        <v>44000.66667</v>
      </c>
      <c r="R656" s="9">
        <f>IFERROR(__xludf.DUMMYFUNCTION("""COMPUTED_VALUE"""),234.99)</f>
        <v>234.99</v>
      </c>
      <c r="S656" s="11">
        <f>IFERROR(__xludf.DUMMYFUNCTION("""COMPUTED_VALUE"""),44000.66666666667)</f>
        <v>44000.66667</v>
      </c>
      <c r="T656" s="9">
        <f>IFERROR(__xludf.DUMMYFUNCTION("""COMPUTED_VALUE"""),235.94)</f>
        <v>235.94</v>
      </c>
      <c r="V656" s="11">
        <f>IFERROR(__xludf.DUMMYFUNCTION("""COMPUTED_VALUE"""),44000.66666666667)</f>
        <v>44000.66667</v>
      </c>
      <c r="W656" s="9">
        <f>IFERROR(__xludf.DUMMYFUNCTION("""COMPUTED_VALUE"""),448.73)</f>
        <v>448.73</v>
      </c>
      <c r="X656" s="11">
        <f>IFERROR(__xludf.DUMMYFUNCTION("""COMPUTED_VALUE"""),44000.66666666667)</f>
        <v>44000.66667</v>
      </c>
      <c r="Y656" s="9">
        <f>IFERROR(__xludf.DUMMYFUNCTION("""COMPUTED_VALUE"""),449.87)</f>
        <v>449.87</v>
      </c>
      <c r="AA656" s="11">
        <f>IFERROR(__xludf.DUMMYFUNCTION("""COMPUTED_VALUE"""),44000.66666666667)</f>
        <v>44000.66667</v>
      </c>
      <c r="AB656" s="9">
        <f>IFERROR(__xludf.DUMMYFUNCTION("""COMPUTED_VALUE"""),2647.01)</f>
        <v>2647.01</v>
      </c>
      <c r="AC656" s="11">
        <f>IFERROR(__xludf.DUMMYFUNCTION("""COMPUTED_VALUE"""),44000.66666666667)</f>
        <v>44000.66667</v>
      </c>
      <c r="AD656" s="9">
        <f>IFERROR(__xludf.DUMMYFUNCTION("""COMPUTED_VALUE"""),2653.98)</f>
        <v>2653.98</v>
      </c>
    </row>
    <row r="657">
      <c r="B657" s="11">
        <f>IFERROR(__xludf.DUMMYFUNCTION("""COMPUTED_VALUE"""),44001.66666666667)</f>
        <v>44001.66667</v>
      </c>
      <c r="C657" s="9">
        <f>IFERROR(__xludf.DUMMYFUNCTION("""COMPUTED_VALUE"""),202.56)</f>
        <v>202.56</v>
      </c>
      <c r="D657" s="11">
        <f>IFERROR(__xludf.DUMMYFUNCTION("""COMPUTED_VALUE"""),44001.66666666667)</f>
        <v>44001.66667</v>
      </c>
      <c r="E657" s="9">
        <f>IFERROR(__xludf.DUMMYFUNCTION("""COMPUTED_VALUE"""),200.18)</f>
        <v>200.18</v>
      </c>
      <c r="G657" s="11">
        <f>IFERROR(__xludf.DUMMYFUNCTION("""COMPUTED_VALUE"""),44001.66666666667)</f>
        <v>44001.66667</v>
      </c>
      <c r="H657" s="9">
        <f>IFERROR(__xludf.DUMMYFUNCTION("""COMPUTED_VALUE"""),1444.0)</f>
        <v>1444</v>
      </c>
      <c r="I657" s="11">
        <f>IFERROR(__xludf.DUMMYFUNCTION("""COMPUTED_VALUE"""),44001.66666666667)</f>
        <v>44001.66667</v>
      </c>
      <c r="J657" s="9">
        <f>IFERROR(__xludf.DUMMYFUNCTION("""COMPUTED_VALUE"""),1431.72)</f>
        <v>1431.72</v>
      </c>
      <c r="L657" s="11">
        <f>IFERROR(__xludf.DUMMYFUNCTION("""COMPUTED_VALUE"""),44001.66666666667)</f>
        <v>44001.66667</v>
      </c>
      <c r="M657" s="9">
        <f>IFERROR(__xludf.DUMMYFUNCTION("""COMPUTED_VALUE"""),88.66)</f>
        <v>88.66</v>
      </c>
      <c r="N657" s="11">
        <f>IFERROR(__xludf.DUMMYFUNCTION("""COMPUTED_VALUE"""),44001.66666666667)</f>
        <v>44001.66667</v>
      </c>
      <c r="O657" s="9">
        <f>IFERROR(__xludf.DUMMYFUNCTION("""COMPUTED_VALUE"""),87.43)</f>
        <v>87.43</v>
      </c>
      <c r="Q657" s="11">
        <f>IFERROR(__xludf.DUMMYFUNCTION("""COMPUTED_VALUE"""),44001.66666666667)</f>
        <v>44001.66667</v>
      </c>
      <c r="R657" s="9">
        <f>IFERROR(__xludf.DUMMYFUNCTION("""COMPUTED_VALUE"""),237.79)</f>
        <v>237.79</v>
      </c>
      <c r="S657" s="11">
        <f>IFERROR(__xludf.DUMMYFUNCTION("""COMPUTED_VALUE"""),44001.66666666667)</f>
        <v>44001.66667</v>
      </c>
      <c r="T657" s="9">
        <f>IFERROR(__xludf.DUMMYFUNCTION("""COMPUTED_VALUE"""),238.79)</f>
        <v>238.79</v>
      </c>
      <c r="V657" s="11">
        <f>IFERROR(__xludf.DUMMYFUNCTION("""COMPUTED_VALUE"""),44001.66666666667)</f>
        <v>44001.66667</v>
      </c>
      <c r="W657" s="9">
        <f>IFERROR(__xludf.DUMMYFUNCTION("""COMPUTED_VALUE"""),449.12)</f>
        <v>449.12</v>
      </c>
      <c r="X657" s="11">
        <f>IFERROR(__xludf.DUMMYFUNCTION("""COMPUTED_VALUE"""),44001.66666666667)</f>
        <v>44001.66667</v>
      </c>
      <c r="Y657" s="9">
        <f>IFERROR(__xludf.DUMMYFUNCTION("""COMPUTED_VALUE"""),453.72)</f>
        <v>453.72</v>
      </c>
      <c r="AA657" s="11">
        <f>IFERROR(__xludf.DUMMYFUNCTION("""COMPUTED_VALUE"""),44001.66666666667)</f>
        <v>44001.66667</v>
      </c>
      <c r="AB657" s="9">
        <f>IFERROR(__xludf.DUMMYFUNCTION("""COMPUTED_VALUE"""),2678.08)</f>
        <v>2678.08</v>
      </c>
      <c r="AC657" s="11">
        <f>IFERROR(__xludf.DUMMYFUNCTION("""COMPUTED_VALUE"""),44001.66666666667)</f>
        <v>44001.66667</v>
      </c>
      <c r="AD657" s="9">
        <f>IFERROR(__xludf.DUMMYFUNCTION("""COMPUTED_VALUE"""),2675.01)</f>
        <v>2675.01</v>
      </c>
    </row>
    <row r="658">
      <c r="B658" s="11">
        <f>IFERROR(__xludf.DUMMYFUNCTION("""COMPUTED_VALUE"""),44004.66666666667)</f>
        <v>44004.66667</v>
      </c>
      <c r="C658" s="9">
        <f>IFERROR(__xludf.DUMMYFUNCTION("""COMPUTED_VALUE"""),199.99)</f>
        <v>199.99</v>
      </c>
      <c r="D658" s="11">
        <f>IFERROR(__xludf.DUMMYFUNCTION("""COMPUTED_VALUE"""),44004.66666666667)</f>
        <v>44004.66667</v>
      </c>
      <c r="E658" s="9">
        <f>IFERROR(__xludf.DUMMYFUNCTION("""COMPUTED_VALUE"""),198.86)</f>
        <v>198.86</v>
      </c>
      <c r="G658" s="11">
        <f>IFERROR(__xludf.DUMMYFUNCTION("""COMPUTED_VALUE"""),44004.66666666667)</f>
        <v>44004.66667</v>
      </c>
      <c r="H658" s="9">
        <f>IFERROR(__xludf.DUMMYFUNCTION("""COMPUTED_VALUE"""),1429.0)</f>
        <v>1429</v>
      </c>
      <c r="I658" s="11">
        <f>IFERROR(__xludf.DUMMYFUNCTION("""COMPUTED_VALUE"""),44004.66666666667)</f>
        <v>44004.66667</v>
      </c>
      <c r="J658" s="9">
        <f>IFERROR(__xludf.DUMMYFUNCTION("""COMPUTED_VALUE"""),1451.86)</f>
        <v>1451.86</v>
      </c>
      <c r="L658" s="11">
        <f>IFERROR(__xludf.DUMMYFUNCTION("""COMPUTED_VALUE"""),44004.66666666667)</f>
        <v>44004.66667</v>
      </c>
      <c r="M658" s="9">
        <f>IFERROR(__xludf.DUMMYFUNCTION("""COMPUTED_VALUE"""),87.84)</f>
        <v>87.84</v>
      </c>
      <c r="N658" s="11">
        <f>IFERROR(__xludf.DUMMYFUNCTION("""COMPUTED_VALUE"""),44004.66666666667)</f>
        <v>44004.66667</v>
      </c>
      <c r="O658" s="9">
        <f>IFERROR(__xludf.DUMMYFUNCTION("""COMPUTED_VALUE"""),89.72)</f>
        <v>89.72</v>
      </c>
      <c r="Q658" s="11">
        <f>IFERROR(__xludf.DUMMYFUNCTION("""COMPUTED_VALUE"""),44004.66666666667)</f>
        <v>44004.66667</v>
      </c>
      <c r="R658" s="9">
        <f>IFERROR(__xludf.DUMMYFUNCTION("""COMPUTED_VALUE"""),238.56)</f>
        <v>238.56</v>
      </c>
      <c r="S658" s="11">
        <f>IFERROR(__xludf.DUMMYFUNCTION("""COMPUTED_VALUE"""),44004.66666666667)</f>
        <v>44004.66667</v>
      </c>
      <c r="T658" s="9">
        <f>IFERROR(__xludf.DUMMYFUNCTION("""COMPUTED_VALUE"""),239.22)</f>
        <v>239.22</v>
      </c>
      <c r="V658" s="11">
        <f>IFERROR(__xludf.DUMMYFUNCTION("""COMPUTED_VALUE"""),44004.66666666667)</f>
        <v>44004.66667</v>
      </c>
      <c r="W658" s="9">
        <f>IFERROR(__xludf.DUMMYFUNCTION("""COMPUTED_VALUE"""),455.01)</f>
        <v>455.01</v>
      </c>
      <c r="X658" s="11">
        <f>IFERROR(__xludf.DUMMYFUNCTION("""COMPUTED_VALUE"""),44004.66666666667)</f>
        <v>44004.66667</v>
      </c>
      <c r="Y658" s="9">
        <f>IFERROR(__xludf.DUMMYFUNCTION("""COMPUTED_VALUE"""),468.04)</f>
        <v>468.04</v>
      </c>
      <c r="AA658" s="11">
        <f>IFERROR(__xludf.DUMMYFUNCTION("""COMPUTED_VALUE"""),44004.66666666667)</f>
        <v>44004.66667</v>
      </c>
      <c r="AB658" s="9">
        <f>IFERROR(__xludf.DUMMYFUNCTION("""COMPUTED_VALUE"""),2684.5)</f>
        <v>2684.5</v>
      </c>
      <c r="AC658" s="11">
        <f>IFERROR(__xludf.DUMMYFUNCTION("""COMPUTED_VALUE"""),44004.66666666667)</f>
        <v>44004.66667</v>
      </c>
      <c r="AD658" s="9">
        <f>IFERROR(__xludf.DUMMYFUNCTION("""COMPUTED_VALUE"""),2713.82)</f>
        <v>2713.82</v>
      </c>
    </row>
    <row r="659">
      <c r="B659" s="11">
        <f>IFERROR(__xludf.DUMMYFUNCTION("""COMPUTED_VALUE"""),44005.66666666667)</f>
        <v>44005.66667</v>
      </c>
      <c r="C659" s="9">
        <f>IFERROR(__xludf.DUMMYFUNCTION("""COMPUTED_VALUE"""),199.78)</f>
        <v>199.78</v>
      </c>
      <c r="D659" s="11">
        <f>IFERROR(__xludf.DUMMYFUNCTION("""COMPUTED_VALUE"""),44005.66666666667)</f>
        <v>44005.66667</v>
      </c>
      <c r="E659" s="9">
        <f>IFERROR(__xludf.DUMMYFUNCTION("""COMPUTED_VALUE"""),200.36)</f>
        <v>200.36</v>
      </c>
      <c r="G659" s="11">
        <f>IFERROR(__xludf.DUMMYFUNCTION("""COMPUTED_VALUE"""),44005.66666666667)</f>
        <v>44005.66667</v>
      </c>
      <c r="H659" s="9">
        <f>IFERROR(__xludf.DUMMYFUNCTION("""COMPUTED_VALUE"""),1455.64)</f>
        <v>1455.64</v>
      </c>
      <c r="I659" s="11">
        <f>IFERROR(__xludf.DUMMYFUNCTION("""COMPUTED_VALUE"""),44005.66666666667)</f>
        <v>44005.66667</v>
      </c>
      <c r="J659" s="9">
        <f>IFERROR(__xludf.DUMMYFUNCTION("""COMPUTED_VALUE"""),1464.41)</f>
        <v>1464.41</v>
      </c>
      <c r="L659" s="11">
        <f>IFERROR(__xludf.DUMMYFUNCTION("""COMPUTED_VALUE"""),44005.66666666667)</f>
        <v>44005.66667</v>
      </c>
      <c r="M659" s="9">
        <f>IFERROR(__xludf.DUMMYFUNCTION("""COMPUTED_VALUE"""),91.0)</f>
        <v>91</v>
      </c>
      <c r="N659" s="11">
        <f>IFERROR(__xludf.DUMMYFUNCTION("""COMPUTED_VALUE"""),44005.66666666667)</f>
        <v>44005.66667</v>
      </c>
      <c r="O659" s="9">
        <f>IFERROR(__xludf.DUMMYFUNCTION("""COMPUTED_VALUE"""),91.63)</f>
        <v>91.63</v>
      </c>
      <c r="Q659" s="11">
        <f>IFERROR(__xludf.DUMMYFUNCTION("""COMPUTED_VALUE"""),44005.66666666667)</f>
        <v>44005.66667</v>
      </c>
      <c r="R659" s="9">
        <f>IFERROR(__xludf.DUMMYFUNCTION("""COMPUTED_VALUE"""),241.28)</f>
        <v>241.28</v>
      </c>
      <c r="S659" s="11">
        <f>IFERROR(__xludf.DUMMYFUNCTION("""COMPUTED_VALUE"""),44005.66666666667)</f>
        <v>44005.66667</v>
      </c>
      <c r="T659" s="9">
        <f>IFERROR(__xludf.DUMMYFUNCTION("""COMPUTED_VALUE"""),242.24)</f>
        <v>242.24</v>
      </c>
      <c r="V659" s="11">
        <f>IFERROR(__xludf.DUMMYFUNCTION("""COMPUTED_VALUE"""),44005.66666666667)</f>
        <v>44005.66667</v>
      </c>
      <c r="W659" s="9">
        <f>IFERROR(__xludf.DUMMYFUNCTION("""COMPUTED_VALUE"""),466.5)</f>
        <v>466.5</v>
      </c>
      <c r="X659" s="11">
        <f>IFERROR(__xludf.DUMMYFUNCTION("""COMPUTED_VALUE"""),44005.66666666667)</f>
        <v>44005.66667</v>
      </c>
      <c r="Y659" s="9">
        <f>IFERROR(__xludf.DUMMYFUNCTION("""COMPUTED_VALUE"""),466.26)</f>
        <v>466.26</v>
      </c>
      <c r="AA659" s="11">
        <f>IFERROR(__xludf.DUMMYFUNCTION("""COMPUTED_VALUE"""),44005.66666666667)</f>
        <v>44005.66667</v>
      </c>
      <c r="AB659" s="9">
        <f>IFERROR(__xludf.DUMMYFUNCTION("""COMPUTED_VALUE"""),2726.02)</f>
        <v>2726.02</v>
      </c>
      <c r="AC659" s="11">
        <f>IFERROR(__xludf.DUMMYFUNCTION("""COMPUTED_VALUE"""),44005.66666666667)</f>
        <v>44005.66667</v>
      </c>
      <c r="AD659" s="9">
        <f>IFERROR(__xludf.DUMMYFUNCTION("""COMPUTED_VALUE"""),2764.41)</f>
        <v>2764.41</v>
      </c>
    </row>
    <row r="660">
      <c r="B660" s="11">
        <f>IFERROR(__xludf.DUMMYFUNCTION("""COMPUTED_VALUE"""),44006.66666666667)</f>
        <v>44006.66667</v>
      </c>
      <c r="C660" s="9">
        <f>IFERROR(__xludf.DUMMYFUNCTION("""COMPUTED_VALUE"""),198.82)</f>
        <v>198.82</v>
      </c>
      <c r="D660" s="11">
        <f>IFERROR(__xludf.DUMMYFUNCTION("""COMPUTED_VALUE"""),44006.66666666667)</f>
        <v>44006.66667</v>
      </c>
      <c r="E660" s="9">
        <f>IFERROR(__xludf.DUMMYFUNCTION("""COMPUTED_VALUE"""),192.17)</f>
        <v>192.17</v>
      </c>
      <c r="G660" s="11">
        <f>IFERROR(__xludf.DUMMYFUNCTION("""COMPUTED_VALUE"""),44006.66666666667)</f>
        <v>44006.66667</v>
      </c>
      <c r="H660" s="9">
        <f>IFERROR(__xludf.DUMMYFUNCTION("""COMPUTED_VALUE"""),1461.51)</f>
        <v>1461.51</v>
      </c>
      <c r="I660" s="11">
        <f>IFERROR(__xludf.DUMMYFUNCTION("""COMPUTED_VALUE"""),44006.66666666667)</f>
        <v>44006.66667</v>
      </c>
      <c r="J660" s="9">
        <f>IFERROR(__xludf.DUMMYFUNCTION("""COMPUTED_VALUE"""),1431.97)</f>
        <v>1431.97</v>
      </c>
      <c r="L660" s="11">
        <f>IFERROR(__xludf.DUMMYFUNCTION("""COMPUTED_VALUE"""),44006.66666666667)</f>
        <v>44006.66667</v>
      </c>
      <c r="M660" s="9">
        <f>IFERROR(__xludf.DUMMYFUNCTION("""COMPUTED_VALUE"""),91.25)</f>
        <v>91.25</v>
      </c>
      <c r="N660" s="11">
        <f>IFERROR(__xludf.DUMMYFUNCTION("""COMPUTED_VALUE"""),44006.66666666667)</f>
        <v>44006.66667</v>
      </c>
      <c r="O660" s="9">
        <f>IFERROR(__xludf.DUMMYFUNCTION("""COMPUTED_VALUE"""),90.02)</f>
        <v>90.02</v>
      </c>
      <c r="Q660" s="11">
        <f>IFERROR(__xludf.DUMMYFUNCTION("""COMPUTED_VALUE"""),44006.66666666667)</f>
        <v>44006.66667</v>
      </c>
      <c r="R660" s="9">
        <f>IFERROR(__xludf.DUMMYFUNCTION("""COMPUTED_VALUE"""),241.2)</f>
        <v>241.2</v>
      </c>
      <c r="S660" s="11">
        <f>IFERROR(__xludf.DUMMYFUNCTION("""COMPUTED_VALUE"""),44006.66666666667)</f>
        <v>44006.66667</v>
      </c>
      <c r="T660" s="9">
        <f>IFERROR(__xludf.DUMMYFUNCTION("""COMPUTED_VALUE"""),234.02)</f>
        <v>234.02</v>
      </c>
      <c r="V660" s="11">
        <f>IFERROR(__xludf.DUMMYFUNCTION("""COMPUTED_VALUE"""),44006.66666666667)</f>
        <v>44006.66667</v>
      </c>
      <c r="W660" s="9">
        <f>IFERROR(__xludf.DUMMYFUNCTION("""COMPUTED_VALUE"""),468.54)</f>
        <v>468.54</v>
      </c>
      <c r="X660" s="11">
        <f>IFERROR(__xludf.DUMMYFUNCTION("""COMPUTED_VALUE"""),44006.66666666667)</f>
        <v>44006.66667</v>
      </c>
      <c r="Y660" s="9">
        <f>IFERROR(__xludf.DUMMYFUNCTION("""COMPUTED_VALUE"""),457.85)</f>
        <v>457.85</v>
      </c>
      <c r="AA660" s="11">
        <f>IFERROR(__xludf.DUMMYFUNCTION("""COMPUTED_VALUE"""),44006.66666666667)</f>
        <v>44006.66667</v>
      </c>
      <c r="AB660" s="9">
        <f>IFERROR(__xludf.DUMMYFUNCTION("""COMPUTED_VALUE"""),2780.0)</f>
        <v>2780</v>
      </c>
      <c r="AC660" s="11">
        <f>IFERROR(__xludf.DUMMYFUNCTION("""COMPUTED_VALUE"""),44006.66666666667)</f>
        <v>44006.66667</v>
      </c>
      <c r="AD660" s="9">
        <f>IFERROR(__xludf.DUMMYFUNCTION("""COMPUTED_VALUE"""),2734.4)</f>
        <v>2734.4</v>
      </c>
    </row>
    <row r="661">
      <c r="B661" s="11">
        <f>IFERROR(__xludf.DUMMYFUNCTION("""COMPUTED_VALUE"""),44007.66666666667)</f>
        <v>44007.66667</v>
      </c>
      <c r="C661" s="9">
        <f>IFERROR(__xludf.DUMMYFUNCTION("""COMPUTED_VALUE"""),190.85)</f>
        <v>190.85</v>
      </c>
      <c r="D661" s="11">
        <f>IFERROR(__xludf.DUMMYFUNCTION("""COMPUTED_VALUE"""),44007.66666666667)</f>
        <v>44007.66667</v>
      </c>
      <c r="E661" s="9">
        <f>IFERROR(__xludf.DUMMYFUNCTION("""COMPUTED_VALUE"""),197.2)</f>
        <v>197.2</v>
      </c>
      <c r="G661" s="11">
        <f>IFERROR(__xludf.DUMMYFUNCTION("""COMPUTED_VALUE"""),44007.66666666667)</f>
        <v>44007.66667</v>
      </c>
      <c r="H661" s="9">
        <f>IFERROR(__xludf.DUMMYFUNCTION("""COMPUTED_VALUE"""),1429.9)</f>
        <v>1429.9</v>
      </c>
      <c r="I661" s="11">
        <f>IFERROR(__xludf.DUMMYFUNCTION("""COMPUTED_VALUE"""),44007.66666666667)</f>
        <v>44007.66667</v>
      </c>
      <c r="J661" s="9">
        <f>IFERROR(__xludf.DUMMYFUNCTION("""COMPUTED_VALUE"""),1441.33)</f>
        <v>1441.33</v>
      </c>
      <c r="L661" s="11">
        <f>IFERROR(__xludf.DUMMYFUNCTION("""COMPUTED_VALUE"""),44007.66666666667)</f>
        <v>44007.66667</v>
      </c>
      <c r="M661" s="9">
        <f>IFERROR(__xludf.DUMMYFUNCTION("""COMPUTED_VALUE"""),90.18)</f>
        <v>90.18</v>
      </c>
      <c r="N661" s="11">
        <f>IFERROR(__xludf.DUMMYFUNCTION("""COMPUTED_VALUE"""),44007.66666666667)</f>
        <v>44007.66667</v>
      </c>
      <c r="O661" s="9">
        <f>IFERROR(__xludf.DUMMYFUNCTION("""COMPUTED_VALUE"""),91.21)</f>
        <v>91.21</v>
      </c>
      <c r="Q661" s="11">
        <f>IFERROR(__xludf.DUMMYFUNCTION("""COMPUTED_VALUE"""),44007.66666666667)</f>
        <v>44007.66667</v>
      </c>
      <c r="R661" s="9">
        <f>IFERROR(__xludf.DUMMYFUNCTION("""COMPUTED_VALUE"""),234.62)</f>
        <v>234.62</v>
      </c>
      <c r="S661" s="11">
        <f>IFERROR(__xludf.DUMMYFUNCTION("""COMPUTED_VALUE"""),44007.66666666667)</f>
        <v>44007.66667</v>
      </c>
      <c r="T661" s="9">
        <f>IFERROR(__xludf.DUMMYFUNCTION("""COMPUTED_VALUE"""),235.68)</f>
        <v>235.68</v>
      </c>
      <c r="V661" s="11">
        <f>IFERROR(__xludf.DUMMYFUNCTION("""COMPUTED_VALUE"""),44007.66666666667)</f>
        <v>44007.66667</v>
      </c>
      <c r="W661" s="9">
        <f>IFERROR(__xludf.DUMMYFUNCTION("""COMPUTED_VALUE"""),458.86)</f>
        <v>458.86</v>
      </c>
      <c r="X661" s="11">
        <f>IFERROR(__xludf.DUMMYFUNCTION("""COMPUTED_VALUE"""),44007.66666666667)</f>
        <v>44007.66667</v>
      </c>
      <c r="Y661" s="9">
        <f>IFERROR(__xludf.DUMMYFUNCTION("""COMPUTED_VALUE"""),465.91)</f>
        <v>465.91</v>
      </c>
      <c r="AA661" s="11">
        <f>IFERROR(__xludf.DUMMYFUNCTION("""COMPUTED_VALUE"""),44007.66666666667)</f>
        <v>44007.66667</v>
      </c>
      <c r="AB661" s="9">
        <f>IFERROR(__xludf.DUMMYFUNCTION("""COMPUTED_VALUE"""),2739.55)</f>
        <v>2739.55</v>
      </c>
      <c r="AC661" s="11">
        <f>IFERROR(__xludf.DUMMYFUNCTION("""COMPUTED_VALUE"""),44007.66666666667)</f>
        <v>44007.66667</v>
      </c>
      <c r="AD661" s="9">
        <f>IFERROR(__xludf.DUMMYFUNCTION("""COMPUTED_VALUE"""),2754.58)</f>
        <v>2754.58</v>
      </c>
    </row>
    <row r="662">
      <c r="B662" s="11">
        <f>IFERROR(__xludf.DUMMYFUNCTION("""COMPUTED_VALUE"""),44008.66666666667)</f>
        <v>44008.66667</v>
      </c>
      <c r="C662" s="9">
        <f>IFERROR(__xludf.DUMMYFUNCTION("""COMPUTED_VALUE"""),198.96)</f>
        <v>198.96</v>
      </c>
      <c r="D662" s="11">
        <f>IFERROR(__xludf.DUMMYFUNCTION("""COMPUTED_VALUE"""),44008.66666666667)</f>
        <v>44008.66667</v>
      </c>
      <c r="E662" s="9">
        <f>IFERROR(__xludf.DUMMYFUNCTION("""COMPUTED_VALUE"""),191.95)</f>
        <v>191.95</v>
      </c>
      <c r="G662" s="11">
        <f>IFERROR(__xludf.DUMMYFUNCTION("""COMPUTED_VALUE"""),44008.66666666667)</f>
        <v>44008.66667</v>
      </c>
      <c r="H662" s="9">
        <f>IFERROR(__xludf.DUMMYFUNCTION("""COMPUTED_VALUE"""),1431.39)</f>
        <v>1431.39</v>
      </c>
      <c r="I662" s="11">
        <f>IFERROR(__xludf.DUMMYFUNCTION("""COMPUTED_VALUE"""),44008.66666666667)</f>
        <v>44008.66667</v>
      </c>
      <c r="J662" s="9">
        <f>IFERROR(__xludf.DUMMYFUNCTION("""COMPUTED_VALUE"""),1359.9)</f>
        <v>1359.9</v>
      </c>
      <c r="L662" s="11">
        <f>IFERROR(__xludf.DUMMYFUNCTION("""COMPUTED_VALUE"""),44008.66666666667)</f>
        <v>44008.66667</v>
      </c>
      <c r="M662" s="9">
        <f>IFERROR(__xludf.DUMMYFUNCTION("""COMPUTED_VALUE"""),91.1)</f>
        <v>91.1</v>
      </c>
      <c r="N662" s="11">
        <f>IFERROR(__xludf.DUMMYFUNCTION("""COMPUTED_VALUE"""),44008.66666666667)</f>
        <v>44008.66667</v>
      </c>
      <c r="O662" s="9">
        <f>IFERROR(__xludf.DUMMYFUNCTION("""COMPUTED_VALUE"""),88.41)</f>
        <v>88.41</v>
      </c>
      <c r="Q662" s="11">
        <f>IFERROR(__xludf.DUMMYFUNCTION("""COMPUTED_VALUE"""),44008.66666666667)</f>
        <v>44008.66667</v>
      </c>
      <c r="R662" s="9">
        <f>IFERROR(__xludf.DUMMYFUNCTION("""COMPUTED_VALUE"""),232.64)</f>
        <v>232.64</v>
      </c>
      <c r="S662" s="11">
        <f>IFERROR(__xludf.DUMMYFUNCTION("""COMPUTED_VALUE"""),44008.66666666667)</f>
        <v>44008.66667</v>
      </c>
      <c r="T662" s="9">
        <f>IFERROR(__xludf.DUMMYFUNCTION("""COMPUTED_VALUE"""),216.08)</f>
        <v>216.08</v>
      </c>
      <c r="V662" s="11">
        <f>IFERROR(__xludf.DUMMYFUNCTION("""COMPUTED_VALUE"""),44008.66666666667)</f>
        <v>44008.66667</v>
      </c>
      <c r="W662" s="9">
        <f>IFERROR(__xludf.DUMMYFUNCTION("""COMPUTED_VALUE"""),466.39)</f>
        <v>466.39</v>
      </c>
      <c r="X662" s="11">
        <f>IFERROR(__xludf.DUMMYFUNCTION("""COMPUTED_VALUE"""),44008.66666666667)</f>
        <v>44008.66667</v>
      </c>
      <c r="Y662" s="9">
        <f>IFERROR(__xludf.DUMMYFUNCTION("""COMPUTED_VALUE"""),443.4)</f>
        <v>443.4</v>
      </c>
      <c r="AA662" s="11">
        <f>IFERROR(__xludf.DUMMYFUNCTION("""COMPUTED_VALUE"""),44008.66666666667)</f>
        <v>44008.66667</v>
      </c>
      <c r="AB662" s="9">
        <f>IFERROR(__xludf.DUMMYFUNCTION("""COMPUTED_VALUE"""),2775.06)</f>
        <v>2775.06</v>
      </c>
      <c r="AC662" s="11">
        <f>IFERROR(__xludf.DUMMYFUNCTION("""COMPUTED_VALUE"""),44008.66666666667)</f>
        <v>44008.66667</v>
      </c>
      <c r="AD662" s="9">
        <f>IFERROR(__xludf.DUMMYFUNCTION("""COMPUTED_VALUE"""),2692.87)</f>
        <v>2692.87</v>
      </c>
    </row>
    <row r="663">
      <c r="B663" s="11">
        <f>IFERROR(__xludf.DUMMYFUNCTION("""COMPUTED_VALUE"""),44011.66666666667)</f>
        <v>44011.66667</v>
      </c>
      <c r="C663" s="9">
        <f>IFERROR(__xludf.DUMMYFUNCTION("""COMPUTED_VALUE"""),193.8)</f>
        <v>193.8</v>
      </c>
      <c r="D663" s="11">
        <f>IFERROR(__xludf.DUMMYFUNCTION("""COMPUTED_VALUE"""),44011.66666666667)</f>
        <v>44011.66667</v>
      </c>
      <c r="E663" s="9">
        <f>IFERROR(__xludf.DUMMYFUNCTION("""COMPUTED_VALUE"""),201.87)</f>
        <v>201.87</v>
      </c>
      <c r="G663" s="11">
        <f>IFERROR(__xludf.DUMMYFUNCTION("""COMPUTED_VALUE"""),44011.66666666667)</f>
        <v>44011.66667</v>
      </c>
      <c r="H663" s="9">
        <f>IFERROR(__xludf.DUMMYFUNCTION("""COMPUTED_VALUE"""),1358.18)</f>
        <v>1358.18</v>
      </c>
      <c r="I663" s="11">
        <f>IFERROR(__xludf.DUMMYFUNCTION("""COMPUTED_VALUE"""),44011.66666666667)</f>
        <v>44011.66667</v>
      </c>
      <c r="J663" s="9">
        <f>IFERROR(__xludf.DUMMYFUNCTION("""COMPUTED_VALUE"""),1394.97)</f>
        <v>1394.97</v>
      </c>
      <c r="L663" s="11">
        <f>IFERROR(__xludf.DUMMYFUNCTION("""COMPUTED_VALUE"""),44011.66666666667)</f>
        <v>44011.66667</v>
      </c>
      <c r="M663" s="9">
        <f>IFERROR(__xludf.DUMMYFUNCTION("""COMPUTED_VALUE"""),88.31)</f>
        <v>88.31</v>
      </c>
      <c r="N663" s="11">
        <f>IFERROR(__xludf.DUMMYFUNCTION("""COMPUTED_VALUE"""),44011.66666666667)</f>
        <v>44011.66667</v>
      </c>
      <c r="O663" s="9">
        <f>IFERROR(__xludf.DUMMYFUNCTION("""COMPUTED_VALUE"""),90.45)</f>
        <v>90.45</v>
      </c>
      <c r="Q663" s="11">
        <f>IFERROR(__xludf.DUMMYFUNCTION("""COMPUTED_VALUE"""),44011.66666666667)</f>
        <v>44011.66667</v>
      </c>
      <c r="R663" s="9">
        <f>IFERROR(__xludf.DUMMYFUNCTION("""COMPUTED_VALUE"""),209.75)</f>
        <v>209.75</v>
      </c>
      <c r="S663" s="11">
        <f>IFERROR(__xludf.DUMMYFUNCTION("""COMPUTED_VALUE"""),44011.66666666667)</f>
        <v>44011.66667</v>
      </c>
      <c r="T663" s="9">
        <f>IFERROR(__xludf.DUMMYFUNCTION("""COMPUTED_VALUE"""),220.64)</f>
        <v>220.64</v>
      </c>
      <c r="V663" s="11">
        <f>IFERROR(__xludf.DUMMYFUNCTION("""COMPUTED_VALUE"""),44011.66666666667)</f>
        <v>44011.66667</v>
      </c>
      <c r="W663" s="9">
        <f>IFERROR(__xludf.DUMMYFUNCTION("""COMPUTED_VALUE"""),445.23)</f>
        <v>445.23</v>
      </c>
      <c r="X663" s="11">
        <f>IFERROR(__xludf.DUMMYFUNCTION("""COMPUTED_VALUE"""),44011.66666666667)</f>
        <v>44011.66667</v>
      </c>
      <c r="Y663" s="9">
        <f>IFERROR(__xludf.DUMMYFUNCTION("""COMPUTED_VALUE"""),447.24)</f>
        <v>447.24</v>
      </c>
      <c r="AA663" s="11">
        <f>IFERROR(__xludf.DUMMYFUNCTION("""COMPUTED_VALUE"""),44011.66666666667)</f>
        <v>44011.66667</v>
      </c>
      <c r="AB663" s="9">
        <f>IFERROR(__xludf.DUMMYFUNCTION("""COMPUTED_VALUE"""),2690.01)</f>
        <v>2690.01</v>
      </c>
      <c r="AC663" s="11">
        <f>IFERROR(__xludf.DUMMYFUNCTION("""COMPUTED_VALUE"""),44011.66666666667)</f>
        <v>44011.66667</v>
      </c>
      <c r="AD663" s="9">
        <f>IFERROR(__xludf.DUMMYFUNCTION("""COMPUTED_VALUE"""),2680.38)</f>
        <v>2680.38</v>
      </c>
    </row>
    <row r="664">
      <c r="B664" s="11">
        <f>IFERROR(__xludf.DUMMYFUNCTION("""COMPUTED_VALUE"""),44012.66666666667)</f>
        <v>44012.66667</v>
      </c>
      <c r="C664" s="9">
        <f>IFERROR(__xludf.DUMMYFUNCTION("""COMPUTED_VALUE"""),201.3)</f>
        <v>201.3</v>
      </c>
      <c r="D664" s="11">
        <f>IFERROR(__xludf.DUMMYFUNCTION("""COMPUTED_VALUE"""),44012.66666666667)</f>
        <v>44012.66667</v>
      </c>
      <c r="E664" s="9">
        <f>IFERROR(__xludf.DUMMYFUNCTION("""COMPUTED_VALUE"""),215.96)</f>
        <v>215.96</v>
      </c>
      <c r="G664" s="11">
        <f>IFERROR(__xludf.DUMMYFUNCTION("""COMPUTED_VALUE"""),44012.66666666667)</f>
        <v>44012.66667</v>
      </c>
      <c r="H664" s="9">
        <f>IFERROR(__xludf.DUMMYFUNCTION("""COMPUTED_VALUE"""),1390.44)</f>
        <v>1390.44</v>
      </c>
      <c r="I664" s="11">
        <f>IFERROR(__xludf.DUMMYFUNCTION("""COMPUTED_VALUE"""),44012.66666666667)</f>
        <v>44012.66667</v>
      </c>
      <c r="J664" s="9">
        <f>IFERROR(__xludf.DUMMYFUNCTION("""COMPUTED_VALUE"""),1413.61)</f>
        <v>1413.61</v>
      </c>
      <c r="L664" s="11">
        <f>IFERROR(__xludf.DUMMYFUNCTION("""COMPUTED_VALUE"""),44012.66666666667)</f>
        <v>44012.66667</v>
      </c>
      <c r="M664" s="9">
        <f>IFERROR(__xludf.DUMMYFUNCTION("""COMPUTED_VALUE"""),90.02)</f>
        <v>90.02</v>
      </c>
      <c r="N664" s="11">
        <f>IFERROR(__xludf.DUMMYFUNCTION("""COMPUTED_VALUE"""),44012.66666666667)</f>
        <v>44012.66667</v>
      </c>
      <c r="O664" s="9">
        <f>IFERROR(__xludf.DUMMYFUNCTION("""COMPUTED_VALUE"""),91.2)</f>
        <v>91.2</v>
      </c>
      <c r="Q664" s="11">
        <f>IFERROR(__xludf.DUMMYFUNCTION("""COMPUTED_VALUE"""),44012.66666666667)</f>
        <v>44012.66667</v>
      </c>
      <c r="R664" s="9">
        <f>IFERROR(__xludf.DUMMYFUNCTION("""COMPUTED_VALUE"""),220.59)</f>
        <v>220.59</v>
      </c>
      <c r="S664" s="11">
        <f>IFERROR(__xludf.DUMMYFUNCTION("""COMPUTED_VALUE"""),44012.66666666667)</f>
        <v>44012.66667</v>
      </c>
      <c r="T664" s="9">
        <f>IFERROR(__xludf.DUMMYFUNCTION("""COMPUTED_VALUE"""),227.07)</f>
        <v>227.07</v>
      </c>
      <c r="V664" s="11">
        <f>IFERROR(__xludf.DUMMYFUNCTION("""COMPUTED_VALUE"""),44012.66666666667)</f>
        <v>44012.66667</v>
      </c>
      <c r="W664" s="9">
        <f>IFERROR(__xludf.DUMMYFUNCTION("""COMPUTED_VALUE"""),450.02)</f>
        <v>450.02</v>
      </c>
      <c r="X664" s="11">
        <f>IFERROR(__xludf.DUMMYFUNCTION("""COMPUTED_VALUE"""),44012.66666666667)</f>
        <v>44012.66667</v>
      </c>
      <c r="Y664" s="9">
        <f>IFERROR(__xludf.DUMMYFUNCTION("""COMPUTED_VALUE"""),455.04)</f>
        <v>455.04</v>
      </c>
      <c r="AA664" s="11">
        <f>IFERROR(__xludf.DUMMYFUNCTION("""COMPUTED_VALUE"""),44012.66666666667)</f>
        <v>44012.66667</v>
      </c>
      <c r="AB664" s="9">
        <f>IFERROR(__xludf.DUMMYFUNCTION("""COMPUTED_VALUE"""),2685.07)</f>
        <v>2685.07</v>
      </c>
      <c r="AC664" s="11">
        <f>IFERROR(__xludf.DUMMYFUNCTION("""COMPUTED_VALUE"""),44012.66666666667)</f>
        <v>44012.66667</v>
      </c>
      <c r="AD664" s="9">
        <f>IFERROR(__xludf.DUMMYFUNCTION("""COMPUTED_VALUE"""),2758.82)</f>
        <v>2758.82</v>
      </c>
    </row>
    <row r="665">
      <c r="B665" s="11">
        <f>IFERROR(__xludf.DUMMYFUNCTION("""COMPUTED_VALUE"""),44013.66666666667)</f>
        <v>44013.66667</v>
      </c>
      <c r="C665" s="9">
        <f>IFERROR(__xludf.DUMMYFUNCTION("""COMPUTED_VALUE"""),216.6)</f>
        <v>216.6</v>
      </c>
      <c r="D665" s="11">
        <f>IFERROR(__xludf.DUMMYFUNCTION("""COMPUTED_VALUE"""),44013.66666666667)</f>
        <v>44013.66667</v>
      </c>
      <c r="E665" s="9">
        <f>IFERROR(__xludf.DUMMYFUNCTION("""COMPUTED_VALUE"""),223.93)</f>
        <v>223.93</v>
      </c>
      <c r="G665" s="11">
        <f>IFERROR(__xludf.DUMMYFUNCTION("""COMPUTED_VALUE"""),44013.66666666667)</f>
        <v>44013.66667</v>
      </c>
      <c r="H665" s="9">
        <f>IFERROR(__xludf.DUMMYFUNCTION("""COMPUTED_VALUE"""),1411.1)</f>
        <v>1411.1</v>
      </c>
      <c r="I665" s="11">
        <f>IFERROR(__xludf.DUMMYFUNCTION("""COMPUTED_VALUE"""),44013.66666666667)</f>
        <v>44013.66667</v>
      </c>
      <c r="J665" s="9">
        <f>IFERROR(__xludf.DUMMYFUNCTION("""COMPUTED_VALUE"""),1438.04)</f>
        <v>1438.04</v>
      </c>
      <c r="L665" s="11">
        <f>IFERROR(__xludf.DUMMYFUNCTION("""COMPUTED_VALUE"""),44013.66666666667)</f>
        <v>44013.66667</v>
      </c>
      <c r="M665" s="9">
        <f>IFERROR(__xludf.DUMMYFUNCTION("""COMPUTED_VALUE"""),91.28)</f>
        <v>91.28</v>
      </c>
      <c r="N665" s="11">
        <f>IFERROR(__xludf.DUMMYFUNCTION("""COMPUTED_VALUE"""),44013.66666666667)</f>
        <v>44013.66667</v>
      </c>
      <c r="O665" s="9">
        <f>IFERROR(__xludf.DUMMYFUNCTION("""COMPUTED_VALUE"""),91.03)</f>
        <v>91.03</v>
      </c>
      <c r="Q665" s="11">
        <f>IFERROR(__xludf.DUMMYFUNCTION("""COMPUTED_VALUE"""),44013.66666666667)</f>
        <v>44013.66667</v>
      </c>
      <c r="R665" s="9">
        <f>IFERROR(__xludf.DUMMYFUNCTION("""COMPUTED_VALUE"""),228.5)</f>
        <v>228.5</v>
      </c>
      <c r="S665" s="11">
        <f>IFERROR(__xludf.DUMMYFUNCTION("""COMPUTED_VALUE"""),44013.66666666667)</f>
        <v>44013.66667</v>
      </c>
      <c r="T665" s="9">
        <f>IFERROR(__xludf.DUMMYFUNCTION("""COMPUTED_VALUE"""),237.55)</f>
        <v>237.55</v>
      </c>
      <c r="V665" s="11">
        <f>IFERROR(__xludf.DUMMYFUNCTION("""COMPUTED_VALUE"""),44013.66666666667)</f>
        <v>44013.66667</v>
      </c>
      <c r="W665" s="9">
        <f>IFERROR(__xludf.DUMMYFUNCTION("""COMPUTED_VALUE"""),454.0)</f>
        <v>454</v>
      </c>
      <c r="X665" s="11">
        <f>IFERROR(__xludf.DUMMYFUNCTION("""COMPUTED_VALUE"""),44013.66666666667)</f>
        <v>44013.66667</v>
      </c>
      <c r="Y665" s="9">
        <f>IFERROR(__xludf.DUMMYFUNCTION("""COMPUTED_VALUE"""),485.64)</f>
        <v>485.64</v>
      </c>
      <c r="AA665" s="11">
        <f>IFERROR(__xludf.DUMMYFUNCTION("""COMPUTED_VALUE"""),44013.66666666667)</f>
        <v>44013.66667</v>
      </c>
      <c r="AB665" s="9">
        <f>IFERROR(__xludf.DUMMYFUNCTION("""COMPUTED_VALUE"""),2757.99)</f>
        <v>2757.99</v>
      </c>
      <c r="AC665" s="11">
        <f>IFERROR(__xludf.DUMMYFUNCTION("""COMPUTED_VALUE"""),44013.66666666667)</f>
        <v>44013.66667</v>
      </c>
      <c r="AD665" s="9">
        <f>IFERROR(__xludf.DUMMYFUNCTION("""COMPUTED_VALUE"""),2878.7)</f>
        <v>2878.7</v>
      </c>
    </row>
    <row r="666">
      <c r="B666" s="11">
        <f>IFERROR(__xludf.DUMMYFUNCTION("""COMPUTED_VALUE"""),44014.66666666667)</f>
        <v>44014.66667</v>
      </c>
      <c r="C666" s="9">
        <f>IFERROR(__xludf.DUMMYFUNCTION("""COMPUTED_VALUE"""),244.3)</f>
        <v>244.3</v>
      </c>
      <c r="D666" s="11">
        <f>IFERROR(__xludf.DUMMYFUNCTION("""COMPUTED_VALUE"""),44014.66666666667)</f>
        <v>44014.66667</v>
      </c>
      <c r="E666" s="9">
        <f>IFERROR(__xludf.DUMMYFUNCTION("""COMPUTED_VALUE"""),241.73)</f>
        <v>241.73</v>
      </c>
      <c r="G666" s="11">
        <f>IFERROR(__xludf.DUMMYFUNCTION("""COMPUTED_VALUE"""),44014.66666666667)</f>
        <v>44014.66667</v>
      </c>
      <c r="H666" s="9">
        <f>IFERROR(__xludf.DUMMYFUNCTION("""COMPUTED_VALUE"""),1446.94)</f>
        <v>1446.94</v>
      </c>
      <c r="I666" s="11">
        <f>IFERROR(__xludf.DUMMYFUNCTION("""COMPUTED_VALUE"""),44014.66666666667)</f>
        <v>44014.66667</v>
      </c>
      <c r="J666" s="9">
        <f>IFERROR(__xludf.DUMMYFUNCTION("""COMPUTED_VALUE"""),1464.7)</f>
        <v>1464.7</v>
      </c>
      <c r="L666" s="11">
        <f>IFERROR(__xludf.DUMMYFUNCTION("""COMPUTED_VALUE"""),44014.66666666667)</f>
        <v>44014.66667</v>
      </c>
      <c r="M666" s="9">
        <f>IFERROR(__xludf.DUMMYFUNCTION("""COMPUTED_VALUE"""),91.96)</f>
        <v>91.96</v>
      </c>
      <c r="N666" s="11">
        <f>IFERROR(__xludf.DUMMYFUNCTION("""COMPUTED_VALUE"""),44014.66666666667)</f>
        <v>44014.66667</v>
      </c>
      <c r="O666" s="9">
        <f>IFERROR(__xludf.DUMMYFUNCTION("""COMPUTED_VALUE"""),91.03)</f>
        <v>91.03</v>
      </c>
      <c r="Q666" s="11">
        <f>IFERROR(__xludf.DUMMYFUNCTION("""COMPUTED_VALUE"""),44014.66666666667)</f>
        <v>44014.66667</v>
      </c>
      <c r="R666" s="9">
        <f>IFERROR(__xludf.DUMMYFUNCTION("""COMPUTED_VALUE"""),239.0)</f>
        <v>239</v>
      </c>
      <c r="S666" s="11">
        <f>IFERROR(__xludf.DUMMYFUNCTION("""COMPUTED_VALUE"""),44014.66666666667)</f>
        <v>44014.66667</v>
      </c>
      <c r="T666" s="9">
        <f>IFERROR(__xludf.DUMMYFUNCTION("""COMPUTED_VALUE"""),233.42)</f>
        <v>233.42</v>
      </c>
      <c r="V666" s="11">
        <f>IFERROR(__xludf.DUMMYFUNCTION("""COMPUTED_VALUE"""),44014.66666666667)</f>
        <v>44014.66667</v>
      </c>
      <c r="W666" s="9">
        <f>IFERROR(__xludf.DUMMYFUNCTION("""COMPUTED_VALUE"""),485.64)</f>
        <v>485.64</v>
      </c>
      <c r="X666" s="11">
        <f>IFERROR(__xludf.DUMMYFUNCTION("""COMPUTED_VALUE"""),44014.66666666667)</f>
        <v>44014.66667</v>
      </c>
      <c r="Y666" s="9">
        <f>IFERROR(__xludf.DUMMYFUNCTION("""COMPUTED_VALUE"""),476.89)</f>
        <v>476.89</v>
      </c>
      <c r="AA666" s="11">
        <f>IFERROR(__xludf.DUMMYFUNCTION("""COMPUTED_VALUE"""),44014.66666666667)</f>
        <v>44014.66667</v>
      </c>
      <c r="AB666" s="9">
        <f>IFERROR(__xludf.DUMMYFUNCTION("""COMPUTED_VALUE"""),2912.01)</f>
        <v>2912.01</v>
      </c>
      <c r="AC666" s="11">
        <f>IFERROR(__xludf.DUMMYFUNCTION("""COMPUTED_VALUE"""),44014.66666666667)</f>
        <v>44014.66667</v>
      </c>
      <c r="AD666" s="9">
        <f>IFERROR(__xludf.DUMMYFUNCTION("""COMPUTED_VALUE"""),2890.3)</f>
        <v>2890.3</v>
      </c>
    </row>
    <row r="667">
      <c r="B667" s="11">
        <f>IFERROR(__xludf.DUMMYFUNCTION("""COMPUTED_VALUE"""),44018.66666666667)</f>
        <v>44018.66667</v>
      </c>
      <c r="C667" s="9">
        <f>IFERROR(__xludf.DUMMYFUNCTION("""COMPUTED_VALUE"""),255.34)</f>
        <v>255.34</v>
      </c>
      <c r="D667" s="11">
        <f>IFERROR(__xludf.DUMMYFUNCTION("""COMPUTED_VALUE"""),44018.66666666667)</f>
        <v>44018.66667</v>
      </c>
      <c r="E667" s="9">
        <f>IFERROR(__xludf.DUMMYFUNCTION("""COMPUTED_VALUE"""),274.32)</f>
        <v>274.32</v>
      </c>
      <c r="G667" s="11">
        <f>IFERROR(__xludf.DUMMYFUNCTION("""COMPUTED_VALUE"""),44018.66666666667)</f>
        <v>44018.66667</v>
      </c>
      <c r="H667" s="9">
        <f>IFERROR(__xludf.DUMMYFUNCTION("""COMPUTED_VALUE"""),1480.06)</f>
        <v>1480.06</v>
      </c>
      <c r="I667" s="11">
        <f>IFERROR(__xludf.DUMMYFUNCTION("""COMPUTED_VALUE"""),44018.66666666667)</f>
        <v>44018.66667</v>
      </c>
      <c r="J667" s="9">
        <f>IFERROR(__xludf.DUMMYFUNCTION("""COMPUTED_VALUE"""),1495.7)</f>
        <v>1495.7</v>
      </c>
      <c r="L667" s="11">
        <f>IFERROR(__xludf.DUMMYFUNCTION("""COMPUTED_VALUE"""),44018.66666666667)</f>
        <v>44018.66667</v>
      </c>
      <c r="M667" s="9">
        <f>IFERROR(__xludf.DUMMYFUNCTION("""COMPUTED_VALUE"""),92.5)</f>
        <v>92.5</v>
      </c>
      <c r="N667" s="11">
        <f>IFERROR(__xludf.DUMMYFUNCTION("""COMPUTED_VALUE"""),44018.66666666667)</f>
        <v>44018.66667</v>
      </c>
      <c r="O667" s="9">
        <f>IFERROR(__xludf.DUMMYFUNCTION("""COMPUTED_VALUE"""),93.46)</f>
        <v>93.46</v>
      </c>
      <c r="Q667" s="11">
        <f>IFERROR(__xludf.DUMMYFUNCTION("""COMPUTED_VALUE"""),44018.66666666667)</f>
        <v>44018.66667</v>
      </c>
      <c r="R667" s="9">
        <f>IFERROR(__xludf.DUMMYFUNCTION("""COMPUTED_VALUE"""),233.76)</f>
        <v>233.76</v>
      </c>
      <c r="S667" s="11">
        <f>IFERROR(__xludf.DUMMYFUNCTION("""COMPUTED_VALUE"""),44018.66666666667)</f>
        <v>44018.66667</v>
      </c>
      <c r="T667" s="9">
        <f>IFERROR(__xludf.DUMMYFUNCTION("""COMPUTED_VALUE"""),240.28)</f>
        <v>240.28</v>
      </c>
      <c r="V667" s="11">
        <f>IFERROR(__xludf.DUMMYFUNCTION("""COMPUTED_VALUE"""),44018.66666666667)</f>
        <v>44018.66667</v>
      </c>
      <c r="W667" s="9">
        <f>IFERROR(__xludf.DUMMYFUNCTION("""COMPUTED_VALUE"""),480.77)</f>
        <v>480.77</v>
      </c>
      <c r="X667" s="11">
        <f>IFERROR(__xludf.DUMMYFUNCTION("""COMPUTED_VALUE"""),44018.66666666667)</f>
        <v>44018.66667</v>
      </c>
      <c r="Y667" s="9">
        <f>IFERROR(__xludf.DUMMYFUNCTION("""COMPUTED_VALUE"""),493.81)</f>
        <v>493.81</v>
      </c>
      <c r="AA667" s="11">
        <f>IFERROR(__xludf.DUMMYFUNCTION("""COMPUTED_VALUE"""),44018.66666666667)</f>
        <v>44018.66667</v>
      </c>
      <c r="AB667" s="9">
        <f>IFERROR(__xludf.DUMMYFUNCTION("""COMPUTED_VALUE"""),2934.97)</f>
        <v>2934.97</v>
      </c>
      <c r="AC667" s="11">
        <f>IFERROR(__xludf.DUMMYFUNCTION("""COMPUTED_VALUE"""),44018.66666666667)</f>
        <v>44018.66667</v>
      </c>
      <c r="AD667" s="9">
        <f>IFERROR(__xludf.DUMMYFUNCTION("""COMPUTED_VALUE"""),3057.04)</f>
        <v>3057.04</v>
      </c>
    </row>
    <row r="668">
      <c r="B668" s="11">
        <f>IFERROR(__xludf.DUMMYFUNCTION("""COMPUTED_VALUE"""),44019.66666666667)</f>
        <v>44019.66667</v>
      </c>
      <c r="C668" s="9">
        <f>IFERROR(__xludf.DUMMYFUNCTION("""COMPUTED_VALUE"""),281.0)</f>
        <v>281</v>
      </c>
      <c r="D668" s="11">
        <f>IFERROR(__xludf.DUMMYFUNCTION("""COMPUTED_VALUE"""),44019.66666666667)</f>
        <v>44019.66667</v>
      </c>
      <c r="E668" s="9">
        <f>IFERROR(__xludf.DUMMYFUNCTION("""COMPUTED_VALUE"""),277.97)</f>
        <v>277.97</v>
      </c>
      <c r="G668" s="11">
        <f>IFERROR(__xludf.DUMMYFUNCTION("""COMPUTED_VALUE"""),44019.66666666667)</f>
        <v>44019.66667</v>
      </c>
      <c r="H668" s="9">
        <f>IFERROR(__xludf.DUMMYFUNCTION("""COMPUTED_VALUE"""),1490.0)</f>
        <v>1490</v>
      </c>
      <c r="I668" s="11">
        <f>IFERROR(__xludf.DUMMYFUNCTION("""COMPUTED_VALUE"""),44019.66666666667)</f>
        <v>44019.66667</v>
      </c>
      <c r="J668" s="9">
        <f>IFERROR(__xludf.DUMMYFUNCTION("""COMPUTED_VALUE"""),1485.18)</f>
        <v>1485.18</v>
      </c>
      <c r="L668" s="11">
        <f>IFERROR(__xludf.DUMMYFUNCTION("""COMPUTED_VALUE"""),44019.66666666667)</f>
        <v>44019.66667</v>
      </c>
      <c r="M668" s="9">
        <f>IFERROR(__xludf.DUMMYFUNCTION("""COMPUTED_VALUE"""),93.85)</f>
        <v>93.85</v>
      </c>
      <c r="N668" s="11">
        <f>IFERROR(__xludf.DUMMYFUNCTION("""COMPUTED_VALUE"""),44019.66666666667)</f>
        <v>44019.66667</v>
      </c>
      <c r="O668" s="9">
        <f>IFERROR(__xludf.DUMMYFUNCTION("""COMPUTED_VALUE"""),93.17)</f>
        <v>93.17</v>
      </c>
      <c r="Q668" s="11">
        <f>IFERROR(__xludf.DUMMYFUNCTION("""COMPUTED_VALUE"""),44019.66666666667)</f>
        <v>44019.66667</v>
      </c>
      <c r="R668" s="9">
        <f>IFERROR(__xludf.DUMMYFUNCTION("""COMPUTED_VALUE"""),239.41)</f>
        <v>239.41</v>
      </c>
      <c r="S668" s="11">
        <f>IFERROR(__xludf.DUMMYFUNCTION("""COMPUTED_VALUE"""),44019.66666666667)</f>
        <v>44019.66667</v>
      </c>
      <c r="T668" s="9">
        <f>IFERROR(__xludf.DUMMYFUNCTION("""COMPUTED_VALUE"""),240.86)</f>
        <v>240.86</v>
      </c>
      <c r="V668" s="11">
        <f>IFERROR(__xludf.DUMMYFUNCTION("""COMPUTED_VALUE"""),44019.66666666667)</f>
        <v>44019.66667</v>
      </c>
      <c r="W668" s="9">
        <f>IFERROR(__xludf.DUMMYFUNCTION("""COMPUTED_VALUE"""),497.31)</f>
        <v>497.31</v>
      </c>
      <c r="X668" s="11">
        <f>IFERROR(__xludf.DUMMYFUNCTION("""COMPUTED_VALUE"""),44019.66666666667)</f>
        <v>44019.66667</v>
      </c>
      <c r="Y668" s="9">
        <f>IFERROR(__xludf.DUMMYFUNCTION("""COMPUTED_VALUE"""),493.16)</f>
        <v>493.16</v>
      </c>
      <c r="AA668" s="11">
        <f>IFERROR(__xludf.DUMMYFUNCTION("""COMPUTED_VALUE"""),44019.66666666667)</f>
        <v>44019.66667</v>
      </c>
      <c r="AB668" s="9">
        <f>IFERROR(__xludf.DUMMYFUNCTION("""COMPUTED_VALUE"""),3058.55)</f>
        <v>3058.55</v>
      </c>
      <c r="AC668" s="11">
        <f>IFERROR(__xludf.DUMMYFUNCTION("""COMPUTED_VALUE"""),44019.66666666667)</f>
        <v>44019.66667</v>
      </c>
      <c r="AD668" s="9">
        <f>IFERROR(__xludf.DUMMYFUNCTION("""COMPUTED_VALUE"""),3000.12)</f>
        <v>3000.12</v>
      </c>
    </row>
    <row r="669">
      <c r="B669" s="11">
        <f>IFERROR(__xludf.DUMMYFUNCTION("""COMPUTED_VALUE"""),44020.66666666667)</f>
        <v>44020.66667</v>
      </c>
      <c r="C669" s="9">
        <f>IFERROR(__xludf.DUMMYFUNCTION("""COMPUTED_VALUE"""),281.0)</f>
        <v>281</v>
      </c>
      <c r="D669" s="11">
        <f>IFERROR(__xludf.DUMMYFUNCTION("""COMPUTED_VALUE"""),44020.66666666667)</f>
        <v>44020.66667</v>
      </c>
      <c r="E669" s="9">
        <f>IFERROR(__xludf.DUMMYFUNCTION("""COMPUTED_VALUE"""),273.18)</f>
        <v>273.18</v>
      </c>
      <c r="G669" s="11">
        <f>IFERROR(__xludf.DUMMYFUNCTION("""COMPUTED_VALUE"""),44020.66666666667)</f>
        <v>44020.66667</v>
      </c>
      <c r="H669" s="9">
        <f>IFERROR(__xludf.DUMMYFUNCTION("""COMPUTED_VALUE"""),1494.32)</f>
        <v>1494.32</v>
      </c>
      <c r="I669" s="11">
        <f>IFERROR(__xludf.DUMMYFUNCTION("""COMPUTED_VALUE"""),44020.66666666667)</f>
        <v>44020.66667</v>
      </c>
      <c r="J669" s="9">
        <f>IFERROR(__xludf.DUMMYFUNCTION("""COMPUTED_VALUE"""),1496.0)</f>
        <v>1496</v>
      </c>
      <c r="L669" s="11">
        <f>IFERROR(__xludf.DUMMYFUNCTION("""COMPUTED_VALUE"""),44020.66666666667)</f>
        <v>44020.66667</v>
      </c>
      <c r="M669" s="9">
        <f>IFERROR(__xludf.DUMMYFUNCTION("""COMPUTED_VALUE"""),94.18)</f>
        <v>94.18</v>
      </c>
      <c r="N669" s="11">
        <f>IFERROR(__xludf.DUMMYFUNCTION("""COMPUTED_VALUE"""),44020.66666666667)</f>
        <v>44020.66667</v>
      </c>
      <c r="O669" s="9">
        <f>IFERROR(__xludf.DUMMYFUNCTION("""COMPUTED_VALUE"""),95.34)</f>
        <v>95.34</v>
      </c>
      <c r="Q669" s="11">
        <f>IFERROR(__xludf.DUMMYFUNCTION("""COMPUTED_VALUE"""),44020.66666666667)</f>
        <v>44020.66667</v>
      </c>
      <c r="R669" s="9">
        <f>IFERROR(__xludf.DUMMYFUNCTION("""COMPUTED_VALUE"""),238.11)</f>
        <v>238.11</v>
      </c>
      <c r="S669" s="11">
        <f>IFERROR(__xludf.DUMMYFUNCTION("""COMPUTED_VALUE"""),44020.66666666667)</f>
        <v>44020.66667</v>
      </c>
      <c r="T669" s="9">
        <f>IFERROR(__xludf.DUMMYFUNCTION("""COMPUTED_VALUE"""),243.58)</f>
        <v>243.58</v>
      </c>
      <c r="V669" s="11">
        <f>IFERROR(__xludf.DUMMYFUNCTION("""COMPUTED_VALUE"""),44020.66666666667)</f>
        <v>44020.66667</v>
      </c>
      <c r="W669" s="9">
        <f>IFERROR(__xludf.DUMMYFUNCTION("""COMPUTED_VALUE"""),498.58)</f>
        <v>498.58</v>
      </c>
      <c r="X669" s="11">
        <f>IFERROR(__xludf.DUMMYFUNCTION("""COMPUTED_VALUE"""),44020.66666666667)</f>
        <v>44020.66667</v>
      </c>
      <c r="Y669" s="9">
        <f>IFERROR(__xludf.DUMMYFUNCTION("""COMPUTED_VALUE"""),502.78)</f>
        <v>502.78</v>
      </c>
      <c r="AA669" s="11">
        <f>IFERROR(__xludf.DUMMYFUNCTION("""COMPUTED_VALUE"""),44020.66666666667)</f>
        <v>44020.66667</v>
      </c>
      <c r="AB669" s="9">
        <f>IFERROR(__xludf.DUMMYFUNCTION("""COMPUTED_VALUE"""),3022.61)</f>
        <v>3022.61</v>
      </c>
      <c r="AC669" s="11">
        <f>IFERROR(__xludf.DUMMYFUNCTION("""COMPUTED_VALUE"""),44020.66666666667)</f>
        <v>44020.66667</v>
      </c>
      <c r="AD669" s="9">
        <f>IFERROR(__xludf.DUMMYFUNCTION("""COMPUTED_VALUE"""),3081.11)</f>
        <v>3081.11</v>
      </c>
    </row>
    <row r="670">
      <c r="B670" s="11">
        <f>IFERROR(__xludf.DUMMYFUNCTION("""COMPUTED_VALUE"""),44021.66666666667)</f>
        <v>44021.66667</v>
      </c>
      <c r="C670" s="9">
        <f>IFERROR(__xludf.DUMMYFUNCTION("""COMPUTED_VALUE"""),279.4)</f>
        <v>279.4</v>
      </c>
      <c r="D670" s="11">
        <f>IFERROR(__xludf.DUMMYFUNCTION("""COMPUTED_VALUE"""),44021.66666666667)</f>
        <v>44021.66667</v>
      </c>
      <c r="E670" s="9">
        <f>IFERROR(__xludf.DUMMYFUNCTION("""COMPUTED_VALUE"""),278.86)</f>
        <v>278.86</v>
      </c>
      <c r="G670" s="11">
        <f>IFERROR(__xludf.DUMMYFUNCTION("""COMPUTED_VALUE"""),44021.66666666667)</f>
        <v>44021.66667</v>
      </c>
      <c r="H670" s="9">
        <f>IFERROR(__xludf.DUMMYFUNCTION("""COMPUTED_VALUE"""),1506.45)</f>
        <v>1506.45</v>
      </c>
      <c r="I670" s="11">
        <f>IFERROR(__xludf.DUMMYFUNCTION("""COMPUTED_VALUE"""),44021.66666666667)</f>
        <v>44021.66667</v>
      </c>
      <c r="J670" s="9">
        <f>IFERROR(__xludf.DUMMYFUNCTION("""COMPUTED_VALUE"""),1510.99)</f>
        <v>1510.99</v>
      </c>
      <c r="L670" s="11">
        <f>IFERROR(__xludf.DUMMYFUNCTION("""COMPUTED_VALUE"""),44021.66666666667)</f>
        <v>44021.66667</v>
      </c>
      <c r="M670" s="9">
        <f>IFERROR(__xludf.DUMMYFUNCTION("""COMPUTED_VALUE"""),96.26)</f>
        <v>96.26</v>
      </c>
      <c r="N670" s="11">
        <f>IFERROR(__xludf.DUMMYFUNCTION("""COMPUTED_VALUE"""),44021.66666666667)</f>
        <v>44021.66667</v>
      </c>
      <c r="O670" s="9">
        <f>IFERROR(__xludf.DUMMYFUNCTION("""COMPUTED_VALUE"""),95.68)</f>
        <v>95.68</v>
      </c>
      <c r="Q670" s="11">
        <f>IFERROR(__xludf.DUMMYFUNCTION("""COMPUTED_VALUE"""),44021.66666666667)</f>
        <v>44021.66667</v>
      </c>
      <c r="R670" s="9">
        <f>IFERROR(__xludf.DUMMYFUNCTION("""COMPUTED_VALUE"""),245.0)</f>
        <v>245</v>
      </c>
      <c r="S670" s="11">
        <f>IFERROR(__xludf.DUMMYFUNCTION("""COMPUTED_VALUE"""),44021.66666666667)</f>
        <v>44021.66667</v>
      </c>
      <c r="T670" s="9">
        <f>IFERROR(__xludf.DUMMYFUNCTION("""COMPUTED_VALUE"""),244.5)</f>
        <v>244.5</v>
      </c>
      <c r="V670" s="11">
        <f>IFERROR(__xludf.DUMMYFUNCTION("""COMPUTED_VALUE"""),44021.66666666667)</f>
        <v>44021.66667</v>
      </c>
      <c r="W670" s="9">
        <f>IFERROR(__xludf.DUMMYFUNCTION("""COMPUTED_VALUE"""),508.4)</f>
        <v>508.4</v>
      </c>
      <c r="X670" s="11">
        <f>IFERROR(__xludf.DUMMYFUNCTION("""COMPUTED_VALUE"""),44021.66666666667)</f>
        <v>44021.66667</v>
      </c>
      <c r="Y670" s="9">
        <f>IFERROR(__xludf.DUMMYFUNCTION("""COMPUTED_VALUE"""),507.76)</f>
        <v>507.76</v>
      </c>
      <c r="AA670" s="11">
        <f>IFERROR(__xludf.DUMMYFUNCTION("""COMPUTED_VALUE"""),44021.66666666667)</f>
        <v>44021.66667</v>
      </c>
      <c r="AB670" s="9">
        <f>IFERROR(__xludf.DUMMYFUNCTION("""COMPUTED_VALUE"""),3115.99)</f>
        <v>3115.99</v>
      </c>
      <c r="AC670" s="11">
        <f>IFERROR(__xludf.DUMMYFUNCTION("""COMPUTED_VALUE"""),44021.66666666667)</f>
        <v>44021.66667</v>
      </c>
      <c r="AD670" s="9">
        <f>IFERROR(__xludf.DUMMYFUNCTION("""COMPUTED_VALUE"""),3182.63)</f>
        <v>3182.63</v>
      </c>
    </row>
    <row r="671">
      <c r="B671" s="11">
        <f>IFERROR(__xludf.DUMMYFUNCTION("""COMPUTED_VALUE"""),44022.66666666667)</f>
        <v>44022.66667</v>
      </c>
      <c r="C671" s="9">
        <f>IFERROR(__xludf.DUMMYFUNCTION("""COMPUTED_VALUE"""),279.2)</f>
        <v>279.2</v>
      </c>
      <c r="D671" s="11">
        <f>IFERROR(__xludf.DUMMYFUNCTION("""COMPUTED_VALUE"""),44022.66666666667)</f>
        <v>44022.66667</v>
      </c>
      <c r="E671" s="9">
        <f>IFERROR(__xludf.DUMMYFUNCTION("""COMPUTED_VALUE"""),308.93)</f>
        <v>308.93</v>
      </c>
      <c r="G671" s="11">
        <f>IFERROR(__xludf.DUMMYFUNCTION("""COMPUTED_VALUE"""),44022.66666666667)</f>
        <v>44022.66667</v>
      </c>
      <c r="H671" s="9">
        <f>IFERROR(__xludf.DUMMYFUNCTION("""COMPUTED_VALUE"""),1506.15)</f>
        <v>1506.15</v>
      </c>
      <c r="I671" s="11">
        <f>IFERROR(__xludf.DUMMYFUNCTION("""COMPUTED_VALUE"""),44022.66666666667)</f>
        <v>44022.66667</v>
      </c>
      <c r="J671" s="9">
        <f>IFERROR(__xludf.DUMMYFUNCTION("""COMPUTED_VALUE"""),1541.74)</f>
        <v>1541.74</v>
      </c>
      <c r="L671" s="11">
        <f>IFERROR(__xludf.DUMMYFUNCTION("""COMPUTED_VALUE"""),44022.66666666667)</f>
        <v>44022.66667</v>
      </c>
      <c r="M671" s="9">
        <f>IFERROR(__xludf.DUMMYFUNCTION("""COMPUTED_VALUE"""),95.34)</f>
        <v>95.34</v>
      </c>
      <c r="N671" s="11">
        <f>IFERROR(__xludf.DUMMYFUNCTION("""COMPUTED_VALUE"""),44022.66666666667)</f>
        <v>44022.66667</v>
      </c>
      <c r="O671" s="9">
        <f>IFERROR(__xludf.DUMMYFUNCTION("""COMPUTED_VALUE"""),95.92)</f>
        <v>95.92</v>
      </c>
      <c r="Q671" s="11">
        <f>IFERROR(__xludf.DUMMYFUNCTION("""COMPUTED_VALUE"""),44022.66666666667)</f>
        <v>44022.66667</v>
      </c>
      <c r="R671" s="9">
        <f>IFERROR(__xludf.DUMMYFUNCTION("""COMPUTED_VALUE"""),243.69)</f>
        <v>243.69</v>
      </c>
      <c r="S671" s="11">
        <f>IFERROR(__xludf.DUMMYFUNCTION("""COMPUTED_VALUE"""),44022.66666666667)</f>
        <v>44022.66667</v>
      </c>
      <c r="T671" s="9">
        <f>IFERROR(__xludf.DUMMYFUNCTION("""COMPUTED_VALUE"""),245.07)</f>
        <v>245.07</v>
      </c>
      <c r="V671" s="11">
        <f>IFERROR(__xludf.DUMMYFUNCTION("""COMPUTED_VALUE"""),44022.66666666667)</f>
        <v>44022.66667</v>
      </c>
      <c r="W671" s="9">
        <f>IFERROR(__xludf.DUMMYFUNCTION("""COMPUTED_VALUE"""),519.73)</f>
        <v>519.73</v>
      </c>
      <c r="X671" s="11">
        <f>IFERROR(__xludf.DUMMYFUNCTION("""COMPUTED_VALUE"""),44022.66666666667)</f>
        <v>44022.66667</v>
      </c>
      <c r="Y671" s="9">
        <f>IFERROR(__xludf.DUMMYFUNCTION("""COMPUTED_VALUE"""),548.73)</f>
        <v>548.73</v>
      </c>
      <c r="AA671" s="11">
        <f>IFERROR(__xludf.DUMMYFUNCTION("""COMPUTED_VALUE"""),44022.66666666667)</f>
        <v>44022.66667</v>
      </c>
      <c r="AB671" s="9">
        <f>IFERROR(__xludf.DUMMYFUNCTION("""COMPUTED_VALUE"""),3191.76)</f>
        <v>3191.76</v>
      </c>
      <c r="AC671" s="11">
        <f>IFERROR(__xludf.DUMMYFUNCTION("""COMPUTED_VALUE"""),44022.66666666667)</f>
        <v>44022.66667</v>
      </c>
      <c r="AD671" s="9">
        <f>IFERROR(__xludf.DUMMYFUNCTION("""COMPUTED_VALUE"""),3200.0)</f>
        <v>3200</v>
      </c>
    </row>
    <row r="672">
      <c r="B672" s="11">
        <f>IFERROR(__xludf.DUMMYFUNCTION("""COMPUTED_VALUE"""),44025.66666666667)</f>
        <v>44025.66667</v>
      </c>
      <c r="C672" s="9">
        <f>IFERROR(__xludf.DUMMYFUNCTION("""COMPUTED_VALUE"""),331.8)</f>
        <v>331.8</v>
      </c>
      <c r="D672" s="11">
        <f>IFERROR(__xludf.DUMMYFUNCTION("""COMPUTED_VALUE"""),44025.66666666667)</f>
        <v>44025.66667</v>
      </c>
      <c r="E672" s="9">
        <f>IFERROR(__xludf.DUMMYFUNCTION("""COMPUTED_VALUE"""),299.41)</f>
        <v>299.41</v>
      </c>
      <c r="G672" s="11">
        <f>IFERROR(__xludf.DUMMYFUNCTION("""COMPUTED_VALUE"""),44025.66666666667)</f>
        <v>44025.66667</v>
      </c>
      <c r="H672" s="9">
        <f>IFERROR(__xludf.DUMMYFUNCTION("""COMPUTED_VALUE"""),1550.0)</f>
        <v>1550</v>
      </c>
      <c r="I672" s="11">
        <f>IFERROR(__xludf.DUMMYFUNCTION("""COMPUTED_VALUE"""),44025.66666666667)</f>
        <v>44025.66667</v>
      </c>
      <c r="J672" s="9">
        <f>IFERROR(__xludf.DUMMYFUNCTION("""COMPUTED_VALUE"""),1511.34)</f>
        <v>1511.34</v>
      </c>
      <c r="L672" s="11">
        <f>IFERROR(__xludf.DUMMYFUNCTION("""COMPUTED_VALUE"""),44025.66666666667)</f>
        <v>44025.66667</v>
      </c>
      <c r="M672" s="9">
        <f>IFERROR(__xludf.DUMMYFUNCTION("""COMPUTED_VALUE"""),97.27)</f>
        <v>97.27</v>
      </c>
      <c r="N672" s="11">
        <f>IFERROR(__xludf.DUMMYFUNCTION("""COMPUTED_VALUE"""),44025.66666666667)</f>
        <v>44025.66667</v>
      </c>
      <c r="O672" s="9">
        <f>IFERROR(__xludf.DUMMYFUNCTION("""COMPUTED_VALUE"""),95.48)</f>
        <v>95.48</v>
      </c>
      <c r="Q672" s="11">
        <f>IFERROR(__xludf.DUMMYFUNCTION("""COMPUTED_VALUE"""),44025.66666666667)</f>
        <v>44025.66667</v>
      </c>
      <c r="R672" s="9">
        <f>IFERROR(__xludf.DUMMYFUNCTION("""COMPUTED_VALUE"""),247.01)</f>
        <v>247.01</v>
      </c>
      <c r="S672" s="11">
        <f>IFERROR(__xludf.DUMMYFUNCTION("""COMPUTED_VALUE"""),44025.66666666667)</f>
        <v>44025.66667</v>
      </c>
      <c r="T672" s="9">
        <f>IFERROR(__xludf.DUMMYFUNCTION("""COMPUTED_VALUE"""),239.0)</f>
        <v>239</v>
      </c>
      <c r="V672" s="11">
        <f>IFERROR(__xludf.DUMMYFUNCTION("""COMPUTED_VALUE"""),44025.66666666667)</f>
        <v>44025.66667</v>
      </c>
      <c r="W672" s="9">
        <f>IFERROR(__xludf.DUMMYFUNCTION("""COMPUTED_VALUE"""),567.98)</f>
        <v>567.98</v>
      </c>
      <c r="X672" s="11">
        <f>IFERROR(__xludf.DUMMYFUNCTION("""COMPUTED_VALUE"""),44025.66666666667)</f>
        <v>44025.66667</v>
      </c>
      <c r="Y672" s="9">
        <f>IFERROR(__xludf.DUMMYFUNCTION("""COMPUTED_VALUE"""),525.5)</f>
        <v>525.5</v>
      </c>
      <c r="AA672" s="11">
        <f>IFERROR(__xludf.DUMMYFUNCTION("""COMPUTED_VALUE"""),44025.66666666667)</f>
        <v>44025.66667</v>
      </c>
      <c r="AB672" s="9">
        <f>IFERROR(__xludf.DUMMYFUNCTION("""COMPUTED_VALUE"""),3251.06)</f>
        <v>3251.06</v>
      </c>
      <c r="AC672" s="11">
        <f>IFERROR(__xludf.DUMMYFUNCTION("""COMPUTED_VALUE"""),44025.66666666667)</f>
        <v>44025.66667</v>
      </c>
      <c r="AD672" s="9">
        <f>IFERROR(__xludf.DUMMYFUNCTION("""COMPUTED_VALUE"""),3104.0)</f>
        <v>3104</v>
      </c>
    </row>
    <row r="673">
      <c r="B673" s="11">
        <f>IFERROR(__xludf.DUMMYFUNCTION("""COMPUTED_VALUE"""),44026.66666666667)</f>
        <v>44026.66667</v>
      </c>
      <c r="C673" s="9">
        <f>IFERROR(__xludf.DUMMYFUNCTION("""COMPUTED_VALUE"""),311.2)</f>
        <v>311.2</v>
      </c>
      <c r="D673" s="11">
        <f>IFERROR(__xludf.DUMMYFUNCTION("""COMPUTED_VALUE"""),44026.66666666667)</f>
        <v>44026.66667</v>
      </c>
      <c r="E673" s="9">
        <f>IFERROR(__xludf.DUMMYFUNCTION("""COMPUTED_VALUE"""),303.36)</f>
        <v>303.36</v>
      </c>
      <c r="G673" s="11">
        <f>IFERROR(__xludf.DUMMYFUNCTION("""COMPUTED_VALUE"""),44026.66666666667)</f>
        <v>44026.66667</v>
      </c>
      <c r="H673" s="9">
        <f>IFERROR(__xludf.DUMMYFUNCTION("""COMPUTED_VALUE"""),1490.31)</f>
        <v>1490.31</v>
      </c>
      <c r="I673" s="11">
        <f>IFERROR(__xludf.DUMMYFUNCTION("""COMPUTED_VALUE"""),44026.66666666667)</f>
        <v>44026.66667</v>
      </c>
      <c r="J673" s="9">
        <f>IFERROR(__xludf.DUMMYFUNCTION("""COMPUTED_VALUE"""),1520.58)</f>
        <v>1520.58</v>
      </c>
      <c r="L673" s="11">
        <f>IFERROR(__xludf.DUMMYFUNCTION("""COMPUTED_VALUE"""),44026.66666666667)</f>
        <v>44026.66667</v>
      </c>
      <c r="M673" s="9">
        <f>IFERROR(__xludf.DUMMYFUNCTION("""COMPUTED_VALUE"""),94.84)</f>
        <v>94.84</v>
      </c>
      <c r="N673" s="11">
        <f>IFERROR(__xludf.DUMMYFUNCTION("""COMPUTED_VALUE"""),44026.66666666667)</f>
        <v>44026.66667</v>
      </c>
      <c r="O673" s="9">
        <f>IFERROR(__xludf.DUMMYFUNCTION("""COMPUTED_VALUE"""),97.06)</f>
        <v>97.06</v>
      </c>
      <c r="Q673" s="11">
        <f>IFERROR(__xludf.DUMMYFUNCTION("""COMPUTED_VALUE"""),44026.66666666667)</f>
        <v>44026.66667</v>
      </c>
      <c r="R673" s="9">
        <f>IFERROR(__xludf.DUMMYFUNCTION("""COMPUTED_VALUE"""),236.76)</f>
        <v>236.76</v>
      </c>
      <c r="S673" s="11">
        <f>IFERROR(__xludf.DUMMYFUNCTION("""COMPUTED_VALUE"""),44026.66666666667)</f>
        <v>44026.66667</v>
      </c>
      <c r="T673" s="9">
        <f>IFERROR(__xludf.DUMMYFUNCTION("""COMPUTED_VALUE"""),239.73)</f>
        <v>239.73</v>
      </c>
      <c r="V673" s="11">
        <f>IFERROR(__xludf.DUMMYFUNCTION("""COMPUTED_VALUE"""),44026.66666666667)</f>
        <v>44026.66667</v>
      </c>
      <c r="W673" s="9">
        <f>IFERROR(__xludf.DUMMYFUNCTION("""COMPUTED_VALUE"""),517.08)</f>
        <v>517.08</v>
      </c>
      <c r="X673" s="11">
        <f>IFERROR(__xludf.DUMMYFUNCTION("""COMPUTED_VALUE"""),44026.66666666667)</f>
        <v>44026.66667</v>
      </c>
      <c r="Y673" s="9">
        <f>IFERROR(__xludf.DUMMYFUNCTION("""COMPUTED_VALUE"""),524.88)</f>
        <v>524.88</v>
      </c>
      <c r="AA673" s="11">
        <f>IFERROR(__xludf.DUMMYFUNCTION("""COMPUTED_VALUE"""),44026.66666666667)</f>
        <v>44026.66667</v>
      </c>
      <c r="AB673" s="9">
        <f>IFERROR(__xludf.DUMMYFUNCTION("""COMPUTED_VALUE"""),3089.0)</f>
        <v>3089</v>
      </c>
      <c r="AC673" s="11">
        <f>IFERROR(__xludf.DUMMYFUNCTION("""COMPUTED_VALUE"""),44026.66666666667)</f>
        <v>44026.66667</v>
      </c>
      <c r="AD673" s="9">
        <f>IFERROR(__xludf.DUMMYFUNCTION("""COMPUTED_VALUE"""),3084.0)</f>
        <v>3084</v>
      </c>
    </row>
    <row r="674">
      <c r="B674" s="11">
        <f>IFERROR(__xludf.DUMMYFUNCTION("""COMPUTED_VALUE"""),44027.66666666667)</f>
        <v>44027.66667</v>
      </c>
      <c r="C674" s="9">
        <f>IFERROR(__xludf.DUMMYFUNCTION("""COMPUTED_VALUE"""),308.6)</f>
        <v>308.6</v>
      </c>
      <c r="D674" s="11">
        <f>IFERROR(__xludf.DUMMYFUNCTION("""COMPUTED_VALUE"""),44027.66666666667)</f>
        <v>44027.66667</v>
      </c>
      <c r="E674" s="9">
        <f>IFERROR(__xludf.DUMMYFUNCTION("""COMPUTED_VALUE"""),309.2)</f>
        <v>309.2</v>
      </c>
      <c r="G674" s="11">
        <f>IFERROR(__xludf.DUMMYFUNCTION("""COMPUTED_VALUE"""),44027.66666666667)</f>
        <v>44027.66667</v>
      </c>
      <c r="H674" s="9">
        <f>IFERROR(__xludf.DUMMYFUNCTION("""COMPUTED_VALUE"""),1523.13)</f>
        <v>1523.13</v>
      </c>
      <c r="I674" s="11">
        <f>IFERROR(__xludf.DUMMYFUNCTION("""COMPUTED_VALUE"""),44027.66666666667)</f>
        <v>44027.66667</v>
      </c>
      <c r="J674" s="9">
        <f>IFERROR(__xludf.DUMMYFUNCTION("""COMPUTED_VALUE"""),1513.64)</f>
        <v>1513.64</v>
      </c>
      <c r="L674" s="11">
        <f>IFERROR(__xludf.DUMMYFUNCTION("""COMPUTED_VALUE"""),44027.66666666667)</f>
        <v>44027.66667</v>
      </c>
      <c r="M674" s="9">
        <f>IFERROR(__xludf.DUMMYFUNCTION("""COMPUTED_VALUE"""),98.99)</f>
        <v>98.99</v>
      </c>
      <c r="N674" s="11">
        <f>IFERROR(__xludf.DUMMYFUNCTION("""COMPUTED_VALUE"""),44027.66666666667)</f>
        <v>44027.66667</v>
      </c>
      <c r="O674" s="9">
        <f>IFERROR(__xludf.DUMMYFUNCTION("""COMPUTED_VALUE"""),97.73)</f>
        <v>97.73</v>
      </c>
      <c r="Q674" s="11">
        <f>IFERROR(__xludf.DUMMYFUNCTION("""COMPUTED_VALUE"""),44027.66666666667)</f>
        <v>44027.66667</v>
      </c>
      <c r="R674" s="9">
        <f>IFERROR(__xludf.DUMMYFUNCTION("""COMPUTED_VALUE"""),241.55)</f>
        <v>241.55</v>
      </c>
      <c r="S674" s="11">
        <f>IFERROR(__xludf.DUMMYFUNCTION("""COMPUTED_VALUE"""),44027.66666666667)</f>
        <v>44027.66667</v>
      </c>
      <c r="T674" s="9">
        <f>IFERROR(__xludf.DUMMYFUNCTION("""COMPUTED_VALUE"""),240.28)</f>
        <v>240.28</v>
      </c>
      <c r="V674" s="11">
        <f>IFERROR(__xludf.DUMMYFUNCTION("""COMPUTED_VALUE"""),44027.66666666667)</f>
        <v>44027.66667</v>
      </c>
      <c r="W674" s="9">
        <f>IFERROR(__xludf.DUMMYFUNCTION("""COMPUTED_VALUE"""),516.3)</f>
        <v>516.3</v>
      </c>
      <c r="X674" s="11">
        <f>IFERROR(__xludf.DUMMYFUNCTION("""COMPUTED_VALUE"""),44027.66666666667)</f>
        <v>44027.66667</v>
      </c>
      <c r="Y674" s="9">
        <f>IFERROR(__xludf.DUMMYFUNCTION("""COMPUTED_VALUE"""),523.26)</f>
        <v>523.26</v>
      </c>
      <c r="AA674" s="11">
        <f>IFERROR(__xludf.DUMMYFUNCTION("""COMPUTED_VALUE"""),44027.66666666667)</f>
        <v>44027.66667</v>
      </c>
      <c r="AB674" s="9">
        <f>IFERROR(__xludf.DUMMYFUNCTION("""COMPUTED_VALUE"""),3080.23)</f>
        <v>3080.23</v>
      </c>
      <c r="AC674" s="11">
        <f>IFERROR(__xludf.DUMMYFUNCTION("""COMPUTED_VALUE"""),44027.66666666667)</f>
        <v>44027.66667</v>
      </c>
      <c r="AD674" s="9">
        <f>IFERROR(__xludf.DUMMYFUNCTION("""COMPUTED_VALUE"""),3008.87)</f>
        <v>3008.87</v>
      </c>
    </row>
    <row r="675">
      <c r="B675" s="11">
        <f>IFERROR(__xludf.DUMMYFUNCTION("""COMPUTED_VALUE"""),44028.66666666667)</f>
        <v>44028.66667</v>
      </c>
      <c r="C675" s="9">
        <f>IFERROR(__xludf.DUMMYFUNCTION("""COMPUTED_VALUE"""),295.43)</f>
        <v>295.43</v>
      </c>
      <c r="D675" s="11">
        <f>IFERROR(__xludf.DUMMYFUNCTION("""COMPUTED_VALUE"""),44028.66666666667)</f>
        <v>44028.66667</v>
      </c>
      <c r="E675" s="9">
        <f>IFERROR(__xludf.DUMMYFUNCTION("""COMPUTED_VALUE"""),300.13)</f>
        <v>300.13</v>
      </c>
      <c r="G675" s="11">
        <f>IFERROR(__xludf.DUMMYFUNCTION("""COMPUTED_VALUE"""),44028.66666666667)</f>
        <v>44028.66667</v>
      </c>
      <c r="H675" s="9">
        <f>IFERROR(__xludf.DUMMYFUNCTION("""COMPUTED_VALUE"""),1500.0)</f>
        <v>1500</v>
      </c>
      <c r="I675" s="11">
        <f>IFERROR(__xludf.DUMMYFUNCTION("""COMPUTED_VALUE"""),44028.66666666667)</f>
        <v>44028.66667</v>
      </c>
      <c r="J675" s="9">
        <f>IFERROR(__xludf.DUMMYFUNCTION("""COMPUTED_VALUE"""),1518.0)</f>
        <v>1518</v>
      </c>
      <c r="L675" s="11">
        <f>IFERROR(__xludf.DUMMYFUNCTION("""COMPUTED_VALUE"""),44028.66666666667)</f>
        <v>44028.66667</v>
      </c>
      <c r="M675" s="9">
        <f>IFERROR(__xludf.DUMMYFUNCTION("""COMPUTED_VALUE"""),96.56)</f>
        <v>96.56</v>
      </c>
      <c r="N675" s="11">
        <f>IFERROR(__xludf.DUMMYFUNCTION("""COMPUTED_VALUE"""),44028.66666666667)</f>
        <v>44028.66667</v>
      </c>
      <c r="O675" s="9">
        <f>IFERROR(__xludf.DUMMYFUNCTION("""COMPUTED_VALUE"""),96.52)</f>
        <v>96.52</v>
      </c>
      <c r="Q675" s="11">
        <f>IFERROR(__xludf.DUMMYFUNCTION("""COMPUTED_VALUE"""),44028.66666666667)</f>
        <v>44028.66667</v>
      </c>
      <c r="R675" s="9">
        <f>IFERROR(__xludf.DUMMYFUNCTION("""COMPUTED_VALUE"""),238.0)</f>
        <v>238</v>
      </c>
      <c r="S675" s="11">
        <f>IFERROR(__xludf.DUMMYFUNCTION("""COMPUTED_VALUE"""),44028.66666666667)</f>
        <v>44028.66667</v>
      </c>
      <c r="T675" s="9">
        <f>IFERROR(__xludf.DUMMYFUNCTION("""COMPUTED_VALUE"""),240.93)</f>
        <v>240.93</v>
      </c>
      <c r="V675" s="11">
        <f>IFERROR(__xludf.DUMMYFUNCTION("""COMPUTED_VALUE"""),44028.66666666667)</f>
        <v>44028.66667</v>
      </c>
      <c r="W675" s="9">
        <f>IFERROR(__xludf.DUMMYFUNCTION("""COMPUTED_VALUE"""),526.48)</f>
        <v>526.48</v>
      </c>
      <c r="X675" s="11">
        <f>IFERROR(__xludf.DUMMYFUNCTION("""COMPUTED_VALUE"""),44028.66666666667)</f>
        <v>44028.66667</v>
      </c>
      <c r="Y675" s="9">
        <f>IFERROR(__xludf.DUMMYFUNCTION("""COMPUTED_VALUE"""),527.39)</f>
        <v>527.39</v>
      </c>
      <c r="AA675" s="11">
        <f>IFERROR(__xludf.DUMMYFUNCTION("""COMPUTED_VALUE"""),44028.66666666667)</f>
        <v>44028.66667</v>
      </c>
      <c r="AB675" s="9">
        <f>IFERROR(__xludf.DUMMYFUNCTION("""COMPUTED_VALUE"""),2971.06)</f>
        <v>2971.06</v>
      </c>
      <c r="AC675" s="11">
        <f>IFERROR(__xludf.DUMMYFUNCTION("""COMPUTED_VALUE"""),44028.66666666667)</f>
        <v>44028.66667</v>
      </c>
      <c r="AD675" s="9">
        <f>IFERROR(__xludf.DUMMYFUNCTION("""COMPUTED_VALUE"""),2999.9)</f>
        <v>2999.9</v>
      </c>
    </row>
    <row r="676">
      <c r="B676" s="11">
        <f>IFERROR(__xludf.DUMMYFUNCTION("""COMPUTED_VALUE"""),44029.66666666667)</f>
        <v>44029.66667</v>
      </c>
      <c r="C676" s="9">
        <f>IFERROR(__xludf.DUMMYFUNCTION("""COMPUTED_VALUE"""),302.69)</f>
        <v>302.69</v>
      </c>
      <c r="D676" s="11">
        <f>IFERROR(__xludf.DUMMYFUNCTION("""COMPUTED_VALUE"""),44029.66666666667)</f>
        <v>44029.66667</v>
      </c>
      <c r="E676" s="9">
        <f>IFERROR(__xludf.DUMMYFUNCTION("""COMPUTED_VALUE"""),300.17)</f>
        <v>300.17</v>
      </c>
      <c r="G676" s="11">
        <f>IFERROR(__xludf.DUMMYFUNCTION("""COMPUTED_VALUE"""),44029.66666666667)</f>
        <v>44029.66667</v>
      </c>
      <c r="H676" s="9">
        <f>IFERROR(__xludf.DUMMYFUNCTION("""COMPUTED_VALUE"""),1521.62)</f>
        <v>1521.62</v>
      </c>
      <c r="I676" s="11">
        <f>IFERROR(__xludf.DUMMYFUNCTION("""COMPUTED_VALUE"""),44029.66666666667)</f>
        <v>44029.66667</v>
      </c>
      <c r="J676" s="9">
        <f>IFERROR(__xludf.DUMMYFUNCTION("""COMPUTED_VALUE"""),1515.55)</f>
        <v>1515.55</v>
      </c>
      <c r="L676" s="11">
        <f>IFERROR(__xludf.DUMMYFUNCTION("""COMPUTED_VALUE"""),44029.66666666667)</f>
        <v>44029.66667</v>
      </c>
      <c r="M676" s="9">
        <f>IFERROR(__xludf.DUMMYFUNCTION("""COMPUTED_VALUE"""),96.99)</f>
        <v>96.99</v>
      </c>
      <c r="N676" s="11">
        <f>IFERROR(__xludf.DUMMYFUNCTION("""COMPUTED_VALUE"""),44029.66666666667)</f>
        <v>44029.66667</v>
      </c>
      <c r="O676" s="9">
        <f>IFERROR(__xludf.DUMMYFUNCTION("""COMPUTED_VALUE"""),96.33)</f>
        <v>96.33</v>
      </c>
      <c r="Q676" s="11">
        <f>IFERROR(__xludf.DUMMYFUNCTION("""COMPUTED_VALUE"""),44029.66666666667)</f>
        <v>44029.66667</v>
      </c>
      <c r="R676" s="9">
        <f>IFERROR(__xludf.DUMMYFUNCTION("""COMPUTED_VALUE"""),241.0)</f>
        <v>241</v>
      </c>
      <c r="S676" s="11">
        <f>IFERROR(__xludf.DUMMYFUNCTION("""COMPUTED_VALUE"""),44029.66666666667)</f>
        <v>44029.66667</v>
      </c>
      <c r="T676" s="9">
        <f>IFERROR(__xludf.DUMMYFUNCTION("""COMPUTED_VALUE"""),242.03)</f>
        <v>242.03</v>
      </c>
      <c r="V676" s="11">
        <f>IFERROR(__xludf.DUMMYFUNCTION("""COMPUTED_VALUE"""),44029.66666666667)</f>
        <v>44029.66667</v>
      </c>
      <c r="W676" s="9">
        <f>IFERROR(__xludf.DUMMYFUNCTION("""COMPUTED_VALUE"""),494.87)</f>
        <v>494.87</v>
      </c>
      <c r="X676" s="11">
        <f>IFERROR(__xludf.DUMMYFUNCTION("""COMPUTED_VALUE"""),44029.66666666667)</f>
        <v>44029.66667</v>
      </c>
      <c r="Y676" s="9">
        <f>IFERROR(__xludf.DUMMYFUNCTION("""COMPUTED_VALUE"""),492.99)</f>
        <v>492.99</v>
      </c>
      <c r="AA676" s="11">
        <f>IFERROR(__xludf.DUMMYFUNCTION("""COMPUTED_VALUE"""),44029.66666666667)</f>
        <v>44029.66667</v>
      </c>
      <c r="AB676" s="9">
        <f>IFERROR(__xludf.DUMMYFUNCTION("""COMPUTED_VALUE"""),3009.0)</f>
        <v>3009</v>
      </c>
      <c r="AC676" s="11">
        <f>IFERROR(__xludf.DUMMYFUNCTION("""COMPUTED_VALUE"""),44029.66666666667)</f>
        <v>44029.66667</v>
      </c>
      <c r="AD676" s="9">
        <f>IFERROR(__xludf.DUMMYFUNCTION("""COMPUTED_VALUE"""),2961.97)</f>
        <v>2961.97</v>
      </c>
    </row>
    <row r="677">
      <c r="B677" s="11">
        <f>IFERROR(__xludf.DUMMYFUNCTION("""COMPUTED_VALUE"""),44032.66666666667)</f>
        <v>44032.66667</v>
      </c>
      <c r="C677" s="9">
        <f>IFERROR(__xludf.DUMMYFUNCTION("""COMPUTED_VALUE"""),303.8)</f>
        <v>303.8</v>
      </c>
      <c r="D677" s="11">
        <f>IFERROR(__xludf.DUMMYFUNCTION("""COMPUTED_VALUE"""),44032.66666666667)</f>
        <v>44032.66667</v>
      </c>
      <c r="E677" s="9">
        <f>IFERROR(__xludf.DUMMYFUNCTION("""COMPUTED_VALUE"""),328.6)</f>
        <v>328.6</v>
      </c>
      <c r="G677" s="11">
        <f>IFERROR(__xludf.DUMMYFUNCTION("""COMPUTED_VALUE"""),44032.66666666667)</f>
        <v>44032.66667</v>
      </c>
      <c r="H677" s="9">
        <f>IFERROR(__xludf.DUMMYFUNCTION("""COMPUTED_VALUE"""),1515.26)</f>
        <v>1515.26</v>
      </c>
      <c r="I677" s="11">
        <f>IFERROR(__xludf.DUMMYFUNCTION("""COMPUTED_VALUE"""),44032.66666666667)</f>
        <v>44032.66667</v>
      </c>
      <c r="J677" s="9">
        <f>IFERROR(__xludf.DUMMYFUNCTION("""COMPUTED_VALUE"""),1565.72)</f>
        <v>1565.72</v>
      </c>
      <c r="L677" s="11">
        <f>IFERROR(__xludf.DUMMYFUNCTION("""COMPUTED_VALUE"""),44032.66666666667)</f>
        <v>44032.66667</v>
      </c>
      <c r="M677" s="9">
        <f>IFERROR(__xludf.DUMMYFUNCTION("""COMPUTED_VALUE"""),96.42)</f>
        <v>96.42</v>
      </c>
      <c r="N677" s="11">
        <f>IFERROR(__xludf.DUMMYFUNCTION("""COMPUTED_VALUE"""),44032.66666666667)</f>
        <v>44032.66667</v>
      </c>
      <c r="O677" s="9">
        <f>IFERROR(__xludf.DUMMYFUNCTION("""COMPUTED_VALUE"""),98.36)</f>
        <v>98.36</v>
      </c>
      <c r="Q677" s="11">
        <f>IFERROR(__xludf.DUMMYFUNCTION("""COMPUTED_VALUE"""),44032.66666666667)</f>
        <v>44032.66667</v>
      </c>
      <c r="R677" s="9">
        <f>IFERROR(__xludf.DUMMYFUNCTION("""COMPUTED_VALUE"""),240.06)</f>
        <v>240.06</v>
      </c>
      <c r="S677" s="11">
        <f>IFERROR(__xludf.DUMMYFUNCTION("""COMPUTED_VALUE"""),44032.66666666667)</f>
        <v>44032.66667</v>
      </c>
      <c r="T677" s="9">
        <f>IFERROR(__xludf.DUMMYFUNCTION("""COMPUTED_VALUE"""),245.42)</f>
        <v>245.42</v>
      </c>
      <c r="V677" s="11">
        <f>IFERROR(__xludf.DUMMYFUNCTION("""COMPUTED_VALUE"""),44032.66666666667)</f>
        <v>44032.66667</v>
      </c>
      <c r="W677" s="9">
        <f>IFERROR(__xludf.DUMMYFUNCTION("""COMPUTED_VALUE"""),489.14)</f>
        <v>489.14</v>
      </c>
      <c r="X677" s="11">
        <f>IFERROR(__xludf.DUMMYFUNCTION("""COMPUTED_VALUE"""),44032.66666666667)</f>
        <v>44032.66667</v>
      </c>
      <c r="Y677" s="9">
        <f>IFERROR(__xludf.DUMMYFUNCTION("""COMPUTED_VALUE"""),502.41)</f>
        <v>502.41</v>
      </c>
      <c r="AA677" s="11">
        <f>IFERROR(__xludf.DUMMYFUNCTION("""COMPUTED_VALUE"""),44032.66666666667)</f>
        <v>44032.66667</v>
      </c>
      <c r="AB677" s="9">
        <f>IFERROR(__xludf.DUMMYFUNCTION("""COMPUTED_VALUE"""),3000.2)</f>
        <v>3000.2</v>
      </c>
      <c r="AC677" s="11">
        <f>IFERROR(__xludf.DUMMYFUNCTION("""COMPUTED_VALUE"""),44032.66666666667)</f>
        <v>44032.66667</v>
      </c>
      <c r="AD677" s="9">
        <f>IFERROR(__xludf.DUMMYFUNCTION("""COMPUTED_VALUE"""),3196.84)</f>
        <v>3196.84</v>
      </c>
    </row>
    <row r="678">
      <c r="B678" s="11">
        <f>IFERROR(__xludf.DUMMYFUNCTION("""COMPUTED_VALUE"""),44033.66666666667)</f>
        <v>44033.66667</v>
      </c>
      <c r="C678" s="9">
        <f>IFERROR(__xludf.DUMMYFUNCTION("""COMPUTED_VALUE"""),327.99)</f>
        <v>327.99</v>
      </c>
      <c r="D678" s="11">
        <f>IFERROR(__xludf.DUMMYFUNCTION("""COMPUTED_VALUE"""),44033.66666666667)</f>
        <v>44033.66667</v>
      </c>
      <c r="E678" s="9">
        <f>IFERROR(__xludf.DUMMYFUNCTION("""COMPUTED_VALUE"""),313.67)</f>
        <v>313.67</v>
      </c>
      <c r="G678" s="11">
        <f>IFERROR(__xludf.DUMMYFUNCTION("""COMPUTED_VALUE"""),44033.66666666667)</f>
        <v>44033.66667</v>
      </c>
      <c r="H678" s="9">
        <f>IFERROR(__xludf.DUMMYFUNCTION("""COMPUTED_VALUE"""),1586.99)</f>
        <v>1586.99</v>
      </c>
      <c r="I678" s="11">
        <f>IFERROR(__xludf.DUMMYFUNCTION("""COMPUTED_VALUE"""),44033.66666666667)</f>
        <v>44033.66667</v>
      </c>
      <c r="J678" s="9">
        <f>IFERROR(__xludf.DUMMYFUNCTION("""COMPUTED_VALUE"""),1558.42)</f>
        <v>1558.42</v>
      </c>
      <c r="L678" s="11">
        <f>IFERROR(__xludf.DUMMYFUNCTION("""COMPUTED_VALUE"""),44033.66666666667)</f>
        <v>44033.66667</v>
      </c>
      <c r="M678" s="9">
        <f>IFERROR(__xludf.DUMMYFUNCTION("""COMPUTED_VALUE"""),99.17)</f>
        <v>99.17</v>
      </c>
      <c r="N678" s="11">
        <f>IFERROR(__xludf.DUMMYFUNCTION("""COMPUTED_VALUE"""),44033.66666666667)</f>
        <v>44033.66667</v>
      </c>
      <c r="O678" s="9">
        <f>IFERROR(__xludf.DUMMYFUNCTION("""COMPUTED_VALUE"""),97.0)</f>
        <v>97</v>
      </c>
      <c r="Q678" s="11">
        <f>IFERROR(__xludf.DUMMYFUNCTION("""COMPUTED_VALUE"""),44033.66666666667)</f>
        <v>44033.66667</v>
      </c>
      <c r="R678" s="9">
        <f>IFERROR(__xludf.DUMMYFUNCTION("""COMPUTED_VALUE"""),246.22)</f>
        <v>246.22</v>
      </c>
      <c r="S678" s="11">
        <f>IFERROR(__xludf.DUMMYFUNCTION("""COMPUTED_VALUE"""),44033.66666666667)</f>
        <v>44033.66667</v>
      </c>
      <c r="T678" s="9">
        <f>IFERROR(__xludf.DUMMYFUNCTION("""COMPUTED_VALUE"""),241.75)</f>
        <v>241.75</v>
      </c>
      <c r="V678" s="11">
        <f>IFERROR(__xludf.DUMMYFUNCTION("""COMPUTED_VALUE"""),44033.66666666667)</f>
        <v>44033.66667</v>
      </c>
      <c r="W678" s="9">
        <f>IFERROR(__xludf.DUMMYFUNCTION("""COMPUTED_VALUE"""),506.0)</f>
        <v>506</v>
      </c>
      <c r="X678" s="11">
        <f>IFERROR(__xludf.DUMMYFUNCTION("""COMPUTED_VALUE"""),44033.66666666667)</f>
        <v>44033.66667</v>
      </c>
      <c r="Y678" s="9">
        <f>IFERROR(__xludf.DUMMYFUNCTION("""COMPUTED_VALUE"""),490.1)</f>
        <v>490.1</v>
      </c>
      <c r="AA678" s="11">
        <f>IFERROR(__xludf.DUMMYFUNCTION("""COMPUTED_VALUE"""),44033.66666666667)</f>
        <v>44033.66667</v>
      </c>
      <c r="AB678" s="9">
        <f>IFERROR(__xludf.DUMMYFUNCTION("""COMPUTED_VALUE"""),3232.49)</f>
        <v>3232.49</v>
      </c>
      <c r="AC678" s="11">
        <f>IFERROR(__xludf.DUMMYFUNCTION("""COMPUTED_VALUE"""),44033.66666666667)</f>
        <v>44033.66667</v>
      </c>
      <c r="AD678" s="9">
        <f>IFERROR(__xludf.DUMMYFUNCTION("""COMPUTED_VALUE"""),3138.29)</f>
        <v>3138.29</v>
      </c>
    </row>
    <row r="679">
      <c r="B679" s="11">
        <f>IFERROR(__xludf.DUMMYFUNCTION("""COMPUTED_VALUE"""),44034.66666666667)</f>
        <v>44034.66667</v>
      </c>
      <c r="C679" s="9">
        <f>IFERROR(__xludf.DUMMYFUNCTION("""COMPUTED_VALUE"""),319.8)</f>
        <v>319.8</v>
      </c>
      <c r="D679" s="11">
        <f>IFERROR(__xludf.DUMMYFUNCTION("""COMPUTED_VALUE"""),44034.66666666667)</f>
        <v>44034.66667</v>
      </c>
      <c r="E679" s="9">
        <f>IFERROR(__xludf.DUMMYFUNCTION("""COMPUTED_VALUE"""),318.47)</f>
        <v>318.47</v>
      </c>
      <c r="G679" s="11">
        <f>IFERROR(__xludf.DUMMYFUNCTION("""COMPUTED_VALUE"""),44034.66666666667)</f>
        <v>44034.66667</v>
      </c>
      <c r="H679" s="9">
        <f>IFERROR(__xludf.DUMMYFUNCTION("""COMPUTED_VALUE"""),1560.5)</f>
        <v>1560.5</v>
      </c>
      <c r="I679" s="11">
        <f>IFERROR(__xludf.DUMMYFUNCTION("""COMPUTED_VALUE"""),44034.66666666667)</f>
        <v>44034.66667</v>
      </c>
      <c r="J679" s="9">
        <f>IFERROR(__xludf.DUMMYFUNCTION("""COMPUTED_VALUE"""),1568.49)</f>
        <v>1568.49</v>
      </c>
      <c r="L679" s="11">
        <f>IFERROR(__xludf.DUMMYFUNCTION("""COMPUTED_VALUE"""),44034.66666666667)</f>
        <v>44034.66667</v>
      </c>
      <c r="M679" s="9">
        <f>IFERROR(__xludf.DUMMYFUNCTION("""COMPUTED_VALUE"""),96.69)</f>
        <v>96.69</v>
      </c>
      <c r="N679" s="11">
        <f>IFERROR(__xludf.DUMMYFUNCTION("""COMPUTED_VALUE"""),44034.66666666667)</f>
        <v>44034.66667</v>
      </c>
      <c r="O679" s="9">
        <f>IFERROR(__xludf.DUMMYFUNCTION("""COMPUTED_VALUE"""),97.27)</f>
        <v>97.27</v>
      </c>
      <c r="Q679" s="11">
        <f>IFERROR(__xludf.DUMMYFUNCTION("""COMPUTED_VALUE"""),44034.66666666667)</f>
        <v>44034.66667</v>
      </c>
      <c r="R679" s="9">
        <f>IFERROR(__xludf.DUMMYFUNCTION("""COMPUTED_VALUE"""),240.26)</f>
        <v>240.26</v>
      </c>
      <c r="S679" s="11">
        <f>IFERROR(__xludf.DUMMYFUNCTION("""COMPUTED_VALUE"""),44034.66666666667)</f>
        <v>44034.66667</v>
      </c>
      <c r="T679" s="9">
        <f>IFERROR(__xludf.DUMMYFUNCTION("""COMPUTED_VALUE"""),239.87)</f>
        <v>239.87</v>
      </c>
      <c r="V679" s="11">
        <f>IFERROR(__xludf.DUMMYFUNCTION("""COMPUTED_VALUE"""),44034.66666666667)</f>
        <v>44034.66667</v>
      </c>
      <c r="W679" s="9">
        <f>IFERROR(__xludf.DUMMYFUNCTION("""COMPUTED_VALUE"""),492.19)</f>
        <v>492.19</v>
      </c>
      <c r="X679" s="11">
        <f>IFERROR(__xludf.DUMMYFUNCTION("""COMPUTED_VALUE"""),44034.66666666667)</f>
        <v>44034.66667</v>
      </c>
      <c r="Y679" s="9">
        <f>IFERROR(__xludf.DUMMYFUNCTION("""COMPUTED_VALUE"""),489.82)</f>
        <v>489.82</v>
      </c>
      <c r="AA679" s="11">
        <f>IFERROR(__xludf.DUMMYFUNCTION("""COMPUTED_VALUE"""),44034.66666666667)</f>
        <v>44034.66667</v>
      </c>
      <c r="AB679" s="9">
        <f>IFERROR(__xludf.DUMMYFUNCTION("""COMPUTED_VALUE"""),3125.0)</f>
        <v>3125</v>
      </c>
      <c r="AC679" s="11">
        <f>IFERROR(__xludf.DUMMYFUNCTION("""COMPUTED_VALUE"""),44034.66666666667)</f>
        <v>44034.66667</v>
      </c>
      <c r="AD679" s="9">
        <f>IFERROR(__xludf.DUMMYFUNCTION("""COMPUTED_VALUE"""),3099.91)</f>
        <v>3099.91</v>
      </c>
    </row>
    <row r="680">
      <c r="B680" s="11">
        <f>IFERROR(__xludf.DUMMYFUNCTION("""COMPUTED_VALUE"""),44035.66666666667)</f>
        <v>44035.66667</v>
      </c>
      <c r="C680" s="9">
        <f>IFERROR(__xludf.DUMMYFUNCTION("""COMPUTED_VALUE"""),335.79)</f>
        <v>335.79</v>
      </c>
      <c r="D680" s="11">
        <f>IFERROR(__xludf.DUMMYFUNCTION("""COMPUTED_VALUE"""),44035.66666666667)</f>
        <v>44035.66667</v>
      </c>
      <c r="E680" s="9">
        <f>IFERROR(__xludf.DUMMYFUNCTION("""COMPUTED_VALUE"""),302.61)</f>
        <v>302.61</v>
      </c>
      <c r="G680" s="11">
        <f>IFERROR(__xludf.DUMMYFUNCTION("""COMPUTED_VALUE"""),44035.66666666667)</f>
        <v>44035.66667</v>
      </c>
      <c r="H680" s="9">
        <f>IFERROR(__xludf.DUMMYFUNCTION("""COMPUTED_VALUE"""),1566.97)</f>
        <v>1566.97</v>
      </c>
      <c r="I680" s="11">
        <f>IFERROR(__xludf.DUMMYFUNCTION("""COMPUTED_VALUE"""),44035.66666666667)</f>
        <v>44035.66667</v>
      </c>
      <c r="J680" s="9">
        <f>IFERROR(__xludf.DUMMYFUNCTION("""COMPUTED_VALUE"""),1515.68)</f>
        <v>1515.68</v>
      </c>
      <c r="L680" s="11">
        <f>IFERROR(__xludf.DUMMYFUNCTION("""COMPUTED_VALUE"""),44035.66666666667)</f>
        <v>44035.66667</v>
      </c>
      <c r="M680" s="9">
        <f>IFERROR(__xludf.DUMMYFUNCTION("""COMPUTED_VALUE"""),97.0)</f>
        <v>97</v>
      </c>
      <c r="N680" s="11">
        <f>IFERROR(__xludf.DUMMYFUNCTION("""COMPUTED_VALUE"""),44035.66666666667)</f>
        <v>44035.66667</v>
      </c>
      <c r="O680" s="9">
        <f>IFERROR(__xludf.DUMMYFUNCTION("""COMPUTED_VALUE"""),92.85)</f>
        <v>92.85</v>
      </c>
      <c r="Q680" s="11">
        <f>IFERROR(__xludf.DUMMYFUNCTION("""COMPUTED_VALUE"""),44035.66666666667)</f>
        <v>44035.66667</v>
      </c>
      <c r="R680" s="9">
        <f>IFERROR(__xludf.DUMMYFUNCTION("""COMPUTED_VALUE"""),239.63)</f>
        <v>239.63</v>
      </c>
      <c r="S680" s="11">
        <f>IFERROR(__xludf.DUMMYFUNCTION("""COMPUTED_VALUE"""),44035.66666666667)</f>
        <v>44035.66667</v>
      </c>
      <c r="T680" s="9">
        <f>IFERROR(__xludf.DUMMYFUNCTION("""COMPUTED_VALUE"""),232.6)</f>
        <v>232.6</v>
      </c>
      <c r="V680" s="11">
        <f>IFERROR(__xludf.DUMMYFUNCTION("""COMPUTED_VALUE"""),44035.66666666667)</f>
        <v>44035.66667</v>
      </c>
      <c r="W680" s="9">
        <f>IFERROR(__xludf.DUMMYFUNCTION("""COMPUTED_VALUE"""),491.13)</f>
        <v>491.13</v>
      </c>
      <c r="X680" s="11">
        <f>IFERROR(__xludf.DUMMYFUNCTION("""COMPUTED_VALUE"""),44035.66666666667)</f>
        <v>44035.66667</v>
      </c>
      <c r="Y680" s="9">
        <f>IFERROR(__xludf.DUMMYFUNCTION("""COMPUTED_VALUE"""),477.58)</f>
        <v>477.58</v>
      </c>
      <c r="AA680" s="11">
        <f>IFERROR(__xludf.DUMMYFUNCTION("""COMPUTED_VALUE"""),44035.66666666667)</f>
        <v>44035.66667</v>
      </c>
      <c r="AB680" s="9">
        <f>IFERROR(__xludf.DUMMYFUNCTION("""COMPUTED_VALUE"""),3098.27)</f>
        <v>3098.27</v>
      </c>
      <c r="AC680" s="11">
        <f>IFERROR(__xludf.DUMMYFUNCTION("""COMPUTED_VALUE"""),44035.66666666667)</f>
        <v>44035.66667</v>
      </c>
      <c r="AD680" s="9">
        <f>IFERROR(__xludf.DUMMYFUNCTION("""COMPUTED_VALUE"""),2986.55)</f>
        <v>2986.55</v>
      </c>
    </row>
    <row r="681">
      <c r="B681" s="11">
        <f>IFERROR(__xludf.DUMMYFUNCTION("""COMPUTED_VALUE"""),44036.66666666667)</f>
        <v>44036.66667</v>
      </c>
      <c r="C681" s="9">
        <f>IFERROR(__xludf.DUMMYFUNCTION("""COMPUTED_VALUE"""),283.2)</f>
        <v>283.2</v>
      </c>
      <c r="D681" s="11">
        <f>IFERROR(__xludf.DUMMYFUNCTION("""COMPUTED_VALUE"""),44036.66666666667)</f>
        <v>44036.66667</v>
      </c>
      <c r="E681" s="9">
        <f>IFERROR(__xludf.DUMMYFUNCTION("""COMPUTED_VALUE"""),283.4)</f>
        <v>283.4</v>
      </c>
      <c r="G681" s="11">
        <f>IFERROR(__xludf.DUMMYFUNCTION("""COMPUTED_VALUE"""),44036.66666666667)</f>
        <v>44036.66667</v>
      </c>
      <c r="H681" s="9">
        <f>IFERROR(__xludf.DUMMYFUNCTION("""COMPUTED_VALUE"""),1498.93)</f>
        <v>1498.93</v>
      </c>
      <c r="I681" s="11">
        <f>IFERROR(__xludf.DUMMYFUNCTION("""COMPUTED_VALUE"""),44036.66666666667)</f>
        <v>44036.66667</v>
      </c>
      <c r="J681" s="9">
        <f>IFERROR(__xludf.DUMMYFUNCTION("""COMPUTED_VALUE"""),1511.87)</f>
        <v>1511.87</v>
      </c>
      <c r="L681" s="11">
        <f>IFERROR(__xludf.DUMMYFUNCTION("""COMPUTED_VALUE"""),44036.66666666667)</f>
        <v>44036.66667</v>
      </c>
      <c r="M681" s="9">
        <f>IFERROR(__xludf.DUMMYFUNCTION("""COMPUTED_VALUE"""),90.99)</f>
        <v>90.99</v>
      </c>
      <c r="N681" s="11">
        <f>IFERROR(__xludf.DUMMYFUNCTION("""COMPUTED_VALUE"""),44036.66666666667)</f>
        <v>44036.66667</v>
      </c>
      <c r="O681" s="9">
        <f>IFERROR(__xludf.DUMMYFUNCTION("""COMPUTED_VALUE"""),92.62)</f>
        <v>92.62</v>
      </c>
      <c r="Q681" s="11">
        <f>IFERROR(__xludf.DUMMYFUNCTION("""COMPUTED_VALUE"""),44036.66666666667)</f>
        <v>44036.66667</v>
      </c>
      <c r="R681" s="9">
        <f>IFERROR(__xludf.DUMMYFUNCTION("""COMPUTED_VALUE"""),230.19)</f>
        <v>230.19</v>
      </c>
      <c r="S681" s="11">
        <f>IFERROR(__xludf.DUMMYFUNCTION("""COMPUTED_VALUE"""),44036.66666666667)</f>
        <v>44036.66667</v>
      </c>
      <c r="T681" s="9">
        <f>IFERROR(__xludf.DUMMYFUNCTION("""COMPUTED_VALUE"""),230.71)</f>
        <v>230.71</v>
      </c>
      <c r="V681" s="11">
        <f>IFERROR(__xludf.DUMMYFUNCTION("""COMPUTED_VALUE"""),44036.66666666667)</f>
        <v>44036.66667</v>
      </c>
      <c r="W681" s="9">
        <f>IFERROR(__xludf.DUMMYFUNCTION("""COMPUTED_VALUE"""),468.77)</f>
        <v>468.77</v>
      </c>
      <c r="X681" s="11">
        <f>IFERROR(__xludf.DUMMYFUNCTION("""COMPUTED_VALUE"""),44036.66666666667)</f>
        <v>44036.66667</v>
      </c>
      <c r="Y681" s="9">
        <f>IFERROR(__xludf.DUMMYFUNCTION("""COMPUTED_VALUE"""),480.45)</f>
        <v>480.45</v>
      </c>
      <c r="AA681" s="11">
        <f>IFERROR(__xludf.DUMMYFUNCTION("""COMPUTED_VALUE"""),44036.66666666667)</f>
        <v>44036.66667</v>
      </c>
      <c r="AB681" s="9">
        <f>IFERROR(__xludf.DUMMYFUNCTION("""COMPUTED_VALUE"""),2930.0)</f>
        <v>2930</v>
      </c>
      <c r="AC681" s="11">
        <f>IFERROR(__xludf.DUMMYFUNCTION("""COMPUTED_VALUE"""),44036.66666666667)</f>
        <v>44036.66667</v>
      </c>
      <c r="AD681" s="9">
        <f>IFERROR(__xludf.DUMMYFUNCTION("""COMPUTED_VALUE"""),3008.91)</f>
        <v>3008.91</v>
      </c>
    </row>
    <row r="682">
      <c r="B682" s="11">
        <f>IFERROR(__xludf.DUMMYFUNCTION("""COMPUTED_VALUE"""),44039.66666666667)</f>
        <v>44039.66667</v>
      </c>
      <c r="C682" s="9">
        <f>IFERROR(__xludf.DUMMYFUNCTION("""COMPUTED_VALUE"""),287.0)</f>
        <v>287</v>
      </c>
      <c r="D682" s="11">
        <f>IFERROR(__xludf.DUMMYFUNCTION("""COMPUTED_VALUE"""),44039.66666666667)</f>
        <v>44039.66667</v>
      </c>
      <c r="E682" s="9">
        <f>IFERROR(__xludf.DUMMYFUNCTION("""COMPUTED_VALUE"""),307.92)</f>
        <v>307.92</v>
      </c>
      <c r="G682" s="11">
        <f>IFERROR(__xludf.DUMMYFUNCTION("""COMPUTED_VALUE"""),44039.66666666667)</f>
        <v>44039.66667</v>
      </c>
      <c r="H682" s="9">
        <f>IFERROR(__xludf.DUMMYFUNCTION("""COMPUTED_VALUE"""),1515.6)</f>
        <v>1515.6</v>
      </c>
      <c r="I682" s="11">
        <f>IFERROR(__xludf.DUMMYFUNCTION("""COMPUTED_VALUE"""),44039.66666666667)</f>
        <v>44039.66667</v>
      </c>
      <c r="J682" s="9">
        <f>IFERROR(__xludf.DUMMYFUNCTION("""COMPUTED_VALUE"""),1530.2)</f>
        <v>1530.2</v>
      </c>
      <c r="L682" s="11">
        <f>IFERROR(__xludf.DUMMYFUNCTION("""COMPUTED_VALUE"""),44039.66666666667)</f>
        <v>44039.66667</v>
      </c>
      <c r="M682" s="9">
        <f>IFERROR(__xludf.DUMMYFUNCTION("""COMPUTED_VALUE"""),93.71)</f>
        <v>93.71</v>
      </c>
      <c r="N682" s="11">
        <f>IFERROR(__xludf.DUMMYFUNCTION("""COMPUTED_VALUE"""),44039.66666666667)</f>
        <v>44039.66667</v>
      </c>
      <c r="O682" s="9">
        <f>IFERROR(__xludf.DUMMYFUNCTION("""COMPUTED_VALUE"""),94.81)</f>
        <v>94.81</v>
      </c>
      <c r="Q682" s="11">
        <f>IFERROR(__xludf.DUMMYFUNCTION("""COMPUTED_VALUE"""),44039.66666666667)</f>
        <v>44039.66667</v>
      </c>
      <c r="R682" s="9">
        <f>IFERROR(__xludf.DUMMYFUNCTION("""COMPUTED_VALUE"""),231.46)</f>
        <v>231.46</v>
      </c>
      <c r="S682" s="11">
        <f>IFERROR(__xludf.DUMMYFUNCTION("""COMPUTED_VALUE"""),44039.66666666667)</f>
        <v>44039.66667</v>
      </c>
      <c r="T682" s="9">
        <f>IFERROR(__xludf.DUMMYFUNCTION("""COMPUTED_VALUE"""),233.5)</f>
        <v>233.5</v>
      </c>
      <c r="V682" s="11">
        <f>IFERROR(__xludf.DUMMYFUNCTION("""COMPUTED_VALUE"""),44039.66666666667)</f>
        <v>44039.66667</v>
      </c>
      <c r="W682" s="9">
        <f>IFERROR(__xludf.DUMMYFUNCTION("""COMPUTED_VALUE"""),484.51)</f>
        <v>484.51</v>
      </c>
      <c r="X682" s="11">
        <f>IFERROR(__xludf.DUMMYFUNCTION("""COMPUTED_VALUE"""),44039.66666666667)</f>
        <v>44039.66667</v>
      </c>
      <c r="Y682" s="9">
        <f>IFERROR(__xludf.DUMMYFUNCTION("""COMPUTED_VALUE"""),495.65)</f>
        <v>495.65</v>
      </c>
      <c r="AA682" s="11">
        <f>IFERROR(__xludf.DUMMYFUNCTION("""COMPUTED_VALUE"""),44039.66666666667)</f>
        <v>44039.66667</v>
      </c>
      <c r="AB682" s="9">
        <f>IFERROR(__xludf.DUMMYFUNCTION("""COMPUTED_VALUE"""),3062.0)</f>
        <v>3062</v>
      </c>
      <c r="AC682" s="11">
        <f>IFERROR(__xludf.DUMMYFUNCTION("""COMPUTED_VALUE"""),44039.66666666667)</f>
        <v>44039.66667</v>
      </c>
      <c r="AD682" s="9">
        <f>IFERROR(__xludf.DUMMYFUNCTION("""COMPUTED_VALUE"""),3055.21)</f>
        <v>3055.21</v>
      </c>
    </row>
    <row r="683">
      <c r="B683" s="11">
        <f>IFERROR(__xludf.DUMMYFUNCTION("""COMPUTED_VALUE"""),44040.66666666667)</f>
        <v>44040.66667</v>
      </c>
      <c r="C683" s="9">
        <f>IFERROR(__xludf.DUMMYFUNCTION("""COMPUTED_VALUE"""),300.8)</f>
        <v>300.8</v>
      </c>
      <c r="D683" s="11">
        <f>IFERROR(__xludf.DUMMYFUNCTION("""COMPUTED_VALUE"""),44040.66666666667)</f>
        <v>44040.66667</v>
      </c>
      <c r="E683" s="9">
        <f>IFERROR(__xludf.DUMMYFUNCTION("""COMPUTED_VALUE"""),295.3)</f>
        <v>295.3</v>
      </c>
      <c r="G683" s="11">
        <f>IFERROR(__xludf.DUMMYFUNCTION("""COMPUTED_VALUE"""),44040.66666666667)</f>
        <v>44040.66667</v>
      </c>
      <c r="H683" s="9">
        <f>IFERROR(__xludf.DUMMYFUNCTION("""COMPUTED_VALUE"""),1525.18)</f>
        <v>1525.18</v>
      </c>
      <c r="I683" s="11">
        <f>IFERROR(__xludf.DUMMYFUNCTION("""COMPUTED_VALUE"""),44040.66666666667)</f>
        <v>44040.66667</v>
      </c>
      <c r="J683" s="9">
        <f>IFERROR(__xludf.DUMMYFUNCTION("""COMPUTED_VALUE"""),1500.34)</f>
        <v>1500.34</v>
      </c>
      <c r="L683" s="11">
        <f>IFERROR(__xludf.DUMMYFUNCTION("""COMPUTED_VALUE"""),44040.66666666667)</f>
        <v>44040.66667</v>
      </c>
      <c r="M683" s="9">
        <f>IFERROR(__xludf.DUMMYFUNCTION("""COMPUTED_VALUE"""),94.37)</f>
        <v>94.37</v>
      </c>
      <c r="N683" s="11">
        <f>IFERROR(__xludf.DUMMYFUNCTION("""COMPUTED_VALUE"""),44040.66666666667)</f>
        <v>44040.66667</v>
      </c>
      <c r="O683" s="9">
        <f>IFERROR(__xludf.DUMMYFUNCTION("""COMPUTED_VALUE"""),93.25)</f>
        <v>93.25</v>
      </c>
      <c r="Q683" s="11">
        <f>IFERROR(__xludf.DUMMYFUNCTION("""COMPUTED_VALUE"""),44040.66666666667)</f>
        <v>44040.66667</v>
      </c>
      <c r="R683" s="9">
        <f>IFERROR(__xludf.DUMMYFUNCTION("""COMPUTED_VALUE"""),234.63)</f>
        <v>234.63</v>
      </c>
      <c r="S683" s="11">
        <f>IFERROR(__xludf.DUMMYFUNCTION("""COMPUTED_VALUE"""),44040.66666666667)</f>
        <v>44040.66667</v>
      </c>
      <c r="T683" s="9">
        <f>IFERROR(__xludf.DUMMYFUNCTION("""COMPUTED_VALUE"""),230.12)</f>
        <v>230.12</v>
      </c>
      <c r="V683" s="11">
        <f>IFERROR(__xludf.DUMMYFUNCTION("""COMPUTED_VALUE"""),44040.66666666667)</f>
        <v>44040.66667</v>
      </c>
      <c r="W683" s="9">
        <f>IFERROR(__xludf.DUMMYFUNCTION("""COMPUTED_VALUE"""),496.02)</f>
        <v>496.02</v>
      </c>
      <c r="X683" s="11">
        <f>IFERROR(__xludf.DUMMYFUNCTION("""COMPUTED_VALUE"""),44040.66666666667)</f>
        <v>44040.66667</v>
      </c>
      <c r="Y683" s="9">
        <f>IFERROR(__xludf.DUMMYFUNCTION("""COMPUTED_VALUE"""),488.51)</f>
        <v>488.51</v>
      </c>
      <c r="AA683" s="11">
        <f>IFERROR(__xludf.DUMMYFUNCTION("""COMPUTED_VALUE"""),44040.66666666667)</f>
        <v>44040.66667</v>
      </c>
      <c r="AB683" s="9">
        <f>IFERROR(__xludf.DUMMYFUNCTION("""COMPUTED_VALUE"""),3054.27)</f>
        <v>3054.27</v>
      </c>
      <c r="AC683" s="11">
        <f>IFERROR(__xludf.DUMMYFUNCTION("""COMPUTED_VALUE"""),44040.66666666667)</f>
        <v>44040.66667</v>
      </c>
      <c r="AD683" s="9">
        <f>IFERROR(__xludf.DUMMYFUNCTION("""COMPUTED_VALUE"""),3000.33)</f>
        <v>3000.33</v>
      </c>
    </row>
    <row r="684">
      <c r="B684" s="11">
        <f>IFERROR(__xludf.DUMMYFUNCTION("""COMPUTED_VALUE"""),44041.66666666667)</f>
        <v>44041.66667</v>
      </c>
      <c r="C684" s="9">
        <f>IFERROR(__xludf.DUMMYFUNCTION("""COMPUTED_VALUE"""),300.2)</f>
        <v>300.2</v>
      </c>
      <c r="D684" s="11">
        <f>IFERROR(__xludf.DUMMYFUNCTION("""COMPUTED_VALUE"""),44041.66666666667)</f>
        <v>44041.66667</v>
      </c>
      <c r="E684" s="9">
        <f>IFERROR(__xludf.DUMMYFUNCTION("""COMPUTED_VALUE"""),299.82)</f>
        <v>299.82</v>
      </c>
      <c r="G684" s="11">
        <f>IFERROR(__xludf.DUMMYFUNCTION("""COMPUTED_VALUE"""),44041.66666666667)</f>
        <v>44041.66667</v>
      </c>
      <c r="H684" s="9">
        <f>IFERROR(__xludf.DUMMYFUNCTION("""COMPUTED_VALUE"""),1506.32)</f>
        <v>1506.32</v>
      </c>
      <c r="I684" s="11">
        <f>IFERROR(__xludf.DUMMYFUNCTION("""COMPUTED_VALUE"""),44041.66666666667)</f>
        <v>44041.66667</v>
      </c>
      <c r="J684" s="9">
        <f>IFERROR(__xludf.DUMMYFUNCTION("""COMPUTED_VALUE"""),1522.02)</f>
        <v>1522.02</v>
      </c>
      <c r="L684" s="11">
        <f>IFERROR(__xludf.DUMMYFUNCTION("""COMPUTED_VALUE"""),44041.66666666667)</f>
        <v>44041.66667</v>
      </c>
      <c r="M684" s="9">
        <f>IFERROR(__xludf.DUMMYFUNCTION("""COMPUTED_VALUE"""),93.75)</f>
        <v>93.75</v>
      </c>
      <c r="N684" s="11">
        <f>IFERROR(__xludf.DUMMYFUNCTION("""COMPUTED_VALUE"""),44041.66666666667)</f>
        <v>44041.66667</v>
      </c>
      <c r="O684" s="9">
        <f>IFERROR(__xludf.DUMMYFUNCTION("""COMPUTED_VALUE"""),95.04)</f>
        <v>95.04</v>
      </c>
      <c r="Q684" s="11">
        <f>IFERROR(__xludf.DUMMYFUNCTION("""COMPUTED_VALUE"""),44041.66666666667)</f>
        <v>44041.66667</v>
      </c>
      <c r="R684" s="9">
        <f>IFERROR(__xludf.DUMMYFUNCTION("""COMPUTED_VALUE"""),231.14)</f>
        <v>231.14</v>
      </c>
      <c r="S684" s="11">
        <f>IFERROR(__xludf.DUMMYFUNCTION("""COMPUTED_VALUE"""),44041.66666666667)</f>
        <v>44041.66667</v>
      </c>
      <c r="T684" s="9">
        <f>IFERROR(__xludf.DUMMYFUNCTION("""COMPUTED_VALUE"""),233.29)</f>
        <v>233.29</v>
      </c>
      <c r="V684" s="11">
        <f>IFERROR(__xludf.DUMMYFUNCTION("""COMPUTED_VALUE"""),44041.66666666667)</f>
        <v>44041.66667</v>
      </c>
      <c r="W684" s="9">
        <f>IFERROR(__xludf.DUMMYFUNCTION("""COMPUTED_VALUE"""),492.25)</f>
        <v>492.25</v>
      </c>
      <c r="X684" s="11">
        <f>IFERROR(__xludf.DUMMYFUNCTION("""COMPUTED_VALUE"""),44041.66666666667)</f>
        <v>44041.66667</v>
      </c>
      <c r="Y684" s="9">
        <f>IFERROR(__xludf.DUMMYFUNCTION("""COMPUTED_VALUE"""),484.48)</f>
        <v>484.48</v>
      </c>
      <c r="AA684" s="11">
        <f>IFERROR(__xludf.DUMMYFUNCTION("""COMPUTED_VALUE"""),44041.66666666667)</f>
        <v>44041.66667</v>
      </c>
      <c r="AB684" s="9">
        <f>IFERROR(__xludf.DUMMYFUNCTION("""COMPUTED_VALUE"""),3030.99)</f>
        <v>3030.99</v>
      </c>
      <c r="AC684" s="11">
        <f>IFERROR(__xludf.DUMMYFUNCTION("""COMPUTED_VALUE"""),44041.66666666667)</f>
        <v>44041.66667</v>
      </c>
      <c r="AD684" s="9">
        <f>IFERROR(__xludf.DUMMYFUNCTION("""COMPUTED_VALUE"""),3033.53)</f>
        <v>3033.53</v>
      </c>
    </row>
    <row r="685">
      <c r="B685" s="11">
        <f>IFERROR(__xludf.DUMMYFUNCTION("""COMPUTED_VALUE"""),44042.66666666667)</f>
        <v>44042.66667</v>
      </c>
      <c r="C685" s="9">
        <f>IFERROR(__xludf.DUMMYFUNCTION("""COMPUTED_VALUE"""),297.6)</f>
        <v>297.6</v>
      </c>
      <c r="D685" s="11">
        <f>IFERROR(__xludf.DUMMYFUNCTION("""COMPUTED_VALUE"""),44042.66666666667)</f>
        <v>44042.66667</v>
      </c>
      <c r="E685" s="9">
        <f>IFERROR(__xludf.DUMMYFUNCTION("""COMPUTED_VALUE"""),297.5)</f>
        <v>297.5</v>
      </c>
      <c r="G685" s="11">
        <f>IFERROR(__xludf.DUMMYFUNCTION("""COMPUTED_VALUE"""),44042.66666666667)</f>
        <v>44042.66667</v>
      </c>
      <c r="H685" s="9">
        <f>IFERROR(__xludf.DUMMYFUNCTION("""COMPUTED_VALUE"""),1497.0)</f>
        <v>1497</v>
      </c>
      <c r="I685" s="11">
        <f>IFERROR(__xludf.DUMMYFUNCTION("""COMPUTED_VALUE"""),44042.66666666667)</f>
        <v>44042.66667</v>
      </c>
      <c r="J685" s="9">
        <f>IFERROR(__xludf.DUMMYFUNCTION("""COMPUTED_VALUE"""),1531.45)</f>
        <v>1531.45</v>
      </c>
      <c r="L685" s="11">
        <f>IFERROR(__xludf.DUMMYFUNCTION("""COMPUTED_VALUE"""),44042.66666666667)</f>
        <v>44042.66667</v>
      </c>
      <c r="M685" s="9">
        <f>IFERROR(__xludf.DUMMYFUNCTION("""COMPUTED_VALUE"""),94.19)</f>
        <v>94.19</v>
      </c>
      <c r="N685" s="11">
        <f>IFERROR(__xludf.DUMMYFUNCTION("""COMPUTED_VALUE"""),44042.66666666667)</f>
        <v>44042.66667</v>
      </c>
      <c r="O685" s="9">
        <f>IFERROR(__xludf.DUMMYFUNCTION("""COMPUTED_VALUE"""),96.19)</f>
        <v>96.19</v>
      </c>
      <c r="Q685" s="11">
        <f>IFERROR(__xludf.DUMMYFUNCTION("""COMPUTED_VALUE"""),44042.66666666667)</f>
        <v>44042.66667</v>
      </c>
      <c r="R685" s="9">
        <f>IFERROR(__xludf.DUMMYFUNCTION("""COMPUTED_VALUE"""),230.22)</f>
        <v>230.22</v>
      </c>
      <c r="S685" s="11">
        <f>IFERROR(__xludf.DUMMYFUNCTION("""COMPUTED_VALUE"""),44042.66666666667)</f>
        <v>44042.66667</v>
      </c>
      <c r="T685" s="9">
        <f>IFERROR(__xludf.DUMMYFUNCTION("""COMPUTED_VALUE"""),234.5)</f>
        <v>234.5</v>
      </c>
      <c r="V685" s="11">
        <f>IFERROR(__xludf.DUMMYFUNCTION("""COMPUTED_VALUE"""),44042.66666666667)</f>
        <v>44042.66667</v>
      </c>
      <c r="W685" s="9">
        <f>IFERROR(__xludf.DUMMYFUNCTION("""COMPUTED_VALUE"""),480.71)</f>
        <v>480.71</v>
      </c>
      <c r="X685" s="11">
        <f>IFERROR(__xludf.DUMMYFUNCTION("""COMPUTED_VALUE"""),44042.66666666667)</f>
        <v>44042.66667</v>
      </c>
      <c r="Y685" s="9">
        <f>IFERROR(__xludf.DUMMYFUNCTION("""COMPUTED_VALUE"""),485.8)</f>
        <v>485.8</v>
      </c>
      <c r="AA685" s="11">
        <f>IFERROR(__xludf.DUMMYFUNCTION("""COMPUTED_VALUE"""),44042.66666666667)</f>
        <v>44042.66667</v>
      </c>
      <c r="AB685" s="9">
        <f>IFERROR(__xludf.DUMMYFUNCTION("""COMPUTED_VALUE"""),3014.0)</f>
        <v>3014</v>
      </c>
      <c r="AC685" s="11">
        <f>IFERROR(__xludf.DUMMYFUNCTION("""COMPUTED_VALUE"""),44042.66666666667)</f>
        <v>44042.66667</v>
      </c>
      <c r="AD685" s="9">
        <f>IFERROR(__xludf.DUMMYFUNCTION("""COMPUTED_VALUE"""),3051.88)</f>
        <v>3051.88</v>
      </c>
    </row>
    <row r="686">
      <c r="B686" s="11">
        <f>IFERROR(__xludf.DUMMYFUNCTION("""COMPUTED_VALUE"""),44043.66666666667)</f>
        <v>44043.66667</v>
      </c>
      <c r="C686" s="9">
        <f>IFERROR(__xludf.DUMMYFUNCTION("""COMPUTED_VALUE"""),303.0)</f>
        <v>303</v>
      </c>
      <c r="D686" s="11">
        <f>IFERROR(__xludf.DUMMYFUNCTION("""COMPUTED_VALUE"""),44043.66666666667)</f>
        <v>44043.66667</v>
      </c>
      <c r="E686" s="9">
        <f>IFERROR(__xludf.DUMMYFUNCTION("""COMPUTED_VALUE"""),286.15)</f>
        <v>286.15</v>
      </c>
      <c r="G686" s="11">
        <f>IFERROR(__xludf.DUMMYFUNCTION("""COMPUTED_VALUE"""),44043.66666666667)</f>
        <v>44043.66667</v>
      </c>
      <c r="H686" s="9">
        <f>IFERROR(__xludf.DUMMYFUNCTION("""COMPUTED_VALUE"""),1505.01)</f>
        <v>1505.01</v>
      </c>
      <c r="I686" s="11">
        <f>IFERROR(__xludf.DUMMYFUNCTION("""COMPUTED_VALUE"""),44043.66666666667)</f>
        <v>44043.66667</v>
      </c>
      <c r="J686" s="9">
        <f>IFERROR(__xludf.DUMMYFUNCTION("""COMPUTED_VALUE"""),1482.96)</f>
        <v>1482.96</v>
      </c>
      <c r="L686" s="11">
        <f>IFERROR(__xludf.DUMMYFUNCTION("""COMPUTED_VALUE"""),44043.66666666667)</f>
        <v>44043.66667</v>
      </c>
      <c r="M686" s="9">
        <f>IFERROR(__xludf.DUMMYFUNCTION("""COMPUTED_VALUE"""),102.88)</f>
        <v>102.88</v>
      </c>
      <c r="N686" s="11">
        <f>IFERROR(__xludf.DUMMYFUNCTION("""COMPUTED_VALUE"""),44043.66666666667)</f>
        <v>44043.66667</v>
      </c>
      <c r="O686" s="9">
        <f>IFERROR(__xludf.DUMMYFUNCTION("""COMPUTED_VALUE"""),106.26)</f>
        <v>106.26</v>
      </c>
      <c r="Q686" s="11">
        <f>IFERROR(__xludf.DUMMYFUNCTION("""COMPUTED_VALUE"""),44043.66666666667)</f>
        <v>44043.66667</v>
      </c>
      <c r="R686" s="9">
        <f>IFERROR(__xludf.DUMMYFUNCTION("""COMPUTED_VALUE"""),255.82)</f>
        <v>255.82</v>
      </c>
      <c r="S686" s="11">
        <f>IFERROR(__xludf.DUMMYFUNCTION("""COMPUTED_VALUE"""),44043.66666666667)</f>
        <v>44043.66667</v>
      </c>
      <c r="T686" s="9">
        <f>IFERROR(__xludf.DUMMYFUNCTION("""COMPUTED_VALUE"""),253.67)</f>
        <v>253.67</v>
      </c>
      <c r="V686" s="11">
        <f>IFERROR(__xludf.DUMMYFUNCTION("""COMPUTED_VALUE"""),44043.66666666667)</f>
        <v>44043.66667</v>
      </c>
      <c r="W686" s="9">
        <f>IFERROR(__xludf.DUMMYFUNCTION("""COMPUTED_VALUE"""),488.29)</f>
        <v>488.29</v>
      </c>
      <c r="X686" s="11">
        <f>IFERROR(__xludf.DUMMYFUNCTION("""COMPUTED_VALUE"""),44043.66666666667)</f>
        <v>44043.66667</v>
      </c>
      <c r="Y686" s="9">
        <f>IFERROR(__xludf.DUMMYFUNCTION("""COMPUTED_VALUE"""),488.88)</f>
        <v>488.88</v>
      </c>
      <c r="AA686" s="11">
        <f>IFERROR(__xludf.DUMMYFUNCTION("""COMPUTED_VALUE"""),44043.66666666667)</f>
        <v>44043.66667</v>
      </c>
      <c r="AB686" s="9">
        <f>IFERROR(__xludf.DUMMYFUNCTION("""COMPUTED_VALUE"""),3244.0)</f>
        <v>3244</v>
      </c>
      <c r="AC686" s="11">
        <f>IFERROR(__xludf.DUMMYFUNCTION("""COMPUTED_VALUE"""),44043.66666666667)</f>
        <v>44043.66667</v>
      </c>
      <c r="AD686" s="9">
        <f>IFERROR(__xludf.DUMMYFUNCTION("""COMPUTED_VALUE"""),3164.68)</f>
        <v>3164.68</v>
      </c>
    </row>
    <row r="687">
      <c r="B687" s="11">
        <f>IFERROR(__xludf.DUMMYFUNCTION("""COMPUTED_VALUE"""),44046.66666666667)</f>
        <v>44046.66667</v>
      </c>
      <c r="C687" s="9">
        <f>IFERROR(__xludf.DUMMYFUNCTION("""COMPUTED_VALUE"""),289.84)</f>
        <v>289.84</v>
      </c>
      <c r="D687" s="11">
        <f>IFERROR(__xludf.DUMMYFUNCTION("""COMPUTED_VALUE"""),44046.66666666667)</f>
        <v>44046.66667</v>
      </c>
      <c r="E687" s="9">
        <f>IFERROR(__xludf.DUMMYFUNCTION("""COMPUTED_VALUE"""),297.0)</f>
        <v>297</v>
      </c>
      <c r="G687" s="11">
        <f>IFERROR(__xludf.DUMMYFUNCTION("""COMPUTED_VALUE"""),44046.66666666667)</f>
        <v>44046.66667</v>
      </c>
      <c r="H687" s="9">
        <f>IFERROR(__xludf.DUMMYFUNCTION("""COMPUTED_VALUE"""),1486.64)</f>
        <v>1486.64</v>
      </c>
      <c r="I687" s="11">
        <f>IFERROR(__xludf.DUMMYFUNCTION("""COMPUTED_VALUE"""),44046.66666666667)</f>
        <v>44046.66667</v>
      </c>
      <c r="J687" s="9">
        <f>IFERROR(__xludf.DUMMYFUNCTION("""COMPUTED_VALUE"""),1474.45)</f>
        <v>1474.45</v>
      </c>
      <c r="L687" s="11">
        <f>IFERROR(__xludf.DUMMYFUNCTION("""COMPUTED_VALUE"""),44046.66666666667)</f>
        <v>44046.66667</v>
      </c>
      <c r="M687" s="9">
        <f>IFERROR(__xludf.DUMMYFUNCTION("""COMPUTED_VALUE"""),108.2)</f>
        <v>108.2</v>
      </c>
      <c r="N687" s="11">
        <f>IFERROR(__xludf.DUMMYFUNCTION("""COMPUTED_VALUE"""),44046.66666666667)</f>
        <v>44046.66667</v>
      </c>
      <c r="O687" s="9">
        <f>IFERROR(__xludf.DUMMYFUNCTION("""COMPUTED_VALUE"""),108.94)</f>
        <v>108.94</v>
      </c>
      <c r="Q687" s="11">
        <f>IFERROR(__xludf.DUMMYFUNCTION("""COMPUTED_VALUE"""),44046.66666666667)</f>
        <v>44046.66667</v>
      </c>
      <c r="R687" s="9">
        <f>IFERROR(__xludf.DUMMYFUNCTION("""COMPUTED_VALUE"""),252.65)</f>
        <v>252.65</v>
      </c>
      <c r="S687" s="11">
        <f>IFERROR(__xludf.DUMMYFUNCTION("""COMPUTED_VALUE"""),44046.66666666667)</f>
        <v>44046.66667</v>
      </c>
      <c r="T687" s="9">
        <f>IFERROR(__xludf.DUMMYFUNCTION("""COMPUTED_VALUE"""),251.96)</f>
        <v>251.96</v>
      </c>
      <c r="V687" s="11">
        <f>IFERROR(__xludf.DUMMYFUNCTION("""COMPUTED_VALUE"""),44046.66666666667)</f>
        <v>44046.66667</v>
      </c>
      <c r="W687" s="9">
        <f>IFERROR(__xludf.DUMMYFUNCTION("""COMPUTED_VALUE"""),490.86)</f>
        <v>490.86</v>
      </c>
      <c r="X687" s="11">
        <f>IFERROR(__xludf.DUMMYFUNCTION("""COMPUTED_VALUE"""),44046.66666666667)</f>
        <v>44046.66667</v>
      </c>
      <c r="Y687" s="9">
        <f>IFERROR(__xludf.DUMMYFUNCTION("""COMPUTED_VALUE"""),498.62)</f>
        <v>498.62</v>
      </c>
      <c r="AA687" s="11">
        <f>IFERROR(__xludf.DUMMYFUNCTION("""COMPUTED_VALUE"""),44046.66666666667)</f>
        <v>44046.66667</v>
      </c>
      <c r="AB687" s="9">
        <f>IFERROR(__xludf.DUMMYFUNCTION("""COMPUTED_VALUE"""),3180.51)</f>
        <v>3180.51</v>
      </c>
      <c r="AC687" s="11">
        <f>IFERROR(__xludf.DUMMYFUNCTION("""COMPUTED_VALUE"""),44046.66666666667)</f>
        <v>44046.66667</v>
      </c>
      <c r="AD687" s="9">
        <f>IFERROR(__xludf.DUMMYFUNCTION("""COMPUTED_VALUE"""),3111.89)</f>
        <v>3111.89</v>
      </c>
    </row>
    <row r="688">
      <c r="B688" s="11">
        <f>IFERROR(__xludf.DUMMYFUNCTION("""COMPUTED_VALUE"""),44047.66666666667)</f>
        <v>44047.66667</v>
      </c>
      <c r="C688" s="9">
        <f>IFERROR(__xludf.DUMMYFUNCTION("""COMPUTED_VALUE"""),299.0)</f>
        <v>299</v>
      </c>
      <c r="D688" s="11">
        <f>IFERROR(__xludf.DUMMYFUNCTION("""COMPUTED_VALUE"""),44047.66666666667)</f>
        <v>44047.66667</v>
      </c>
      <c r="E688" s="9">
        <f>IFERROR(__xludf.DUMMYFUNCTION("""COMPUTED_VALUE"""),297.4)</f>
        <v>297.4</v>
      </c>
      <c r="G688" s="11">
        <f>IFERROR(__xludf.DUMMYFUNCTION("""COMPUTED_VALUE"""),44047.66666666667)</f>
        <v>44047.66667</v>
      </c>
      <c r="H688" s="9">
        <f>IFERROR(__xludf.DUMMYFUNCTION("""COMPUTED_VALUE"""),1476.57)</f>
        <v>1476.57</v>
      </c>
      <c r="I688" s="11">
        <f>IFERROR(__xludf.DUMMYFUNCTION("""COMPUTED_VALUE"""),44047.66666666667)</f>
        <v>44047.66667</v>
      </c>
      <c r="J688" s="9">
        <f>IFERROR(__xludf.DUMMYFUNCTION("""COMPUTED_VALUE"""),1464.97)</f>
        <v>1464.97</v>
      </c>
      <c r="L688" s="11">
        <f>IFERROR(__xludf.DUMMYFUNCTION("""COMPUTED_VALUE"""),44047.66666666667)</f>
        <v>44047.66667</v>
      </c>
      <c r="M688" s="9">
        <f>IFERROR(__xludf.DUMMYFUNCTION("""COMPUTED_VALUE"""),109.13)</f>
        <v>109.13</v>
      </c>
      <c r="N688" s="11">
        <f>IFERROR(__xludf.DUMMYFUNCTION("""COMPUTED_VALUE"""),44047.66666666667)</f>
        <v>44047.66667</v>
      </c>
      <c r="O688" s="9">
        <f>IFERROR(__xludf.DUMMYFUNCTION("""COMPUTED_VALUE"""),109.67)</f>
        <v>109.67</v>
      </c>
      <c r="Q688" s="11">
        <f>IFERROR(__xludf.DUMMYFUNCTION("""COMPUTED_VALUE"""),44047.66666666667)</f>
        <v>44047.66667</v>
      </c>
      <c r="R688" s="9">
        <f>IFERROR(__xludf.DUMMYFUNCTION("""COMPUTED_VALUE"""),251.56)</f>
        <v>251.56</v>
      </c>
      <c r="S688" s="11">
        <f>IFERROR(__xludf.DUMMYFUNCTION("""COMPUTED_VALUE"""),44047.66666666667)</f>
        <v>44047.66667</v>
      </c>
      <c r="T688" s="9">
        <f>IFERROR(__xludf.DUMMYFUNCTION("""COMPUTED_VALUE"""),249.83)</f>
        <v>249.83</v>
      </c>
      <c r="V688" s="11">
        <f>IFERROR(__xludf.DUMMYFUNCTION("""COMPUTED_VALUE"""),44047.66666666667)</f>
        <v>44047.66667</v>
      </c>
      <c r="W688" s="9">
        <f>IFERROR(__xludf.DUMMYFUNCTION("""COMPUTED_VALUE"""),498.65)</f>
        <v>498.65</v>
      </c>
      <c r="X688" s="11">
        <f>IFERROR(__xludf.DUMMYFUNCTION("""COMPUTED_VALUE"""),44047.66666666667)</f>
        <v>44047.66667</v>
      </c>
      <c r="Y688" s="9">
        <f>IFERROR(__xludf.DUMMYFUNCTION("""COMPUTED_VALUE"""),509.64)</f>
        <v>509.64</v>
      </c>
      <c r="AA688" s="11">
        <f>IFERROR(__xludf.DUMMYFUNCTION("""COMPUTED_VALUE"""),44047.66666666667)</f>
        <v>44047.66667</v>
      </c>
      <c r="AB688" s="9">
        <f>IFERROR(__xludf.DUMMYFUNCTION("""COMPUTED_VALUE"""),3101.21)</f>
        <v>3101.21</v>
      </c>
      <c r="AC688" s="11">
        <f>IFERROR(__xludf.DUMMYFUNCTION("""COMPUTED_VALUE"""),44047.66666666667)</f>
        <v>44047.66667</v>
      </c>
      <c r="AD688" s="9">
        <f>IFERROR(__xludf.DUMMYFUNCTION("""COMPUTED_VALUE"""),3138.83)</f>
        <v>3138.83</v>
      </c>
    </row>
    <row r="689">
      <c r="B689" s="11">
        <f>IFERROR(__xludf.DUMMYFUNCTION("""COMPUTED_VALUE"""),44048.66666666667)</f>
        <v>44048.66667</v>
      </c>
      <c r="C689" s="9">
        <f>IFERROR(__xludf.DUMMYFUNCTION("""COMPUTED_VALUE"""),298.6)</f>
        <v>298.6</v>
      </c>
      <c r="D689" s="11">
        <f>IFERROR(__xludf.DUMMYFUNCTION("""COMPUTED_VALUE"""),44048.66666666667)</f>
        <v>44048.66667</v>
      </c>
      <c r="E689" s="9">
        <f>IFERROR(__xludf.DUMMYFUNCTION("""COMPUTED_VALUE"""),297.0)</f>
        <v>297</v>
      </c>
      <c r="G689" s="11">
        <f>IFERROR(__xludf.DUMMYFUNCTION("""COMPUTED_VALUE"""),44048.66666666667)</f>
        <v>44048.66667</v>
      </c>
      <c r="H689" s="9">
        <f>IFERROR(__xludf.DUMMYFUNCTION("""COMPUTED_VALUE"""),1469.3)</f>
        <v>1469.3</v>
      </c>
      <c r="I689" s="11">
        <f>IFERROR(__xludf.DUMMYFUNCTION("""COMPUTED_VALUE"""),44048.66666666667)</f>
        <v>44048.66667</v>
      </c>
      <c r="J689" s="9">
        <f>IFERROR(__xludf.DUMMYFUNCTION("""COMPUTED_VALUE"""),1473.61)</f>
        <v>1473.61</v>
      </c>
      <c r="L689" s="11">
        <f>IFERROR(__xludf.DUMMYFUNCTION("""COMPUTED_VALUE"""),44048.66666666667)</f>
        <v>44048.66667</v>
      </c>
      <c r="M689" s="9">
        <f>IFERROR(__xludf.DUMMYFUNCTION("""COMPUTED_VALUE"""),109.38)</f>
        <v>109.38</v>
      </c>
      <c r="N689" s="11">
        <f>IFERROR(__xludf.DUMMYFUNCTION("""COMPUTED_VALUE"""),44048.66666666667)</f>
        <v>44048.66667</v>
      </c>
      <c r="O689" s="9">
        <f>IFERROR(__xludf.DUMMYFUNCTION("""COMPUTED_VALUE"""),110.06)</f>
        <v>110.06</v>
      </c>
      <c r="Q689" s="11">
        <f>IFERROR(__xludf.DUMMYFUNCTION("""COMPUTED_VALUE"""),44048.66666666667)</f>
        <v>44048.66667</v>
      </c>
      <c r="R689" s="9">
        <f>IFERROR(__xludf.DUMMYFUNCTION("""COMPUTED_VALUE"""),250.19)</f>
        <v>250.19</v>
      </c>
      <c r="S689" s="11">
        <f>IFERROR(__xludf.DUMMYFUNCTION("""COMPUTED_VALUE"""),44048.66666666667)</f>
        <v>44048.66667</v>
      </c>
      <c r="T689" s="9">
        <f>IFERROR(__xludf.DUMMYFUNCTION("""COMPUTED_VALUE"""),249.12)</f>
        <v>249.12</v>
      </c>
      <c r="V689" s="11">
        <f>IFERROR(__xludf.DUMMYFUNCTION("""COMPUTED_VALUE"""),44048.66666666667)</f>
        <v>44048.66667</v>
      </c>
      <c r="W689" s="9">
        <f>IFERROR(__xludf.DUMMYFUNCTION("""COMPUTED_VALUE"""),508.68)</f>
        <v>508.68</v>
      </c>
      <c r="X689" s="11">
        <f>IFERROR(__xludf.DUMMYFUNCTION("""COMPUTED_VALUE"""),44048.66666666667)</f>
        <v>44048.66667</v>
      </c>
      <c r="Y689" s="9">
        <f>IFERROR(__xludf.DUMMYFUNCTION("""COMPUTED_VALUE"""),502.11)</f>
        <v>502.11</v>
      </c>
      <c r="AA689" s="11">
        <f>IFERROR(__xludf.DUMMYFUNCTION("""COMPUTED_VALUE"""),44048.66666666667)</f>
        <v>44048.66667</v>
      </c>
      <c r="AB689" s="9">
        <f>IFERROR(__xludf.DUMMYFUNCTION("""COMPUTED_VALUE"""),3143.77)</f>
        <v>3143.77</v>
      </c>
      <c r="AC689" s="11">
        <f>IFERROR(__xludf.DUMMYFUNCTION("""COMPUTED_VALUE"""),44048.66666666667)</f>
        <v>44048.66667</v>
      </c>
      <c r="AD689" s="9">
        <f>IFERROR(__xludf.DUMMYFUNCTION("""COMPUTED_VALUE"""),3205.03)</f>
        <v>3205.03</v>
      </c>
    </row>
    <row r="690">
      <c r="B690" s="11">
        <f>IFERROR(__xludf.DUMMYFUNCTION("""COMPUTED_VALUE"""),44049.66666666667)</f>
        <v>44049.66667</v>
      </c>
      <c r="C690" s="9">
        <f>IFERROR(__xludf.DUMMYFUNCTION("""COMPUTED_VALUE"""),298.17)</f>
        <v>298.17</v>
      </c>
      <c r="D690" s="11">
        <f>IFERROR(__xludf.DUMMYFUNCTION("""COMPUTED_VALUE"""),44049.66666666667)</f>
        <v>44049.66667</v>
      </c>
      <c r="E690" s="9">
        <f>IFERROR(__xludf.DUMMYFUNCTION("""COMPUTED_VALUE"""),297.92)</f>
        <v>297.92</v>
      </c>
      <c r="G690" s="11">
        <f>IFERROR(__xludf.DUMMYFUNCTION("""COMPUTED_VALUE"""),44049.66666666667)</f>
        <v>44049.66667</v>
      </c>
      <c r="H690" s="9">
        <f>IFERROR(__xludf.DUMMYFUNCTION("""COMPUTED_VALUE"""),1471.75)</f>
        <v>1471.75</v>
      </c>
      <c r="I690" s="11">
        <f>IFERROR(__xludf.DUMMYFUNCTION("""COMPUTED_VALUE"""),44049.66666666667)</f>
        <v>44049.66667</v>
      </c>
      <c r="J690" s="9">
        <f>IFERROR(__xludf.DUMMYFUNCTION("""COMPUTED_VALUE"""),1500.1)</f>
        <v>1500.1</v>
      </c>
      <c r="L690" s="11">
        <f>IFERROR(__xludf.DUMMYFUNCTION("""COMPUTED_VALUE"""),44049.66666666667)</f>
        <v>44049.66667</v>
      </c>
      <c r="M690" s="9">
        <f>IFERROR(__xludf.DUMMYFUNCTION("""COMPUTED_VALUE"""),110.41)</f>
        <v>110.41</v>
      </c>
      <c r="N690" s="11">
        <f>IFERROR(__xludf.DUMMYFUNCTION("""COMPUTED_VALUE"""),44049.66666666667)</f>
        <v>44049.66667</v>
      </c>
      <c r="O690" s="9">
        <f>IFERROR(__xludf.DUMMYFUNCTION("""COMPUTED_VALUE"""),113.9)</f>
        <v>113.9</v>
      </c>
      <c r="Q690" s="11">
        <f>IFERROR(__xludf.DUMMYFUNCTION("""COMPUTED_VALUE"""),44049.66666666667)</f>
        <v>44049.66667</v>
      </c>
      <c r="R690" s="9">
        <f>IFERROR(__xludf.DUMMYFUNCTION("""COMPUTED_VALUE"""),249.04)</f>
        <v>249.04</v>
      </c>
      <c r="S690" s="11">
        <f>IFERROR(__xludf.DUMMYFUNCTION("""COMPUTED_VALUE"""),44049.66666666667)</f>
        <v>44049.66667</v>
      </c>
      <c r="T690" s="9">
        <f>IFERROR(__xludf.DUMMYFUNCTION("""COMPUTED_VALUE"""),265.28)</f>
        <v>265.28</v>
      </c>
      <c r="V690" s="11">
        <f>IFERROR(__xludf.DUMMYFUNCTION("""COMPUTED_VALUE"""),44049.66666666667)</f>
        <v>44049.66667</v>
      </c>
      <c r="W690" s="9">
        <f>IFERROR(__xludf.DUMMYFUNCTION("""COMPUTED_VALUE"""),504.11)</f>
        <v>504.11</v>
      </c>
      <c r="X690" s="11">
        <f>IFERROR(__xludf.DUMMYFUNCTION("""COMPUTED_VALUE"""),44049.66666666667)</f>
        <v>44049.66667</v>
      </c>
      <c r="Y690" s="9">
        <f>IFERROR(__xludf.DUMMYFUNCTION("""COMPUTED_VALUE"""),509.08)</f>
        <v>509.08</v>
      </c>
      <c r="AA690" s="11">
        <f>IFERROR(__xludf.DUMMYFUNCTION("""COMPUTED_VALUE"""),44049.66666666667)</f>
        <v>44049.66667</v>
      </c>
      <c r="AB690" s="9">
        <f>IFERROR(__xludf.DUMMYFUNCTION("""COMPUTED_VALUE"""),3194.36)</f>
        <v>3194.36</v>
      </c>
      <c r="AC690" s="11">
        <f>IFERROR(__xludf.DUMMYFUNCTION("""COMPUTED_VALUE"""),44049.66666666667)</f>
        <v>44049.66667</v>
      </c>
      <c r="AD690" s="9">
        <f>IFERROR(__xludf.DUMMYFUNCTION("""COMPUTED_VALUE"""),3225.0)</f>
        <v>3225</v>
      </c>
    </row>
    <row r="691">
      <c r="B691" s="11">
        <f>IFERROR(__xludf.DUMMYFUNCTION("""COMPUTED_VALUE"""),44050.66666666667)</f>
        <v>44050.66667</v>
      </c>
      <c r="C691" s="9">
        <f>IFERROR(__xludf.DUMMYFUNCTION("""COMPUTED_VALUE"""),299.91)</f>
        <v>299.91</v>
      </c>
      <c r="D691" s="11">
        <f>IFERROR(__xludf.DUMMYFUNCTION("""COMPUTED_VALUE"""),44050.66666666667)</f>
        <v>44050.66667</v>
      </c>
      <c r="E691" s="9">
        <f>IFERROR(__xludf.DUMMYFUNCTION("""COMPUTED_VALUE"""),290.54)</f>
        <v>290.54</v>
      </c>
      <c r="G691" s="11">
        <f>IFERROR(__xludf.DUMMYFUNCTION("""COMPUTED_VALUE"""),44050.66666666667)</f>
        <v>44050.66667</v>
      </c>
      <c r="H691" s="9">
        <f>IFERROR(__xludf.DUMMYFUNCTION("""COMPUTED_VALUE"""),1500.0)</f>
        <v>1500</v>
      </c>
      <c r="I691" s="11">
        <f>IFERROR(__xludf.DUMMYFUNCTION("""COMPUTED_VALUE"""),44050.66666666667)</f>
        <v>44050.66667</v>
      </c>
      <c r="J691" s="9">
        <f>IFERROR(__xludf.DUMMYFUNCTION("""COMPUTED_VALUE"""),1494.49)</f>
        <v>1494.49</v>
      </c>
      <c r="L691" s="11">
        <f>IFERROR(__xludf.DUMMYFUNCTION("""COMPUTED_VALUE"""),44050.66666666667)</f>
        <v>44050.66667</v>
      </c>
      <c r="M691" s="9">
        <f>IFERROR(__xludf.DUMMYFUNCTION("""COMPUTED_VALUE"""),113.21)</f>
        <v>113.21</v>
      </c>
      <c r="N691" s="11">
        <f>IFERROR(__xludf.DUMMYFUNCTION("""COMPUTED_VALUE"""),44050.66666666667)</f>
        <v>44050.66667</v>
      </c>
      <c r="O691" s="9">
        <f>IFERROR(__xludf.DUMMYFUNCTION("""COMPUTED_VALUE"""),111.11)</f>
        <v>111.11</v>
      </c>
      <c r="Q691" s="11">
        <f>IFERROR(__xludf.DUMMYFUNCTION("""COMPUTED_VALUE"""),44050.66666666667)</f>
        <v>44050.66667</v>
      </c>
      <c r="R691" s="9">
        <f>IFERROR(__xludf.DUMMYFUNCTION("""COMPUTED_VALUE"""),264.08)</f>
        <v>264.08</v>
      </c>
      <c r="S691" s="11">
        <f>IFERROR(__xludf.DUMMYFUNCTION("""COMPUTED_VALUE"""),44050.66666666667)</f>
        <v>44050.66667</v>
      </c>
      <c r="T691" s="9">
        <f>IFERROR(__xludf.DUMMYFUNCTION("""COMPUTED_VALUE"""),268.44)</f>
        <v>268.44</v>
      </c>
      <c r="V691" s="11">
        <f>IFERROR(__xludf.DUMMYFUNCTION("""COMPUTED_VALUE"""),44050.66666666667)</f>
        <v>44050.66667</v>
      </c>
      <c r="W691" s="9">
        <f>IFERROR(__xludf.DUMMYFUNCTION("""COMPUTED_VALUE"""),505.45)</f>
        <v>505.45</v>
      </c>
      <c r="X691" s="11">
        <f>IFERROR(__xludf.DUMMYFUNCTION("""COMPUTED_VALUE"""),44050.66666666667)</f>
        <v>44050.66667</v>
      </c>
      <c r="Y691" s="9">
        <f>IFERROR(__xludf.DUMMYFUNCTION("""COMPUTED_VALUE"""),494.73)</f>
        <v>494.73</v>
      </c>
      <c r="AA691" s="11">
        <f>IFERROR(__xludf.DUMMYFUNCTION("""COMPUTED_VALUE"""),44050.66666666667)</f>
        <v>44050.66667</v>
      </c>
      <c r="AB691" s="9">
        <f>IFERROR(__xludf.DUMMYFUNCTION("""COMPUTED_VALUE"""),3224.01)</f>
        <v>3224.01</v>
      </c>
      <c r="AC691" s="11">
        <f>IFERROR(__xludf.DUMMYFUNCTION("""COMPUTED_VALUE"""),44050.66666666667)</f>
        <v>44050.66667</v>
      </c>
      <c r="AD691" s="9">
        <f>IFERROR(__xludf.DUMMYFUNCTION("""COMPUTED_VALUE"""),3167.46)</f>
        <v>3167.46</v>
      </c>
    </row>
    <row r="692">
      <c r="B692" s="11">
        <f>IFERROR(__xludf.DUMMYFUNCTION("""COMPUTED_VALUE"""),44053.66666666667)</f>
        <v>44053.66667</v>
      </c>
      <c r="C692" s="9">
        <f>IFERROR(__xludf.DUMMYFUNCTION("""COMPUTED_VALUE"""),289.6)</f>
        <v>289.6</v>
      </c>
      <c r="D692" s="11">
        <f>IFERROR(__xludf.DUMMYFUNCTION("""COMPUTED_VALUE"""),44053.66666666667)</f>
        <v>44053.66667</v>
      </c>
      <c r="E692" s="9">
        <f>IFERROR(__xludf.DUMMYFUNCTION("""COMPUTED_VALUE"""),283.71)</f>
        <v>283.71</v>
      </c>
      <c r="G692" s="11">
        <f>IFERROR(__xludf.DUMMYFUNCTION("""COMPUTED_VALUE"""),44053.66666666667)</f>
        <v>44053.66667</v>
      </c>
      <c r="H692" s="9">
        <f>IFERROR(__xludf.DUMMYFUNCTION("""COMPUTED_VALUE"""),1487.18)</f>
        <v>1487.18</v>
      </c>
      <c r="I692" s="11">
        <f>IFERROR(__xludf.DUMMYFUNCTION("""COMPUTED_VALUE"""),44053.66666666667)</f>
        <v>44053.66667</v>
      </c>
      <c r="J692" s="9">
        <f>IFERROR(__xludf.DUMMYFUNCTION("""COMPUTED_VALUE"""),1496.1)</f>
        <v>1496.1</v>
      </c>
      <c r="L692" s="11">
        <f>IFERROR(__xludf.DUMMYFUNCTION("""COMPUTED_VALUE"""),44053.66666666667)</f>
        <v>44053.66667</v>
      </c>
      <c r="M692" s="9">
        <f>IFERROR(__xludf.DUMMYFUNCTION("""COMPUTED_VALUE"""),112.6)</f>
        <v>112.6</v>
      </c>
      <c r="N692" s="11">
        <f>IFERROR(__xludf.DUMMYFUNCTION("""COMPUTED_VALUE"""),44053.66666666667)</f>
        <v>44053.66667</v>
      </c>
      <c r="O692" s="9">
        <f>IFERROR(__xludf.DUMMYFUNCTION("""COMPUTED_VALUE"""),112.73)</f>
        <v>112.73</v>
      </c>
      <c r="Q692" s="11">
        <f>IFERROR(__xludf.DUMMYFUNCTION("""COMPUTED_VALUE"""),44053.66666666667)</f>
        <v>44053.66667</v>
      </c>
      <c r="R692" s="9">
        <f>IFERROR(__xludf.DUMMYFUNCTION("""COMPUTED_VALUE"""),268.04)</f>
        <v>268.04</v>
      </c>
      <c r="S692" s="11">
        <f>IFERROR(__xludf.DUMMYFUNCTION("""COMPUTED_VALUE"""),44053.66666666667)</f>
        <v>44053.66667</v>
      </c>
      <c r="T692" s="9">
        <f>IFERROR(__xludf.DUMMYFUNCTION("""COMPUTED_VALUE"""),263.0)</f>
        <v>263</v>
      </c>
      <c r="V692" s="11">
        <f>IFERROR(__xludf.DUMMYFUNCTION("""COMPUTED_VALUE"""),44053.66666666667)</f>
        <v>44053.66667</v>
      </c>
      <c r="W692" s="9">
        <f>IFERROR(__xludf.DUMMYFUNCTION("""COMPUTED_VALUE"""),493.35)</f>
        <v>493.35</v>
      </c>
      <c r="X692" s="11">
        <f>IFERROR(__xludf.DUMMYFUNCTION("""COMPUTED_VALUE"""),44053.66666666667)</f>
        <v>44053.66667</v>
      </c>
      <c r="Y692" s="9">
        <f>IFERROR(__xludf.DUMMYFUNCTION("""COMPUTED_VALUE"""),483.38)</f>
        <v>483.38</v>
      </c>
      <c r="AA692" s="11">
        <f>IFERROR(__xludf.DUMMYFUNCTION("""COMPUTED_VALUE"""),44053.66666666667)</f>
        <v>44053.66667</v>
      </c>
      <c r="AB692" s="9">
        <f>IFERROR(__xludf.DUMMYFUNCTION("""COMPUTED_VALUE"""),3170.31)</f>
        <v>3170.31</v>
      </c>
      <c r="AC692" s="11">
        <f>IFERROR(__xludf.DUMMYFUNCTION("""COMPUTED_VALUE"""),44053.66666666667)</f>
        <v>44053.66667</v>
      </c>
      <c r="AD692" s="9">
        <f>IFERROR(__xludf.DUMMYFUNCTION("""COMPUTED_VALUE"""),3148.16)</f>
        <v>3148.16</v>
      </c>
    </row>
    <row r="693">
      <c r="B693" s="11">
        <f>IFERROR(__xludf.DUMMYFUNCTION("""COMPUTED_VALUE"""),44054.66666666667)</f>
        <v>44054.66667</v>
      </c>
      <c r="C693" s="9">
        <f>IFERROR(__xludf.DUMMYFUNCTION("""COMPUTED_VALUE"""),279.2)</f>
        <v>279.2</v>
      </c>
      <c r="D693" s="11">
        <f>IFERROR(__xludf.DUMMYFUNCTION("""COMPUTED_VALUE"""),44054.66666666667)</f>
        <v>44054.66667</v>
      </c>
      <c r="E693" s="9">
        <f>IFERROR(__xludf.DUMMYFUNCTION("""COMPUTED_VALUE"""),274.88)</f>
        <v>274.88</v>
      </c>
      <c r="G693" s="11">
        <f>IFERROR(__xludf.DUMMYFUNCTION("""COMPUTED_VALUE"""),44054.66666666667)</f>
        <v>44054.66667</v>
      </c>
      <c r="H693" s="9">
        <f>IFERROR(__xludf.DUMMYFUNCTION("""COMPUTED_VALUE"""),1492.44)</f>
        <v>1492.44</v>
      </c>
      <c r="I693" s="11">
        <f>IFERROR(__xludf.DUMMYFUNCTION("""COMPUTED_VALUE"""),44054.66666666667)</f>
        <v>44054.66667</v>
      </c>
      <c r="J693" s="9">
        <f>IFERROR(__xludf.DUMMYFUNCTION("""COMPUTED_VALUE"""),1480.32)</f>
        <v>1480.32</v>
      </c>
      <c r="L693" s="11">
        <f>IFERROR(__xludf.DUMMYFUNCTION("""COMPUTED_VALUE"""),44054.66666666667)</f>
        <v>44054.66667</v>
      </c>
      <c r="M693" s="9">
        <f>IFERROR(__xludf.DUMMYFUNCTION("""COMPUTED_VALUE"""),111.97)</f>
        <v>111.97</v>
      </c>
      <c r="N693" s="11">
        <f>IFERROR(__xludf.DUMMYFUNCTION("""COMPUTED_VALUE"""),44054.66666666667)</f>
        <v>44054.66667</v>
      </c>
      <c r="O693" s="9">
        <f>IFERROR(__xludf.DUMMYFUNCTION("""COMPUTED_VALUE"""),109.38)</f>
        <v>109.38</v>
      </c>
      <c r="Q693" s="11">
        <f>IFERROR(__xludf.DUMMYFUNCTION("""COMPUTED_VALUE"""),44054.66666666667)</f>
        <v>44054.66667</v>
      </c>
      <c r="R693" s="9">
        <f>IFERROR(__xludf.DUMMYFUNCTION("""COMPUTED_VALUE"""),260.19)</f>
        <v>260.19</v>
      </c>
      <c r="S693" s="11">
        <f>IFERROR(__xludf.DUMMYFUNCTION("""COMPUTED_VALUE"""),44054.66666666667)</f>
        <v>44054.66667</v>
      </c>
      <c r="T693" s="9">
        <f>IFERROR(__xludf.DUMMYFUNCTION("""COMPUTED_VALUE"""),256.13)</f>
        <v>256.13</v>
      </c>
      <c r="V693" s="11">
        <f>IFERROR(__xludf.DUMMYFUNCTION("""COMPUTED_VALUE"""),44054.66666666667)</f>
        <v>44054.66667</v>
      </c>
      <c r="W693" s="9">
        <f>IFERROR(__xludf.DUMMYFUNCTION("""COMPUTED_VALUE"""),479.75)</f>
        <v>479.75</v>
      </c>
      <c r="X693" s="11">
        <f>IFERROR(__xludf.DUMMYFUNCTION("""COMPUTED_VALUE"""),44054.66666666667)</f>
        <v>44054.66667</v>
      </c>
      <c r="Y693" s="9">
        <f>IFERROR(__xludf.DUMMYFUNCTION("""COMPUTED_VALUE"""),466.93)</f>
        <v>466.93</v>
      </c>
      <c r="AA693" s="11">
        <f>IFERROR(__xludf.DUMMYFUNCTION("""COMPUTED_VALUE"""),44054.66666666667)</f>
        <v>44054.66667</v>
      </c>
      <c r="AB693" s="9">
        <f>IFERROR(__xludf.DUMMYFUNCTION("""COMPUTED_VALUE"""),3113.2)</f>
        <v>3113.2</v>
      </c>
      <c r="AC693" s="11">
        <f>IFERROR(__xludf.DUMMYFUNCTION("""COMPUTED_VALUE"""),44054.66666666667)</f>
        <v>44054.66667</v>
      </c>
      <c r="AD693" s="9">
        <f>IFERROR(__xludf.DUMMYFUNCTION("""COMPUTED_VALUE"""),3080.67)</f>
        <v>3080.67</v>
      </c>
    </row>
    <row r="694">
      <c r="B694" s="11">
        <f>IFERROR(__xludf.DUMMYFUNCTION("""COMPUTED_VALUE"""),44055.66666666667)</f>
        <v>44055.66667</v>
      </c>
      <c r="C694" s="9">
        <f>IFERROR(__xludf.DUMMYFUNCTION("""COMPUTED_VALUE"""),294.0)</f>
        <v>294</v>
      </c>
      <c r="D694" s="11">
        <f>IFERROR(__xludf.DUMMYFUNCTION("""COMPUTED_VALUE"""),44055.66666666667)</f>
        <v>44055.66667</v>
      </c>
      <c r="E694" s="9">
        <f>IFERROR(__xludf.DUMMYFUNCTION("""COMPUTED_VALUE"""),310.95)</f>
        <v>310.95</v>
      </c>
      <c r="G694" s="11">
        <f>IFERROR(__xludf.DUMMYFUNCTION("""COMPUTED_VALUE"""),44055.66666666667)</f>
        <v>44055.66667</v>
      </c>
      <c r="H694" s="9">
        <f>IFERROR(__xludf.DUMMYFUNCTION("""COMPUTED_VALUE"""),1485.58)</f>
        <v>1485.58</v>
      </c>
      <c r="I694" s="11">
        <f>IFERROR(__xludf.DUMMYFUNCTION("""COMPUTED_VALUE"""),44055.66666666667)</f>
        <v>44055.66667</v>
      </c>
      <c r="J694" s="9">
        <f>IFERROR(__xludf.DUMMYFUNCTION("""COMPUTED_VALUE"""),1506.62)</f>
        <v>1506.62</v>
      </c>
      <c r="L694" s="11">
        <f>IFERROR(__xludf.DUMMYFUNCTION("""COMPUTED_VALUE"""),44055.66666666667)</f>
        <v>44055.66667</v>
      </c>
      <c r="M694" s="9">
        <f>IFERROR(__xludf.DUMMYFUNCTION("""COMPUTED_VALUE"""),110.5)</f>
        <v>110.5</v>
      </c>
      <c r="N694" s="11">
        <f>IFERROR(__xludf.DUMMYFUNCTION("""COMPUTED_VALUE"""),44055.66666666667)</f>
        <v>44055.66667</v>
      </c>
      <c r="O694" s="9">
        <f>IFERROR(__xludf.DUMMYFUNCTION("""COMPUTED_VALUE"""),113.01)</f>
        <v>113.01</v>
      </c>
      <c r="Q694" s="11">
        <f>IFERROR(__xludf.DUMMYFUNCTION("""COMPUTED_VALUE"""),44055.66666666667)</f>
        <v>44055.66667</v>
      </c>
      <c r="R694" s="9">
        <f>IFERROR(__xludf.DUMMYFUNCTION("""COMPUTED_VALUE"""),258.97)</f>
        <v>258.97</v>
      </c>
      <c r="S694" s="11">
        <f>IFERROR(__xludf.DUMMYFUNCTION("""COMPUTED_VALUE"""),44055.66666666667)</f>
        <v>44055.66667</v>
      </c>
      <c r="T694" s="9">
        <f>IFERROR(__xludf.DUMMYFUNCTION("""COMPUTED_VALUE"""),259.89)</f>
        <v>259.89</v>
      </c>
      <c r="V694" s="11">
        <f>IFERROR(__xludf.DUMMYFUNCTION("""COMPUTED_VALUE"""),44055.66666666667)</f>
        <v>44055.66667</v>
      </c>
      <c r="W694" s="9">
        <f>IFERROR(__xludf.DUMMYFUNCTION("""COMPUTED_VALUE"""),471.34)</f>
        <v>471.34</v>
      </c>
      <c r="X694" s="11">
        <f>IFERROR(__xludf.DUMMYFUNCTION("""COMPUTED_VALUE"""),44055.66666666667)</f>
        <v>44055.66667</v>
      </c>
      <c r="Y694" s="9">
        <f>IFERROR(__xludf.DUMMYFUNCTION("""COMPUTED_VALUE"""),475.47)</f>
        <v>475.47</v>
      </c>
      <c r="AA694" s="11">
        <f>IFERROR(__xludf.DUMMYFUNCTION("""COMPUTED_VALUE"""),44055.66666666667)</f>
        <v>44055.66667</v>
      </c>
      <c r="AB694" s="9">
        <f>IFERROR(__xludf.DUMMYFUNCTION("""COMPUTED_VALUE"""),3108.0)</f>
        <v>3108</v>
      </c>
      <c r="AC694" s="11">
        <f>IFERROR(__xludf.DUMMYFUNCTION("""COMPUTED_VALUE"""),44055.66666666667)</f>
        <v>44055.66667</v>
      </c>
      <c r="AD694" s="9">
        <f>IFERROR(__xludf.DUMMYFUNCTION("""COMPUTED_VALUE"""),3162.24)</f>
        <v>3162.24</v>
      </c>
    </row>
    <row r="695">
      <c r="B695" s="11">
        <f>IFERROR(__xludf.DUMMYFUNCTION("""COMPUTED_VALUE"""),44056.66666666667)</f>
        <v>44056.66667</v>
      </c>
      <c r="C695" s="9">
        <f>IFERROR(__xludf.DUMMYFUNCTION("""COMPUTED_VALUE"""),322.2)</f>
        <v>322.2</v>
      </c>
      <c r="D695" s="11">
        <f>IFERROR(__xludf.DUMMYFUNCTION("""COMPUTED_VALUE"""),44056.66666666667)</f>
        <v>44056.66667</v>
      </c>
      <c r="E695" s="9">
        <f>IFERROR(__xludf.DUMMYFUNCTION("""COMPUTED_VALUE"""),324.2)</f>
        <v>324.2</v>
      </c>
      <c r="G695" s="11">
        <f>IFERROR(__xludf.DUMMYFUNCTION("""COMPUTED_VALUE"""),44056.66666666667)</f>
        <v>44056.66667</v>
      </c>
      <c r="H695" s="9">
        <f>IFERROR(__xludf.DUMMYFUNCTION("""COMPUTED_VALUE"""),1510.34)</f>
        <v>1510.34</v>
      </c>
      <c r="I695" s="11">
        <f>IFERROR(__xludf.DUMMYFUNCTION("""COMPUTED_VALUE"""),44056.66666666667)</f>
        <v>44056.66667</v>
      </c>
      <c r="J695" s="9">
        <f>IFERROR(__xludf.DUMMYFUNCTION("""COMPUTED_VALUE"""),1518.45)</f>
        <v>1518.45</v>
      </c>
      <c r="L695" s="11">
        <f>IFERROR(__xludf.DUMMYFUNCTION("""COMPUTED_VALUE"""),44056.66666666667)</f>
        <v>44056.66667</v>
      </c>
      <c r="M695" s="9">
        <f>IFERROR(__xludf.DUMMYFUNCTION("""COMPUTED_VALUE"""),114.43)</f>
        <v>114.43</v>
      </c>
      <c r="N695" s="11">
        <f>IFERROR(__xludf.DUMMYFUNCTION("""COMPUTED_VALUE"""),44056.66666666667)</f>
        <v>44056.66667</v>
      </c>
      <c r="O695" s="9">
        <f>IFERROR(__xludf.DUMMYFUNCTION("""COMPUTED_VALUE"""),115.01)</f>
        <v>115.01</v>
      </c>
      <c r="Q695" s="11">
        <f>IFERROR(__xludf.DUMMYFUNCTION("""COMPUTED_VALUE"""),44056.66666666667)</f>
        <v>44056.66667</v>
      </c>
      <c r="R695" s="9">
        <f>IFERROR(__xludf.DUMMYFUNCTION("""COMPUTED_VALUE"""),261.55)</f>
        <v>261.55</v>
      </c>
      <c r="S695" s="11">
        <f>IFERROR(__xludf.DUMMYFUNCTION("""COMPUTED_VALUE"""),44056.66666666667)</f>
        <v>44056.66667</v>
      </c>
      <c r="T695" s="9">
        <f>IFERROR(__xludf.DUMMYFUNCTION("""COMPUTED_VALUE"""),261.3)</f>
        <v>261.3</v>
      </c>
      <c r="V695" s="11">
        <f>IFERROR(__xludf.DUMMYFUNCTION("""COMPUTED_VALUE"""),44056.66666666667)</f>
        <v>44056.66667</v>
      </c>
      <c r="W695" s="9">
        <f>IFERROR(__xludf.DUMMYFUNCTION("""COMPUTED_VALUE"""),478.4)</f>
        <v>478.4</v>
      </c>
      <c r="X695" s="11">
        <f>IFERROR(__xludf.DUMMYFUNCTION("""COMPUTED_VALUE"""),44056.66666666667)</f>
        <v>44056.66667</v>
      </c>
      <c r="Y695" s="9">
        <f>IFERROR(__xludf.DUMMYFUNCTION("""COMPUTED_VALUE"""),481.33)</f>
        <v>481.33</v>
      </c>
      <c r="AA695" s="11">
        <f>IFERROR(__xludf.DUMMYFUNCTION("""COMPUTED_VALUE"""),44056.66666666667)</f>
        <v>44056.66667</v>
      </c>
      <c r="AB695" s="9">
        <f>IFERROR(__xludf.DUMMYFUNCTION("""COMPUTED_VALUE"""),3182.99)</f>
        <v>3182.99</v>
      </c>
      <c r="AC695" s="11">
        <f>IFERROR(__xludf.DUMMYFUNCTION("""COMPUTED_VALUE"""),44056.66666666667)</f>
        <v>44056.66667</v>
      </c>
      <c r="AD695" s="9">
        <f>IFERROR(__xludf.DUMMYFUNCTION("""COMPUTED_VALUE"""),3161.02)</f>
        <v>3161.02</v>
      </c>
    </row>
    <row r="696">
      <c r="B696" s="11">
        <f>IFERROR(__xludf.DUMMYFUNCTION("""COMPUTED_VALUE"""),44057.66666666667)</f>
        <v>44057.66667</v>
      </c>
      <c r="C696" s="9">
        <f>IFERROR(__xludf.DUMMYFUNCTION("""COMPUTED_VALUE"""),333.0)</f>
        <v>333</v>
      </c>
      <c r="D696" s="11">
        <f>IFERROR(__xludf.DUMMYFUNCTION("""COMPUTED_VALUE"""),44057.66666666667)</f>
        <v>44057.66667</v>
      </c>
      <c r="E696" s="9">
        <f>IFERROR(__xludf.DUMMYFUNCTION("""COMPUTED_VALUE"""),330.14)</f>
        <v>330.14</v>
      </c>
      <c r="G696" s="11">
        <f>IFERROR(__xludf.DUMMYFUNCTION("""COMPUTED_VALUE"""),44057.66666666667)</f>
        <v>44057.66667</v>
      </c>
      <c r="H696" s="9">
        <f>IFERROR(__xludf.DUMMYFUNCTION("""COMPUTED_VALUE"""),1515.66)</f>
        <v>1515.66</v>
      </c>
      <c r="I696" s="11">
        <f>IFERROR(__xludf.DUMMYFUNCTION("""COMPUTED_VALUE"""),44057.66666666667)</f>
        <v>44057.66667</v>
      </c>
      <c r="J696" s="9">
        <f>IFERROR(__xludf.DUMMYFUNCTION("""COMPUTED_VALUE"""),1507.73)</f>
        <v>1507.73</v>
      </c>
      <c r="L696" s="11">
        <f>IFERROR(__xludf.DUMMYFUNCTION("""COMPUTED_VALUE"""),44057.66666666667)</f>
        <v>44057.66667</v>
      </c>
      <c r="M696" s="9">
        <f>IFERROR(__xludf.DUMMYFUNCTION("""COMPUTED_VALUE"""),114.83)</f>
        <v>114.83</v>
      </c>
      <c r="N696" s="11">
        <f>IFERROR(__xludf.DUMMYFUNCTION("""COMPUTED_VALUE"""),44057.66666666667)</f>
        <v>44057.66667</v>
      </c>
      <c r="O696" s="9">
        <f>IFERROR(__xludf.DUMMYFUNCTION("""COMPUTED_VALUE"""),114.91)</f>
        <v>114.91</v>
      </c>
      <c r="Q696" s="11">
        <f>IFERROR(__xludf.DUMMYFUNCTION("""COMPUTED_VALUE"""),44057.66666666667)</f>
        <v>44057.66667</v>
      </c>
      <c r="R696" s="9">
        <f>IFERROR(__xludf.DUMMYFUNCTION("""COMPUTED_VALUE"""),262.31)</f>
        <v>262.31</v>
      </c>
      <c r="S696" s="11">
        <f>IFERROR(__xludf.DUMMYFUNCTION("""COMPUTED_VALUE"""),44057.66666666667)</f>
        <v>44057.66667</v>
      </c>
      <c r="T696" s="9">
        <f>IFERROR(__xludf.DUMMYFUNCTION("""COMPUTED_VALUE"""),261.24)</f>
        <v>261.24</v>
      </c>
      <c r="V696" s="11">
        <f>IFERROR(__xludf.DUMMYFUNCTION("""COMPUTED_VALUE"""),44057.66666666667)</f>
        <v>44057.66667</v>
      </c>
      <c r="W696" s="9">
        <f>IFERROR(__xludf.DUMMYFUNCTION("""COMPUTED_VALUE"""),482.82)</f>
        <v>482.82</v>
      </c>
      <c r="X696" s="11">
        <f>IFERROR(__xludf.DUMMYFUNCTION("""COMPUTED_VALUE"""),44057.66666666667)</f>
        <v>44057.66667</v>
      </c>
      <c r="Y696" s="9">
        <f>IFERROR(__xludf.DUMMYFUNCTION("""COMPUTED_VALUE"""),482.68)</f>
        <v>482.68</v>
      </c>
      <c r="AA696" s="11">
        <f>IFERROR(__xludf.DUMMYFUNCTION("""COMPUTED_VALUE"""),44057.66666666667)</f>
        <v>44057.66667</v>
      </c>
      <c r="AB696" s="9">
        <f>IFERROR(__xludf.DUMMYFUNCTION("""COMPUTED_VALUE"""),3178.18)</f>
        <v>3178.18</v>
      </c>
      <c r="AC696" s="11">
        <f>IFERROR(__xludf.DUMMYFUNCTION("""COMPUTED_VALUE"""),44057.66666666667)</f>
        <v>44057.66667</v>
      </c>
      <c r="AD696" s="9">
        <f>IFERROR(__xludf.DUMMYFUNCTION("""COMPUTED_VALUE"""),3148.02)</f>
        <v>3148.02</v>
      </c>
    </row>
    <row r="697">
      <c r="B697" s="11">
        <f>IFERROR(__xludf.DUMMYFUNCTION("""COMPUTED_VALUE"""),44060.66666666667)</f>
        <v>44060.66667</v>
      </c>
      <c r="C697" s="9">
        <f>IFERROR(__xludf.DUMMYFUNCTION("""COMPUTED_VALUE"""),335.4)</f>
        <v>335.4</v>
      </c>
      <c r="D697" s="11">
        <f>IFERROR(__xludf.DUMMYFUNCTION("""COMPUTED_VALUE"""),44060.66666666667)</f>
        <v>44060.66667</v>
      </c>
      <c r="E697" s="9">
        <f>IFERROR(__xludf.DUMMYFUNCTION("""COMPUTED_VALUE"""),367.13)</f>
        <v>367.13</v>
      </c>
      <c r="G697" s="11">
        <f>IFERROR(__xludf.DUMMYFUNCTION("""COMPUTED_VALUE"""),44060.66666666667)</f>
        <v>44060.66667</v>
      </c>
      <c r="H697" s="9">
        <f>IFERROR(__xludf.DUMMYFUNCTION("""COMPUTED_VALUE"""),1514.67)</f>
        <v>1514.67</v>
      </c>
      <c r="I697" s="11">
        <f>IFERROR(__xludf.DUMMYFUNCTION("""COMPUTED_VALUE"""),44060.66666666667)</f>
        <v>44060.66667</v>
      </c>
      <c r="J697" s="9">
        <f>IFERROR(__xludf.DUMMYFUNCTION("""COMPUTED_VALUE"""),1517.98)</f>
        <v>1517.98</v>
      </c>
      <c r="L697" s="11">
        <f>IFERROR(__xludf.DUMMYFUNCTION("""COMPUTED_VALUE"""),44060.66666666667)</f>
        <v>44060.66667</v>
      </c>
      <c r="M697" s="9">
        <f>IFERROR(__xludf.DUMMYFUNCTION("""COMPUTED_VALUE"""),116.06)</f>
        <v>116.06</v>
      </c>
      <c r="N697" s="11">
        <f>IFERROR(__xludf.DUMMYFUNCTION("""COMPUTED_VALUE"""),44060.66666666667)</f>
        <v>44060.66667</v>
      </c>
      <c r="O697" s="9">
        <f>IFERROR(__xludf.DUMMYFUNCTION("""COMPUTED_VALUE"""),114.61)</f>
        <v>114.61</v>
      </c>
      <c r="Q697" s="11">
        <f>IFERROR(__xludf.DUMMYFUNCTION("""COMPUTED_VALUE"""),44060.66666666667)</f>
        <v>44060.66667</v>
      </c>
      <c r="R697" s="9">
        <f>IFERROR(__xludf.DUMMYFUNCTION("""COMPUTED_VALUE"""),262.5)</f>
        <v>262.5</v>
      </c>
      <c r="S697" s="11">
        <f>IFERROR(__xludf.DUMMYFUNCTION("""COMPUTED_VALUE"""),44060.66666666667)</f>
        <v>44060.66667</v>
      </c>
      <c r="T697" s="9">
        <f>IFERROR(__xludf.DUMMYFUNCTION("""COMPUTED_VALUE"""),261.16)</f>
        <v>261.16</v>
      </c>
      <c r="V697" s="11">
        <f>IFERROR(__xludf.DUMMYFUNCTION("""COMPUTED_VALUE"""),44060.66666666667)</f>
        <v>44060.66667</v>
      </c>
      <c r="W697" s="9">
        <f>IFERROR(__xludf.DUMMYFUNCTION("""COMPUTED_VALUE"""),484.19)</f>
        <v>484.19</v>
      </c>
      <c r="X697" s="11">
        <f>IFERROR(__xludf.DUMMYFUNCTION("""COMPUTED_VALUE"""),44060.66666666667)</f>
        <v>44060.66667</v>
      </c>
      <c r="Y697" s="9">
        <f>IFERROR(__xludf.DUMMYFUNCTION("""COMPUTED_VALUE"""),482.35)</f>
        <v>482.35</v>
      </c>
      <c r="AA697" s="11">
        <f>IFERROR(__xludf.DUMMYFUNCTION("""COMPUTED_VALUE"""),44060.66666666667)</f>
        <v>44060.66667</v>
      </c>
      <c r="AB697" s="9">
        <f>IFERROR(__xludf.DUMMYFUNCTION("""COMPUTED_VALUE"""),3173.12)</f>
        <v>3173.12</v>
      </c>
      <c r="AC697" s="11">
        <f>IFERROR(__xludf.DUMMYFUNCTION("""COMPUTED_VALUE"""),44060.66666666667)</f>
        <v>44060.66667</v>
      </c>
      <c r="AD697" s="9">
        <f>IFERROR(__xludf.DUMMYFUNCTION("""COMPUTED_VALUE"""),3182.41)</f>
        <v>3182.41</v>
      </c>
    </row>
    <row r="698">
      <c r="B698" s="11">
        <f>IFERROR(__xludf.DUMMYFUNCTION("""COMPUTED_VALUE"""),44061.66666666667)</f>
        <v>44061.66667</v>
      </c>
      <c r="C698" s="9">
        <f>IFERROR(__xludf.DUMMYFUNCTION("""COMPUTED_VALUE"""),379.8)</f>
        <v>379.8</v>
      </c>
      <c r="D698" s="11">
        <f>IFERROR(__xludf.DUMMYFUNCTION("""COMPUTED_VALUE"""),44061.66666666667)</f>
        <v>44061.66667</v>
      </c>
      <c r="E698" s="9">
        <f>IFERROR(__xludf.DUMMYFUNCTION("""COMPUTED_VALUE"""),377.42)</f>
        <v>377.42</v>
      </c>
      <c r="G698" s="11">
        <f>IFERROR(__xludf.DUMMYFUNCTION("""COMPUTED_VALUE"""),44061.66666666667)</f>
        <v>44061.66667</v>
      </c>
      <c r="H698" s="9">
        <f>IFERROR(__xludf.DUMMYFUNCTION("""COMPUTED_VALUE"""),1526.18)</f>
        <v>1526.18</v>
      </c>
      <c r="I698" s="11">
        <f>IFERROR(__xludf.DUMMYFUNCTION("""COMPUTED_VALUE"""),44061.66666666667)</f>
        <v>44061.66667</v>
      </c>
      <c r="J698" s="9">
        <f>IFERROR(__xludf.DUMMYFUNCTION("""COMPUTED_VALUE"""),1558.6)</f>
        <v>1558.6</v>
      </c>
      <c r="L698" s="11">
        <f>IFERROR(__xludf.DUMMYFUNCTION("""COMPUTED_VALUE"""),44061.66666666667)</f>
        <v>44061.66667</v>
      </c>
      <c r="M698" s="9">
        <f>IFERROR(__xludf.DUMMYFUNCTION("""COMPUTED_VALUE"""),114.35)</f>
        <v>114.35</v>
      </c>
      <c r="N698" s="11">
        <f>IFERROR(__xludf.DUMMYFUNCTION("""COMPUTED_VALUE"""),44061.66666666667)</f>
        <v>44061.66667</v>
      </c>
      <c r="O698" s="9">
        <f>IFERROR(__xludf.DUMMYFUNCTION("""COMPUTED_VALUE"""),115.56)</f>
        <v>115.56</v>
      </c>
      <c r="Q698" s="11">
        <f>IFERROR(__xludf.DUMMYFUNCTION("""COMPUTED_VALUE"""),44061.66666666667)</f>
        <v>44061.66667</v>
      </c>
      <c r="R698" s="9">
        <f>IFERROR(__xludf.DUMMYFUNCTION("""COMPUTED_VALUE"""),260.95)</f>
        <v>260.95</v>
      </c>
      <c r="S698" s="11">
        <f>IFERROR(__xludf.DUMMYFUNCTION("""COMPUTED_VALUE"""),44061.66666666667)</f>
        <v>44061.66667</v>
      </c>
      <c r="T698" s="9">
        <f>IFERROR(__xludf.DUMMYFUNCTION("""COMPUTED_VALUE"""),262.34)</f>
        <v>262.34</v>
      </c>
      <c r="V698" s="11">
        <f>IFERROR(__xludf.DUMMYFUNCTION("""COMPUTED_VALUE"""),44061.66666666667)</f>
        <v>44061.66667</v>
      </c>
      <c r="W698" s="9">
        <f>IFERROR(__xludf.DUMMYFUNCTION("""COMPUTED_VALUE"""),484.35)</f>
        <v>484.35</v>
      </c>
      <c r="X698" s="11">
        <f>IFERROR(__xludf.DUMMYFUNCTION("""COMPUTED_VALUE"""),44061.66666666667)</f>
        <v>44061.66667</v>
      </c>
      <c r="Y698" s="9">
        <f>IFERROR(__xludf.DUMMYFUNCTION("""COMPUTED_VALUE"""),491.87)</f>
        <v>491.87</v>
      </c>
      <c r="AA698" s="11">
        <f>IFERROR(__xludf.DUMMYFUNCTION("""COMPUTED_VALUE"""),44061.66666666667)</f>
        <v>44061.66667</v>
      </c>
      <c r="AB698" s="9">
        <f>IFERROR(__xludf.DUMMYFUNCTION("""COMPUTED_VALUE"""),3212.0)</f>
        <v>3212</v>
      </c>
      <c r="AC698" s="11">
        <f>IFERROR(__xludf.DUMMYFUNCTION("""COMPUTED_VALUE"""),44061.66666666667)</f>
        <v>44061.66667</v>
      </c>
      <c r="AD698" s="9">
        <f>IFERROR(__xludf.DUMMYFUNCTION("""COMPUTED_VALUE"""),3312.49)</f>
        <v>3312.49</v>
      </c>
    </row>
    <row r="699">
      <c r="B699" s="11">
        <f>IFERROR(__xludf.DUMMYFUNCTION("""COMPUTED_VALUE"""),44062.66666666667)</f>
        <v>44062.66667</v>
      </c>
      <c r="C699" s="9">
        <f>IFERROR(__xludf.DUMMYFUNCTION("""COMPUTED_VALUE"""),373.0)</f>
        <v>373</v>
      </c>
      <c r="D699" s="11">
        <f>IFERROR(__xludf.DUMMYFUNCTION("""COMPUTED_VALUE"""),44062.66666666667)</f>
        <v>44062.66667</v>
      </c>
      <c r="E699" s="9">
        <f>IFERROR(__xludf.DUMMYFUNCTION("""COMPUTED_VALUE"""),375.71)</f>
        <v>375.71</v>
      </c>
      <c r="G699" s="11">
        <f>IFERROR(__xludf.DUMMYFUNCTION("""COMPUTED_VALUE"""),44062.66666666667)</f>
        <v>44062.66667</v>
      </c>
      <c r="H699" s="9">
        <f>IFERROR(__xludf.DUMMYFUNCTION("""COMPUTED_VALUE"""),1553.31)</f>
        <v>1553.31</v>
      </c>
      <c r="I699" s="11">
        <f>IFERROR(__xludf.DUMMYFUNCTION("""COMPUTED_VALUE"""),44062.66666666667)</f>
        <v>44062.66667</v>
      </c>
      <c r="J699" s="9">
        <f>IFERROR(__xludf.DUMMYFUNCTION("""COMPUTED_VALUE"""),1547.53)</f>
        <v>1547.53</v>
      </c>
      <c r="L699" s="11">
        <f>IFERROR(__xludf.DUMMYFUNCTION("""COMPUTED_VALUE"""),44062.66666666667)</f>
        <v>44062.66667</v>
      </c>
      <c r="M699" s="9">
        <f>IFERROR(__xludf.DUMMYFUNCTION("""COMPUTED_VALUE"""),115.98)</f>
        <v>115.98</v>
      </c>
      <c r="N699" s="11">
        <f>IFERROR(__xludf.DUMMYFUNCTION("""COMPUTED_VALUE"""),44062.66666666667)</f>
        <v>44062.66667</v>
      </c>
      <c r="O699" s="9">
        <f>IFERROR(__xludf.DUMMYFUNCTION("""COMPUTED_VALUE"""),115.71)</f>
        <v>115.71</v>
      </c>
      <c r="Q699" s="11">
        <f>IFERROR(__xludf.DUMMYFUNCTION("""COMPUTED_VALUE"""),44062.66666666667)</f>
        <v>44062.66667</v>
      </c>
      <c r="R699" s="9">
        <f>IFERROR(__xludf.DUMMYFUNCTION("""COMPUTED_VALUE"""),261.39)</f>
        <v>261.39</v>
      </c>
      <c r="S699" s="11">
        <f>IFERROR(__xludf.DUMMYFUNCTION("""COMPUTED_VALUE"""),44062.66666666667)</f>
        <v>44062.66667</v>
      </c>
      <c r="T699" s="9">
        <f>IFERROR(__xludf.DUMMYFUNCTION("""COMPUTED_VALUE"""),262.59)</f>
        <v>262.59</v>
      </c>
      <c r="V699" s="11">
        <f>IFERROR(__xludf.DUMMYFUNCTION("""COMPUTED_VALUE"""),44062.66666666667)</f>
        <v>44062.66667</v>
      </c>
      <c r="W699" s="9">
        <f>IFERROR(__xludf.DUMMYFUNCTION("""COMPUTED_VALUE"""),493.93)</f>
        <v>493.93</v>
      </c>
      <c r="X699" s="11">
        <f>IFERROR(__xludf.DUMMYFUNCTION("""COMPUTED_VALUE"""),44062.66666666667)</f>
        <v>44062.66667</v>
      </c>
      <c r="Y699" s="9">
        <f>IFERROR(__xludf.DUMMYFUNCTION("""COMPUTED_VALUE"""),484.53)</f>
        <v>484.53</v>
      </c>
      <c r="AA699" s="11">
        <f>IFERROR(__xludf.DUMMYFUNCTION("""COMPUTED_VALUE"""),44062.66666666667)</f>
        <v>44062.66667</v>
      </c>
      <c r="AB699" s="9">
        <f>IFERROR(__xludf.DUMMYFUNCTION("""COMPUTED_VALUE"""),3303.01)</f>
        <v>3303.01</v>
      </c>
      <c r="AC699" s="11">
        <f>IFERROR(__xludf.DUMMYFUNCTION("""COMPUTED_VALUE"""),44062.66666666667)</f>
        <v>44062.66667</v>
      </c>
      <c r="AD699" s="9">
        <f>IFERROR(__xludf.DUMMYFUNCTION("""COMPUTED_VALUE"""),3260.48)</f>
        <v>3260.48</v>
      </c>
    </row>
    <row r="700">
      <c r="B700" s="11">
        <f>IFERROR(__xludf.DUMMYFUNCTION("""COMPUTED_VALUE"""),44063.66666666667)</f>
        <v>44063.66667</v>
      </c>
      <c r="C700" s="9">
        <f>IFERROR(__xludf.DUMMYFUNCTION("""COMPUTED_VALUE"""),372.14)</f>
        <v>372.14</v>
      </c>
      <c r="D700" s="11">
        <f>IFERROR(__xludf.DUMMYFUNCTION("""COMPUTED_VALUE"""),44063.66666666667)</f>
        <v>44063.66667</v>
      </c>
      <c r="E700" s="9">
        <f>IFERROR(__xludf.DUMMYFUNCTION("""COMPUTED_VALUE"""),400.37)</f>
        <v>400.37</v>
      </c>
      <c r="G700" s="11">
        <f>IFERROR(__xludf.DUMMYFUNCTION("""COMPUTED_VALUE"""),44063.66666666667)</f>
        <v>44063.66667</v>
      </c>
      <c r="H700" s="9">
        <f>IFERROR(__xludf.DUMMYFUNCTION("""COMPUTED_VALUE"""),1543.45)</f>
        <v>1543.45</v>
      </c>
      <c r="I700" s="11">
        <f>IFERROR(__xludf.DUMMYFUNCTION("""COMPUTED_VALUE"""),44063.66666666667)</f>
        <v>44063.66667</v>
      </c>
      <c r="J700" s="9">
        <f>IFERROR(__xludf.DUMMYFUNCTION("""COMPUTED_VALUE"""),1581.75)</f>
        <v>1581.75</v>
      </c>
      <c r="L700" s="11">
        <f>IFERROR(__xludf.DUMMYFUNCTION("""COMPUTED_VALUE"""),44063.66666666667)</f>
        <v>44063.66667</v>
      </c>
      <c r="M700" s="9">
        <f>IFERROR(__xludf.DUMMYFUNCTION("""COMPUTED_VALUE"""),115.75)</f>
        <v>115.75</v>
      </c>
      <c r="N700" s="11">
        <f>IFERROR(__xludf.DUMMYFUNCTION("""COMPUTED_VALUE"""),44063.66666666667)</f>
        <v>44063.66667</v>
      </c>
      <c r="O700" s="9">
        <f>IFERROR(__xludf.DUMMYFUNCTION("""COMPUTED_VALUE"""),118.28)</f>
        <v>118.28</v>
      </c>
      <c r="Q700" s="11">
        <f>IFERROR(__xludf.DUMMYFUNCTION("""COMPUTED_VALUE"""),44063.66666666667)</f>
        <v>44063.66667</v>
      </c>
      <c r="R700" s="9">
        <f>IFERROR(__xludf.DUMMYFUNCTION("""COMPUTED_VALUE"""),261.5)</f>
        <v>261.5</v>
      </c>
      <c r="S700" s="11">
        <f>IFERROR(__xludf.DUMMYFUNCTION("""COMPUTED_VALUE"""),44063.66666666667)</f>
        <v>44063.66667</v>
      </c>
      <c r="T700" s="9">
        <f>IFERROR(__xludf.DUMMYFUNCTION("""COMPUTED_VALUE"""),269.01)</f>
        <v>269.01</v>
      </c>
      <c r="V700" s="11">
        <f>IFERROR(__xludf.DUMMYFUNCTION("""COMPUTED_VALUE"""),44063.66666666667)</f>
        <v>44063.66667</v>
      </c>
      <c r="W700" s="9">
        <f>IFERROR(__xludf.DUMMYFUNCTION("""COMPUTED_VALUE"""),484.69)</f>
        <v>484.69</v>
      </c>
      <c r="X700" s="11">
        <f>IFERROR(__xludf.DUMMYFUNCTION("""COMPUTED_VALUE"""),44063.66666666667)</f>
        <v>44063.66667</v>
      </c>
      <c r="Y700" s="9">
        <f>IFERROR(__xludf.DUMMYFUNCTION("""COMPUTED_VALUE"""),497.9)</f>
        <v>497.9</v>
      </c>
      <c r="AA700" s="11">
        <f>IFERROR(__xludf.DUMMYFUNCTION("""COMPUTED_VALUE"""),44063.66666666667)</f>
        <v>44063.66667</v>
      </c>
      <c r="AB700" s="9">
        <f>IFERROR(__xludf.DUMMYFUNCTION("""COMPUTED_VALUE"""),3252.0)</f>
        <v>3252</v>
      </c>
      <c r="AC700" s="11">
        <f>IFERROR(__xludf.DUMMYFUNCTION("""COMPUTED_VALUE"""),44063.66666666667)</f>
        <v>44063.66667</v>
      </c>
      <c r="AD700" s="9">
        <f>IFERROR(__xludf.DUMMYFUNCTION("""COMPUTED_VALUE"""),3297.37)</f>
        <v>3297.37</v>
      </c>
    </row>
    <row r="701">
      <c r="B701" s="11">
        <f>IFERROR(__xludf.DUMMYFUNCTION("""COMPUTED_VALUE"""),44064.66666666667)</f>
        <v>44064.66667</v>
      </c>
      <c r="C701" s="9">
        <f>IFERROR(__xludf.DUMMYFUNCTION("""COMPUTED_VALUE"""),408.95)</f>
        <v>408.95</v>
      </c>
      <c r="D701" s="11">
        <f>IFERROR(__xludf.DUMMYFUNCTION("""COMPUTED_VALUE"""),44064.66666666667)</f>
        <v>44064.66667</v>
      </c>
      <c r="E701" s="9">
        <f>IFERROR(__xludf.DUMMYFUNCTION("""COMPUTED_VALUE"""),410.0)</f>
        <v>410</v>
      </c>
      <c r="G701" s="11">
        <f>IFERROR(__xludf.DUMMYFUNCTION("""COMPUTED_VALUE"""),44064.66666666667)</f>
        <v>44064.66667</v>
      </c>
      <c r="H701" s="9">
        <f>IFERROR(__xludf.DUMMYFUNCTION("""COMPUTED_VALUE"""),1577.03)</f>
        <v>1577.03</v>
      </c>
      <c r="I701" s="11">
        <f>IFERROR(__xludf.DUMMYFUNCTION("""COMPUTED_VALUE"""),44064.66666666667)</f>
        <v>44064.66667</v>
      </c>
      <c r="J701" s="9">
        <f>IFERROR(__xludf.DUMMYFUNCTION("""COMPUTED_VALUE"""),1580.42)</f>
        <v>1580.42</v>
      </c>
      <c r="L701" s="11">
        <f>IFERROR(__xludf.DUMMYFUNCTION("""COMPUTED_VALUE"""),44064.66666666667)</f>
        <v>44064.66667</v>
      </c>
      <c r="M701" s="9">
        <f>IFERROR(__xludf.DUMMYFUNCTION("""COMPUTED_VALUE"""),119.26)</f>
        <v>119.26</v>
      </c>
      <c r="N701" s="11">
        <f>IFERROR(__xludf.DUMMYFUNCTION("""COMPUTED_VALUE"""),44064.66666666667)</f>
        <v>44064.66667</v>
      </c>
      <c r="O701" s="9">
        <f>IFERROR(__xludf.DUMMYFUNCTION("""COMPUTED_VALUE"""),124.37)</f>
        <v>124.37</v>
      </c>
      <c r="Q701" s="11">
        <f>IFERROR(__xludf.DUMMYFUNCTION("""COMPUTED_VALUE"""),44064.66666666667)</f>
        <v>44064.66667</v>
      </c>
      <c r="R701" s="9">
        <f>IFERROR(__xludf.DUMMYFUNCTION("""COMPUTED_VALUE"""),268.69)</f>
        <v>268.69</v>
      </c>
      <c r="S701" s="11">
        <f>IFERROR(__xludf.DUMMYFUNCTION("""COMPUTED_VALUE"""),44064.66666666667)</f>
        <v>44064.66667</v>
      </c>
      <c r="T701" s="9">
        <f>IFERROR(__xludf.DUMMYFUNCTION("""COMPUTED_VALUE"""),267.01)</f>
        <v>267.01</v>
      </c>
      <c r="V701" s="11">
        <f>IFERROR(__xludf.DUMMYFUNCTION("""COMPUTED_VALUE"""),44064.66666666667)</f>
        <v>44064.66667</v>
      </c>
      <c r="W701" s="9">
        <f>IFERROR(__xludf.DUMMYFUNCTION("""COMPUTED_VALUE"""),496.46)</f>
        <v>496.46</v>
      </c>
      <c r="X701" s="11">
        <f>IFERROR(__xludf.DUMMYFUNCTION("""COMPUTED_VALUE"""),44064.66666666667)</f>
        <v>44064.66667</v>
      </c>
      <c r="Y701" s="9">
        <f>IFERROR(__xludf.DUMMYFUNCTION("""COMPUTED_VALUE"""),492.31)</f>
        <v>492.31</v>
      </c>
      <c r="AA701" s="11">
        <f>IFERROR(__xludf.DUMMYFUNCTION("""COMPUTED_VALUE"""),44064.66666666667)</f>
        <v>44064.66667</v>
      </c>
      <c r="AB701" s="9">
        <f>IFERROR(__xludf.DUMMYFUNCTION("""COMPUTED_VALUE"""),3295.0)</f>
        <v>3295</v>
      </c>
      <c r="AC701" s="11">
        <f>IFERROR(__xludf.DUMMYFUNCTION("""COMPUTED_VALUE"""),44064.66666666667)</f>
        <v>44064.66667</v>
      </c>
      <c r="AD701" s="9">
        <f>IFERROR(__xludf.DUMMYFUNCTION("""COMPUTED_VALUE"""),3284.72)</f>
        <v>3284.72</v>
      </c>
    </row>
    <row r="702">
      <c r="B702" s="11">
        <f>IFERROR(__xludf.DUMMYFUNCTION("""COMPUTED_VALUE"""),44067.66666666667)</f>
        <v>44067.66667</v>
      </c>
      <c r="C702" s="9">
        <f>IFERROR(__xludf.DUMMYFUNCTION("""COMPUTED_VALUE"""),425.26)</f>
        <v>425.26</v>
      </c>
      <c r="D702" s="11">
        <f>IFERROR(__xludf.DUMMYFUNCTION("""COMPUTED_VALUE"""),44067.66666666667)</f>
        <v>44067.66667</v>
      </c>
      <c r="E702" s="9">
        <f>IFERROR(__xludf.DUMMYFUNCTION("""COMPUTED_VALUE"""),402.84)</f>
        <v>402.84</v>
      </c>
      <c r="G702" s="11">
        <f>IFERROR(__xludf.DUMMYFUNCTION("""COMPUTED_VALUE"""),44067.66666666667)</f>
        <v>44067.66667</v>
      </c>
      <c r="H702" s="9">
        <f>IFERROR(__xludf.DUMMYFUNCTION("""COMPUTED_VALUE"""),1593.98)</f>
        <v>1593.98</v>
      </c>
      <c r="I702" s="11">
        <f>IFERROR(__xludf.DUMMYFUNCTION("""COMPUTED_VALUE"""),44067.66666666667)</f>
        <v>44067.66667</v>
      </c>
      <c r="J702" s="9">
        <f>IFERROR(__xludf.DUMMYFUNCTION("""COMPUTED_VALUE"""),1588.2)</f>
        <v>1588.2</v>
      </c>
      <c r="L702" s="11">
        <f>IFERROR(__xludf.DUMMYFUNCTION("""COMPUTED_VALUE"""),44067.66666666667)</f>
        <v>44067.66667</v>
      </c>
      <c r="M702" s="9">
        <f>IFERROR(__xludf.DUMMYFUNCTION("""COMPUTED_VALUE"""),128.7)</f>
        <v>128.7</v>
      </c>
      <c r="N702" s="11">
        <f>IFERROR(__xludf.DUMMYFUNCTION("""COMPUTED_VALUE"""),44067.66666666667)</f>
        <v>44067.66667</v>
      </c>
      <c r="O702" s="9">
        <f>IFERROR(__xludf.DUMMYFUNCTION("""COMPUTED_VALUE"""),125.86)</f>
        <v>125.86</v>
      </c>
      <c r="Q702" s="11">
        <f>IFERROR(__xludf.DUMMYFUNCTION("""COMPUTED_VALUE"""),44067.66666666667)</f>
        <v>44067.66667</v>
      </c>
      <c r="R702" s="9">
        <f>IFERROR(__xludf.DUMMYFUNCTION("""COMPUTED_VALUE"""),271.07)</f>
        <v>271.07</v>
      </c>
      <c r="S702" s="11">
        <f>IFERROR(__xludf.DUMMYFUNCTION("""COMPUTED_VALUE"""),44067.66666666667)</f>
        <v>44067.66667</v>
      </c>
      <c r="T702" s="9">
        <f>IFERROR(__xludf.DUMMYFUNCTION("""COMPUTED_VALUE"""),271.39)</f>
        <v>271.39</v>
      </c>
      <c r="V702" s="11">
        <f>IFERROR(__xludf.DUMMYFUNCTION("""COMPUTED_VALUE"""),44067.66666666667)</f>
        <v>44067.66667</v>
      </c>
      <c r="W702" s="9">
        <f>IFERROR(__xludf.DUMMYFUNCTION("""COMPUTED_VALUE"""),495.44)</f>
        <v>495.44</v>
      </c>
      <c r="X702" s="11">
        <f>IFERROR(__xludf.DUMMYFUNCTION("""COMPUTED_VALUE"""),44067.66666666667)</f>
        <v>44067.66667</v>
      </c>
      <c r="Y702" s="9">
        <f>IFERROR(__xludf.DUMMYFUNCTION("""COMPUTED_VALUE"""),488.81)</f>
        <v>488.81</v>
      </c>
      <c r="AA702" s="11">
        <f>IFERROR(__xludf.DUMMYFUNCTION("""COMPUTED_VALUE"""),44067.66666666667)</f>
        <v>44067.66667</v>
      </c>
      <c r="AB702" s="9">
        <f>IFERROR(__xludf.DUMMYFUNCTION("""COMPUTED_VALUE"""),3310.15)</f>
        <v>3310.15</v>
      </c>
      <c r="AC702" s="11">
        <f>IFERROR(__xludf.DUMMYFUNCTION("""COMPUTED_VALUE"""),44067.66666666667)</f>
        <v>44067.66667</v>
      </c>
      <c r="AD702" s="9">
        <f>IFERROR(__xludf.DUMMYFUNCTION("""COMPUTED_VALUE"""),3307.46)</f>
        <v>3307.46</v>
      </c>
    </row>
    <row r="703">
      <c r="B703" s="11">
        <f>IFERROR(__xludf.DUMMYFUNCTION("""COMPUTED_VALUE"""),44068.66666666667)</f>
        <v>44068.66667</v>
      </c>
      <c r="C703" s="9">
        <f>IFERROR(__xludf.DUMMYFUNCTION("""COMPUTED_VALUE"""),394.98)</f>
        <v>394.98</v>
      </c>
      <c r="D703" s="11">
        <f>IFERROR(__xludf.DUMMYFUNCTION("""COMPUTED_VALUE"""),44068.66666666667)</f>
        <v>44068.66667</v>
      </c>
      <c r="E703" s="9">
        <f>IFERROR(__xludf.DUMMYFUNCTION("""COMPUTED_VALUE"""),404.67)</f>
        <v>404.67</v>
      </c>
      <c r="G703" s="11">
        <f>IFERROR(__xludf.DUMMYFUNCTION("""COMPUTED_VALUE"""),44068.66666666667)</f>
        <v>44068.66667</v>
      </c>
      <c r="H703" s="9">
        <f>IFERROR(__xludf.DUMMYFUNCTION("""COMPUTED_VALUE"""),1582.07)</f>
        <v>1582.07</v>
      </c>
      <c r="I703" s="11">
        <f>IFERROR(__xludf.DUMMYFUNCTION("""COMPUTED_VALUE"""),44068.66666666667)</f>
        <v>44068.66667</v>
      </c>
      <c r="J703" s="9">
        <f>IFERROR(__xludf.DUMMYFUNCTION("""COMPUTED_VALUE"""),1608.22)</f>
        <v>1608.22</v>
      </c>
      <c r="L703" s="11">
        <f>IFERROR(__xludf.DUMMYFUNCTION("""COMPUTED_VALUE"""),44068.66666666667)</f>
        <v>44068.66667</v>
      </c>
      <c r="M703" s="9">
        <f>IFERROR(__xludf.DUMMYFUNCTION("""COMPUTED_VALUE"""),124.7)</f>
        <v>124.7</v>
      </c>
      <c r="N703" s="11">
        <f>IFERROR(__xludf.DUMMYFUNCTION("""COMPUTED_VALUE"""),44068.66666666667)</f>
        <v>44068.66667</v>
      </c>
      <c r="O703" s="9">
        <f>IFERROR(__xludf.DUMMYFUNCTION("""COMPUTED_VALUE"""),124.83)</f>
        <v>124.83</v>
      </c>
      <c r="Q703" s="11">
        <f>IFERROR(__xludf.DUMMYFUNCTION("""COMPUTED_VALUE"""),44068.66666666667)</f>
        <v>44068.66667</v>
      </c>
      <c r="R703" s="9">
        <f>IFERROR(__xludf.DUMMYFUNCTION("""COMPUTED_VALUE"""),272.41)</f>
        <v>272.41</v>
      </c>
      <c r="S703" s="11">
        <f>IFERROR(__xludf.DUMMYFUNCTION("""COMPUTED_VALUE"""),44068.66666666667)</f>
        <v>44068.66667</v>
      </c>
      <c r="T703" s="9">
        <f>IFERROR(__xludf.DUMMYFUNCTION("""COMPUTED_VALUE"""),280.82)</f>
        <v>280.82</v>
      </c>
      <c r="V703" s="11">
        <f>IFERROR(__xludf.DUMMYFUNCTION("""COMPUTED_VALUE"""),44068.66666666667)</f>
        <v>44068.66667</v>
      </c>
      <c r="W703" s="9">
        <f>IFERROR(__xludf.DUMMYFUNCTION("""COMPUTED_VALUE"""),488.19)</f>
        <v>488.19</v>
      </c>
      <c r="X703" s="11">
        <f>IFERROR(__xludf.DUMMYFUNCTION("""COMPUTED_VALUE"""),44068.66666666667)</f>
        <v>44068.66667</v>
      </c>
      <c r="Y703" s="9">
        <f>IFERROR(__xludf.DUMMYFUNCTION("""COMPUTED_VALUE"""),490.58)</f>
        <v>490.58</v>
      </c>
      <c r="AA703" s="11">
        <f>IFERROR(__xludf.DUMMYFUNCTION("""COMPUTED_VALUE"""),44068.66666666667)</f>
        <v>44068.66667</v>
      </c>
      <c r="AB703" s="9">
        <f>IFERROR(__xludf.DUMMYFUNCTION("""COMPUTED_VALUE"""),3294.99)</f>
        <v>3294.99</v>
      </c>
      <c r="AC703" s="11">
        <f>IFERROR(__xludf.DUMMYFUNCTION("""COMPUTED_VALUE"""),44068.66666666667)</f>
        <v>44068.66667</v>
      </c>
      <c r="AD703" s="9">
        <f>IFERROR(__xludf.DUMMYFUNCTION("""COMPUTED_VALUE"""),3346.49)</f>
        <v>3346.49</v>
      </c>
    </row>
    <row r="704">
      <c r="B704" s="11">
        <f>IFERROR(__xludf.DUMMYFUNCTION("""COMPUTED_VALUE"""),44069.66666666667)</f>
        <v>44069.66667</v>
      </c>
      <c r="C704" s="9">
        <f>IFERROR(__xludf.DUMMYFUNCTION("""COMPUTED_VALUE"""),412.0)</f>
        <v>412</v>
      </c>
      <c r="D704" s="11">
        <f>IFERROR(__xludf.DUMMYFUNCTION("""COMPUTED_VALUE"""),44069.66666666667)</f>
        <v>44069.66667</v>
      </c>
      <c r="E704" s="9">
        <f>IFERROR(__xludf.DUMMYFUNCTION("""COMPUTED_VALUE"""),430.63)</f>
        <v>430.63</v>
      </c>
      <c r="G704" s="11">
        <f>IFERROR(__xludf.DUMMYFUNCTION("""COMPUTED_VALUE"""),44069.66666666667)</f>
        <v>44069.66667</v>
      </c>
      <c r="H704" s="9">
        <f>IFERROR(__xludf.DUMMYFUNCTION("""COMPUTED_VALUE"""),1608.0)</f>
        <v>1608</v>
      </c>
      <c r="I704" s="11">
        <f>IFERROR(__xludf.DUMMYFUNCTION("""COMPUTED_VALUE"""),44069.66666666667)</f>
        <v>44069.66667</v>
      </c>
      <c r="J704" s="9">
        <f>IFERROR(__xludf.DUMMYFUNCTION("""COMPUTED_VALUE"""),1652.38)</f>
        <v>1652.38</v>
      </c>
      <c r="L704" s="11">
        <f>IFERROR(__xludf.DUMMYFUNCTION("""COMPUTED_VALUE"""),44069.66666666667)</f>
        <v>44069.66667</v>
      </c>
      <c r="M704" s="9">
        <f>IFERROR(__xludf.DUMMYFUNCTION("""COMPUTED_VALUE"""),126.18)</f>
        <v>126.18</v>
      </c>
      <c r="N704" s="11">
        <f>IFERROR(__xludf.DUMMYFUNCTION("""COMPUTED_VALUE"""),44069.66666666667)</f>
        <v>44069.66667</v>
      </c>
      <c r="O704" s="9">
        <f>IFERROR(__xludf.DUMMYFUNCTION("""COMPUTED_VALUE"""),126.52)</f>
        <v>126.52</v>
      </c>
      <c r="Q704" s="11">
        <f>IFERROR(__xludf.DUMMYFUNCTION("""COMPUTED_VALUE"""),44069.66666666667)</f>
        <v>44069.66667</v>
      </c>
      <c r="R704" s="9">
        <f>IFERROR(__xludf.DUMMYFUNCTION("""COMPUTED_VALUE"""),284.0)</f>
        <v>284</v>
      </c>
      <c r="S704" s="11">
        <f>IFERROR(__xludf.DUMMYFUNCTION("""COMPUTED_VALUE"""),44069.66666666667)</f>
        <v>44069.66667</v>
      </c>
      <c r="T704" s="9">
        <f>IFERROR(__xludf.DUMMYFUNCTION("""COMPUTED_VALUE"""),303.91)</f>
        <v>303.91</v>
      </c>
      <c r="V704" s="11">
        <f>IFERROR(__xludf.DUMMYFUNCTION("""COMPUTED_VALUE"""),44069.66666666667)</f>
        <v>44069.66667</v>
      </c>
      <c r="W704" s="9">
        <f>IFERROR(__xludf.DUMMYFUNCTION("""COMPUTED_VALUE"""),492.5)</f>
        <v>492.5</v>
      </c>
      <c r="X704" s="11">
        <f>IFERROR(__xludf.DUMMYFUNCTION("""COMPUTED_VALUE"""),44069.66666666667)</f>
        <v>44069.66667</v>
      </c>
      <c r="Y704" s="9">
        <f>IFERROR(__xludf.DUMMYFUNCTION("""COMPUTED_VALUE"""),547.53)</f>
        <v>547.53</v>
      </c>
      <c r="AA704" s="11">
        <f>IFERROR(__xludf.DUMMYFUNCTION("""COMPUTED_VALUE"""),44069.66666666667)</f>
        <v>44069.66667</v>
      </c>
      <c r="AB704" s="9">
        <f>IFERROR(__xludf.DUMMYFUNCTION("""COMPUTED_VALUE"""),3351.11)</f>
        <v>3351.11</v>
      </c>
      <c r="AC704" s="11">
        <f>IFERROR(__xludf.DUMMYFUNCTION("""COMPUTED_VALUE"""),44069.66666666667)</f>
        <v>44069.66667</v>
      </c>
      <c r="AD704" s="9">
        <f>IFERROR(__xludf.DUMMYFUNCTION("""COMPUTED_VALUE"""),3441.85)</f>
        <v>3441.85</v>
      </c>
    </row>
    <row r="705">
      <c r="B705" s="11">
        <f>IFERROR(__xludf.DUMMYFUNCTION("""COMPUTED_VALUE"""),44070.66666666667)</f>
        <v>44070.66667</v>
      </c>
      <c r="C705" s="9">
        <f>IFERROR(__xludf.DUMMYFUNCTION("""COMPUTED_VALUE"""),436.09)</f>
        <v>436.09</v>
      </c>
      <c r="D705" s="11">
        <f>IFERROR(__xludf.DUMMYFUNCTION("""COMPUTED_VALUE"""),44070.66666666667)</f>
        <v>44070.66667</v>
      </c>
      <c r="E705" s="9">
        <f>IFERROR(__xludf.DUMMYFUNCTION("""COMPUTED_VALUE"""),447.75)</f>
        <v>447.75</v>
      </c>
      <c r="G705" s="11">
        <f>IFERROR(__xludf.DUMMYFUNCTION("""COMPUTED_VALUE"""),44070.66666666667)</f>
        <v>44070.66667</v>
      </c>
      <c r="H705" s="9">
        <f>IFERROR(__xludf.DUMMYFUNCTION("""COMPUTED_VALUE"""),1653.68)</f>
        <v>1653.68</v>
      </c>
      <c r="I705" s="11">
        <f>IFERROR(__xludf.DUMMYFUNCTION("""COMPUTED_VALUE"""),44070.66666666667)</f>
        <v>44070.66667</v>
      </c>
      <c r="J705" s="9">
        <f>IFERROR(__xludf.DUMMYFUNCTION("""COMPUTED_VALUE"""),1634.33)</f>
        <v>1634.33</v>
      </c>
      <c r="L705" s="11">
        <f>IFERROR(__xludf.DUMMYFUNCTION("""COMPUTED_VALUE"""),44070.66666666667)</f>
        <v>44070.66667</v>
      </c>
      <c r="M705" s="9">
        <f>IFERROR(__xludf.DUMMYFUNCTION("""COMPUTED_VALUE"""),127.14)</f>
        <v>127.14</v>
      </c>
      <c r="N705" s="11">
        <f>IFERROR(__xludf.DUMMYFUNCTION("""COMPUTED_VALUE"""),44070.66666666667)</f>
        <v>44070.66667</v>
      </c>
      <c r="O705" s="9">
        <f>IFERROR(__xludf.DUMMYFUNCTION("""COMPUTED_VALUE"""),125.01)</f>
        <v>125.01</v>
      </c>
      <c r="Q705" s="11">
        <f>IFERROR(__xludf.DUMMYFUNCTION("""COMPUTED_VALUE"""),44070.66666666667)</f>
        <v>44070.66667</v>
      </c>
      <c r="R705" s="9">
        <f>IFERROR(__xludf.DUMMYFUNCTION("""COMPUTED_VALUE"""),300.16)</f>
        <v>300.16</v>
      </c>
      <c r="S705" s="11">
        <f>IFERROR(__xludf.DUMMYFUNCTION("""COMPUTED_VALUE"""),44070.66666666667)</f>
        <v>44070.66667</v>
      </c>
      <c r="T705" s="9">
        <f>IFERROR(__xludf.DUMMYFUNCTION("""COMPUTED_VALUE"""),293.22)</f>
        <v>293.22</v>
      </c>
      <c r="V705" s="11">
        <f>IFERROR(__xludf.DUMMYFUNCTION("""COMPUTED_VALUE"""),44070.66666666667)</f>
        <v>44070.66667</v>
      </c>
      <c r="W705" s="9">
        <f>IFERROR(__xludf.DUMMYFUNCTION("""COMPUTED_VALUE"""),537.78)</f>
        <v>537.78</v>
      </c>
      <c r="X705" s="11">
        <f>IFERROR(__xludf.DUMMYFUNCTION("""COMPUTED_VALUE"""),44070.66666666667)</f>
        <v>44070.66667</v>
      </c>
      <c r="Y705" s="9">
        <f>IFERROR(__xludf.DUMMYFUNCTION("""COMPUTED_VALUE"""),526.27)</f>
        <v>526.27</v>
      </c>
      <c r="AA705" s="11">
        <f>IFERROR(__xludf.DUMMYFUNCTION("""COMPUTED_VALUE"""),44070.66666666667)</f>
        <v>44070.66667</v>
      </c>
      <c r="AB705" s="9">
        <f>IFERROR(__xludf.DUMMYFUNCTION("""COMPUTED_VALUE"""),3450.05)</f>
        <v>3450.05</v>
      </c>
      <c r="AC705" s="11">
        <f>IFERROR(__xludf.DUMMYFUNCTION("""COMPUTED_VALUE"""),44070.66666666667)</f>
        <v>44070.66667</v>
      </c>
      <c r="AD705" s="9">
        <f>IFERROR(__xludf.DUMMYFUNCTION("""COMPUTED_VALUE"""),3400.0)</f>
        <v>3400</v>
      </c>
    </row>
    <row r="706">
      <c r="B706" s="11">
        <f>IFERROR(__xludf.DUMMYFUNCTION("""COMPUTED_VALUE"""),44071.66666666667)</f>
        <v>44071.66667</v>
      </c>
      <c r="C706" s="9">
        <f>IFERROR(__xludf.DUMMYFUNCTION("""COMPUTED_VALUE"""),459.02)</f>
        <v>459.02</v>
      </c>
      <c r="D706" s="11">
        <f>IFERROR(__xludf.DUMMYFUNCTION("""COMPUTED_VALUE"""),44071.66666666667)</f>
        <v>44071.66667</v>
      </c>
      <c r="E706" s="9">
        <f>IFERROR(__xludf.DUMMYFUNCTION("""COMPUTED_VALUE"""),442.68)</f>
        <v>442.68</v>
      </c>
      <c r="G706" s="11">
        <f>IFERROR(__xludf.DUMMYFUNCTION("""COMPUTED_VALUE"""),44071.66666666667)</f>
        <v>44071.66667</v>
      </c>
      <c r="H706" s="9">
        <f>IFERROR(__xludf.DUMMYFUNCTION("""COMPUTED_VALUE"""),1633.49)</f>
        <v>1633.49</v>
      </c>
      <c r="I706" s="11">
        <f>IFERROR(__xludf.DUMMYFUNCTION("""COMPUTED_VALUE"""),44071.66666666667)</f>
        <v>44071.66667</v>
      </c>
      <c r="J706" s="9">
        <f>IFERROR(__xludf.DUMMYFUNCTION("""COMPUTED_VALUE"""),1644.41)</f>
        <v>1644.41</v>
      </c>
      <c r="L706" s="11">
        <f>IFERROR(__xludf.DUMMYFUNCTION("""COMPUTED_VALUE"""),44071.66666666667)</f>
        <v>44071.66667</v>
      </c>
      <c r="M706" s="9">
        <f>IFERROR(__xludf.DUMMYFUNCTION("""COMPUTED_VALUE"""),126.01)</f>
        <v>126.01</v>
      </c>
      <c r="N706" s="11">
        <f>IFERROR(__xludf.DUMMYFUNCTION("""COMPUTED_VALUE"""),44071.66666666667)</f>
        <v>44071.66667</v>
      </c>
      <c r="O706" s="9">
        <f>IFERROR(__xludf.DUMMYFUNCTION("""COMPUTED_VALUE"""),124.81)</f>
        <v>124.81</v>
      </c>
      <c r="Q706" s="11">
        <f>IFERROR(__xludf.DUMMYFUNCTION("""COMPUTED_VALUE"""),44071.66666666667)</f>
        <v>44071.66667</v>
      </c>
      <c r="R706" s="9">
        <f>IFERROR(__xludf.DUMMYFUNCTION("""COMPUTED_VALUE"""),295.0)</f>
        <v>295</v>
      </c>
      <c r="S706" s="11">
        <f>IFERROR(__xludf.DUMMYFUNCTION("""COMPUTED_VALUE"""),44071.66666666667)</f>
        <v>44071.66667</v>
      </c>
      <c r="T706" s="9">
        <f>IFERROR(__xludf.DUMMYFUNCTION("""COMPUTED_VALUE"""),293.66)</f>
        <v>293.66</v>
      </c>
      <c r="V706" s="11">
        <f>IFERROR(__xludf.DUMMYFUNCTION("""COMPUTED_VALUE"""),44071.66666666667)</f>
        <v>44071.66667</v>
      </c>
      <c r="W706" s="9">
        <f>IFERROR(__xludf.DUMMYFUNCTION("""COMPUTED_VALUE"""),532.0)</f>
        <v>532</v>
      </c>
      <c r="X706" s="11">
        <f>IFERROR(__xludf.DUMMYFUNCTION("""COMPUTED_VALUE"""),44071.66666666667)</f>
        <v>44071.66667</v>
      </c>
      <c r="Y706" s="9">
        <f>IFERROR(__xludf.DUMMYFUNCTION("""COMPUTED_VALUE"""),523.89)</f>
        <v>523.89</v>
      </c>
      <c r="AA706" s="11">
        <f>IFERROR(__xludf.DUMMYFUNCTION("""COMPUTED_VALUE"""),44071.66666666667)</f>
        <v>44071.66667</v>
      </c>
      <c r="AB706" s="9">
        <f>IFERROR(__xludf.DUMMYFUNCTION("""COMPUTED_VALUE"""),3423.0)</f>
        <v>3423</v>
      </c>
      <c r="AC706" s="11">
        <f>IFERROR(__xludf.DUMMYFUNCTION("""COMPUTED_VALUE"""),44071.66666666667)</f>
        <v>44071.66667</v>
      </c>
      <c r="AD706" s="9">
        <f>IFERROR(__xludf.DUMMYFUNCTION("""COMPUTED_VALUE"""),3401.8)</f>
        <v>3401.8</v>
      </c>
    </row>
    <row r="707">
      <c r="B707" s="11">
        <f>IFERROR(__xludf.DUMMYFUNCTION("""COMPUTED_VALUE"""),44074.66666666667)</f>
        <v>44074.66667</v>
      </c>
      <c r="C707" s="9">
        <f>IFERROR(__xludf.DUMMYFUNCTION("""COMPUTED_VALUE"""),444.61)</f>
        <v>444.61</v>
      </c>
      <c r="D707" s="11">
        <f>IFERROR(__xludf.DUMMYFUNCTION("""COMPUTED_VALUE"""),44074.66666666667)</f>
        <v>44074.66667</v>
      </c>
      <c r="E707" s="9">
        <f>IFERROR(__xludf.DUMMYFUNCTION("""COMPUTED_VALUE"""),498.32)</f>
        <v>498.32</v>
      </c>
      <c r="G707" s="11">
        <f>IFERROR(__xludf.DUMMYFUNCTION("""COMPUTED_VALUE"""),44074.66666666667)</f>
        <v>44074.66667</v>
      </c>
      <c r="H707" s="9">
        <f>IFERROR(__xludf.DUMMYFUNCTION("""COMPUTED_VALUE"""),1647.89)</f>
        <v>1647.89</v>
      </c>
      <c r="I707" s="11">
        <f>IFERROR(__xludf.DUMMYFUNCTION("""COMPUTED_VALUE"""),44074.66666666667)</f>
        <v>44074.66667</v>
      </c>
      <c r="J707" s="9">
        <f>IFERROR(__xludf.DUMMYFUNCTION("""COMPUTED_VALUE"""),1634.18)</f>
        <v>1634.18</v>
      </c>
      <c r="L707" s="11">
        <f>IFERROR(__xludf.DUMMYFUNCTION("""COMPUTED_VALUE"""),44074.66666666667)</f>
        <v>44074.66667</v>
      </c>
      <c r="M707" s="9">
        <f>IFERROR(__xludf.DUMMYFUNCTION("""COMPUTED_VALUE"""),127.58)</f>
        <v>127.58</v>
      </c>
      <c r="N707" s="11">
        <f>IFERROR(__xludf.DUMMYFUNCTION("""COMPUTED_VALUE"""),44074.66666666667)</f>
        <v>44074.66667</v>
      </c>
      <c r="O707" s="9">
        <f>IFERROR(__xludf.DUMMYFUNCTION("""COMPUTED_VALUE"""),129.04)</f>
        <v>129.04</v>
      </c>
      <c r="Q707" s="11">
        <f>IFERROR(__xludf.DUMMYFUNCTION("""COMPUTED_VALUE"""),44074.66666666667)</f>
        <v>44074.66667</v>
      </c>
      <c r="R707" s="9">
        <f>IFERROR(__xludf.DUMMYFUNCTION("""COMPUTED_VALUE"""),293.95)</f>
        <v>293.95</v>
      </c>
      <c r="S707" s="11">
        <f>IFERROR(__xludf.DUMMYFUNCTION("""COMPUTED_VALUE"""),44074.66666666667)</f>
        <v>44074.66667</v>
      </c>
      <c r="T707" s="9">
        <f>IFERROR(__xludf.DUMMYFUNCTION("""COMPUTED_VALUE"""),293.2)</f>
        <v>293.2</v>
      </c>
      <c r="V707" s="11">
        <f>IFERROR(__xludf.DUMMYFUNCTION("""COMPUTED_VALUE"""),44074.66666666667)</f>
        <v>44074.66667</v>
      </c>
      <c r="W707" s="9">
        <f>IFERROR(__xludf.DUMMYFUNCTION("""COMPUTED_VALUE"""),521.16)</f>
        <v>521.16</v>
      </c>
      <c r="X707" s="11">
        <f>IFERROR(__xludf.DUMMYFUNCTION("""COMPUTED_VALUE"""),44074.66666666667)</f>
        <v>44074.66667</v>
      </c>
      <c r="Y707" s="9">
        <f>IFERROR(__xludf.DUMMYFUNCTION("""COMPUTED_VALUE"""),529.56)</f>
        <v>529.56</v>
      </c>
      <c r="AA707" s="11">
        <f>IFERROR(__xludf.DUMMYFUNCTION("""COMPUTED_VALUE"""),44074.66666666667)</f>
        <v>44074.66667</v>
      </c>
      <c r="AB707" s="9">
        <f>IFERROR(__xludf.DUMMYFUNCTION("""COMPUTED_VALUE"""),3408.99)</f>
        <v>3408.99</v>
      </c>
      <c r="AC707" s="11">
        <f>IFERROR(__xludf.DUMMYFUNCTION("""COMPUTED_VALUE"""),44074.66666666667)</f>
        <v>44074.66667</v>
      </c>
      <c r="AD707" s="9">
        <f>IFERROR(__xludf.DUMMYFUNCTION("""COMPUTED_VALUE"""),3450.96)</f>
        <v>3450.96</v>
      </c>
    </row>
    <row r="708">
      <c r="B708" s="11">
        <f>IFERROR(__xludf.DUMMYFUNCTION("""COMPUTED_VALUE"""),44075.66666666667)</f>
        <v>44075.66667</v>
      </c>
      <c r="C708" s="9">
        <f>IFERROR(__xludf.DUMMYFUNCTION("""COMPUTED_VALUE"""),502.14)</f>
        <v>502.14</v>
      </c>
      <c r="D708" s="11">
        <f>IFERROR(__xludf.DUMMYFUNCTION("""COMPUTED_VALUE"""),44075.66666666667)</f>
        <v>44075.66667</v>
      </c>
      <c r="E708" s="9">
        <f>IFERROR(__xludf.DUMMYFUNCTION("""COMPUTED_VALUE"""),475.05)</f>
        <v>475.05</v>
      </c>
      <c r="G708" s="11">
        <f>IFERROR(__xludf.DUMMYFUNCTION("""COMPUTED_VALUE"""),44075.66666666667)</f>
        <v>44075.66667</v>
      </c>
      <c r="H708" s="9">
        <f>IFERROR(__xludf.DUMMYFUNCTION("""COMPUTED_VALUE"""),1636.63)</f>
        <v>1636.63</v>
      </c>
      <c r="I708" s="11">
        <f>IFERROR(__xludf.DUMMYFUNCTION("""COMPUTED_VALUE"""),44075.66666666667)</f>
        <v>44075.66667</v>
      </c>
      <c r="J708" s="9">
        <f>IFERROR(__xludf.DUMMYFUNCTION("""COMPUTED_VALUE"""),1660.71)</f>
        <v>1660.71</v>
      </c>
      <c r="L708" s="11">
        <f>IFERROR(__xludf.DUMMYFUNCTION("""COMPUTED_VALUE"""),44075.66666666667)</f>
        <v>44075.66667</v>
      </c>
      <c r="M708" s="9">
        <f>IFERROR(__xludf.DUMMYFUNCTION("""COMPUTED_VALUE"""),132.76)</f>
        <v>132.76</v>
      </c>
      <c r="N708" s="11">
        <f>IFERROR(__xludf.DUMMYFUNCTION("""COMPUTED_VALUE"""),44075.66666666667)</f>
        <v>44075.66667</v>
      </c>
      <c r="O708" s="9">
        <f>IFERROR(__xludf.DUMMYFUNCTION("""COMPUTED_VALUE"""),134.18)</f>
        <v>134.18</v>
      </c>
      <c r="Q708" s="11">
        <f>IFERROR(__xludf.DUMMYFUNCTION("""COMPUTED_VALUE"""),44075.66666666667)</f>
        <v>44075.66667</v>
      </c>
      <c r="R708" s="9">
        <f>IFERROR(__xludf.DUMMYFUNCTION("""COMPUTED_VALUE"""),294.71)</f>
        <v>294.71</v>
      </c>
      <c r="S708" s="11">
        <f>IFERROR(__xludf.DUMMYFUNCTION("""COMPUTED_VALUE"""),44075.66666666667)</f>
        <v>44075.66667</v>
      </c>
      <c r="T708" s="9">
        <f>IFERROR(__xludf.DUMMYFUNCTION("""COMPUTED_VALUE"""),295.44)</f>
        <v>295.44</v>
      </c>
      <c r="V708" s="11">
        <f>IFERROR(__xludf.DUMMYFUNCTION("""COMPUTED_VALUE"""),44075.66666666667)</f>
        <v>44075.66667</v>
      </c>
      <c r="W708" s="9">
        <f>IFERROR(__xludf.DUMMYFUNCTION("""COMPUTED_VALUE"""),532.6)</f>
        <v>532.6</v>
      </c>
      <c r="X708" s="11">
        <f>IFERROR(__xludf.DUMMYFUNCTION("""COMPUTED_VALUE"""),44075.66666666667)</f>
        <v>44075.66667</v>
      </c>
      <c r="Y708" s="9">
        <f>IFERROR(__xludf.DUMMYFUNCTION("""COMPUTED_VALUE"""),556.55)</f>
        <v>556.55</v>
      </c>
      <c r="AA708" s="11">
        <f>IFERROR(__xludf.DUMMYFUNCTION("""COMPUTED_VALUE"""),44075.66666666667)</f>
        <v>44075.66667</v>
      </c>
      <c r="AB708" s="9">
        <f>IFERROR(__xludf.DUMMYFUNCTION("""COMPUTED_VALUE"""),3489.58)</f>
        <v>3489.58</v>
      </c>
      <c r="AC708" s="11">
        <f>IFERROR(__xludf.DUMMYFUNCTION("""COMPUTED_VALUE"""),44075.66666666667)</f>
        <v>44075.66667</v>
      </c>
      <c r="AD708" s="9">
        <f>IFERROR(__xludf.DUMMYFUNCTION("""COMPUTED_VALUE"""),3499.12)</f>
        <v>3499.12</v>
      </c>
    </row>
    <row r="709">
      <c r="B709" s="11">
        <f>IFERROR(__xludf.DUMMYFUNCTION("""COMPUTED_VALUE"""),44076.66666666667)</f>
        <v>44076.66667</v>
      </c>
      <c r="C709" s="9">
        <f>IFERROR(__xludf.DUMMYFUNCTION("""COMPUTED_VALUE"""),478.99)</f>
        <v>478.99</v>
      </c>
      <c r="D709" s="11">
        <f>IFERROR(__xludf.DUMMYFUNCTION("""COMPUTED_VALUE"""),44076.66666666667)</f>
        <v>44076.66667</v>
      </c>
      <c r="E709" s="9">
        <f>IFERROR(__xludf.DUMMYFUNCTION("""COMPUTED_VALUE"""),447.37)</f>
        <v>447.37</v>
      </c>
      <c r="G709" s="11">
        <f>IFERROR(__xludf.DUMMYFUNCTION("""COMPUTED_VALUE"""),44076.66666666667)</f>
        <v>44076.66667</v>
      </c>
      <c r="H709" s="9">
        <f>IFERROR(__xludf.DUMMYFUNCTION("""COMPUTED_VALUE"""),1673.78)</f>
        <v>1673.78</v>
      </c>
      <c r="I709" s="11">
        <f>IFERROR(__xludf.DUMMYFUNCTION("""COMPUTED_VALUE"""),44076.66666666667)</f>
        <v>44076.66667</v>
      </c>
      <c r="J709" s="9">
        <f>IFERROR(__xludf.DUMMYFUNCTION("""COMPUTED_VALUE"""),1728.28)</f>
        <v>1728.28</v>
      </c>
      <c r="L709" s="11">
        <f>IFERROR(__xludf.DUMMYFUNCTION("""COMPUTED_VALUE"""),44076.66666666667)</f>
        <v>44076.66667</v>
      </c>
      <c r="M709" s="9">
        <f>IFERROR(__xludf.DUMMYFUNCTION("""COMPUTED_VALUE"""),137.59)</f>
        <v>137.59</v>
      </c>
      <c r="N709" s="11">
        <f>IFERROR(__xludf.DUMMYFUNCTION("""COMPUTED_VALUE"""),44076.66666666667)</f>
        <v>44076.66667</v>
      </c>
      <c r="O709" s="9">
        <f>IFERROR(__xludf.DUMMYFUNCTION("""COMPUTED_VALUE"""),131.4)</f>
        <v>131.4</v>
      </c>
      <c r="Q709" s="11">
        <f>IFERROR(__xludf.DUMMYFUNCTION("""COMPUTED_VALUE"""),44076.66666666667)</f>
        <v>44076.66667</v>
      </c>
      <c r="R709" s="9">
        <f>IFERROR(__xludf.DUMMYFUNCTION("""COMPUTED_VALUE"""),298.88)</f>
        <v>298.88</v>
      </c>
      <c r="S709" s="11">
        <f>IFERROR(__xludf.DUMMYFUNCTION("""COMPUTED_VALUE"""),44076.66666666667)</f>
        <v>44076.66667</v>
      </c>
      <c r="T709" s="9">
        <f>IFERROR(__xludf.DUMMYFUNCTION("""COMPUTED_VALUE"""),302.5)</f>
        <v>302.5</v>
      </c>
      <c r="V709" s="11">
        <f>IFERROR(__xludf.DUMMYFUNCTION("""COMPUTED_VALUE"""),44076.66666666667)</f>
        <v>44076.66667</v>
      </c>
      <c r="W709" s="9">
        <f>IFERROR(__xludf.DUMMYFUNCTION("""COMPUTED_VALUE"""),553.78)</f>
        <v>553.78</v>
      </c>
      <c r="X709" s="11">
        <f>IFERROR(__xludf.DUMMYFUNCTION("""COMPUTED_VALUE"""),44076.66666666667)</f>
        <v>44076.66667</v>
      </c>
      <c r="Y709" s="9">
        <f>IFERROR(__xludf.DUMMYFUNCTION("""COMPUTED_VALUE"""),552.84)</f>
        <v>552.84</v>
      </c>
      <c r="AA709" s="11">
        <f>IFERROR(__xludf.DUMMYFUNCTION("""COMPUTED_VALUE"""),44076.66666666667)</f>
        <v>44076.66667</v>
      </c>
      <c r="AB709" s="9">
        <f>IFERROR(__xludf.DUMMYFUNCTION("""COMPUTED_VALUE"""),3547.0)</f>
        <v>3547</v>
      </c>
      <c r="AC709" s="11">
        <f>IFERROR(__xludf.DUMMYFUNCTION("""COMPUTED_VALUE"""),44076.66666666667)</f>
        <v>44076.66667</v>
      </c>
      <c r="AD709" s="9">
        <f>IFERROR(__xludf.DUMMYFUNCTION("""COMPUTED_VALUE"""),3531.45)</f>
        <v>3531.45</v>
      </c>
    </row>
    <row r="710">
      <c r="B710" s="11">
        <f>IFERROR(__xludf.DUMMYFUNCTION("""COMPUTED_VALUE"""),44077.66666666667)</f>
        <v>44077.66667</v>
      </c>
      <c r="C710" s="9">
        <f>IFERROR(__xludf.DUMMYFUNCTION("""COMPUTED_VALUE"""),407.23)</f>
        <v>407.23</v>
      </c>
      <c r="D710" s="11">
        <f>IFERROR(__xludf.DUMMYFUNCTION("""COMPUTED_VALUE"""),44077.66666666667)</f>
        <v>44077.66667</v>
      </c>
      <c r="E710" s="9">
        <f>IFERROR(__xludf.DUMMYFUNCTION("""COMPUTED_VALUE"""),407.0)</f>
        <v>407</v>
      </c>
      <c r="G710" s="11">
        <f>IFERROR(__xludf.DUMMYFUNCTION("""COMPUTED_VALUE"""),44077.66666666667)</f>
        <v>44077.66667</v>
      </c>
      <c r="H710" s="9">
        <f>IFERROR(__xludf.DUMMYFUNCTION("""COMPUTED_VALUE"""),1709.71)</f>
        <v>1709.71</v>
      </c>
      <c r="I710" s="11">
        <f>IFERROR(__xludf.DUMMYFUNCTION("""COMPUTED_VALUE"""),44077.66666666667)</f>
        <v>44077.66667</v>
      </c>
      <c r="J710" s="9">
        <f>IFERROR(__xludf.DUMMYFUNCTION("""COMPUTED_VALUE"""),1641.84)</f>
        <v>1641.84</v>
      </c>
      <c r="L710" s="11">
        <f>IFERROR(__xludf.DUMMYFUNCTION("""COMPUTED_VALUE"""),44077.66666666667)</f>
        <v>44077.66667</v>
      </c>
      <c r="M710" s="9">
        <f>IFERROR(__xludf.DUMMYFUNCTION("""COMPUTED_VALUE"""),126.91)</f>
        <v>126.91</v>
      </c>
      <c r="N710" s="11">
        <f>IFERROR(__xludf.DUMMYFUNCTION("""COMPUTED_VALUE"""),44077.66666666667)</f>
        <v>44077.66667</v>
      </c>
      <c r="O710" s="9">
        <f>IFERROR(__xludf.DUMMYFUNCTION("""COMPUTED_VALUE"""),120.88)</f>
        <v>120.88</v>
      </c>
      <c r="Q710" s="11">
        <f>IFERROR(__xludf.DUMMYFUNCTION("""COMPUTED_VALUE"""),44077.66666666667)</f>
        <v>44077.66667</v>
      </c>
      <c r="R710" s="9">
        <f>IFERROR(__xludf.DUMMYFUNCTION("""COMPUTED_VALUE"""),295.99)</f>
        <v>295.99</v>
      </c>
      <c r="S710" s="11">
        <f>IFERROR(__xludf.DUMMYFUNCTION("""COMPUTED_VALUE"""),44077.66666666667)</f>
        <v>44077.66667</v>
      </c>
      <c r="T710" s="9">
        <f>IFERROR(__xludf.DUMMYFUNCTION("""COMPUTED_VALUE"""),291.12)</f>
        <v>291.12</v>
      </c>
      <c r="V710" s="11">
        <f>IFERROR(__xludf.DUMMYFUNCTION("""COMPUTED_VALUE"""),44077.66666666667)</f>
        <v>44077.66667</v>
      </c>
      <c r="W710" s="9">
        <f>IFERROR(__xludf.DUMMYFUNCTION("""COMPUTED_VALUE"""),545.0)</f>
        <v>545</v>
      </c>
      <c r="X710" s="11">
        <f>IFERROR(__xludf.DUMMYFUNCTION("""COMPUTED_VALUE"""),44077.66666666667)</f>
        <v>44077.66667</v>
      </c>
      <c r="Y710" s="9">
        <f>IFERROR(__xludf.DUMMYFUNCTION("""COMPUTED_VALUE"""),525.75)</f>
        <v>525.75</v>
      </c>
      <c r="AA710" s="11">
        <f>IFERROR(__xludf.DUMMYFUNCTION("""COMPUTED_VALUE"""),44077.66666666667)</f>
        <v>44077.66667</v>
      </c>
      <c r="AB710" s="9">
        <f>IFERROR(__xludf.DUMMYFUNCTION("""COMPUTED_VALUE"""),3485.0)</f>
        <v>3485</v>
      </c>
      <c r="AC710" s="11">
        <f>IFERROR(__xludf.DUMMYFUNCTION("""COMPUTED_VALUE"""),44077.66666666667)</f>
        <v>44077.66667</v>
      </c>
      <c r="AD710" s="9">
        <f>IFERROR(__xludf.DUMMYFUNCTION("""COMPUTED_VALUE"""),3368.0)</f>
        <v>3368</v>
      </c>
    </row>
    <row r="711">
      <c r="B711" s="11">
        <f>IFERROR(__xludf.DUMMYFUNCTION("""COMPUTED_VALUE"""),44078.66666666667)</f>
        <v>44078.66667</v>
      </c>
      <c r="C711" s="9">
        <f>IFERROR(__xludf.DUMMYFUNCTION("""COMPUTED_VALUE"""),402.81)</f>
        <v>402.81</v>
      </c>
      <c r="D711" s="11">
        <f>IFERROR(__xludf.DUMMYFUNCTION("""COMPUTED_VALUE"""),44078.66666666667)</f>
        <v>44078.66667</v>
      </c>
      <c r="E711" s="9">
        <f>IFERROR(__xludf.DUMMYFUNCTION("""COMPUTED_VALUE"""),418.32)</f>
        <v>418.32</v>
      </c>
      <c r="G711" s="11">
        <f>IFERROR(__xludf.DUMMYFUNCTION("""COMPUTED_VALUE"""),44078.66666666667)</f>
        <v>44078.66667</v>
      </c>
      <c r="H711" s="9">
        <f>IFERROR(__xludf.DUMMYFUNCTION("""COMPUTED_VALUE"""),1624.26)</f>
        <v>1624.26</v>
      </c>
      <c r="I711" s="11">
        <f>IFERROR(__xludf.DUMMYFUNCTION("""COMPUTED_VALUE"""),44078.66666666667)</f>
        <v>44078.66667</v>
      </c>
      <c r="J711" s="9">
        <f>IFERROR(__xludf.DUMMYFUNCTION("""COMPUTED_VALUE"""),1591.04)</f>
        <v>1591.04</v>
      </c>
      <c r="L711" s="11">
        <f>IFERROR(__xludf.DUMMYFUNCTION("""COMPUTED_VALUE"""),44078.66666666667)</f>
        <v>44078.66667</v>
      </c>
      <c r="M711" s="9">
        <f>IFERROR(__xludf.DUMMYFUNCTION("""COMPUTED_VALUE"""),120.07)</f>
        <v>120.07</v>
      </c>
      <c r="N711" s="11">
        <f>IFERROR(__xludf.DUMMYFUNCTION("""COMPUTED_VALUE"""),44078.66666666667)</f>
        <v>44078.66667</v>
      </c>
      <c r="O711" s="9">
        <f>IFERROR(__xludf.DUMMYFUNCTION("""COMPUTED_VALUE"""),120.96)</f>
        <v>120.96</v>
      </c>
      <c r="Q711" s="11">
        <f>IFERROR(__xludf.DUMMYFUNCTION("""COMPUTED_VALUE"""),44078.66666666667)</f>
        <v>44078.66667</v>
      </c>
      <c r="R711" s="9">
        <f>IFERROR(__xludf.DUMMYFUNCTION("""COMPUTED_VALUE"""),287.25)</f>
        <v>287.25</v>
      </c>
      <c r="S711" s="11">
        <f>IFERROR(__xludf.DUMMYFUNCTION("""COMPUTED_VALUE"""),44078.66666666667)</f>
        <v>44078.66667</v>
      </c>
      <c r="T711" s="9">
        <f>IFERROR(__xludf.DUMMYFUNCTION("""COMPUTED_VALUE"""),282.73)</f>
        <v>282.73</v>
      </c>
      <c r="V711" s="11">
        <f>IFERROR(__xludf.DUMMYFUNCTION("""COMPUTED_VALUE"""),44078.66666666667)</f>
        <v>44078.66667</v>
      </c>
      <c r="W711" s="9">
        <f>IFERROR(__xludf.DUMMYFUNCTION("""COMPUTED_VALUE"""),520.18)</f>
        <v>520.18</v>
      </c>
      <c r="X711" s="11">
        <f>IFERROR(__xludf.DUMMYFUNCTION("""COMPUTED_VALUE"""),44078.66666666667)</f>
        <v>44078.66667</v>
      </c>
      <c r="Y711" s="9">
        <f>IFERROR(__xludf.DUMMYFUNCTION("""COMPUTED_VALUE"""),516.05)</f>
        <v>516.05</v>
      </c>
      <c r="AA711" s="11">
        <f>IFERROR(__xludf.DUMMYFUNCTION("""COMPUTED_VALUE"""),44078.66666666667)</f>
        <v>44078.66667</v>
      </c>
      <c r="AB711" s="9">
        <f>IFERROR(__xludf.DUMMYFUNCTION("""COMPUTED_VALUE"""),3318.0)</f>
        <v>3318</v>
      </c>
      <c r="AC711" s="11">
        <f>IFERROR(__xludf.DUMMYFUNCTION("""COMPUTED_VALUE"""),44078.66666666667)</f>
        <v>44078.66667</v>
      </c>
      <c r="AD711" s="9">
        <f>IFERROR(__xludf.DUMMYFUNCTION("""COMPUTED_VALUE"""),3294.62)</f>
        <v>3294.62</v>
      </c>
    </row>
    <row r="712">
      <c r="B712" s="11">
        <f>IFERROR(__xludf.DUMMYFUNCTION("""COMPUTED_VALUE"""),44082.66666666667)</f>
        <v>44082.66667</v>
      </c>
      <c r="C712" s="9">
        <f>IFERROR(__xludf.DUMMYFUNCTION("""COMPUTED_VALUE"""),356.0)</f>
        <v>356</v>
      </c>
      <c r="D712" s="11">
        <f>IFERROR(__xludf.DUMMYFUNCTION("""COMPUTED_VALUE"""),44082.66666666667)</f>
        <v>44082.66667</v>
      </c>
      <c r="E712" s="9">
        <f>IFERROR(__xludf.DUMMYFUNCTION("""COMPUTED_VALUE"""),330.21)</f>
        <v>330.21</v>
      </c>
      <c r="G712" s="11">
        <f>IFERROR(__xludf.DUMMYFUNCTION("""COMPUTED_VALUE"""),44082.66666666667)</f>
        <v>44082.66667</v>
      </c>
      <c r="H712" s="9">
        <f>IFERROR(__xludf.DUMMYFUNCTION("""COMPUTED_VALUE"""),1533.51)</f>
        <v>1533.51</v>
      </c>
      <c r="I712" s="11">
        <f>IFERROR(__xludf.DUMMYFUNCTION("""COMPUTED_VALUE"""),44082.66666666667)</f>
        <v>44082.66667</v>
      </c>
      <c r="J712" s="9">
        <f>IFERROR(__xludf.DUMMYFUNCTION("""COMPUTED_VALUE"""),1532.39)</f>
        <v>1532.39</v>
      </c>
      <c r="L712" s="11">
        <f>IFERROR(__xludf.DUMMYFUNCTION("""COMPUTED_VALUE"""),44082.66666666667)</f>
        <v>44082.66667</v>
      </c>
      <c r="M712" s="9">
        <f>IFERROR(__xludf.DUMMYFUNCTION("""COMPUTED_VALUE"""),113.95)</f>
        <v>113.95</v>
      </c>
      <c r="N712" s="11">
        <f>IFERROR(__xludf.DUMMYFUNCTION("""COMPUTED_VALUE"""),44082.66666666667)</f>
        <v>44082.66667</v>
      </c>
      <c r="O712" s="9">
        <f>IFERROR(__xludf.DUMMYFUNCTION("""COMPUTED_VALUE"""),112.82)</f>
        <v>112.82</v>
      </c>
      <c r="Q712" s="11">
        <f>IFERROR(__xludf.DUMMYFUNCTION("""COMPUTED_VALUE"""),44082.66666666667)</f>
        <v>44082.66667</v>
      </c>
      <c r="R712" s="9">
        <f>IFERROR(__xludf.DUMMYFUNCTION("""COMPUTED_VALUE"""),271.28)</f>
        <v>271.28</v>
      </c>
      <c r="S712" s="11">
        <f>IFERROR(__xludf.DUMMYFUNCTION("""COMPUTED_VALUE"""),44082.66666666667)</f>
        <v>44082.66667</v>
      </c>
      <c r="T712" s="9">
        <f>IFERROR(__xludf.DUMMYFUNCTION("""COMPUTED_VALUE"""),271.16)</f>
        <v>271.16</v>
      </c>
      <c r="V712" s="11">
        <f>IFERROR(__xludf.DUMMYFUNCTION("""COMPUTED_VALUE"""),44082.66666666667)</f>
        <v>44082.66667</v>
      </c>
      <c r="W712" s="9">
        <f>IFERROR(__xludf.DUMMYFUNCTION("""COMPUTED_VALUE"""),498.4)</f>
        <v>498.4</v>
      </c>
      <c r="X712" s="11">
        <f>IFERROR(__xludf.DUMMYFUNCTION("""COMPUTED_VALUE"""),44082.66666666667)</f>
        <v>44082.66667</v>
      </c>
      <c r="Y712" s="9">
        <f>IFERROR(__xludf.DUMMYFUNCTION("""COMPUTED_VALUE"""),507.02)</f>
        <v>507.02</v>
      </c>
      <c r="AA712" s="11">
        <f>IFERROR(__xludf.DUMMYFUNCTION("""COMPUTED_VALUE"""),44082.66666666667)</f>
        <v>44082.66667</v>
      </c>
      <c r="AB712" s="9">
        <f>IFERROR(__xludf.DUMMYFUNCTION("""COMPUTED_VALUE"""),3144.0)</f>
        <v>3144</v>
      </c>
      <c r="AC712" s="11">
        <f>IFERROR(__xludf.DUMMYFUNCTION("""COMPUTED_VALUE"""),44082.66666666667)</f>
        <v>44082.66667</v>
      </c>
      <c r="AD712" s="9">
        <f>IFERROR(__xludf.DUMMYFUNCTION("""COMPUTED_VALUE"""),3149.84)</f>
        <v>3149.84</v>
      </c>
    </row>
    <row r="713">
      <c r="B713" s="11">
        <f>IFERROR(__xludf.DUMMYFUNCTION("""COMPUTED_VALUE"""),44083.66666666667)</f>
        <v>44083.66667</v>
      </c>
      <c r="C713" s="9">
        <f>IFERROR(__xludf.DUMMYFUNCTION("""COMPUTED_VALUE"""),356.6)</f>
        <v>356.6</v>
      </c>
      <c r="D713" s="11">
        <f>IFERROR(__xludf.DUMMYFUNCTION("""COMPUTED_VALUE"""),44083.66666666667)</f>
        <v>44083.66667</v>
      </c>
      <c r="E713" s="9">
        <f>IFERROR(__xludf.DUMMYFUNCTION("""COMPUTED_VALUE"""),366.28)</f>
        <v>366.28</v>
      </c>
      <c r="G713" s="11">
        <f>IFERROR(__xludf.DUMMYFUNCTION("""COMPUTED_VALUE"""),44083.66666666667)</f>
        <v>44083.66667</v>
      </c>
      <c r="H713" s="9">
        <f>IFERROR(__xludf.DUMMYFUNCTION("""COMPUTED_VALUE"""),1557.53)</f>
        <v>1557.53</v>
      </c>
      <c r="I713" s="11">
        <f>IFERROR(__xludf.DUMMYFUNCTION("""COMPUTED_VALUE"""),44083.66666666667)</f>
        <v>44083.66667</v>
      </c>
      <c r="J713" s="9">
        <f>IFERROR(__xludf.DUMMYFUNCTION("""COMPUTED_VALUE"""),1556.96)</f>
        <v>1556.96</v>
      </c>
      <c r="L713" s="11">
        <f>IFERROR(__xludf.DUMMYFUNCTION("""COMPUTED_VALUE"""),44083.66666666667)</f>
        <v>44083.66667</v>
      </c>
      <c r="M713" s="9">
        <f>IFERROR(__xludf.DUMMYFUNCTION("""COMPUTED_VALUE"""),117.26)</f>
        <v>117.26</v>
      </c>
      <c r="N713" s="11">
        <f>IFERROR(__xludf.DUMMYFUNCTION("""COMPUTED_VALUE"""),44083.66666666667)</f>
        <v>44083.66667</v>
      </c>
      <c r="O713" s="9">
        <f>IFERROR(__xludf.DUMMYFUNCTION("""COMPUTED_VALUE"""),117.32)</f>
        <v>117.32</v>
      </c>
      <c r="Q713" s="11">
        <f>IFERROR(__xludf.DUMMYFUNCTION("""COMPUTED_VALUE"""),44083.66666666667)</f>
        <v>44083.66667</v>
      </c>
      <c r="R713" s="9">
        <f>IFERROR(__xludf.DUMMYFUNCTION("""COMPUTED_VALUE"""),275.77)</f>
        <v>275.77</v>
      </c>
      <c r="S713" s="11">
        <f>IFERROR(__xludf.DUMMYFUNCTION("""COMPUTED_VALUE"""),44083.66666666667)</f>
        <v>44083.66667</v>
      </c>
      <c r="T713" s="9">
        <f>IFERROR(__xludf.DUMMYFUNCTION("""COMPUTED_VALUE"""),273.72)</f>
        <v>273.72</v>
      </c>
      <c r="V713" s="11">
        <f>IFERROR(__xludf.DUMMYFUNCTION("""COMPUTED_VALUE"""),44083.66666666667)</f>
        <v>44083.66667</v>
      </c>
      <c r="W713" s="9">
        <f>IFERROR(__xludf.DUMMYFUNCTION("""COMPUTED_VALUE"""),519.21)</f>
        <v>519.21</v>
      </c>
      <c r="X713" s="11">
        <f>IFERROR(__xludf.DUMMYFUNCTION("""COMPUTED_VALUE"""),44083.66666666667)</f>
        <v>44083.66667</v>
      </c>
      <c r="Y713" s="9">
        <f>IFERROR(__xludf.DUMMYFUNCTION("""COMPUTED_VALUE"""),500.19)</f>
        <v>500.19</v>
      </c>
      <c r="AA713" s="11">
        <f>IFERROR(__xludf.DUMMYFUNCTION("""COMPUTED_VALUE"""),44083.66666666667)</f>
        <v>44083.66667</v>
      </c>
      <c r="AB713" s="9">
        <f>IFERROR(__xludf.DUMMYFUNCTION("""COMPUTED_VALUE"""),3202.99)</f>
        <v>3202.99</v>
      </c>
      <c r="AC713" s="11">
        <f>IFERROR(__xludf.DUMMYFUNCTION("""COMPUTED_VALUE"""),44083.66666666667)</f>
        <v>44083.66667</v>
      </c>
      <c r="AD713" s="9">
        <f>IFERROR(__xludf.DUMMYFUNCTION("""COMPUTED_VALUE"""),3268.61)</f>
        <v>3268.61</v>
      </c>
    </row>
    <row r="714">
      <c r="B714" s="11">
        <f>IFERROR(__xludf.DUMMYFUNCTION("""COMPUTED_VALUE"""),44084.66666666667)</f>
        <v>44084.66667</v>
      </c>
      <c r="C714" s="9">
        <f>IFERROR(__xludf.DUMMYFUNCTION("""COMPUTED_VALUE"""),386.21)</f>
        <v>386.21</v>
      </c>
      <c r="D714" s="11">
        <f>IFERROR(__xludf.DUMMYFUNCTION("""COMPUTED_VALUE"""),44084.66666666667)</f>
        <v>44084.66667</v>
      </c>
      <c r="E714" s="9">
        <f>IFERROR(__xludf.DUMMYFUNCTION("""COMPUTED_VALUE"""),371.34)</f>
        <v>371.34</v>
      </c>
      <c r="G714" s="11">
        <f>IFERROR(__xludf.DUMMYFUNCTION("""COMPUTED_VALUE"""),44084.66666666667)</f>
        <v>44084.66667</v>
      </c>
      <c r="H714" s="9">
        <f>IFERROR(__xludf.DUMMYFUNCTION("""COMPUTED_VALUE"""),1560.64)</f>
        <v>1560.64</v>
      </c>
      <c r="I714" s="11">
        <f>IFERROR(__xludf.DUMMYFUNCTION("""COMPUTED_VALUE"""),44084.66666666667)</f>
        <v>44084.66667</v>
      </c>
      <c r="J714" s="9">
        <f>IFERROR(__xludf.DUMMYFUNCTION("""COMPUTED_VALUE"""),1532.02)</f>
        <v>1532.02</v>
      </c>
      <c r="L714" s="11">
        <f>IFERROR(__xludf.DUMMYFUNCTION("""COMPUTED_VALUE"""),44084.66666666667)</f>
        <v>44084.66667</v>
      </c>
      <c r="M714" s="9">
        <f>IFERROR(__xludf.DUMMYFUNCTION("""COMPUTED_VALUE"""),120.36)</f>
        <v>120.36</v>
      </c>
      <c r="N714" s="11">
        <f>IFERROR(__xludf.DUMMYFUNCTION("""COMPUTED_VALUE"""),44084.66666666667)</f>
        <v>44084.66667</v>
      </c>
      <c r="O714" s="9">
        <f>IFERROR(__xludf.DUMMYFUNCTION("""COMPUTED_VALUE"""),113.49)</f>
        <v>113.49</v>
      </c>
      <c r="Q714" s="11">
        <f>IFERROR(__xludf.DUMMYFUNCTION("""COMPUTED_VALUE"""),44084.66666666667)</f>
        <v>44084.66667</v>
      </c>
      <c r="R714" s="9">
        <f>IFERROR(__xludf.DUMMYFUNCTION("""COMPUTED_VALUE"""),275.51)</f>
        <v>275.51</v>
      </c>
      <c r="S714" s="11">
        <f>IFERROR(__xludf.DUMMYFUNCTION("""COMPUTED_VALUE"""),44084.66666666667)</f>
        <v>44084.66667</v>
      </c>
      <c r="T714" s="9">
        <f>IFERROR(__xludf.DUMMYFUNCTION("""COMPUTED_VALUE"""),268.09)</f>
        <v>268.09</v>
      </c>
      <c r="V714" s="11">
        <f>IFERROR(__xludf.DUMMYFUNCTION("""COMPUTED_VALUE"""),44084.66666666667)</f>
        <v>44084.66667</v>
      </c>
      <c r="W714" s="9">
        <f>IFERROR(__xludf.DUMMYFUNCTION("""COMPUTED_VALUE"""),503.35)</f>
        <v>503.35</v>
      </c>
      <c r="X714" s="11">
        <f>IFERROR(__xludf.DUMMYFUNCTION("""COMPUTED_VALUE"""),44084.66666666667)</f>
        <v>44084.66667</v>
      </c>
      <c r="Y714" s="9">
        <f>IFERROR(__xludf.DUMMYFUNCTION("""COMPUTED_VALUE"""),480.67)</f>
        <v>480.67</v>
      </c>
      <c r="AA714" s="11">
        <f>IFERROR(__xludf.DUMMYFUNCTION("""COMPUTED_VALUE"""),44084.66666666667)</f>
        <v>44084.66667</v>
      </c>
      <c r="AB714" s="9">
        <f>IFERROR(__xludf.DUMMYFUNCTION("""COMPUTED_VALUE"""),3307.22)</f>
        <v>3307.22</v>
      </c>
      <c r="AC714" s="11">
        <f>IFERROR(__xludf.DUMMYFUNCTION("""COMPUTED_VALUE"""),44084.66666666667)</f>
        <v>44084.66667</v>
      </c>
      <c r="AD714" s="9">
        <f>IFERROR(__xludf.DUMMYFUNCTION("""COMPUTED_VALUE"""),3175.11)</f>
        <v>3175.11</v>
      </c>
    </row>
    <row r="715">
      <c r="B715" s="11">
        <f>IFERROR(__xludf.DUMMYFUNCTION("""COMPUTED_VALUE"""),44085.66666666667)</f>
        <v>44085.66667</v>
      </c>
      <c r="C715" s="9">
        <f>IFERROR(__xludf.DUMMYFUNCTION("""COMPUTED_VALUE"""),381.94)</f>
        <v>381.94</v>
      </c>
      <c r="D715" s="11">
        <f>IFERROR(__xludf.DUMMYFUNCTION("""COMPUTED_VALUE"""),44085.66666666667)</f>
        <v>44085.66667</v>
      </c>
      <c r="E715" s="9">
        <f>IFERROR(__xludf.DUMMYFUNCTION("""COMPUTED_VALUE"""),372.72)</f>
        <v>372.72</v>
      </c>
      <c r="G715" s="11">
        <f>IFERROR(__xludf.DUMMYFUNCTION("""COMPUTED_VALUE"""),44085.66666666667)</f>
        <v>44085.66667</v>
      </c>
      <c r="H715" s="9">
        <f>IFERROR(__xludf.DUMMYFUNCTION("""COMPUTED_VALUE"""),1536.0)</f>
        <v>1536</v>
      </c>
      <c r="I715" s="11">
        <f>IFERROR(__xludf.DUMMYFUNCTION("""COMPUTED_VALUE"""),44085.66666666667)</f>
        <v>44085.66667</v>
      </c>
      <c r="J715" s="9">
        <f>IFERROR(__xludf.DUMMYFUNCTION("""COMPUTED_VALUE"""),1520.72)</f>
        <v>1520.72</v>
      </c>
      <c r="L715" s="11">
        <f>IFERROR(__xludf.DUMMYFUNCTION("""COMPUTED_VALUE"""),44085.66666666667)</f>
        <v>44085.66667</v>
      </c>
      <c r="M715" s="9">
        <f>IFERROR(__xludf.DUMMYFUNCTION("""COMPUTED_VALUE"""),114.57)</f>
        <v>114.57</v>
      </c>
      <c r="N715" s="11">
        <f>IFERROR(__xludf.DUMMYFUNCTION("""COMPUTED_VALUE"""),44085.66666666667)</f>
        <v>44085.66667</v>
      </c>
      <c r="O715" s="9">
        <f>IFERROR(__xludf.DUMMYFUNCTION("""COMPUTED_VALUE"""),112.0)</f>
        <v>112</v>
      </c>
      <c r="Q715" s="11">
        <f>IFERROR(__xludf.DUMMYFUNCTION("""COMPUTED_VALUE"""),44085.66666666667)</f>
        <v>44085.66667</v>
      </c>
      <c r="R715" s="9">
        <f>IFERROR(__xludf.DUMMYFUNCTION("""COMPUTED_VALUE"""),270.06)</f>
        <v>270.06</v>
      </c>
      <c r="S715" s="11">
        <f>IFERROR(__xludf.DUMMYFUNCTION("""COMPUTED_VALUE"""),44085.66666666667)</f>
        <v>44085.66667</v>
      </c>
      <c r="T715" s="9">
        <f>IFERROR(__xludf.DUMMYFUNCTION("""COMPUTED_VALUE"""),266.61)</f>
        <v>266.61</v>
      </c>
      <c r="V715" s="11">
        <f>IFERROR(__xludf.DUMMYFUNCTION("""COMPUTED_VALUE"""),44085.66666666667)</f>
        <v>44085.66667</v>
      </c>
      <c r="W715" s="9">
        <f>IFERROR(__xludf.DUMMYFUNCTION("""COMPUTED_VALUE"""),486.49)</f>
        <v>486.49</v>
      </c>
      <c r="X715" s="11">
        <f>IFERROR(__xludf.DUMMYFUNCTION("""COMPUTED_VALUE"""),44085.66666666667)</f>
        <v>44085.66667</v>
      </c>
      <c r="Y715" s="9">
        <f>IFERROR(__xludf.DUMMYFUNCTION("""COMPUTED_VALUE"""),482.03)</f>
        <v>482.03</v>
      </c>
      <c r="AA715" s="11">
        <f>IFERROR(__xludf.DUMMYFUNCTION("""COMPUTED_VALUE"""),44085.66666666667)</f>
        <v>44085.66667</v>
      </c>
      <c r="AB715" s="9">
        <f>IFERROR(__xludf.DUMMYFUNCTION("""COMPUTED_VALUE"""),3208.69)</f>
        <v>3208.69</v>
      </c>
      <c r="AC715" s="11">
        <f>IFERROR(__xludf.DUMMYFUNCTION("""COMPUTED_VALUE"""),44085.66666666667)</f>
        <v>44085.66667</v>
      </c>
      <c r="AD715" s="9">
        <f>IFERROR(__xludf.DUMMYFUNCTION("""COMPUTED_VALUE"""),3116.22)</f>
        <v>3116.22</v>
      </c>
    </row>
    <row r="716">
      <c r="B716" s="11">
        <f>IFERROR(__xludf.DUMMYFUNCTION("""COMPUTED_VALUE"""),44088.66666666667)</f>
        <v>44088.66667</v>
      </c>
      <c r="C716" s="9">
        <f>IFERROR(__xludf.DUMMYFUNCTION("""COMPUTED_VALUE"""),380.95)</f>
        <v>380.95</v>
      </c>
      <c r="D716" s="11">
        <f>IFERROR(__xludf.DUMMYFUNCTION("""COMPUTED_VALUE"""),44088.66666666667)</f>
        <v>44088.66667</v>
      </c>
      <c r="E716" s="9">
        <f>IFERROR(__xludf.DUMMYFUNCTION("""COMPUTED_VALUE"""),419.62)</f>
        <v>419.62</v>
      </c>
      <c r="G716" s="11">
        <f>IFERROR(__xludf.DUMMYFUNCTION("""COMPUTED_VALUE"""),44088.66666666667)</f>
        <v>44088.66667</v>
      </c>
      <c r="H716" s="9">
        <f>IFERROR(__xludf.DUMMYFUNCTION("""COMPUTED_VALUE"""),1539.01)</f>
        <v>1539.01</v>
      </c>
      <c r="I716" s="11">
        <f>IFERROR(__xludf.DUMMYFUNCTION("""COMPUTED_VALUE"""),44088.66666666667)</f>
        <v>44088.66667</v>
      </c>
      <c r="J716" s="9">
        <f>IFERROR(__xludf.DUMMYFUNCTION("""COMPUTED_VALUE"""),1519.28)</f>
        <v>1519.28</v>
      </c>
      <c r="L716" s="11">
        <f>IFERROR(__xludf.DUMMYFUNCTION("""COMPUTED_VALUE"""),44088.66666666667)</f>
        <v>44088.66667</v>
      </c>
      <c r="M716" s="9">
        <f>IFERROR(__xludf.DUMMYFUNCTION("""COMPUTED_VALUE"""),114.72)</f>
        <v>114.72</v>
      </c>
      <c r="N716" s="11">
        <f>IFERROR(__xludf.DUMMYFUNCTION("""COMPUTED_VALUE"""),44088.66666666667)</f>
        <v>44088.66667</v>
      </c>
      <c r="O716" s="9">
        <f>IFERROR(__xludf.DUMMYFUNCTION("""COMPUTED_VALUE"""),115.36)</f>
        <v>115.36</v>
      </c>
      <c r="Q716" s="11">
        <f>IFERROR(__xludf.DUMMYFUNCTION("""COMPUTED_VALUE"""),44088.66666666667)</f>
        <v>44088.66667</v>
      </c>
      <c r="R716" s="9">
        <f>IFERROR(__xludf.DUMMYFUNCTION("""COMPUTED_VALUE"""),270.95)</f>
        <v>270.95</v>
      </c>
      <c r="S716" s="11">
        <f>IFERROR(__xludf.DUMMYFUNCTION("""COMPUTED_VALUE"""),44088.66666666667)</f>
        <v>44088.66667</v>
      </c>
      <c r="T716" s="9">
        <f>IFERROR(__xludf.DUMMYFUNCTION("""COMPUTED_VALUE"""),266.15)</f>
        <v>266.15</v>
      </c>
      <c r="V716" s="11">
        <f>IFERROR(__xludf.DUMMYFUNCTION("""COMPUTED_VALUE"""),44088.66666666667)</f>
        <v>44088.66667</v>
      </c>
      <c r="W716" s="9">
        <f>IFERROR(__xludf.DUMMYFUNCTION("""COMPUTED_VALUE"""),480.62)</f>
        <v>480.62</v>
      </c>
      <c r="X716" s="11">
        <f>IFERROR(__xludf.DUMMYFUNCTION("""COMPUTED_VALUE"""),44088.66666666667)</f>
        <v>44088.66667</v>
      </c>
      <c r="Y716" s="9">
        <f>IFERROR(__xludf.DUMMYFUNCTION("""COMPUTED_VALUE"""),476.26)</f>
        <v>476.26</v>
      </c>
      <c r="AA716" s="11">
        <f>IFERROR(__xludf.DUMMYFUNCTION("""COMPUTED_VALUE"""),44088.66666666667)</f>
        <v>44088.66667</v>
      </c>
      <c r="AB716" s="9">
        <f>IFERROR(__xludf.DUMMYFUNCTION("""COMPUTED_VALUE"""),3172.94)</f>
        <v>3172.94</v>
      </c>
      <c r="AC716" s="11">
        <f>IFERROR(__xludf.DUMMYFUNCTION("""COMPUTED_VALUE"""),44088.66666666667)</f>
        <v>44088.66667</v>
      </c>
      <c r="AD716" s="9">
        <f>IFERROR(__xludf.DUMMYFUNCTION("""COMPUTED_VALUE"""),3102.97)</f>
        <v>3102.97</v>
      </c>
    </row>
    <row r="717">
      <c r="B717" s="11">
        <f>IFERROR(__xludf.DUMMYFUNCTION("""COMPUTED_VALUE"""),44089.66666666667)</f>
        <v>44089.66667</v>
      </c>
      <c r="C717" s="9">
        <f>IFERROR(__xludf.DUMMYFUNCTION("""COMPUTED_VALUE"""),436.56)</f>
        <v>436.56</v>
      </c>
      <c r="D717" s="11">
        <f>IFERROR(__xludf.DUMMYFUNCTION("""COMPUTED_VALUE"""),44089.66666666667)</f>
        <v>44089.66667</v>
      </c>
      <c r="E717" s="9">
        <f>IFERROR(__xludf.DUMMYFUNCTION("""COMPUTED_VALUE"""),449.76)</f>
        <v>449.76</v>
      </c>
      <c r="G717" s="11">
        <f>IFERROR(__xludf.DUMMYFUNCTION("""COMPUTED_VALUE"""),44089.66666666667)</f>
        <v>44089.66667</v>
      </c>
      <c r="H717" s="9">
        <f>IFERROR(__xludf.DUMMYFUNCTION("""COMPUTED_VALUE"""),1536.0)</f>
        <v>1536</v>
      </c>
      <c r="I717" s="11">
        <f>IFERROR(__xludf.DUMMYFUNCTION("""COMPUTED_VALUE"""),44089.66666666667)</f>
        <v>44089.66667</v>
      </c>
      <c r="J717" s="9">
        <f>IFERROR(__xludf.DUMMYFUNCTION("""COMPUTED_VALUE"""),1541.44)</f>
        <v>1541.44</v>
      </c>
      <c r="L717" s="11">
        <f>IFERROR(__xludf.DUMMYFUNCTION("""COMPUTED_VALUE"""),44089.66666666667)</f>
        <v>44089.66667</v>
      </c>
      <c r="M717" s="9">
        <f>IFERROR(__xludf.DUMMYFUNCTION("""COMPUTED_VALUE"""),118.33)</f>
        <v>118.33</v>
      </c>
      <c r="N717" s="11">
        <f>IFERROR(__xludf.DUMMYFUNCTION("""COMPUTED_VALUE"""),44089.66666666667)</f>
        <v>44089.66667</v>
      </c>
      <c r="O717" s="9">
        <f>IFERROR(__xludf.DUMMYFUNCTION("""COMPUTED_VALUE"""),115.54)</f>
        <v>115.54</v>
      </c>
      <c r="Q717" s="11">
        <f>IFERROR(__xludf.DUMMYFUNCTION("""COMPUTED_VALUE"""),44089.66666666667)</f>
        <v>44089.66667</v>
      </c>
      <c r="R717" s="9">
        <f>IFERROR(__xludf.DUMMYFUNCTION("""COMPUTED_VALUE"""),270.67)</f>
        <v>270.67</v>
      </c>
      <c r="S717" s="11">
        <f>IFERROR(__xludf.DUMMYFUNCTION("""COMPUTED_VALUE"""),44089.66666666667)</f>
        <v>44089.66667</v>
      </c>
      <c r="T717" s="9">
        <f>IFERROR(__xludf.DUMMYFUNCTION("""COMPUTED_VALUE"""),272.42)</f>
        <v>272.42</v>
      </c>
      <c r="V717" s="11">
        <f>IFERROR(__xludf.DUMMYFUNCTION("""COMPUTED_VALUE"""),44089.66666666667)</f>
        <v>44089.66667</v>
      </c>
      <c r="W717" s="9">
        <f>IFERROR(__xludf.DUMMYFUNCTION("""COMPUTED_VALUE"""),484.0)</f>
        <v>484</v>
      </c>
      <c r="X717" s="11">
        <f>IFERROR(__xludf.DUMMYFUNCTION("""COMPUTED_VALUE"""),44089.66666666667)</f>
        <v>44089.66667</v>
      </c>
      <c r="Y717" s="9">
        <f>IFERROR(__xludf.DUMMYFUNCTION("""COMPUTED_VALUE"""),495.99)</f>
        <v>495.99</v>
      </c>
      <c r="AA717" s="11">
        <f>IFERROR(__xludf.DUMMYFUNCTION("""COMPUTED_VALUE"""),44089.66666666667)</f>
        <v>44089.66667</v>
      </c>
      <c r="AB717" s="9">
        <f>IFERROR(__xludf.DUMMYFUNCTION("""COMPUTED_VALUE"""),3136.16)</f>
        <v>3136.16</v>
      </c>
      <c r="AC717" s="11">
        <f>IFERROR(__xludf.DUMMYFUNCTION("""COMPUTED_VALUE"""),44089.66666666667)</f>
        <v>44089.66667</v>
      </c>
      <c r="AD717" s="9">
        <f>IFERROR(__xludf.DUMMYFUNCTION("""COMPUTED_VALUE"""),3156.13)</f>
        <v>3156.13</v>
      </c>
    </row>
    <row r="718">
      <c r="B718" s="11">
        <f>IFERROR(__xludf.DUMMYFUNCTION("""COMPUTED_VALUE"""),44090.66666666667)</f>
        <v>44090.66667</v>
      </c>
      <c r="C718" s="9">
        <f>IFERROR(__xludf.DUMMYFUNCTION("""COMPUTED_VALUE"""),439.87)</f>
        <v>439.87</v>
      </c>
      <c r="D718" s="11">
        <f>IFERROR(__xludf.DUMMYFUNCTION("""COMPUTED_VALUE"""),44090.66666666667)</f>
        <v>44090.66667</v>
      </c>
      <c r="E718" s="9">
        <f>IFERROR(__xludf.DUMMYFUNCTION("""COMPUTED_VALUE"""),441.76)</f>
        <v>441.76</v>
      </c>
      <c r="G718" s="11">
        <f>IFERROR(__xludf.DUMMYFUNCTION("""COMPUTED_VALUE"""),44090.66666666667)</f>
        <v>44090.66667</v>
      </c>
      <c r="H718" s="9">
        <f>IFERROR(__xludf.DUMMYFUNCTION("""COMPUTED_VALUE"""),1555.54)</f>
        <v>1555.54</v>
      </c>
      <c r="I718" s="11">
        <f>IFERROR(__xludf.DUMMYFUNCTION("""COMPUTED_VALUE"""),44090.66666666667)</f>
        <v>44090.66667</v>
      </c>
      <c r="J718" s="9">
        <f>IFERROR(__xludf.DUMMYFUNCTION("""COMPUTED_VALUE"""),1520.9)</f>
        <v>1520.9</v>
      </c>
      <c r="L718" s="11">
        <f>IFERROR(__xludf.DUMMYFUNCTION("""COMPUTED_VALUE"""),44090.66666666667)</f>
        <v>44090.66667</v>
      </c>
      <c r="M718" s="9">
        <f>IFERROR(__xludf.DUMMYFUNCTION("""COMPUTED_VALUE"""),115.23)</f>
        <v>115.23</v>
      </c>
      <c r="N718" s="11">
        <f>IFERROR(__xludf.DUMMYFUNCTION("""COMPUTED_VALUE"""),44090.66666666667)</f>
        <v>44090.66667</v>
      </c>
      <c r="O718" s="9">
        <f>IFERROR(__xludf.DUMMYFUNCTION("""COMPUTED_VALUE"""),112.13)</f>
        <v>112.13</v>
      </c>
      <c r="Q718" s="11">
        <f>IFERROR(__xludf.DUMMYFUNCTION("""COMPUTED_VALUE"""),44090.66666666667)</f>
        <v>44090.66667</v>
      </c>
      <c r="R718" s="9">
        <f>IFERROR(__xludf.DUMMYFUNCTION("""COMPUTED_VALUE"""),267.29)</f>
        <v>267.29</v>
      </c>
      <c r="S718" s="11">
        <f>IFERROR(__xludf.DUMMYFUNCTION("""COMPUTED_VALUE"""),44090.66666666667)</f>
        <v>44090.66667</v>
      </c>
      <c r="T718" s="9">
        <f>IFERROR(__xludf.DUMMYFUNCTION("""COMPUTED_VALUE"""),263.52)</f>
        <v>263.52</v>
      </c>
      <c r="V718" s="11">
        <f>IFERROR(__xludf.DUMMYFUNCTION("""COMPUTED_VALUE"""),44090.66666666667)</f>
        <v>44090.66667</v>
      </c>
      <c r="W718" s="9">
        <f>IFERROR(__xludf.DUMMYFUNCTION("""COMPUTED_VALUE"""),499.99)</f>
        <v>499.99</v>
      </c>
      <c r="X718" s="11">
        <f>IFERROR(__xludf.DUMMYFUNCTION("""COMPUTED_VALUE"""),44090.66666666667)</f>
        <v>44090.66667</v>
      </c>
      <c r="Y718" s="9">
        <f>IFERROR(__xludf.DUMMYFUNCTION("""COMPUTED_VALUE"""),483.86)</f>
        <v>483.86</v>
      </c>
      <c r="AA718" s="11">
        <f>IFERROR(__xludf.DUMMYFUNCTION("""COMPUTED_VALUE"""),44090.66666666667)</f>
        <v>44090.66667</v>
      </c>
      <c r="AB718" s="9">
        <f>IFERROR(__xludf.DUMMYFUNCTION("""COMPUTED_VALUE"""),3179.99)</f>
        <v>3179.99</v>
      </c>
      <c r="AC718" s="11">
        <f>IFERROR(__xludf.DUMMYFUNCTION("""COMPUTED_VALUE"""),44090.66666666667)</f>
        <v>44090.66667</v>
      </c>
      <c r="AD718" s="9">
        <f>IFERROR(__xludf.DUMMYFUNCTION("""COMPUTED_VALUE"""),3078.1)</f>
        <v>3078.1</v>
      </c>
    </row>
    <row r="719">
      <c r="B719" s="11">
        <f>IFERROR(__xludf.DUMMYFUNCTION("""COMPUTED_VALUE"""),44091.66666666667)</f>
        <v>44091.66667</v>
      </c>
      <c r="C719" s="9">
        <f>IFERROR(__xludf.DUMMYFUNCTION("""COMPUTED_VALUE"""),415.6)</f>
        <v>415.6</v>
      </c>
      <c r="D719" s="11">
        <f>IFERROR(__xludf.DUMMYFUNCTION("""COMPUTED_VALUE"""),44091.66666666667)</f>
        <v>44091.66667</v>
      </c>
      <c r="E719" s="9">
        <f>IFERROR(__xludf.DUMMYFUNCTION("""COMPUTED_VALUE"""),423.43)</f>
        <v>423.43</v>
      </c>
      <c r="G719" s="11">
        <f>IFERROR(__xludf.DUMMYFUNCTION("""COMPUTED_VALUE"""),44091.66666666667)</f>
        <v>44091.66667</v>
      </c>
      <c r="H719" s="9">
        <f>IFERROR(__xludf.DUMMYFUNCTION("""COMPUTED_VALUE"""),1496.0)</f>
        <v>1496</v>
      </c>
      <c r="I719" s="11">
        <f>IFERROR(__xludf.DUMMYFUNCTION("""COMPUTED_VALUE"""),44091.66666666667)</f>
        <v>44091.66667</v>
      </c>
      <c r="J719" s="9">
        <f>IFERROR(__xludf.DUMMYFUNCTION("""COMPUTED_VALUE"""),1495.53)</f>
        <v>1495.53</v>
      </c>
      <c r="L719" s="11">
        <f>IFERROR(__xludf.DUMMYFUNCTION("""COMPUTED_VALUE"""),44091.66666666667)</f>
        <v>44091.66667</v>
      </c>
      <c r="M719" s="9">
        <f>IFERROR(__xludf.DUMMYFUNCTION("""COMPUTED_VALUE"""),109.72)</f>
        <v>109.72</v>
      </c>
      <c r="N719" s="11">
        <f>IFERROR(__xludf.DUMMYFUNCTION("""COMPUTED_VALUE"""),44091.66666666667)</f>
        <v>44091.66667</v>
      </c>
      <c r="O719" s="9">
        <f>IFERROR(__xludf.DUMMYFUNCTION("""COMPUTED_VALUE"""),110.34)</f>
        <v>110.34</v>
      </c>
      <c r="Q719" s="11">
        <f>IFERROR(__xludf.DUMMYFUNCTION("""COMPUTED_VALUE"""),44091.66666666667)</f>
        <v>44091.66667</v>
      </c>
      <c r="R719" s="9">
        <f>IFERROR(__xludf.DUMMYFUNCTION("""COMPUTED_VALUE"""),258.28)</f>
        <v>258.28</v>
      </c>
      <c r="S719" s="11">
        <f>IFERROR(__xludf.DUMMYFUNCTION("""COMPUTED_VALUE"""),44091.66666666667)</f>
        <v>44091.66667</v>
      </c>
      <c r="T719" s="9">
        <f>IFERROR(__xludf.DUMMYFUNCTION("""COMPUTED_VALUE"""),254.82)</f>
        <v>254.82</v>
      </c>
      <c r="V719" s="11">
        <f>IFERROR(__xludf.DUMMYFUNCTION("""COMPUTED_VALUE"""),44091.66666666667)</f>
        <v>44091.66667</v>
      </c>
      <c r="W719" s="9">
        <f>IFERROR(__xludf.DUMMYFUNCTION("""COMPUTED_VALUE"""),475.16)</f>
        <v>475.16</v>
      </c>
      <c r="X719" s="11">
        <f>IFERROR(__xludf.DUMMYFUNCTION("""COMPUTED_VALUE"""),44091.66666666667)</f>
        <v>44091.66667</v>
      </c>
      <c r="Y719" s="9">
        <f>IFERROR(__xludf.DUMMYFUNCTION("""COMPUTED_VALUE"""),470.2)</f>
        <v>470.2</v>
      </c>
      <c r="AA719" s="11">
        <f>IFERROR(__xludf.DUMMYFUNCTION("""COMPUTED_VALUE"""),44091.66666666667)</f>
        <v>44091.66667</v>
      </c>
      <c r="AB719" s="9">
        <f>IFERROR(__xludf.DUMMYFUNCTION("""COMPUTED_VALUE"""),3009.25)</f>
        <v>3009.25</v>
      </c>
      <c r="AC719" s="11">
        <f>IFERROR(__xludf.DUMMYFUNCTION("""COMPUTED_VALUE"""),44091.66666666667)</f>
        <v>44091.66667</v>
      </c>
      <c r="AD719" s="9">
        <f>IFERROR(__xludf.DUMMYFUNCTION("""COMPUTED_VALUE"""),3008.73)</f>
        <v>3008.73</v>
      </c>
    </row>
    <row r="720">
      <c r="B720" s="11">
        <f>IFERROR(__xludf.DUMMYFUNCTION("""COMPUTED_VALUE"""),44092.66666666667)</f>
        <v>44092.66667</v>
      </c>
      <c r="C720" s="9">
        <f>IFERROR(__xludf.DUMMYFUNCTION("""COMPUTED_VALUE"""),447.94)</f>
        <v>447.94</v>
      </c>
      <c r="D720" s="11">
        <f>IFERROR(__xludf.DUMMYFUNCTION("""COMPUTED_VALUE"""),44092.66666666667)</f>
        <v>44092.66667</v>
      </c>
      <c r="E720" s="9">
        <f>IFERROR(__xludf.DUMMYFUNCTION("""COMPUTED_VALUE"""),442.15)</f>
        <v>442.15</v>
      </c>
      <c r="G720" s="11">
        <f>IFERROR(__xludf.DUMMYFUNCTION("""COMPUTED_VALUE"""),44092.66666666667)</f>
        <v>44092.66667</v>
      </c>
      <c r="H720" s="9">
        <f>IFERROR(__xludf.DUMMYFUNCTION("""COMPUTED_VALUE"""),1498.01)</f>
        <v>1498.01</v>
      </c>
      <c r="I720" s="11">
        <f>IFERROR(__xludf.DUMMYFUNCTION("""COMPUTED_VALUE"""),44092.66666666667)</f>
        <v>44092.66667</v>
      </c>
      <c r="J720" s="9">
        <f>IFERROR(__xludf.DUMMYFUNCTION("""COMPUTED_VALUE"""),1459.99)</f>
        <v>1459.99</v>
      </c>
      <c r="L720" s="11">
        <f>IFERROR(__xludf.DUMMYFUNCTION("""COMPUTED_VALUE"""),44092.66666666667)</f>
        <v>44092.66667</v>
      </c>
      <c r="M720" s="9">
        <f>IFERROR(__xludf.DUMMYFUNCTION("""COMPUTED_VALUE"""),110.4)</f>
        <v>110.4</v>
      </c>
      <c r="N720" s="11">
        <f>IFERROR(__xludf.DUMMYFUNCTION("""COMPUTED_VALUE"""),44092.66666666667)</f>
        <v>44092.66667</v>
      </c>
      <c r="O720" s="9">
        <f>IFERROR(__xludf.DUMMYFUNCTION("""COMPUTED_VALUE"""),106.84)</f>
        <v>106.84</v>
      </c>
      <c r="Q720" s="11">
        <f>IFERROR(__xludf.DUMMYFUNCTION("""COMPUTED_VALUE"""),44092.66666666667)</f>
        <v>44092.66667</v>
      </c>
      <c r="R720" s="9">
        <f>IFERROR(__xludf.DUMMYFUNCTION("""COMPUTED_VALUE"""),258.4)</f>
        <v>258.4</v>
      </c>
      <c r="S720" s="11">
        <f>IFERROR(__xludf.DUMMYFUNCTION("""COMPUTED_VALUE"""),44092.66666666667)</f>
        <v>44092.66667</v>
      </c>
      <c r="T720" s="9">
        <f>IFERROR(__xludf.DUMMYFUNCTION("""COMPUTED_VALUE"""),252.53)</f>
        <v>252.53</v>
      </c>
      <c r="V720" s="11">
        <f>IFERROR(__xludf.DUMMYFUNCTION("""COMPUTED_VALUE"""),44092.66666666667)</f>
        <v>44092.66667</v>
      </c>
      <c r="W720" s="9">
        <f>IFERROR(__xludf.DUMMYFUNCTION("""COMPUTED_VALUE"""),472.51)</f>
        <v>472.51</v>
      </c>
      <c r="X720" s="11">
        <f>IFERROR(__xludf.DUMMYFUNCTION("""COMPUTED_VALUE"""),44092.66666666667)</f>
        <v>44092.66667</v>
      </c>
      <c r="Y720" s="9">
        <f>IFERROR(__xludf.DUMMYFUNCTION("""COMPUTED_VALUE"""),469.96)</f>
        <v>469.96</v>
      </c>
      <c r="AA720" s="11">
        <f>IFERROR(__xludf.DUMMYFUNCTION("""COMPUTED_VALUE"""),44092.66666666667)</f>
        <v>44092.66667</v>
      </c>
      <c r="AB720" s="9">
        <f>IFERROR(__xludf.DUMMYFUNCTION("""COMPUTED_VALUE"""),3031.74)</f>
        <v>3031.74</v>
      </c>
      <c r="AC720" s="11">
        <f>IFERROR(__xludf.DUMMYFUNCTION("""COMPUTED_VALUE"""),44092.66666666667)</f>
        <v>44092.66667</v>
      </c>
      <c r="AD720" s="9">
        <f>IFERROR(__xludf.DUMMYFUNCTION("""COMPUTED_VALUE"""),2954.91)</f>
        <v>2954.91</v>
      </c>
    </row>
    <row r="721">
      <c r="B721" s="11">
        <f>IFERROR(__xludf.DUMMYFUNCTION("""COMPUTED_VALUE"""),44095.66666666667)</f>
        <v>44095.66667</v>
      </c>
      <c r="C721" s="9">
        <f>IFERROR(__xludf.DUMMYFUNCTION("""COMPUTED_VALUE"""),453.13)</f>
        <v>453.13</v>
      </c>
      <c r="D721" s="11">
        <f>IFERROR(__xludf.DUMMYFUNCTION("""COMPUTED_VALUE"""),44095.66666666667)</f>
        <v>44095.66667</v>
      </c>
      <c r="E721" s="9">
        <f>IFERROR(__xludf.DUMMYFUNCTION("""COMPUTED_VALUE"""),449.39)</f>
        <v>449.39</v>
      </c>
      <c r="G721" s="11">
        <f>IFERROR(__xludf.DUMMYFUNCTION("""COMPUTED_VALUE"""),44095.66666666667)</f>
        <v>44095.66667</v>
      </c>
      <c r="H721" s="9">
        <f>IFERROR(__xludf.DUMMYFUNCTION("""COMPUTED_VALUE"""),1440.06)</f>
        <v>1440.06</v>
      </c>
      <c r="I721" s="11">
        <f>IFERROR(__xludf.DUMMYFUNCTION("""COMPUTED_VALUE"""),44095.66666666667)</f>
        <v>44095.66667</v>
      </c>
      <c r="J721" s="9">
        <f>IFERROR(__xludf.DUMMYFUNCTION("""COMPUTED_VALUE"""),1431.16)</f>
        <v>1431.16</v>
      </c>
      <c r="L721" s="11">
        <f>IFERROR(__xludf.DUMMYFUNCTION("""COMPUTED_VALUE"""),44095.66666666667)</f>
        <v>44095.66667</v>
      </c>
      <c r="M721" s="9">
        <f>IFERROR(__xludf.DUMMYFUNCTION("""COMPUTED_VALUE"""),104.54)</f>
        <v>104.54</v>
      </c>
      <c r="N721" s="11">
        <f>IFERROR(__xludf.DUMMYFUNCTION("""COMPUTED_VALUE"""),44095.66666666667)</f>
        <v>44095.66667</v>
      </c>
      <c r="O721" s="9">
        <f>IFERROR(__xludf.DUMMYFUNCTION("""COMPUTED_VALUE"""),110.08)</f>
        <v>110.08</v>
      </c>
      <c r="Q721" s="11">
        <f>IFERROR(__xludf.DUMMYFUNCTION("""COMPUTED_VALUE"""),44095.66666666667)</f>
        <v>44095.66667</v>
      </c>
      <c r="R721" s="9">
        <f>IFERROR(__xludf.DUMMYFUNCTION("""COMPUTED_VALUE"""),247.54)</f>
        <v>247.54</v>
      </c>
      <c r="S721" s="11">
        <f>IFERROR(__xludf.DUMMYFUNCTION("""COMPUTED_VALUE"""),44095.66666666667)</f>
        <v>44095.66667</v>
      </c>
      <c r="T721" s="9">
        <f>IFERROR(__xludf.DUMMYFUNCTION("""COMPUTED_VALUE"""),248.15)</f>
        <v>248.15</v>
      </c>
      <c r="V721" s="11">
        <f>IFERROR(__xludf.DUMMYFUNCTION("""COMPUTED_VALUE"""),44095.66666666667)</f>
        <v>44095.66667</v>
      </c>
      <c r="W721" s="9">
        <f>IFERROR(__xludf.DUMMYFUNCTION("""COMPUTED_VALUE"""),467.69)</f>
        <v>467.69</v>
      </c>
      <c r="X721" s="11">
        <f>IFERROR(__xludf.DUMMYFUNCTION("""COMPUTED_VALUE"""),44095.66666666667)</f>
        <v>44095.66667</v>
      </c>
      <c r="Y721" s="9">
        <f>IFERROR(__xludf.DUMMYFUNCTION("""COMPUTED_VALUE"""),487.35)</f>
        <v>487.35</v>
      </c>
      <c r="AA721" s="11">
        <f>IFERROR(__xludf.DUMMYFUNCTION("""COMPUTED_VALUE"""),44095.66666666667)</f>
        <v>44095.66667</v>
      </c>
      <c r="AB721" s="9">
        <f>IFERROR(__xludf.DUMMYFUNCTION("""COMPUTED_VALUE"""),2906.5)</f>
        <v>2906.5</v>
      </c>
      <c r="AC721" s="11">
        <f>IFERROR(__xludf.DUMMYFUNCTION("""COMPUTED_VALUE"""),44095.66666666667)</f>
        <v>44095.66667</v>
      </c>
      <c r="AD721" s="9">
        <f>IFERROR(__xludf.DUMMYFUNCTION("""COMPUTED_VALUE"""),2960.47)</f>
        <v>2960.47</v>
      </c>
    </row>
    <row r="722">
      <c r="B722" s="11">
        <f>IFERROR(__xludf.DUMMYFUNCTION("""COMPUTED_VALUE"""),44096.66666666667)</f>
        <v>44096.66667</v>
      </c>
      <c r="C722" s="9">
        <f>IFERROR(__xludf.DUMMYFUNCTION("""COMPUTED_VALUE"""),429.6)</f>
        <v>429.6</v>
      </c>
      <c r="D722" s="11">
        <f>IFERROR(__xludf.DUMMYFUNCTION("""COMPUTED_VALUE"""),44096.66666666667)</f>
        <v>44096.66667</v>
      </c>
      <c r="E722" s="9">
        <f>IFERROR(__xludf.DUMMYFUNCTION("""COMPUTED_VALUE"""),424.23)</f>
        <v>424.23</v>
      </c>
      <c r="G722" s="11">
        <f>IFERROR(__xludf.DUMMYFUNCTION("""COMPUTED_VALUE"""),44096.66666666667)</f>
        <v>44096.66667</v>
      </c>
      <c r="H722" s="9">
        <f>IFERROR(__xludf.DUMMYFUNCTION("""COMPUTED_VALUE"""),1450.09)</f>
        <v>1450.09</v>
      </c>
      <c r="I722" s="11">
        <f>IFERROR(__xludf.DUMMYFUNCTION("""COMPUTED_VALUE"""),44096.66666666667)</f>
        <v>44096.66667</v>
      </c>
      <c r="J722" s="9">
        <f>IFERROR(__xludf.DUMMYFUNCTION("""COMPUTED_VALUE"""),1465.46)</f>
        <v>1465.46</v>
      </c>
      <c r="L722" s="11">
        <f>IFERROR(__xludf.DUMMYFUNCTION("""COMPUTED_VALUE"""),44096.66666666667)</f>
        <v>44096.66667</v>
      </c>
      <c r="M722" s="9">
        <f>IFERROR(__xludf.DUMMYFUNCTION("""COMPUTED_VALUE"""),112.68)</f>
        <v>112.68</v>
      </c>
      <c r="N722" s="11">
        <f>IFERROR(__xludf.DUMMYFUNCTION("""COMPUTED_VALUE"""),44096.66666666667)</f>
        <v>44096.66667</v>
      </c>
      <c r="O722" s="9">
        <f>IFERROR(__xludf.DUMMYFUNCTION("""COMPUTED_VALUE"""),111.81)</f>
        <v>111.81</v>
      </c>
      <c r="Q722" s="11">
        <f>IFERROR(__xludf.DUMMYFUNCTION("""COMPUTED_VALUE"""),44096.66666666667)</f>
        <v>44096.66667</v>
      </c>
      <c r="R722" s="9">
        <f>IFERROR(__xludf.DUMMYFUNCTION("""COMPUTED_VALUE"""),253.31)</f>
        <v>253.31</v>
      </c>
      <c r="S722" s="11">
        <f>IFERROR(__xludf.DUMMYFUNCTION("""COMPUTED_VALUE"""),44096.66666666667)</f>
        <v>44096.66667</v>
      </c>
      <c r="T722" s="9">
        <f>IFERROR(__xludf.DUMMYFUNCTION("""COMPUTED_VALUE"""),254.75)</f>
        <v>254.75</v>
      </c>
      <c r="V722" s="11">
        <f>IFERROR(__xludf.DUMMYFUNCTION("""COMPUTED_VALUE"""),44096.66666666667)</f>
        <v>44096.66667</v>
      </c>
      <c r="W722" s="9">
        <f>IFERROR(__xludf.DUMMYFUNCTION("""COMPUTED_VALUE"""),489.01)</f>
        <v>489.01</v>
      </c>
      <c r="X722" s="11">
        <f>IFERROR(__xludf.DUMMYFUNCTION("""COMPUTED_VALUE"""),44096.66666666667)</f>
        <v>44096.66667</v>
      </c>
      <c r="Y722" s="9">
        <f>IFERROR(__xludf.DUMMYFUNCTION("""COMPUTED_VALUE"""),491.17)</f>
        <v>491.17</v>
      </c>
      <c r="AA722" s="11">
        <f>IFERROR(__xludf.DUMMYFUNCTION("""COMPUTED_VALUE"""),44096.66666666667)</f>
        <v>44096.66667</v>
      </c>
      <c r="AB722" s="9">
        <f>IFERROR(__xludf.DUMMYFUNCTION("""COMPUTED_VALUE"""),3033.84)</f>
        <v>3033.84</v>
      </c>
      <c r="AC722" s="11">
        <f>IFERROR(__xludf.DUMMYFUNCTION("""COMPUTED_VALUE"""),44096.66666666667)</f>
        <v>44096.66667</v>
      </c>
      <c r="AD722" s="9">
        <f>IFERROR(__xludf.DUMMYFUNCTION("""COMPUTED_VALUE"""),3128.99)</f>
        <v>3128.99</v>
      </c>
    </row>
    <row r="723">
      <c r="B723" s="11">
        <f>IFERROR(__xludf.DUMMYFUNCTION("""COMPUTED_VALUE"""),44097.66666666667)</f>
        <v>44097.66667</v>
      </c>
      <c r="C723" s="9">
        <f>IFERROR(__xludf.DUMMYFUNCTION("""COMPUTED_VALUE"""),405.16)</f>
        <v>405.16</v>
      </c>
      <c r="D723" s="11">
        <f>IFERROR(__xludf.DUMMYFUNCTION("""COMPUTED_VALUE"""),44097.66666666667)</f>
        <v>44097.66667</v>
      </c>
      <c r="E723" s="9">
        <f>IFERROR(__xludf.DUMMYFUNCTION("""COMPUTED_VALUE"""),380.36)</f>
        <v>380.36</v>
      </c>
      <c r="G723" s="11">
        <f>IFERROR(__xludf.DUMMYFUNCTION("""COMPUTED_VALUE"""),44097.66666666667)</f>
        <v>44097.66667</v>
      </c>
      <c r="H723" s="9">
        <f>IFERROR(__xludf.DUMMYFUNCTION("""COMPUTED_VALUE"""),1458.78)</f>
        <v>1458.78</v>
      </c>
      <c r="I723" s="11">
        <f>IFERROR(__xludf.DUMMYFUNCTION("""COMPUTED_VALUE"""),44097.66666666667)</f>
        <v>44097.66667</v>
      </c>
      <c r="J723" s="9">
        <f>IFERROR(__xludf.DUMMYFUNCTION("""COMPUTED_VALUE"""),1415.21)</f>
        <v>1415.21</v>
      </c>
      <c r="L723" s="11">
        <f>IFERROR(__xludf.DUMMYFUNCTION("""COMPUTED_VALUE"""),44097.66666666667)</f>
        <v>44097.66667</v>
      </c>
      <c r="M723" s="9">
        <f>IFERROR(__xludf.DUMMYFUNCTION("""COMPUTED_VALUE"""),111.62)</f>
        <v>111.62</v>
      </c>
      <c r="N723" s="11">
        <f>IFERROR(__xludf.DUMMYFUNCTION("""COMPUTED_VALUE"""),44097.66666666667)</f>
        <v>44097.66667</v>
      </c>
      <c r="O723" s="9">
        <f>IFERROR(__xludf.DUMMYFUNCTION("""COMPUTED_VALUE"""),107.12)</f>
        <v>107.12</v>
      </c>
      <c r="Q723" s="11">
        <f>IFERROR(__xludf.DUMMYFUNCTION("""COMPUTED_VALUE"""),44097.66666666667)</f>
        <v>44097.66667</v>
      </c>
      <c r="R723" s="9">
        <f>IFERROR(__xludf.DUMMYFUNCTION("""COMPUTED_VALUE"""),255.26)</f>
        <v>255.26</v>
      </c>
      <c r="S723" s="11">
        <f>IFERROR(__xludf.DUMMYFUNCTION("""COMPUTED_VALUE"""),44097.66666666667)</f>
        <v>44097.66667</v>
      </c>
      <c r="T723" s="9">
        <f>IFERROR(__xludf.DUMMYFUNCTION("""COMPUTED_VALUE"""),249.02)</f>
        <v>249.02</v>
      </c>
      <c r="V723" s="11">
        <f>IFERROR(__xludf.DUMMYFUNCTION("""COMPUTED_VALUE"""),44097.66666666667)</f>
        <v>44097.66667</v>
      </c>
      <c r="W723" s="9">
        <f>IFERROR(__xludf.DUMMYFUNCTION("""COMPUTED_VALUE"""),491.04)</f>
        <v>491.04</v>
      </c>
      <c r="X723" s="11">
        <f>IFERROR(__xludf.DUMMYFUNCTION("""COMPUTED_VALUE"""),44097.66666666667)</f>
        <v>44097.66667</v>
      </c>
      <c r="Y723" s="9">
        <f>IFERROR(__xludf.DUMMYFUNCTION("""COMPUTED_VALUE"""),470.61)</f>
        <v>470.61</v>
      </c>
      <c r="AA723" s="11">
        <f>IFERROR(__xludf.DUMMYFUNCTION("""COMPUTED_VALUE"""),44097.66666666667)</f>
        <v>44097.66667</v>
      </c>
      <c r="AB723" s="9">
        <f>IFERROR(__xludf.DUMMYFUNCTION("""COMPUTED_VALUE"""),3120.43)</f>
        <v>3120.43</v>
      </c>
      <c r="AC723" s="11">
        <f>IFERROR(__xludf.DUMMYFUNCTION("""COMPUTED_VALUE"""),44097.66666666667)</f>
        <v>44097.66667</v>
      </c>
      <c r="AD723" s="9">
        <f>IFERROR(__xludf.DUMMYFUNCTION("""COMPUTED_VALUE"""),2999.86)</f>
        <v>2999.86</v>
      </c>
    </row>
    <row r="724">
      <c r="B724" s="11">
        <f>IFERROR(__xludf.DUMMYFUNCTION("""COMPUTED_VALUE"""),44098.66666666667)</f>
        <v>44098.66667</v>
      </c>
      <c r="C724" s="9">
        <f>IFERROR(__xludf.DUMMYFUNCTION("""COMPUTED_VALUE"""),363.8)</f>
        <v>363.8</v>
      </c>
      <c r="D724" s="11">
        <f>IFERROR(__xludf.DUMMYFUNCTION("""COMPUTED_VALUE"""),44098.66666666667)</f>
        <v>44098.66667</v>
      </c>
      <c r="E724" s="9">
        <f>IFERROR(__xludf.DUMMYFUNCTION("""COMPUTED_VALUE"""),387.79)</f>
        <v>387.79</v>
      </c>
      <c r="G724" s="11">
        <f>IFERROR(__xludf.DUMMYFUNCTION("""COMPUTED_VALUE"""),44098.66666666667)</f>
        <v>44098.66667</v>
      </c>
      <c r="H724" s="9">
        <f>IFERROR(__xludf.DUMMYFUNCTION("""COMPUTED_VALUE"""),1411.03)</f>
        <v>1411.03</v>
      </c>
      <c r="I724" s="11">
        <f>IFERROR(__xludf.DUMMYFUNCTION("""COMPUTED_VALUE"""),44098.66666666667)</f>
        <v>44098.66667</v>
      </c>
      <c r="J724" s="9">
        <f>IFERROR(__xludf.DUMMYFUNCTION("""COMPUTED_VALUE"""),1428.29)</f>
        <v>1428.29</v>
      </c>
      <c r="L724" s="11">
        <f>IFERROR(__xludf.DUMMYFUNCTION("""COMPUTED_VALUE"""),44098.66666666667)</f>
        <v>44098.66667</v>
      </c>
      <c r="M724" s="9">
        <f>IFERROR(__xludf.DUMMYFUNCTION("""COMPUTED_VALUE"""),105.17)</f>
        <v>105.17</v>
      </c>
      <c r="N724" s="11">
        <f>IFERROR(__xludf.DUMMYFUNCTION("""COMPUTED_VALUE"""),44098.66666666667)</f>
        <v>44098.66667</v>
      </c>
      <c r="O724" s="9">
        <f>IFERROR(__xludf.DUMMYFUNCTION("""COMPUTED_VALUE"""),108.22)</f>
        <v>108.22</v>
      </c>
      <c r="Q724" s="11">
        <f>IFERROR(__xludf.DUMMYFUNCTION("""COMPUTED_VALUE"""),44098.66666666667)</f>
        <v>44098.66667</v>
      </c>
      <c r="R724" s="9">
        <f>IFERROR(__xludf.DUMMYFUNCTION("""COMPUTED_VALUE"""),246.5)</f>
        <v>246.5</v>
      </c>
      <c r="S724" s="11">
        <f>IFERROR(__xludf.DUMMYFUNCTION("""COMPUTED_VALUE"""),44098.66666666667)</f>
        <v>44098.66667</v>
      </c>
      <c r="T724" s="9">
        <f>IFERROR(__xludf.DUMMYFUNCTION("""COMPUTED_VALUE"""),249.53)</f>
        <v>249.53</v>
      </c>
      <c r="V724" s="11">
        <f>IFERROR(__xludf.DUMMYFUNCTION("""COMPUTED_VALUE"""),44098.66666666667)</f>
        <v>44098.66667</v>
      </c>
      <c r="W724" s="9">
        <f>IFERROR(__xludf.DUMMYFUNCTION("""COMPUTED_VALUE"""),470.53)</f>
        <v>470.53</v>
      </c>
      <c r="X724" s="11">
        <f>IFERROR(__xludf.DUMMYFUNCTION("""COMPUTED_VALUE"""),44098.66666666667)</f>
        <v>44098.66667</v>
      </c>
      <c r="Y724" s="9">
        <f>IFERROR(__xludf.DUMMYFUNCTION("""COMPUTED_VALUE"""),473.08)</f>
        <v>473.08</v>
      </c>
      <c r="AA724" s="11">
        <f>IFERROR(__xludf.DUMMYFUNCTION("""COMPUTED_VALUE"""),44098.66666666667)</f>
        <v>44098.66667</v>
      </c>
      <c r="AB724" s="9">
        <f>IFERROR(__xludf.DUMMYFUNCTION("""COMPUTED_VALUE"""),2977.79)</f>
        <v>2977.79</v>
      </c>
      <c r="AC724" s="11">
        <f>IFERROR(__xludf.DUMMYFUNCTION("""COMPUTED_VALUE"""),44098.66666666667)</f>
        <v>44098.66667</v>
      </c>
      <c r="AD724" s="9">
        <f>IFERROR(__xludf.DUMMYFUNCTION("""COMPUTED_VALUE"""),3019.79)</f>
        <v>3019.79</v>
      </c>
    </row>
    <row r="725">
      <c r="B725" s="11">
        <f>IFERROR(__xludf.DUMMYFUNCTION("""COMPUTED_VALUE"""),44099.66666666667)</f>
        <v>44099.66667</v>
      </c>
      <c r="C725" s="9">
        <f>IFERROR(__xludf.DUMMYFUNCTION("""COMPUTED_VALUE"""),393.47)</f>
        <v>393.47</v>
      </c>
      <c r="D725" s="11">
        <f>IFERROR(__xludf.DUMMYFUNCTION("""COMPUTED_VALUE"""),44099.66666666667)</f>
        <v>44099.66667</v>
      </c>
      <c r="E725" s="9">
        <f>IFERROR(__xludf.DUMMYFUNCTION("""COMPUTED_VALUE"""),407.34)</f>
        <v>407.34</v>
      </c>
      <c r="G725" s="11">
        <f>IFERROR(__xludf.DUMMYFUNCTION("""COMPUTED_VALUE"""),44099.66666666667)</f>
        <v>44099.66667</v>
      </c>
      <c r="H725" s="9">
        <f>IFERROR(__xludf.DUMMYFUNCTION("""COMPUTED_VALUE"""),1432.63)</f>
        <v>1432.63</v>
      </c>
      <c r="I725" s="11">
        <f>IFERROR(__xludf.DUMMYFUNCTION("""COMPUTED_VALUE"""),44099.66666666667)</f>
        <v>44099.66667</v>
      </c>
      <c r="J725" s="9">
        <f>IFERROR(__xludf.DUMMYFUNCTION("""COMPUTED_VALUE"""),1444.96)</f>
        <v>1444.96</v>
      </c>
      <c r="L725" s="11">
        <f>IFERROR(__xludf.DUMMYFUNCTION("""COMPUTED_VALUE"""),44099.66666666667)</f>
        <v>44099.66667</v>
      </c>
      <c r="M725" s="9">
        <f>IFERROR(__xludf.DUMMYFUNCTION("""COMPUTED_VALUE"""),108.43)</f>
        <v>108.43</v>
      </c>
      <c r="N725" s="11">
        <f>IFERROR(__xludf.DUMMYFUNCTION("""COMPUTED_VALUE"""),44099.66666666667)</f>
        <v>44099.66667</v>
      </c>
      <c r="O725" s="9">
        <f>IFERROR(__xludf.DUMMYFUNCTION("""COMPUTED_VALUE"""),112.28)</f>
        <v>112.28</v>
      </c>
      <c r="Q725" s="11">
        <f>IFERROR(__xludf.DUMMYFUNCTION("""COMPUTED_VALUE"""),44099.66666666667)</f>
        <v>44099.66667</v>
      </c>
      <c r="R725" s="9">
        <f>IFERROR(__xludf.DUMMYFUNCTION("""COMPUTED_VALUE"""),249.4)</f>
        <v>249.4</v>
      </c>
      <c r="S725" s="11">
        <f>IFERROR(__xludf.DUMMYFUNCTION("""COMPUTED_VALUE"""),44099.66666666667)</f>
        <v>44099.66667</v>
      </c>
      <c r="T725" s="9">
        <f>IFERROR(__xludf.DUMMYFUNCTION("""COMPUTED_VALUE"""),254.82)</f>
        <v>254.82</v>
      </c>
      <c r="V725" s="11">
        <f>IFERROR(__xludf.DUMMYFUNCTION("""COMPUTED_VALUE"""),44099.66666666667)</f>
        <v>44099.66667</v>
      </c>
      <c r="W725" s="9">
        <f>IFERROR(__xludf.DUMMYFUNCTION("""COMPUTED_VALUE"""),474.39)</f>
        <v>474.39</v>
      </c>
      <c r="X725" s="11">
        <f>IFERROR(__xludf.DUMMYFUNCTION("""COMPUTED_VALUE"""),44099.66666666667)</f>
        <v>44099.66667</v>
      </c>
      <c r="Y725" s="9">
        <f>IFERROR(__xludf.DUMMYFUNCTION("""COMPUTED_VALUE"""),482.88)</f>
        <v>482.88</v>
      </c>
      <c r="AA725" s="11">
        <f>IFERROR(__xludf.DUMMYFUNCTION("""COMPUTED_VALUE"""),44099.66666666667)</f>
        <v>44099.66667</v>
      </c>
      <c r="AB725" s="9">
        <f>IFERROR(__xludf.DUMMYFUNCTION("""COMPUTED_VALUE"""),3054.86)</f>
        <v>3054.86</v>
      </c>
      <c r="AC725" s="11">
        <f>IFERROR(__xludf.DUMMYFUNCTION("""COMPUTED_VALUE"""),44099.66666666667)</f>
        <v>44099.66667</v>
      </c>
      <c r="AD725" s="9">
        <f>IFERROR(__xludf.DUMMYFUNCTION("""COMPUTED_VALUE"""),3095.13)</f>
        <v>3095.13</v>
      </c>
    </row>
    <row r="726">
      <c r="B726" s="11">
        <f>IFERROR(__xludf.DUMMYFUNCTION("""COMPUTED_VALUE"""),44102.66666666667)</f>
        <v>44102.66667</v>
      </c>
      <c r="C726" s="9">
        <f>IFERROR(__xludf.DUMMYFUNCTION("""COMPUTED_VALUE"""),424.62)</f>
        <v>424.62</v>
      </c>
      <c r="D726" s="11">
        <f>IFERROR(__xludf.DUMMYFUNCTION("""COMPUTED_VALUE"""),44102.66666666667)</f>
        <v>44102.66667</v>
      </c>
      <c r="E726" s="9">
        <f>IFERROR(__xludf.DUMMYFUNCTION("""COMPUTED_VALUE"""),421.2)</f>
        <v>421.2</v>
      </c>
      <c r="G726" s="11">
        <f>IFERROR(__xludf.DUMMYFUNCTION("""COMPUTED_VALUE"""),44102.66666666667)</f>
        <v>44102.66667</v>
      </c>
      <c r="H726" s="9">
        <f>IFERROR(__xludf.DUMMYFUNCTION("""COMPUTED_VALUE"""),1474.21)</f>
        <v>1474.21</v>
      </c>
      <c r="I726" s="11">
        <f>IFERROR(__xludf.DUMMYFUNCTION("""COMPUTED_VALUE"""),44102.66666666667)</f>
        <v>44102.66667</v>
      </c>
      <c r="J726" s="9">
        <f>IFERROR(__xludf.DUMMYFUNCTION("""COMPUTED_VALUE"""),1464.52)</f>
        <v>1464.52</v>
      </c>
      <c r="L726" s="11">
        <f>IFERROR(__xludf.DUMMYFUNCTION("""COMPUTED_VALUE"""),44102.66666666667)</f>
        <v>44102.66667</v>
      </c>
      <c r="M726" s="9">
        <f>IFERROR(__xludf.DUMMYFUNCTION("""COMPUTED_VALUE"""),115.01)</f>
        <v>115.01</v>
      </c>
      <c r="N726" s="11">
        <f>IFERROR(__xludf.DUMMYFUNCTION("""COMPUTED_VALUE"""),44102.66666666667)</f>
        <v>44102.66667</v>
      </c>
      <c r="O726" s="9">
        <f>IFERROR(__xludf.DUMMYFUNCTION("""COMPUTED_VALUE"""),114.96)</f>
        <v>114.96</v>
      </c>
      <c r="Q726" s="11">
        <f>IFERROR(__xludf.DUMMYFUNCTION("""COMPUTED_VALUE"""),44102.66666666667)</f>
        <v>44102.66667</v>
      </c>
      <c r="R726" s="9">
        <f>IFERROR(__xludf.DUMMYFUNCTION("""COMPUTED_VALUE"""),259.4)</f>
        <v>259.4</v>
      </c>
      <c r="S726" s="11">
        <f>IFERROR(__xludf.DUMMYFUNCTION("""COMPUTED_VALUE"""),44102.66666666667)</f>
        <v>44102.66667</v>
      </c>
      <c r="T726" s="9">
        <f>IFERROR(__xludf.DUMMYFUNCTION("""COMPUTED_VALUE"""),256.82)</f>
        <v>256.82</v>
      </c>
      <c r="V726" s="11">
        <f>IFERROR(__xludf.DUMMYFUNCTION("""COMPUTED_VALUE"""),44102.66666666667)</f>
        <v>44102.66667</v>
      </c>
      <c r="W726" s="9">
        <f>IFERROR(__xludf.DUMMYFUNCTION("""COMPUTED_VALUE"""),489.11)</f>
        <v>489.11</v>
      </c>
      <c r="X726" s="11">
        <f>IFERROR(__xludf.DUMMYFUNCTION("""COMPUTED_VALUE"""),44102.66666666667)</f>
        <v>44102.66667</v>
      </c>
      <c r="Y726" s="9">
        <f>IFERROR(__xludf.DUMMYFUNCTION("""COMPUTED_VALUE"""),490.65)</f>
        <v>490.65</v>
      </c>
      <c r="AA726" s="11">
        <f>IFERROR(__xludf.DUMMYFUNCTION("""COMPUTED_VALUE"""),44102.66666666667)</f>
        <v>44102.66667</v>
      </c>
      <c r="AB726" s="9">
        <f>IFERROR(__xludf.DUMMYFUNCTION("""COMPUTED_VALUE"""),3148.85)</f>
        <v>3148.85</v>
      </c>
      <c r="AC726" s="11">
        <f>IFERROR(__xludf.DUMMYFUNCTION("""COMPUTED_VALUE"""),44102.66666666667)</f>
        <v>44102.66667</v>
      </c>
      <c r="AD726" s="9">
        <f>IFERROR(__xludf.DUMMYFUNCTION("""COMPUTED_VALUE"""),3174.05)</f>
        <v>3174.05</v>
      </c>
    </row>
    <row r="727">
      <c r="B727" s="11">
        <f>IFERROR(__xludf.DUMMYFUNCTION("""COMPUTED_VALUE"""),44103.66666666667)</f>
        <v>44103.66667</v>
      </c>
      <c r="C727" s="9">
        <f>IFERROR(__xludf.DUMMYFUNCTION("""COMPUTED_VALUE"""),416.0)</f>
        <v>416</v>
      </c>
      <c r="D727" s="11">
        <f>IFERROR(__xludf.DUMMYFUNCTION("""COMPUTED_VALUE"""),44103.66666666667)</f>
        <v>44103.66667</v>
      </c>
      <c r="E727" s="9">
        <f>IFERROR(__xludf.DUMMYFUNCTION("""COMPUTED_VALUE"""),419.07)</f>
        <v>419.07</v>
      </c>
      <c r="G727" s="11">
        <f>IFERROR(__xludf.DUMMYFUNCTION("""COMPUTED_VALUE"""),44103.66666666667)</f>
        <v>44103.66667</v>
      </c>
      <c r="H727" s="9">
        <f>IFERROR(__xludf.DUMMYFUNCTION("""COMPUTED_VALUE"""),1470.39)</f>
        <v>1470.39</v>
      </c>
      <c r="I727" s="11">
        <f>IFERROR(__xludf.DUMMYFUNCTION("""COMPUTED_VALUE"""),44103.66666666667)</f>
        <v>44103.66667</v>
      </c>
      <c r="J727" s="9">
        <f>IFERROR(__xludf.DUMMYFUNCTION("""COMPUTED_VALUE"""),1469.33)</f>
        <v>1469.33</v>
      </c>
      <c r="L727" s="11">
        <f>IFERROR(__xludf.DUMMYFUNCTION("""COMPUTED_VALUE"""),44103.66666666667)</f>
        <v>44103.66667</v>
      </c>
      <c r="M727" s="9">
        <f>IFERROR(__xludf.DUMMYFUNCTION("""COMPUTED_VALUE"""),114.55)</f>
        <v>114.55</v>
      </c>
      <c r="N727" s="11">
        <f>IFERROR(__xludf.DUMMYFUNCTION("""COMPUTED_VALUE"""),44103.66666666667)</f>
        <v>44103.66667</v>
      </c>
      <c r="O727" s="9">
        <f>IFERROR(__xludf.DUMMYFUNCTION("""COMPUTED_VALUE"""),114.09)</f>
        <v>114.09</v>
      </c>
      <c r="Q727" s="11">
        <f>IFERROR(__xludf.DUMMYFUNCTION("""COMPUTED_VALUE"""),44103.66666666667)</f>
        <v>44103.66667</v>
      </c>
      <c r="R727" s="9">
        <f>IFERROR(__xludf.DUMMYFUNCTION("""COMPUTED_VALUE"""),257.81)</f>
        <v>257.81</v>
      </c>
      <c r="S727" s="11">
        <f>IFERROR(__xludf.DUMMYFUNCTION("""COMPUTED_VALUE"""),44103.66666666667)</f>
        <v>44103.66667</v>
      </c>
      <c r="T727" s="9">
        <f>IFERROR(__xludf.DUMMYFUNCTION("""COMPUTED_VALUE"""),261.79)</f>
        <v>261.79</v>
      </c>
      <c r="V727" s="11">
        <f>IFERROR(__xludf.DUMMYFUNCTION("""COMPUTED_VALUE"""),44103.66666666667)</f>
        <v>44103.66667</v>
      </c>
      <c r="W727" s="9">
        <f>IFERROR(__xludf.DUMMYFUNCTION("""COMPUTED_VALUE"""),489.5)</f>
        <v>489.5</v>
      </c>
      <c r="X727" s="11">
        <f>IFERROR(__xludf.DUMMYFUNCTION("""COMPUTED_VALUE"""),44103.66666666667)</f>
        <v>44103.66667</v>
      </c>
      <c r="Y727" s="9">
        <f>IFERROR(__xludf.DUMMYFUNCTION("""COMPUTED_VALUE"""),493.48)</f>
        <v>493.48</v>
      </c>
      <c r="AA727" s="11">
        <f>IFERROR(__xludf.DUMMYFUNCTION("""COMPUTED_VALUE"""),44103.66666666667)</f>
        <v>44103.66667</v>
      </c>
      <c r="AB727" s="9">
        <f>IFERROR(__xludf.DUMMYFUNCTION("""COMPUTED_VALUE"""),3175.39)</f>
        <v>3175.39</v>
      </c>
      <c r="AC727" s="11">
        <f>IFERROR(__xludf.DUMMYFUNCTION("""COMPUTED_VALUE"""),44103.66666666667)</f>
        <v>44103.66667</v>
      </c>
      <c r="AD727" s="9">
        <f>IFERROR(__xludf.DUMMYFUNCTION("""COMPUTED_VALUE"""),3144.88)</f>
        <v>3144.88</v>
      </c>
    </row>
    <row r="728">
      <c r="B728" s="11">
        <f>IFERROR(__xludf.DUMMYFUNCTION("""COMPUTED_VALUE"""),44104.66666666667)</f>
        <v>44104.66667</v>
      </c>
      <c r="C728" s="9">
        <f>IFERROR(__xludf.DUMMYFUNCTION("""COMPUTED_VALUE"""),421.32)</f>
        <v>421.32</v>
      </c>
      <c r="D728" s="11">
        <f>IFERROR(__xludf.DUMMYFUNCTION("""COMPUTED_VALUE"""),44104.66666666667)</f>
        <v>44104.66667</v>
      </c>
      <c r="E728" s="9">
        <f>IFERROR(__xludf.DUMMYFUNCTION("""COMPUTED_VALUE"""),429.01)</f>
        <v>429.01</v>
      </c>
      <c r="G728" s="11">
        <f>IFERROR(__xludf.DUMMYFUNCTION("""COMPUTED_VALUE"""),44104.66666666667)</f>
        <v>44104.66667</v>
      </c>
      <c r="H728" s="9">
        <f>IFERROR(__xludf.DUMMYFUNCTION("""COMPUTED_VALUE"""),1466.8)</f>
        <v>1466.8</v>
      </c>
      <c r="I728" s="11">
        <f>IFERROR(__xludf.DUMMYFUNCTION("""COMPUTED_VALUE"""),44104.66666666667)</f>
        <v>44104.66667</v>
      </c>
      <c r="J728" s="9">
        <f>IFERROR(__xludf.DUMMYFUNCTION("""COMPUTED_VALUE"""),1469.6)</f>
        <v>1469.6</v>
      </c>
      <c r="L728" s="11">
        <f>IFERROR(__xludf.DUMMYFUNCTION("""COMPUTED_VALUE"""),44104.66666666667)</f>
        <v>44104.66667</v>
      </c>
      <c r="M728" s="9">
        <f>IFERROR(__xludf.DUMMYFUNCTION("""COMPUTED_VALUE"""),113.79)</f>
        <v>113.79</v>
      </c>
      <c r="N728" s="11">
        <f>IFERROR(__xludf.DUMMYFUNCTION("""COMPUTED_VALUE"""),44104.66666666667)</f>
        <v>44104.66667</v>
      </c>
      <c r="O728" s="9">
        <f>IFERROR(__xludf.DUMMYFUNCTION("""COMPUTED_VALUE"""),115.81)</f>
        <v>115.81</v>
      </c>
      <c r="Q728" s="11">
        <f>IFERROR(__xludf.DUMMYFUNCTION("""COMPUTED_VALUE"""),44104.66666666667)</f>
        <v>44104.66667</v>
      </c>
      <c r="R728" s="9">
        <f>IFERROR(__xludf.DUMMYFUNCTION("""COMPUTED_VALUE"""),261.98)</f>
        <v>261.98</v>
      </c>
      <c r="S728" s="11">
        <f>IFERROR(__xludf.DUMMYFUNCTION("""COMPUTED_VALUE"""),44104.66666666667)</f>
        <v>44104.66667</v>
      </c>
      <c r="T728" s="9">
        <f>IFERROR(__xludf.DUMMYFUNCTION("""COMPUTED_VALUE"""),261.9)</f>
        <v>261.9</v>
      </c>
      <c r="V728" s="11">
        <f>IFERROR(__xludf.DUMMYFUNCTION("""COMPUTED_VALUE"""),44104.66666666667)</f>
        <v>44104.66667</v>
      </c>
      <c r="W728" s="9">
        <f>IFERROR(__xludf.DUMMYFUNCTION("""COMPUTED_VALUE"""),492.57)</f>
        <v>492.57</v>
      </c>
      <c r="X728" s="11">
        <f>IFERROR(__xludf.DUMMYFUNCTION("""COMPUTED_VALUE"""),44104.66666666667)</f>
        <v>44104.66667</v>
      </c>
      <c r="Y728" s="9">
        <f>IFERROR(__xludf.DUMMYFUNCTION("""COMPUTED_VALUE"""),500.03)</f>
        <v>500.03</v>
      </c>
      <c r="AA728" s="11">
        <f>IFERROR(__xludf.DUMMYFUNCTION("""COMPUTED_VALUE"""),44104.66666666667)</f>
        <v>44104.66667</v>
      </c>
      <c r="AB728" s="9">
        <f>IFERROR(__xludf.DUMMYFUNCTION("""COMPUTED_VALUE"""),3141.14)</f>
        <v>3141.14</v>
      </c>
      <c r="AC728" s="11">
        <f>IFERROR(__xludf.DUMMYFUNCTION("""COMPUTED_VALUE"""),44104.66666666667)</f>
        <v>44104.66667</v>
      </c>
      <c r="AD728" s="9">
        <f>IFERROR(__xludf.DUMMYFUNCTION("""COMPUTED_VALUE"""),3148.73)</f>
        <v>3148.73</v>
      </c>
    </row>
    <row r="729">
      <c r="B729" s="11">
        <f>IFERROR(__xludf.DUMMYFUNCTION("""COMPUTED_VALUE"""),44105.66666666667)</f>
        <v>44105.66667</v>
      </c>
      <c r="C729" s="9">
        <f>IFERROR(__xludf.DUMMYFUNCTION("""COMPUTED_VALUE"""),440.76)</f>
        <v>440.76</v>
      </c>
      <c r="D729" s="11">
        <f>IFERROR(__xludf.DUMMYFUNCTION("""COMPUTED_VALUE"""),44105.66666666667)</f>
        <v>44105.66667</v>
      </c>
      <c r="E729" s="9">
        <f>IFERROR(__xludf.DUMMYFUNCTION("""COMPUTED_VALUE"""),448.16)</f>
        <v>448.16</v>
      </c>
      <c r="G729" s="11">
        <f>IFERROR(__xludf.DUMMYFUNCTION("""COMPUTED_VALUE"""),44105.66666666667)</f>
        <v>44105.66667</v>
      </c>
      <c r="H729" s="9">
        <f>IFERROR(__xludf.DUMMYFUNCTION("""COMPUTED_VALUE"""),1484.27)</f>
        <v>1484.27</v>
      </c>
      <c r="I729" s="11">
        <f>IFERROR(__xludf.DUMMYFUNCTION("""COMPUTED_VALUE"""),44105.66666666667)</f>
        <v>44105.66667</v>
      </c>
      <c r="J729" s="9">
        <f>IFERROR(__xludf.DUMMYFUNCTION("""COMPUTED_VALUE"""),1490.09)</f>
        <v>1490.09</v>
      </c>
      <c r="L729" s="11">
        <f>IFERROR(__xludf.DUMMYFUNCTION("""COMPUTED_VALUE"""),44105.66666666667)</f>
        <v>44105.66667</v>
      </c>
      <c r="M729" s="9">
        <f>IFERROR(__xludf.DUMMYFUNCTION("""COMPUTED_VALUE"""),117.64)</f>
        <v>117.64</v>
      </c>
      <c r="N729" s="11">
        <f>IFERROR(__xludf.DUMMYFUNCTION("""COMPUTED_VALUE"""),44105.66666666667)</f>
        <v>44105.66667</v>
      </c>
      <c r="O729" s="9">
        <f>IFERROR(__xludf.DUMMYFUNCTION("""COMPUTED_VALUE"""),116.79)</f>
        <v>116.79</v>
      </c>
      <c r="Q729" s="11">
        <f>IFERROR(__xludf.DUMMYFUNCTION("""COMPUTED_VALUE"""),44105.66666666667)</f>
        <v>44105.66667</v>
      </c>
      <c r="R729" s="9">
        <f>IFERROR(__xludf.DUMMYFUNCTION("""COMPUTED_VALUE"""),265.35)</f>
        <v>265.35</v>
      </c>
      <c r="S729" s="11">
        <f>IFERROR(__xludf.DUMMYFUNCTION("""COMPUTED_VALUE"""),44105.66666666667)</f>
        <v>44105.66667</v>
      </c>
      <c r="T729" s="9">
        <f>IFERROR(__xludf.DUMMYFUNCTION("""COMPUTED_VALUE"""),266.63)</f>
        <v>266.63</v>
      </c>
      <c r="V729" s="11">
        <f>IFERROR(__xludf.DUMMYFUNCTION("""COMPUTED_VALUE"""),44105.66666666667)</f>
        <v>44105.66667</v>
      </c>
      <c r="W729" s="9">
        <f>IFERROR(__xludf.DUMMYFUNCTION("""COMPUTED_VALUE"""),506.03)</f>
        <v>506.03</v>
      </c>
      <c r="X729" s="11">
        <f>IFERROR(__xludf.DUMMYFUNCTION("""COMPUTED_VALUE"""),44105.66666666667)</f>
        <v>44105.66667</v>
      </c>
      <c r="Y729" s="9">
        <f>IFERROR(__xludf.DUMMYFUNCTION("""COMPUTED_VALUE"""),527.51)</f>
        <v>527.51</v>
      </c>
      <c r="AA729" s="11">
        <f>IFERROR(__xludf.DUMMYFUNCTION("""COMPUTED_VALUE"""),44105.66666666667)</f>
        <v>44105.66667</v>
      </c>
      <c r="AB729" s="9">
        <f>IFERROR(__xludf.DUMMYFUNCTION("""COMPUTED_VALUE"""),3208.0)</f>
        <v>3208</v>
      </c>
      <c r="AC729" s="11">
        <f>IFERROR(__xludf.DUMMYFUNCTION("""COMPUTED_VALUE"""),44105.66666666667)</f>
        <v>44105.66667</v>
      </c>
      <c r="AD729" s="9">
        <f>IFERROR(__xludf.DUMMYFUNCTION("""COMPUTED_VALUE"""),3221.26)</f>
        <v>3221.26</v>
      </c>
    </row>
    <row r="730">
      <c r="B730" s="11">
        <f>IFERROR(__xludf.DUMMYFUNCTION("""COMPUTED_VALUE"""),44106.66666666667)</f>
        <v>44106.66667</v>
      </c>
      <c r="C730" s="9">
        <f>IFERROR(__xludf.DUMMYFUNCTION("""COMPUTED_VALUE"""),421.39)</f>
        <v>421.39</v>
      </c>
      <c r="D730" s="11">
        <f>IFERROR(__xludf.DUMMYFUNCTION("""COMPUTED_VALUE"""),44106.66666666667)</f>
        <v>44106.66667</v>
      </c>
      <c r="E730" s="9">
        <f>IFERROR(__xludf.DUMMYFUNCTION("""COMPUTED_VALUE"""),415.09)</f>
        <v>415.09</v>
      </c>
      <c r="G730" s="11">
        <f>IFERROR(__xludf.DUMMYFUNCTION("""COMPUTED_VALUE"""),44106.66666666667)</f>
        <v>44106.66667</v>
      </c>
      <c r="H730" s="9">
        <f>IFERROR(__xludf.DUMMYFUNCTION("""COMPUTED_VALUE"""),1462.03)</f>
        <v>1462.03</v>
      </c>
      <c r="I730" s="11">
        <f>IFERROR(__xludf.DUMMYFUNCTION("""COMPUTED_VALUE"""),44106.66666666667)</f>
        <v>44106.66667</v>
      </c>
      <c r="J730" s="9">
        <f>IFERROR(__xludf.DUMMYFUNCTION("""COMPUTED_VALUE"""),1458.42)</f>
        <v>1458.42</v>
      </c>
      <c r="L730" s="11">
        <f>IFERROR(__xludf.DUMMYFUNCTION("""COMPUTED_VALUE"""),44106.66666666667)</f>
        <v>44106.66667</v>
      </c>
      <c r="M730" s="9">
        <f>IFERROR(__xludf.DUMMYFUNCTION("""COMPUTED_VALUE"""),112.89)</f>
        <v>112.89</v>
      </c>
      <c r="N730" s="11">
        <f>IFERROR(__xludf.DUMMYFUNCTION("""COMPUTED_VALUE"""),44106.66666666667)</f>
        <v>44106.66667</v>
      </c>
      <c r="O730" s="9">
        <f>IFERROR(__xludf.DUMMYFUNCTION("""COMPUTED_VALUE"""),113.02)</f>
        <v>113.02</v>
      </c>
      <c r="Q730" s="11">
        <f>IFERROR(__xludf.DUMMYFUNCTION("""COMPUTED_VALUE"""),44106.66666666667)</f>
        <v>44106.66667</v>
      </c>
      <c r="R730" s="9">
        <f>IFERROR(__xludf.DUMMYFUNCTION("""COMPUTED_VALUE"""),261.21)</f>
        <v>261.21</v>
      </c>
      <c r="S730" s="11">
        <f>IFERROR(__xludf.DUMMYFUNCTION("""COMPUTED_VALUE"""),44106.66666666667)</f>
        <v>44106.66667</v>
      </c>
      <c r="T730" s="9">
        <f>IFERROR(__xludf.DUMMYFUNCTION("""COMPUTED_VALUE"""),259.94)</f>
        <v>259.94</v>
      </c>
      <c r="V730" s="11">
        <f>IFERROR(__xludf.DUMMYFUNCTION("""COMPUTED_VALUE"""),44106.66666666667)</f>
        <v>44106.66667</v>
      </c>
      <c r="W730" s="9">
        <f>IFERROR(__xludf.DUMMYFUNCTION("""COMPUTED_VALUE"""),516.43)</f>
        <v>516.43</v>
      </c>
      <c r="X730" s="11">
        <f>IFERROR(__xludf.DUMMYFUNCTION("""COMPUTED_VALUE"""),44106.66666666667)</f>
        <v>44106.66667</v>
      </c>
      <c r="Y730" s="9">
        <f>IFERROR(__xludf.DUMMYFUNCTION("""COMPUTED_VALUE"""),503.06)</f>
        <v>503.06</v>
      </c>
      <c r="AA730" s="11">
        <f>IFERROR(__xludf.DUMMYFUNCTION("""COMPUTED_VALUE"""),44106.66666666667)</f>
        <v>44106.66667</v>
      </c>
      <c r="AB730" s="9">
        <f>IFERROR(__xludf.DUMMYFUNCTION("""COMPUTED_VALUE"""),3153.63)</f>
        <v>3153.63</v>
      </c>
      <c r="AC730" s="11">
        <f>IFERROR(__xludf.DUMMYFUNCTION("""COMPUTED_VALUE"""),44106.66666666667)</f>
        <v>44106.66667</v>
      </c>
      <c r="AD730" s="9">
        <f>IFERROR(__xludf.DUMMYFUNCTION("""COMPUTED_VALUE"""),3125.0)</f>
        <v>3125</v>
      </c>
    </row>
    <row r="731">
      <c r="B731" s="11">
        <f>IFERROR(__xludf.DUMMYFUNCTION("""COMPUTED_VALUE"""),44109.66666666667)</f>
        <v>44109.66667</v>
      </c>
      <c r="C731" s="9">
        <f>IFERROR(__xludf.DUMMYFUNCTION("""COMPUTED_VALUE"""),423.35)</f>
        <v>423.35</v>
      </c>
      <c r="D731" s="11">
        <f>IFERROR(__xludf.DUMMYFUNCTION("""COMPUTED_VALUE"""),44109.66666666667)</f>
        <v>44109.66667</v>
      </c>
      <c r="E731" s="9">
        <f>IFERROR(__xludf.DUMMYFUNCTION("""COMPUTED_VALUE"""),425.68)</f>
        <v>425.68</v>
      </c>
      <c r="G731" s="11">
        <f>IFERROR(__xludf.DUMMYFUNCTION("""COMPUTED_VALUE"""),44109.66666666667)</f>
        <v>44109.66667</v>
      </c>
      <c r="H731" s="9">
        <f>IFERROR(__xludf.DUMMYFUNCTION("""COMPUTED_VALUE"""),1466.21)</f>
        <v>1466.21</v>
      </c>
      <c r="I731" s="11">
        <f>IFERROR(__xludf.DUMMYFUNCTION("""COMPUTED_VALUE"""),44109.66666666667)</f>
        <v>44109.66667</v>
      </c>
      <c r="J731" s="9">
        <f>IFERROR(__xludf.DUMMYFUNCTION("""COMPUTED_VALUE"""),1486.02)</f>
        <v>1486.02</v>
      </c>
      <c r="L731" s="11">
        <f>IFERROR(__xludf.DUMMYFUNCTION("""COMPUTED_VALUE"""),44109.66666666667)</f>
        <v>44109.66667</v>
      </c>
      <c r="M731" s="9">
        <f>IFERROR(__xludf.DUMMYFUNCTION("""COMPUTED_VALUE"""),113.91)</f>
        <v>113.91</v>
      </c>
      <c r="N731" s="11">
        <f>IFERROR(__xludf.DUMMYFUNCTION("""COMPUTED_VALUE"""),44109.66666666667)</f>
        <v>44109.66667</v>
      </c>
      <c r="O731" s="9">
        <f>IFERROR(__xludf.DUMMYFUNCTION("""COMPUTED_VALUE"""),116.5)</f>
        <v>116.5</v>
      </c>
      <c r="Q731" s="11">
        <f>IFERROR(__xludf.DUMMYFUNCTION("""COMPUTED_VALUE"""),44109.66666666667)</f>
        <v>44109.66667</v>
      </c>
      <c r="R731" s="9">
        <f>IFERROR(__xludf.DUMMYFUNCTION("""COMPUTED_VALUE"""),262.2)</f>
        <v>262.2</v>
      </c>
      <c r="S731" s="11">
        <f>IFERROR(__xludf.DUMMYFUNCTION("""COMPUTED_VALUE"""),44109.66666666667)</f>
        <v>44109.66667</v>
      </c>
      <c r="T731" s="9">
        <f>IFERROR(__xludf.DUMMYFUNCTION("""COMPUTED_VALUE"""),264.65)</f>
        <v>264.65</v>
      </c>
      <c r="V731" s="11">
        <f>IFERROR(__xludf.DUMMYFUNCTION("""COMPUTED_VALUE"""),44109.66666666667)</f>
        <v>44109.66667</v>
      </c>
      <c r="W731" s="9">
        <f>IFERROR(__xludf.DUMMYFUNCTION("""COMPUTED_VALUE"""),506.8)</f>
        <v>506.8</v>
      </c>
      <c r="X731" s="11">
        <f>IFERROR(__xludf.DUMMYFUNCTION("""COMPUTED_VALUE"""),44109.66666666667)</f>
        <v>44109.66667</v>
      </c>
      <c r="Y731" s="9">
        <f>IFERROR(__xludf.DUMMYFUNCTION("""COMPUTED_VALUE"""),520.65)</f>
        <v>520.65</v>
      </c>
      <c r="AA731" s="11">
        <f>IFERROR(__xludf.DUMMYFUNCTION("""COMPUTED_VALUE"""),44109.66666666667)</f>
        <v>44109.66667</v>
      </c>
      <c r="AB731" s="9">
        <f>IFERROR(__xludf.DUMMYFUNCTION("""COMPUTED_VALUE"""),3145.84)</f>
        <v>3145.84</v>
      </c>
      <c r="AC731" s="11">
        <f>IFERROR(__xludf.DUMMYFUNCTION("""COMPUTED_VALUE"""),44109.66666666667)</f>
        <v>44109.66667</v>
      </c>
      <c r="AD731" s="9">
        <f>IFERROR(__xludf.DUMMYFUNCTION("""COMPUTED_VALUE"""),3199.2)</f>
        <v>3199.2</v>
      </c>
    </row>
    <row r="732">
      <c r="B732" s="11">
        <f>IFERROR(__xludf.DUMMYFUNCTION("""COMPUTED_VALUE"""),44110.66666666667)</f>
        <v>44110.66667</v>
      </c>
      <c r="C732" s="9">
        <f>IFERROR(__xludf.DUMMYFUNCTION("""COMPUTED_VALUE"""),423.79)</f>
        <v>423.79</v>
      </c>
      <c r="D732" s="11">
        <f>IFERROR(__xludf.DUMMYFUNCTION("""COMPUTED_VALUE"""),44110.66666666667)</f>
        <v>44110.66667</v>
      </c>
      <c r="E732" s="9">
        <f>IFERROR(__xludf.DUMMYFUNCTION("""COMPUTED_VALUE"""),413.98)</f>
        <v>413.98</v>
      </c>
      <c r="G732" s="11">
        <f>IFERROR(__xludf.DUMMYFUNCTION("""COMPUTED_VALUE"""),44110.66666666667)</f>
        <v>44110.66667</v>
      </c>
      <c r="H732" s="9">
        <f>IFERROR(__xludf.DUMMYFUNCTION("""COMPUTED_VALUE"""),1475.58)</f>
        <v>1475.58</v>
      </c>
      <c r="I732" s="11">
        <f>IFERROR(__xludf.DUMMYFUNCTION("""COMPUTED_VALUE"""),44110.66666666667)</f>
        <v>44110.66667</v>
      </c>
      <c r="J732" s="9">
        <f>IFERROR(__xludf.DUMMYFUNCTION("""COMPUTED_VALUE"""),1453.44)</f>
        <v>1453.44</v>
      </c>
      <c r="L732" s="11">
        <f>IFERROR(__xludf.DUMMYFUNCTION("""COMPUTED_VALUE"""),44110.66666666667)</f>
        <v>44110.66667</v>
      </c>
      <c r="M732" s="9">
        <f>IFERROR(__xludf.DUMMYFUNCTION("""COMPUTED_VALUE"""),115.7)</f>
        <v>115.7</v>
      </c>
      <c r="N732" s="11">
        <f>IFERROR(__xludf.DUMMYFUNCTION("""COMPUTED_VALUE"""),44110.66666666667)</f>
        <v>44110.66667</v>
      </c>
      <c r="O732" s="9">
        <f>IFERROR(__xludf.DUMMYFUNCTION("""COMPUTED_VALUE"""),113.16)</f>
        <v>113.16</v>
      </c>
      <c r="Q732" s="11">
        <f>IFERROR(__xludf.DUMMYFUNCTION("""COMPUTED_VALUE"""),44110.66666666667)</f>
        <v>44110.66667</v>
      </c>
      <c r="R732" s="9">
        <f>IFERROR(__xludf.DUMMYFUNCTION("""COMPUTED_VALUE"""),261.78)</f>
        <v>261.78</v>
      </c>
      <c r="S732" s="11">
        <f>IFERROR(__xludf.DUMMYFUNCTION("""COMPUTED_VALUE"""),44110.66666666667)</f>
        <v>44110.66667</v>
      </c>
      <c r="T732" s="9">
        <f>IFERROR(__xludf.DUMMYFUNCTION("""COMPUTED_VALUE"""),258.66)</f>
        <v>258.66</v>
      </c>
      <c r="V732" s="11">
        <f>IFERROR(__xludf.DUMMYFUNCTION("""COMPUTED_VALUE"""),44110.66666666667)</f>
        <v>44110.66667</v>
      </c>
      <c r="W732" s="9">
        <f>IFERROR(__xludf.DUMMYFUNCTION("""COMPUTED_VALUE"""),518.72)</f>
        <v>518.72</v>
      </c>
      <c r="X732" s="11">
        <f>IFERROR(__xludf.DUMMYFUNCTION("""COMPUTED_VALUE"""),44110.66666666667)</f>
        <v>44110.66667</v>
      </c>
      <c r="Y732" s="9">
        <f>IFERROR(__xludf.DUMMYFUNCTION("""COMPUTED_VALUE"""),505.87)</f>
        <v>505.87</v>
      </c>
      <c r="AA732" s="11">
        <f>IFERROR(__xludf.DUMMYFUNCTION("""COMPUTED_VALUE"""),44110.66666666667)</f>
        <v>44110.66667</v>
      </c>
      <c r="AB732" s="9">
        <f>IFERROR(__xludf.DUMMYFUNCTION("""COMPUTED_VALUE"""),3165.0)</f>
        <v>3165</v>
      </c>
      <c r="AC732" s="11">
        <f>IFERROR(__xludf.DUMMYFUNCTION("""COMPUTED_VALUE"""),44110.66666666667)</f>
        <v>44110.66667</v>
      </c>
      <c r="AD732" s="9">
        <f>IFERROR(__xludf.DUMMYFUNCTION("""COMPUTED_VALUE"""),3099.96)</f>
        <v>3099.96</v>
      </c>
    </row>
    <row r="733">
      <c r="B733" s="11">
        <f>IFERROR(__xludf.DUMMYFUNCTION("""COMPUTED_VALUE"""),44111.66666666667)</f>
        <v>44111.66667</v>
      </c>
      <c r="C733" s="9">
        <f>IFERROR(__xludf.DUMMYFUNCTION("""COMPUTED_VALUE"""),419.87)</f>
        <v>419.87</v>
      </c>
      <c r="D733" s="11">
        <f>IFERROR(__xludf.DUMMYFUNCTION("""COMPUTED_VALUE"""),44111.66666666667)</f>
        <v>44111.66667</v>
      </c>
      <c r="E733" s="9">
        <f>IFERROR(__xludf.DUMMYFUNCTION("""COMPUTED_VALUE"""),425.3)</f>
        <v>425.3</v>
      </c>
      <c r="G733" s="11">
        <f>IFERROR(__xludf.DUMMYFUNCTION("""COMPUTED_VALUE"""),44111.66666666667)</f>
        <v>44111.66667</v>
      </c>
      <c r="H733" s="9">
        <f>IFERROR(__xludf.DUMMYFUNCTION("""COMPUTED_VALUE"""),1464.29)</f>
        <v>1464.29</v>
      </c>
      <c r="I733" s="11">
        <f>IFERROR(__xludf.DUMMYFUNCTION("""COMPUTED_VALUE"""),44111.66666666667)</f>
        <v>44111.66667</v>
      </c>
      <c r="J733" s="9">
        <f>IFERROR(__xludf.DUMMYFUNCTION("""COMPUTED_VALUE"""),1460.29)</f>
        <v>1460.29</v>
      </c>
      <c r="L733" s="11">
        <f>IFERROR(__xludf.DUMMYFUNCTION("""COMPUTED_VALUE"""),44111.66666666667)</f>
        <v>44111.66667</v>
      </c>
      <c r="M733" s="9">
        <f>IFERROR(__xludf.DUMMYFUNCTION("""COMPUTED_VALUE"""),114.62)</f>
        <v>114.62</v>
      </c>
      <c r="N733" s="11">
        <f>IFERROR(__xludf.DUMMYFUNCTION("""COMPUTED_VALUE"""),44111.66666666667)</f>
        <v>44111.66667</v>
      </c>
      <c r="O733" s="9">
        <f>IFERROR(__xludf.DUMMYFUNCTION("""COMPUTED_VALUE"""),115.08)</f>
        <v>115.08</v>
      </c>
      <c r="Q733" s="11">
        <f>IFERROR(__xludf.DUMMYFUNCTION("""COMPUTED_VALUE"""),44111.66666666667)</f>
        <v>44111.66667</v>
      </c>
      <c r="R733" s="9">
        <f>IFERROR(__xludf.DUMMYFUNCTION("""COMPUTED_VALUE"""),259.21)</f>
        <v>259.21</v>
      </c>
      <c r="S733" s="11">
        <f>IFERROR(__xludf.DUMMYFUNCTION("""COMPUTED_VALUE"""),44111.66666666667)</f>
        <v>44111.66667</v>
      </c>
      <c r="T733" s="9">
        <f>IFERROR(__xludf.DUMMYFUNCTION("""COMPUTED_VALUE"""),258.12)</f>
        <v>258.12</v>
      </c>
      <c r="V733" s="11">
        <f>IFERROR(__xludf.DUMMYFUNCTION("""COMPUTED_VALUE"""),44111.66666666667)</f>
        <v>44111.66667</v>
      </c>
      <c r="W733" s="9">
        <f>IFERROR(__xludf.DUMMYFUNCTION("""COMPUTED_VALUE"""),518.0)</f>
        <v>518</v>
      </c>
      <c r="X733" s="11">
        <f>IFERROR(__xludf.DUMMYFUNCTION("""COMPUTED_VALUE"""),44111.66666666667)</f>
        <v>44111.66667</v>
      </c>
      <c r="Y733" s="9">
        <f>IFERROR(__xludf.DUMMYFUNCTION("""COMPUTED_VALUE"""),534.66)</f>
        <v>534.66</v>
      </c>
      <c r="AA733" s="11">
        <f>IFERROR(__xludf.DUMMYFUNCTION("""COMPUTED_VALUE"""),44111.66666666667)</f>
        <v>44111.66667</v>
      </c>
      <c r="AB733" s="9">
        <f>IFERROR(__xludf.DUMMYFUNCTION("""COMPUTED_VALUE"""),3135.0)</f>
        <v>3135</v>
      </c>
      <c r="AC733" s="11">
        <f>IFERROR(__xludf.DUMMYFUNCTION("""COMPUTED_VALUE"""),44111.66666666667)</f>
        <v>44111.66667</v>
      </c>
      <c r="AD733" s="9">
        <f>IFERROR(__xludf.DUMMYFUNCTION("""COMPUTED_VALUE"""),3195.69)</f>
        <v>3195.69</v>
      </c>
    </row>
    <row r="734">
      <c r="B734" s="11">
        <f>IFERROR(__xludf.DUMMYFUNCTION("""COMPUTED_VALUE"""),44112.66666666667)</f>
        <v>44112.66667</v>
      </c>
      <c r="C734" s="9">
        <f>IFERROR(__xludf.DUMMYFUNCTION("""COMPUTED_VALUE"""),438.44)</f>
        <v>438.44</v>
      </c>
      <c r="D734" s="11">
        <f>IFERROR(__xludf.DUMMYFUNCTION("""COMPUTED_VALUE"""),44112.66666666667)</f>
        <v>44112.66667</v>
      </c>
      <c r="E734" s="9">
        <f>IFERROR(__xludf.DUMMYFUNCTION("""COMPUTED_VALUE"""),425.92)</f>
        <v>425.92</v>
      </c>
      <c r="G734" s="11">
        <f>IFERROR(__xludf.DUMMYFUNCTION("""COMPUTED_VALUE"""),44112.66666666667)</f>
        <v>44112.66667</v>
      </c>
      <c r="H734" s="9">
        <f>IFERROR(__xludf.DUMMYFUNCTION("""COMPUTED_VALUE"""),1465.09)</f>
        <v>1465.09</v>
      </c>
      <c r="I734" s="11">
        <f>IFERROR(__xludf.DUMMYFUNCTION("""COMPUTED_VALUE"""),44112.66666666667)</f>
        <v>44112.66667</v>
      </c>
      <c r="J734" s="9">
        <f>IFERROR(__xludf.DUMMYFUNCTION("""COMPUTED_VALUE"""),1485.93)</f>
        <v>1485.93</v>
      </c>
      <c r="L734" s="11">
        <f>IFERROR(__xludf.DUMMYFUNCTION("""COMPUTED_VALUE"""),44112.66666666667)</f>
        <v>44112.66667</v>
      </c>
      <c r="M734" s="9">
        <f>IFERROR(__xludf.DUMMYFUNCTION("""COMPUTED_VALUE"""),116.25)</f>
        <v>116.25</v>
      </c>
      <c r="N734" s="11">
        <f>IFERROR(__xludf.DUMMYFUNCTION("""COMPUTED_VALUE"""),44112.66666666667)</f>
        <v>44112.66667</v>
      </c>
      <c r="O734" s="9">
        <f>IFERROR(__xludf.DUMMYFUNCTION("""COMPUTED_VALUE"""),114.97)</f>
        <v>114.97</v>
      </c>
      <c r="Q734" s="11">
        <f>IFERROR(__xludf.DUMMYFUNCTION("""COMPUTED_VALUE"""),44112.66666666667)</f>
        <v>44112.66667</v>
      </c>
      <c r="R734" s="9">
        <f>IFERROR(__xludf.DUMMYFUNCTION("""COMPUTED_VALUE"""),259.75)</f>
        <v>259.75</v>
      </c>
      <c r="S734" s="11">
        <f>IFERROR(__xludf.DUMMYFUNCTION("""COMPUTED_VALUE"""),44112.66666666667)</f>
        <v>44112.66667</v>
      </c>
      <c r="T734" s="9">
        <f>IFERROR(__xludf.DUMMYFUNCTION("""COMPUTED_VALUE"""),263.76)</f>
        <v>263.76</v>
      </c>
      <c r="V734" s="11">
        <f>IFERROR(__xludf.DUMMYFUNCTION("""COMPUTED_VALUE"""),44112.66666666667)</f>
        <v>44112.66667</v>
      </c>
      <c r="W734" s="9">
        <f>IFERROR(__xludf.DUMMYFUNCTION("""COMPUTED_VALUE"""),533.48)</f>
        <v>533.48</v>
      </c>
      <c r="X734" s="11">
        <f>IFERROR(__xludf.DUMMYFUNCTION("""COMPUTED_VALUE"""),44112.66666666667)</f>
        <v>44112.66667</v>
      </c>
      <c r="Y734" s="9">
        <f>IFERROR(__xludf.DUMMYFUNCTION("""COMPUTED_VALUE"""),531.79)</f>
        <v>531.79</v>
      </c>
      <c r="AA734" s="11">
        <f>IFERROR(__xludf.DUMMYFUNCTION("""COMPUTED_VALUE"""),44112.66666666667)</f>
        <v>44112.66667</v>
      </c>
      <c r="AB734" s="9">
        <f>IFERROR(__xludf.DUMMYFUNCTION("""COMPUTED_VALUE"""),3224.99)</f>
        <v>3224.99</v>
      </c>
      <c r="AC734" s="11">
        <f>IFERROR(__xludf.DUMMYFUNCTION("""COMPUTED_VALUE"""),44112.66666666667)</f>
        <v>44112.66667</v>
      </c>
      <c r="AD734" s="9">
        <f>IFERROR(__xludf.DUMMYFUNCTION("""COMPUTED_VALUE"""),3190.55)</f>
        <v>3190.55</v>
      </c>
    </row>
    <row r="735">
      <c r="B735" s="11">
        <f>IFERROR(__xludf.DUMMYFUNCTION("""COMPUTED_VALUE"""),44113.66666666667)</f>
        <v>44113.66667</v>
      </c>
      <c r="C735" s="9">
        <f>IFERROR(__xludf.DUMMYFUNCTION("""COMPUTED_VALUE"""),430.13)</f>
        <v>430.13</v>
      </c>
      <c r="D735" s="11">
        <f>IFERROR(__xludf.DUMMYFUNCTION("""COMPUTED_VALUE"""),44113.66666666667)</f>
        <v>44113.66667</v>
      </c>
      <c r="E735" s="9">
        <f>IFERROR(__xludf.DUMMYFUNCTION("""COMPUTED_VALUE"""),434.0)</f>
        <v>434</v>
      </c>
      <c r="G735" s="11">
        <f>IFERROR(__xludf.DUMMYFUNCTION("""COMPUTED_VALUE"""),44113.66666666667)</f>
        <v>44113.66667</v>
      </c>
      <c r="H735" s="9">
        <f>IFERROR(__xludf.DUMMYFUNCTION("""COMPUTED_VALUE"""),1494.7)</f>
        <v>1494.7</v>
      </c>
      <c r="I735" s="11">
        <f>IFERROR(__xludf.DUMMYFUNCTION("""COMPUTED_VALUE"""),44113.66666666667)</f>
        <v>44113.66667</v>
      </c>
      <c r="J735" s="9">
        <f>IFERROR(__xludf.DUMMYFUNCTION("""COMPUTED_VALUE"""),1515.22)</f>
        <v>1515.22</v>
      </c>
      <c r="L735" s="11">
        <f>IFERROR(__xludf.DUMMYFUNCTION("""COMPUTED_VALUE"""),44113.66666666667)</f>
        <v>44113.66667</v>
      </c>
      <c r="M735" s="9">
        <f>IFERROR(__xludf.DUMMYFUNCTION("""COMPUTED_VALUE"""),115.28)</f>
        <v>115.28</v>
      </c>
      <c r="N735" s="11">
        <f>IFERROR(__xludf.DUMMYFUNCTION("""COMPUTED_VALUE"""),44113.66666666667)</f>
        <v>44113.66667</v>
      </c>
      <c r="O735" s="9">
        <f>IFERROR(__xludf.DUMMYFUNCTION("""COMPUTED_VALUE"""),116.97)</f>
        <v>116.97</v>
      </c>
      <c r="Q735" s="11">
        <f>IFERROR(__xludf.DUMMYFUNCTION("""COMPUTED_VALUE"""),44113.66666666667)</f>
        <v>44113.66667</v>
      </c>
      <c r="R735" s="9">
        <f>IFERROR(__xludf.DUMMYFUNCTION("""COMPUTED_VALUE"""),264.52)</f>
        <v>264.52</v>
      </c>
      <c r="S735" s="11">
        <f>IFERROR(__xludf.DUMMYFUNCTION("""COMPUTED_VALUE"""),44113.66666666667)</f>
        <v>44113.66667</v>
      </c>
      <c r="T735" s="9">
        <f>IFERROR(__xludf.DUMMYFUNCTION("""COMPUTED_VALUE"""),264.45)</f>
        <v>264.45</v>
      </c>
      <c r="V735" s="11">
        <f>IFERROR(__xludf.DUMMYFUNCTION("""COMPUTED_VALUE"""),44113.66666666667)</f>
        <v>44113.66667</v>
      </c>
      <c r="W735" s="9">
        <f>IFERROR(__xludf.DUMMYFUNCTION("""COMPUTED_VALUE"""),537.83)</f>
        <v>537.83</v>
      </c>
      <c r="X735" s="11">
        <f>IFERROR(__xludf.DUMMYFUNCTION("""COMPUTED_VALUE"""),44113.66666666667)</f>
        <v>44113.66667</v>
      </c>
      <c r="Y735" s="9">
        <f>IFERROR(__xludf.DUMMYFUNCTION("""COMPUTED_VALUE"""),539.44)</f>
        <v>539.44</v>
      </c>
      <c r="AA735" s="11">
        <f>IFERROR(__xludf.DUMMYFUNCTION("""COMPUTED_VALUE"""),44113.66666666667)</f>
        <v>44113.66667</v>
      </c>
      <c r="AB735" s="9">
        <f>IFERROR(__xludf.DUMMYFUNCTION("""COMPUTED_VALUE"""),3210.0)</f>
        <v>3210</v>
      </c>
      <c r="AC735" s="11">
        <f>IFERROR(__xludf.DUMMYFUNCTION("""COMPUTED_VALUE"""),44113.66666666667)</f>
        <v>44113.66667</v>
      </c>
      <c r="AD735" s="9">
        <f>IFERROR(__xludf.DUMMYFUNCTION("""COMPUTED_VALUE"""),3286.65)</f>
        <v>3286.65</v>
      </c>
    </row>
    <row r="736">
      <c r="B736" s="11">
        <f>IFERROR(__xludf.DUMMYFUNCTION("""COMPUTED_VALUE"""),44116.66666666667)</f>
        <v>44116.66667</v>
      </c>
      <c r="C736" s="9">
        <f>IFERROR(__xludf.DUMMYFUNCTION("""COMPUTED_VALUE"""),442.0)</f>
        <v>442</v>
      </c>
      <c r="D736" s="11">
        <f>IFERROR(__xludf.DUMMYFUNCTION("""COMPUTED_VALUE"""),44116.66666666667)</f>
        <v>44116.66667</v>
      </c>
      <c r="E736" s="9">
        <f>IFERROR(__xludf.DUMMYFUNCTION("""COMPUTED_VALUE"""),442.3)</f>
        <v>442.3</v>
      </c>
      <c r="G736" s="11">
        <f>IFERROR(__xludf.DUMMYFUNCTION("""COMPUTED_VALUE"""),44116.66666666667)</f>
        <v>44116.66667</v>
      </c>
      <c r="H736" s="9">
        <f>IFERROR(__xludf.DUMMYFUNCTION("""COMPUTED_VALUE"""),1543.0)</f>
        <v>1543</v>
      </c>
      <c r="I736" s="11">
        <f>IFERROR(__xludf.DUMMYFUNCTION("""COMPUTED_VALUE"""),44116.66666666667)</f>
        <v>44116.66667</v>
      </c>
      <c r="J736" s="9">
        <f>IFERROR(__xludf.DUMMYFUNCTION("""COMPUTED_VALUE"""),1569.15)</f>
        <v>1569.15</v>
      </c>
      <c r="L736" s="11">
        <f>IFERROR(__xludf.DUMMYFUNCTION("""COMPUTED_VALUE"""),44116.66666666667)</f>
        <v>44116.66667</v>
      </c>
      <c r="M736" s="9">
        <f>IFERROR(__xludf.DUMMYFUNCTION("""COMPUTED_VALUE"""),120.06)</f>
        <v>120.06</v>
      </c>
      <c r="N736" s="11">
        <f>IFERROR(__xludf.DUMMYFUNCTION("""COMPUTED_VALUE"""),44116.66666666667)</f>
        <v>44116.66667</v>
      </c>
      <c r="O736" s="9">
        <f>IFERROR(__xludf.DUMMYFUNCTION("""COMPUTED_VALUE"""),124.4)</f>
        <v>124.4</v>
      </c>
      <c r="Q736" s="11">
        <f>IFERROR(__xludf.DUMMYFUNCTION("""COMPUTED_VALUE"""),44116.66666666667)</f>
        <v>44116.66667</v>
      </c>
      <c r="R736" s="9">
        <f>IFERROR(__xludf.DUMMYFUNCTION("""COMPUTED_VALUE"""),270.2)</f>
        <v>270.2</v>
      </c>
      <c r="S736" s="11">
        <f>IFERROR(__xludf.DUMMYFUNCTION("""COMPUTED_VALUE"""),44116.66666666667)</f>
        <v>44116.66667</v>
      </c>
      <c r="T736" s="9">
        <f>IFERROR(__xludf.DUMMYFUNCTION("""COMPUTED_VALUE"""),275.75)</f>
        <v>275.75</v>
      </c>
      <c r="V736" s="11">
        <f>IFERROR(__xludf.DUMMYFUNCTION("""COMPUTED_VALUE"""),44116.66666666667)</f>
        <v>44116.66667</v>
      </c>
      <c r="W736" s="9">
        <f>IFERROR(__xludf.DUMMYFUNCTION("""COMPUTED_VALUE"""),548.81)</f>
        <v>548.81</v>
      </c>
      <c r="X736" s="11">
        <f>IFERROR(__xludf.DUMMYFUNCTION("""COMPUTED_VALUE"""),44116.66666666667)</f>
        <v>44116.66667</v>
      </c>
      <c r="Y736" s="9">
        <f>IFERROR(__xludf.DUMMYFUNCTION("""COMPUTED_VALUE"""),539.81)</f>
        <v>539.81</v>
      </c>
      <c r="AA736" s="11">
        <f>IFERROR(__xludf.DUMMYFUNCTION("""COMPUTED_VALUE"""),44116.66666666667)</f>
        <v>44116.66667</v>
      </c>
      <c r="AB736" s="9">
        <f>IFERROR(__xludf.DUMMYFUNCTION("""COMPUTED_VALUE"""),3349.94)</f>
        <v>3349.94</v>
      </c>
      <c r="AC736" s="11">
        <f>IFERROR(__xludf.DUMMYFUNCTION("""COMPUTED_VALUE"""),44116.66666666667)</f>
        <v>44116.66667</v>
      </c>
      <c r="AD736" s="9">
        <f>IFERROR(__xludf.DUMMYFUNCTION("""COMPUTED_VALUE"""),3442.93)</f>
        <v>3442.93</v>
      </c>
    </row>
    <row r="737">
      <c r="B737" s="11">
        <f>IFERROR(__xludf.DUMMYFUNCTION("""COMPUTED_VALUE"""),44117.66666666667)</f>
        <v>44117.66667</v>
      </c>
      <c r="C737" s="9">
        <f>IFERROR(__xludf.DUMMYFUNCTION("""COMPUTED_VALUE"""),443.35)</f>
        <v>443.35</v>
      </c>
      <c r="D737" s="11">
        <f>IFERROR(__xludf.DUMMYFUNCTION("""COMPUTED_VALUE"""),44117.66666666667)</f>
        <v>44117.66667</v>
      </c>
      <c r="E737" s="9">
        <f>IFERROR(__xludf.DUMMYFUNCTION("""COMPUTED_VALUE"""),446.65)</f>
        <v>446.65</v>
      </c>
      <c r="G737" s="11">
        <f>IFERROR(__xludf.DUMMYFUNCTION("""COMPUTED_VALUE"""),44117.66666666667)</f>
        <v>44117.66667</v>
      </c>
      <c r="H737" s="9">
        <f>IFERROR(__xludf.DUMMYFUNCTION("""COMPUTED_VALUE"""),1583.73)</f>
        <v>1583.73</v>
      </c>
      <c r="I737" s="11">
        <f>IFERROR(__xludf.DUMMYFUNCTION("""COMPUTED_VALUE"""),44117.66666666667)</f>
        <v>44117.66667</v>
      </c>
      <c r="J737" s="9">
        <f>IFERROR(__xludf.DUMMYFUNCTION("""COMPUTED_VALUE"""),1571.68)</f>
        <v>1571.68</v>
      </c>
      <c r="L737" s="11">
        <f>IFERROR(__xludf.DUMMYFUNCTION("""COMPUTED_VALUE"""),44117.66666666667)</f>
        <v>44117.66667</v>
      </c>
      <c r="M737" s="9">
        <f>IFERROR(__xludf.DUMMYFUNCTION("""COMPUTED_VALUE"""),125.27)</f>
        <v>125.27</v>
      </c>
      <c r="N737" s="11">
        <f>IFERROR(__xludf.DUMMYFUNCTION("""COMPUTED_VALUE"""),44117.66666666667)</f>
        <v>44117.66667</v>
      </c>
      <c r="O737" s="9">
        <f>IFERROR(__xludf.DUMMYFUNCTION("""COMPUTED_VALUE"""),121.1)</f>
        <v>121.1</v>
      </c>
      <c r="Q737" s="11">
        <f>IFERROR(__xludf.DUMMYFUNCTION("""COMPUTED_VALUE"""),44117.66666666667)</f>
        <v>44117.66667</v>
      </c>
      <c r="R737" s="9">
        <f>IFERROR(__xludf.DUMMYFUNCTION("""COMPUTED_VALUE"""),277.58)</f>
        <v>277.58</v>
      </c>
      <c r="S737" s="11">
        <f>IFERROR(__xludf.DUMMYFUNCTION("""COMPUTED_VALUE"""),44117.66666666667)</f>
        <v>44117.66667</v>
      </c>
      <c r="T737" s="9">
        <f>IFERROR(__xludf.DUMMYFUNCTION("""COMPUTED_VALUE"""),276.14)</f>
        <v>276.14</v>
      </c>
      <c r="V737" s="11">
        <f>IFERROR(__xludf.DUMMYFUNCTION("""COMPUTED_VALUE"""),44117.66666666667)</f>
        <v>44117.66667</v>
      </c>
      <c r="W737" s="9">
        <f>IFERROR(__xludf.DUMMYFUNCTION("""COMPUTED_VALUE"""),540.56)</f>
        <v>540.56</v>
      </c>
      <c r="X737" s="11">
        <f>IFERROR(__xludf.DUMMYFUNCTION("""COMPUTED_VALUE"""),44117.66666666667)</f>
        <v>44117.66667</v>
      </c>
      <c r="Y737" s="9">
        <f>IFERROR(__xludf.DUMMYFUNCTION("""COMPUTED_VALUE"""),554.09)</f>
        <v>554.09</v>
      </c>
      <c r="AA737" s="11">
        <f>IFERROR(__xludf.DUMMYFUNCTION("""COMPUTED_VALUE"""),44117.66666666667)</f>
        <v>44117.66667</v>
      </c>
      <c r="AB737" s="9">
        <f>IFERROR(__xludf.DUMMYFUNCTION("""COMPUTED_VALUE"""),3467.99)</f>
        <v>3467.99</v>
      </c>
      <c r="AC737" s="11">
        <f>IFERROR(__xludf.DUMMYFUNCTION("""COMPUTED_VALUE"""),44117.66666666667)</f>
        <v>44117.66667</v>
      </c>
      <c r="AD737" s="9">
        <f>IFERROR(__xludf.DUMMYFUNCTION("""COMPUTED_VALUE"""),3443.63)</f>
        <v>3443.63</v>
      </c>
    </row>
    <row r="738">
      <c r="B738" s="11">
        <f>IFERROR(__xludf.DUMMYFUNCTION("""COMPUTED_VALUE"""),44118.66666666667)</f>
        <v>44118.66667</v>
      </c>
      <c r="C738" s="9">
        <f>IFERROR(__xludf.DUMMYFUNCTION("""COMPUTED_VALUE"""),449.78)</f>
        <v>449.78</v>
      </c>
      <c r="D738" s="11">
        <f>IFERROR(__xludf.DUMMYFUNCTION("""COMPUTED_VALUE"""),44118.66666666667)</f>
        <v>44118.66667</v>
      </c>
      <c r="E738" s="9">
        <f>IFERROR(__xludf.DUMMYFUNCTION("""COMPUTED_VALUE"""),461.3)</f>
        <v>461.3</v>
      </c>
      <c r="G738" s="11">
        <f>IFERROR(__xludf.DUMMYFUNCTION("""COMPUTED_VALUE"""),44118.66666666667)</f>
        <v>44118.66667</v>
      </c>
      <c r="H738" s="9">
        <f>IFERROR(__xludf.DUMMYFUNCTION("""COMPUTED_VALUE"""),1578.59)</f>
        <v>1578.59</v>
      </c>
      <c r="I738" s="11">
        <f>IFERROR(__xludf.DUMMYFUNCTION("""COMPUTED_VALUE"""),44118.66666666667)</f>
        <v>44118.66667</v>
      </c>
      <c r="J738" s="9">
        <f>IFERROR(__xludf.DUMMYFUNCTION("""COMPUTED_VALUE"""),1568.08)</f>
        <v>1568.08</v>
      </c>
      <c r="L738" s="11">
        <f>IFERROR(__xludf.DUMMYFUNCTION("""COMPUTED_VALUE"""),44118.66666666667)</f>
        <v>44118.66667</v>
      </c>
      <c r="M738" s="9">
        <f>IFERROR(__xludf.DUMMYFUNCTION("""COMPUTED_VALUE"""),121.0)</f>
        <v>121</v>
      </c>
      <c r="N738" s="11">
        <f>IFERROR(__xludf.DUMMYFUNCTION("""COMPUTED_VALUE"""),44118.66666666667)</f>
        <v>44118.66667</v>
      </c>
      <c r="O738" s="9">
        <f>IFERROR(__xludf.DUMMYFUNCTION("""COMPUTED_VALUE"""),121.19)</f>
        <v>121.19</v>
      </c>
      <c r="Q738" s="11">
        <f>IFERROR(__xludf.DUMMYFUNCTION("""COMPUTED_VALUE"""),44118.66666666667)</f>
        <v>44118.66667</v>
      </c>
      <c r="R738" s="9">
        <f>IFERROR(__xludf.DUMMYFUNCTION("""COMPUTED_VALUE"""),277.62)</f>
        <v>277.62</v>
      </c>
      <c r="S738" s="11">
        <f>IFERROR(__xludf.DUMMYFUNCTION("""COMPUTED_VALUE"""),44118.66666666667)</f>
        <v>44118.66667</v>
      </c>
      <c r="T738" s="9">
        <f>IFERROR(__xludf.DUMMYFUNCTION("""COMPUTED_VALUE"""),271.82)</f>
        <v>271.82</v>
      </c>
      <c r="V738" s="11">
        <f>IFERROR(__xludf.DUMMYFUNCTION("""COMPUTED_VALUE"""),44118.66666666667)</f>
        <v>44118.66667</v>
      </c>
      <c r="W738" s="9">
        <f>IFERROR(__xludf.DUMMYFUNCTION("""COMPUTED_VALUE"""),562.61)</f>
        <v>562.61</v>
      </c>
      <c r="X738" s="11">
        <f>IFERROR(__xludf.DUMMYFUNCTION("""COMPUTED_VALUE"""),44118.66666666667)</f>
        <v>44118.66667</v>
      </c>
      <c r="Y738" s="9">
        <f>IFERROR(__xludf.DUMMYFUNCTION("""COMPUTED_VALUE"""),541.45)</f>
        <v>541.45</v>
      </c>
      <c r="AA738" s="11">
        <f>IFERROR(__xludf.DUMMYFUNCTION("""COMPUTED_VALUE"""),44118.66666666667)</f>
        <v>44118.66667</v>
      </c>
      <c r="AB738" s="9">
        <f>IFERROR(__xludf.DUMMYFUNCTION("""COMPUTED_VALUE"""),3447.0)</f>
        <v>3447</v>
      </c>
      <c r="AC738" s="11">
        <f>IFERROR(__xludf.DUMMYFUNCTION("""COMPUTED_VALUE"""),44118.66666666667)</f>
        <v>44118.66667</v>
      </c>
      <c r="AD738" s="9">
        <f>IFERROR(__xludf.DUMMYFUNCTION("""COMPUTED_VALUE"""),3363.71)</f>
        <v>3363.71</v>
      </c>
    </row>
    <row r="739">
      <c r="B739" s="11">
        <f>IFERROR(__xludf.DUMMYFUNCTION("""COMPUTED_VALUE"""),44119.66666666667)</f>
        <v>44119.66667</v>
      </c>
      <c r="C739" s="9">
        <f>IFERROR(__xludf.DUMMYFUNCTION("""COMPUTED_VALUE"""),450.31)</f>
        <v>450.31</v>
      </c>
      <c r="D739" s="11">
        <f>IFERROR(__xludf.DUMMYFUNCTION("""COMPUTED_VALUE"""),44119.66666666667)</f>
        <v>44119.66667</v>
      </c>
      <c r="E739" s="9">
        <f>IFERROR(__xludf.DUMMYFUNCTION("""COMPUTED_VALUE"""),448.88)</f>
        <v>448.88</v>
      </c>
      <c r="G739" s="11">
        <f>IFERROR(__xludf.DUMMYFUNCTION("""COMPUTED_VALUE"""),44119.66666666667)</f>
        <v>44119.66667</v>
      </c>
      <c r="H739" s="9">
        <f>IFERROR(__xludf.DUMMYFUNCTION("""COMPUTED_VALUE"""),1547.15)</f>
        <v>1547.15</v>
      </c>
      <c r="I739" s="11">
        <f>IFERROR(__xludf.DUMMYFUNCTION("""COMPUTED_VALUE"""),44119.66666666667)</f>
        <v>44119.66667</v>
      </c>
      <c r="J739" s="9">
        <f>IFERROR(__xludf.DUMMYFUNCTION("""COMPUTED_VALUE"""),1559.13)</f>
        <v>1559.13</v>
      </c>
      <c r="L739" s="11">
        <f>IFERROR(__xludf.DUMMYFUNCTION("""COMPUTED_VALUE"""),44119.66666666667)</f>
        <v>44119.66667</v>
      </c>
      <c r="M739" s="9">
        <f>IFERROR(__xludf.DUMMYFUNCTION("""COMPUTED_VALUE"""),118.72)</f>
        <v>118.72</v>
      </c>
      <c r="N739" s="11">
        <f>IFERROR(__xludf.DUMMYFUNCTION("""COMPUTED_VALUE"""),44119.66666666667)</f>
        <v>44119.66667</v>
      </c>
      <c r="O739" s="9">
        <f>IFERROR(__xludf.DUMMYFUNCTION("""COMPUTED_VALUE"""),120.71)</f>
        <v>120.71</v>
      </c>
      <c r="Q739" s="11">
        <f>IFERROR(__xludf.DUMMYFUNCTION("""COMPUTED_VALUE"""),44119.66666666667)</f>
        <v>44119.66667</v>
      </c>
      <c r="R739" s="9">
        <f>IFERROR(__xludf.DUMMYFUNCTION("""COMPUTED_VALUE"""),267.6)</f>
        <v>267.6</v>
      </c>
      <c r="S739" s="11">
        <f>IFERROR(__xludf.DUMMYFUNCTION("""COMPUTED_VALUE"""),44119.66666666667)</f>
        <v>44119.66667</v>
      </c>
      <c r="T739" s="9">
        <f>IFERROR(__xludf.DUMMYFUNCTION("""COMPUTED_VALUE"""),266.72)</f>
        <v>266.72</v>
      </c>
      <c r="V739" s="11">
        <f>IFERROR(__xludf.DUMMYFUNCTION("""COMPUTED_VALUE"""),44119.66666666667)</f>
        <v>44119.66667</v>
      </c>
      <c r="W739" s="9">
        <f>IFERROR(__xludf.DUMMYFUNCTION("""COMPUTED_VALUE"""),545.52)</f>
        <v>545.52</v>
      </c>
      <c r="X739" s="11">
        <f>IFERROR(__xludf.DUMMYFUNCTION("""COMPUTED_VALUE"""),44119.66666666667)</f>
        <v>44119.66667</v>
      </c>
      <c r="Y739" s="9">
        <f>IFERROR(__xludf.DUMMYFUNCTION("""COMPUTED_VALUE"""),541.94)</f>
        <v>541.94</v>
      </c>
      <c r="AA739" s="11">
        <f>IFERROR(__xludf.DUMMYFUNCTION("""COMPUTED_VALUE"""),44119.66666666667)</f>
        <v>44119.66667</v>
      </c>
      <c r="AB739" s="9">
        <f>IFERROR(__xludf.DUMMYFUNCTION("""COMPUTED_VALUE"""),3292.01)</f>
        <v>3292.01</v>
      </c>
      <c r="AC739" s="11">
        <f>IFERROR(__xludf.DUMMYFUNCTION("""COMPUTED_VALUE"""),44119.66666666667)</f>
        <v>44119.66667</v>
      </c>
      <c r="AD739" s="9">
        <f>IFERROR(__xludf.DUMMYFUNCTION("""COMPUTED_VALUE"""),3338.65)</f>
        <v>3338.65</v>
      </c>
    </row>
    <row r="740">
      <c r="B740" s="11">
        <f>IFERROR(__xludf.DUMMYFUNCTION("""COMPUTED_VALUE"""),44120.66666666667)</f>
        <v>44120.66667</v>
      </c>
      <c r="C740" s="9">
        <f>IFERROR(__xludf.DUMMYFUNCTION("""COMPUTED_VALUE"""),454.44)</f>
        <v>454.44</v>
      </c>
      <c r="D740" s="11">
        <f>IFERROR(__xludf.DUMMYFUNCTION("""COMPUTED_VALUE"""),44120.66666666667)</f>
        <v>44120.66667</v>
      </c>
      <c r="E740" s="9">
        <f>IFERROR(__xludf.DUMMYFUNCTION("""COMPUTED_VALUE"""),439.67)</f>
        <v>439.67</v>
      </c>
      <c r="G740" s="11">
        <f>IFERROR(__xludf.DUMMYFUNCTION("""COMPUTED_VALUE"""),44120.66666666667)</f>
        <v>44120.66667</v>
      </c>
      <c r="H740" s="9">
        <f>IFERROR(__xludf.DUMMYFUNCTION("""COMPUTED_VALUE"""),1565.85)</f>
        <v>1565.85</v>
      </c>
      <c r="I740" s="11">
        <f>IFERROR(__xludf.DUMMYFUNCTION("""COMPUTED_VALUE"""),44120.66666666667)</f>
        <v>44120.66667</v>
      </c>
      <c r="J740" s="9">
        <f>IFERROR(__xludf.DUMMYFUNCTION("""COMPUTED_VALUE"""),1573.01)</f>
        <v>1573.01</v>
      </c>
      <c r="L740" s="11">
        <f>IFERROR(__xludf.DUMMYFUNCTION("""COMPUTED_VALUE"""),44120.66666666667)</f>
        <v>44120.66667</v>
      </c>
      <c r="M740" s="9">
        <f>IFERROR(__xludf.DUMMYFUNCTION("""COMPUTED_VALUE"""),121.28)</f>
        <v>121.28</v>
      </c>
      <c r="N740" s="11">
        <f>IFERROR(__xludf.DUMMYFUNCTION("""COMPUTED_VALUE"""),44120.66666666667)</f>
        <v>44120.66667</v>
      </c>
      <c r="O740" s="9">
        <f>IFERROR(__xludf.DUMMYFUNCTION("""COMPUTED_VALUE"""),119.02)</f>
        <v>119.02</v>
      </c>
      <c r="Q740" s="11">
        <f>IFERROR(__xludf.DUMMYFUNCTION("""COMPUTED_VALUE"""),44120.66666666667)</f>
        <v>44120.66667</v>
      </c>
      <c r="R740" s="9">
        <f>IFERROR(__xludf.DUMMYFUNCTION("""COMPUTED_VALUE"""),267.38)</f>
        <v>267.38</v>
      </c>
      <c r="S740" s="11">
        <f>IFERROR(__xludf.DUMMYFUNCTION("""COMPUTED_VALUE"""),44120.66666666667)</f>
        <v>44120.66667</v>
      </c>
      <c r="T740" s="9">
        <f>IFERROR(__xludf.DUMMYFUNCTION("""COMPUTED_VALUE"""),265.93)</f>
        <v>265.93</v>
      </c>
      <c r="V740" s="11">
        <f>IFERROR(__xludf.DUMMYFUNCTION("""COMPUTED_VALUE"""),44120.66666666667)</f>
        <v>44120.66667</v>
      </c>
      <c r="W740" s="9">
        <f>IFERROR(__xludf.DUMMYFUNCTION("""COMPUTED_VALUE"""),549.5)</f>
        <v>549.5</v>
      </c>
      <c r="X740" s="11">
        <f>IFERROR(__xludf.DUMMYFUNCTION("""COMPUTED_VALUE"""),44120.66666666667)</f>
        <v>44120.66667</v>
      </c>
      <c r="Y740" s="9">
        <f>IFERROR(__xludf.DUMMYFUNCTION("""COMPUTED_VALUE"""),530.79)</f>
        <v>530.79</v>
      </c>
      <c r="AA740" s="11">
        <f>IFERROR(__xludf.DUMMYFUNCTION("""COMPUTED_VALUE"""),44120.66666666667)</f>
        <v>44120.66667</v>
      </c>
      <c r="AB740" s="9">
        <f>IFERROR(__xludf.DUMMYFUNCTION("""COMPUTED_VALUE"""),3363.23)</f>
        <v>3363.23</v>
      </c>
      <c r="AC740" s="11">
        <f>IFERROR(__xludf.DUMMYFUNCTION("""COMPUTED_VALUE"""),44120.66666666667)</f>
        <v>44120.66667</v>
      </c>
      <c r="AD740" s="9">
        <f>IFERROR(__xludf.DUMMYFUNCTION("""COMPUTED_VALUE"""),3272.71)</f>
        <v>3272.71</v>
      </c>
    </row>
    <row r="741">
      <c r="B741" s="11">
        <f>IFERROR(__xludf.DUMMYFUNCTION("""COMPUTED_VALUE"""),44123.66666666667)</f>
        <v>44123.66667</v>
      </c>
      <c r="C741" s="9">
        <f>IFERROR(__xludf.DUMMYFUNCTION("""COMPUTED_VALUE"""),446.24)</f>
        <v>446.24</v>
      </c>
      <c r="D741" s="11">
        <f>IFERROR(__xludf.DUMMYFUNCTION("""COMPUTED_VALUE"""),44123.66666666667)</f>
        <v>44123.66667</v>
      </c>
      <c r="E741" s="9">
        <f>IFERROR(__xludf.DUMMYFUNCTION("""COMPUTED_VALUE"""),430.83)</f>
        <v>430.83</v>
      </c>
      <c r="G741" s="11">
        <f>IFERROR(__xludf.DUMMYFUNCTION("""COMPUTED_VALUE"""),44123.66666666667)</f>
        <v>44123.66667</v>
      </c>
      <c r="H741" s="9">
        <f>IFERROR(__xludf.DUMMYFUNCTION("""COMPUTED_VALUE"""),1580.46)</f>
        <v>1580.46</v>
      </c>
      <c r="I741" s="11">
        <f>IFERROR(__xludf.DUMMYFUNCTION("""COMPUTED_VALUE"""),44123.66666666667)</f>
        <v>44123.66667</v>
      </c>
      <c r="J741" s="9">
        <f>IFERROR(__xludf.DUMMYFUNCTION("""COMPUTED_VALUE"""),1534.61)</f>
        <v>1534.61</v>
      </c>
      <c r="L741" s="11">
        <f>IFERROR(__xludf.DUMMYFUNCTION("""COMPUTED_VALUE"""),44123.66666666667)</f>
        <v>44123.66667</v>
      </c>
      <c r="M741" s="9">
        <f>IFERROR(__xludf.DUMMYFUNCTION("""COMPUTED_VALUE"""),119.96)</f>
        <v>119.96</v>
      </c>
      <c r="N741" s="11">
        <f>IFERROR(__xludf.DUMMYFUNCTION("""COMPUTED_VALUE"""),44123.66666666667)</f>
        <v>44123.66667</v>
      </c>
      <c r="O741" s="9">
        <f>IFERROR(__xludf.DUMMYFUNCTION("""COMPUTED_VALUE"""),115.98)</f>
        <v>115.98</v>
      </c>
      <c r="Q741" s="11">
        <f>IFERROR(__xludf.DUMMYFUNCTION("""COMPUTED_VALUE"""),44123.66666666667)</f>
        <v>44123.66667</v>
      </c>
      <c r="R741" s="9">
        <f>IFERROR(__xludf.DUMMYFUNCTION("""COMPUTED_VALUE"""),265.53)</f>
        <v>265.53</v>
      </c>
      <c r="S741" s="11">
        <f>IFERROR(__xludf.DUMMYFUNCTION("""COMPUTED_VALUE"""),44123.66666666667)</f>
        <v>44123.66667</v>
      </c>
      <c r="T741" s="9">
        <f>IFERROR(__xludf.DUMMYFUNCTION("""COMPUTED_VALUE"""),261.4)</f>
        <v>261.4</v>
      </c>
      <c r="V741" s="11">
        <f>IFERROR(__xludf.DUMMYFUNCTION("""COMPUTED_VALUE"""),44123.66666666667)</f>
        <v>44123.66667</v>
      </c>
      <c r="W741" s="9">
        <f>IFERROR(__xludf.DUMMYFUNCTION("""COMPUTED_VALUE"""),537.07)</f>
        <v>537.07</v>
      </c>
      <c r="X741" s="11">
        <f>IFERROR(__xludf.DUMMYFUNCTION("""COMPUTED_VALUE"""),44123.66666666667)</f>
        <v>44123.66667</v>
      </c>
      <c r="Y741" s="9">
        <f>IFERROR(__xludf.DUMMYFUNCTION("""COMPUTED_VALUE"""),530.72)</f>
        <v>530.72</v>
      </c>
      <c r="AA741" s="11">
        <f>IFERROR(__xludf.DUMMYFUNCTION("""COMPUTED_VALUE"""),44123.66666666667)</f>
        <v>44123.66667</v>
      </c>
      <c r="AB741" s="9">
        <f>IFERROR(__xludf.DUMMYFUNCTION("""COMPUTED_VALUE"""),3299.61)</f>
        <v>3299.61</v>
      </c>
      <c r="AC741" s="11">
        <f>IFERROR(__xludf.DUMMYFUNCTION("""COMPUTED_VALUE"""),44123.66666666667)</f>
        <v>44123.66667</v>
      </c>
      <c r="AD741" s="9">
        <f>IFERROR(__xludf.DUMMYFUNCTION("""COMPUTED_VALUE"""),3207.21)</f>
        <v>3207.21</v>
      </c>
    </row>
    <row r="742">
      <c r="B742" s="11">
        <f>IFERROR(__xludf.DUMMYFUNCTION("""COMPUTED_VALUE"""),44124.66666666667)</f>
        <v>44124.66667</v>
      </c>
      <c r="C742" s="9">
        <f>IFERROR(__xludf.DUMMYFUNCTION("""COMPUTED_VALUE"""),431.75)</f>
        <v>431.75</v>
      </c>
      <c r="D742" s="11">
        <f>IFERROR(__xludf.DUMMYFUNCTION("""COMPUTED_VALUE"""),44124.66666666667)</f>
        <v>44124.66667</v>
      </c>
      <c r="E742" s="9">
        <f>IFERROR(__xludf.DUMMYFUNCTION("""COMPUTED_VALUE"""),421.94)</f>
        <v>421.94</v>
      </c>
      <c r="G742" s="11">
        <f>IFERROR(__xludf.DUMMYFUNCTION("""COMPUTED_VALUE"""),44124.66666666667)</f>
        <v>44124.66667</v>
      </c>
      <c r="H742" s="9">
        <f>IFERROR(__xludf.DUMMYFUNCTION("""COMPUTED_VALUE"""),1527.05)</f>
        <v>1527.05</v>
      </c>
      <c r="I742" s="11">
        <f>IFERROR(__xludf.DUMMYFUNCTION("""COMPUTED_VALUE"""),44124.66666666667)</f>
        <v>44124.66667</v>
      </c>
      <c r="J742" s="9">
        <f>IFERROR(__xludf.DUMMYFUNCTION("""COMPUTED_VALUE"""),1555.93)</f>
        <v>1555.93</v>
      </c>
      <c r="L742" s="11">
        <f>IFERROR(__xludf.DUMMYFUNCTION("""COMPUTED_VALUE"""),44124.66666666667)</f>
        <v>44124.66667</v>
      </c>
      <c r="M742" s="9">
        <f>IFERROR(__xludf.DUMMYFUNCTION("""COMPUTED_VALUE"""),116.2)</f>
        <v>116.2</v>
      </c>
      <c r="N742" s="11">
        <f>IFERROR(__xludf.DUMMYFUNCTION("""COMPUTED_VALUE"""),44124.66666666667)</f>
        <v>44124.66667</v>
      </c>
      <c r="O742" s="9">
        <f>IFERROR(__xludf.DUMMYFUNCTION("""COMPUTED_VALUE"""),117.51)</f>
        <v>117.51</v>
      </c>
      <c r="Q742" s="11">
        <f>IFERROR(__xludf.DUMMYFUNCTION("""COMPUTED_VALUE"""),44124.66666666667)</f>
        <v>44124.66667</v>
      </c>
      <c r="R742" s="9">
        <f>IFERROR(__xludf.DUMMYFUNCTION("""COMPUTED_VALUE"""),263.06)</f>
        <v>263.06</v>
      </c>
      <c r="S742" s="11">
        <f>IFERROR(__xludf.DUMMYFUNCTION("""COMPUTED_VALUE"""),44124.66666666667)</f>
        <v>44124.66667</v>
      </c>
      <c r="T742" s="9">
        <f>IFERROR(__xludf.DUMMYFUNCTION("""COMPUTED_VALUE"""),267.56)</f>
        <v>267.56</v>
      </c>
      <c r="V742" s="11">
        <f>IFERROR(__xludf.DUMMYFUNCTION("""COMPUTED_VALUE"""),44124.66666666667)</f>
        <v>44124.66667</v>
      </c>
      <c r="W742" s="9">
        <f>IFERROR(__xludf.DUMMYFUNCTION("""COMPUTED_VALUE"""),528.14)</f>
        <v>528.14</v>
      </c>
      <c r="X742" s="11">
        <f>IFERROR(__xludf.DUMMYFUNCTION("""COMPUTED_VALUE"""),44124.66666666667)</f>
        <v>44124.66667</v>
      </c>
      <c r="Y742" s="9">
        <f>IFERROR(__xludf.DUMMYFUNCTION("""COMPUTED_VALUE"""),525.42)</f>
        <v>525.42</v>
      </c>
      <c r="AA742" s="11">
        <f>IFERROR(__xludf.DUMMYFUNCTION("""COMPUTED_VALUE"""),44124.66666666667)</f>
        <v>44124.66667</v>
      </c>
      <c r="AB742" s="9">
        <f>IFERROR(__xludf.DUMMYFUNCTION("""COMPUTED_VALUE"""),3222.28)</f>
        <v>3222.28</v>
      </c>
      <c r="AC742" s="11">
        <f>IFERROR(__xludf.DUMMYFUNCTION("""COMPUTED_VALUE"""),44124.66666666667)</f>
        <v>44124.66667</v>
      </c>
      <c r="AD742" s="9">
        <f>IFERROR(__xludf.DUMMYFUNCTION("""COMPUTED_VALUE"""),3217.01)</f>
        <v>3217.01</v>
      </c>
    </row>
    <row r="743">
      <c r="B743" s="11">
        <f>IFERROR(__xludf.DUMMYFUNCTION("""COMPUTED_VALUE"""),44125.66666666667)</f>
        <v>44125.66667</v>
      </c>
      <c r="C743" s="9">
        <f>IFERROR(__xludf.DUMMYFUNCTION("""COMPUTED_VALUE"""),422.7)</f>
        <v>422.7</v>
      </c>
      <c r="D743" s="11">
        <f>IFERROR(__xludf.DUMMYFUNCTION("""COMPUTED_VALUE"""),44125.66666666667)</f>
        <v>44125.66667</v>
      </c>
      <c r="E743" s="9">
        <f>IFERROR(__xludf.DUMMYFUNCTION("""COMPUTED_VALUE"""),422.64)</f>
        <v>422.64</v>
      </c>
      <c r="G743" s="11">
        <f>IFERROR(__xludf.DUMMYFUNCTION("""COMPUTED_VALUE"""),44125.66666666667)</f>
        <v>44125.66667</v>
      </c>
      <c r="H743" s="9">
        <f>IFERROR(__xludf.DUMMYFUNCTION("""COMPUTED_VALUE"""),1573.33)</f>
        <v>1573.33</v>
      </c>
      <c r="I743" s="11">
        <f>IFERROR(__xludf.DUMMYFUNCTION("""COMPUTED_VALUE"""),44125.66666666667)</f>
        <v>44125.66667</v>
      </c>
      <c r="J743" s="9">
        <f>IFERROR(__xludf.DUMMYFUNCTION("""COMPUTED_VALUE"""),1593.31)</f>
        <v>1593.31</v>
      </c>
      <c r="L743" s="11">
        <f>IFERROR(__xludf.DUMMYFUNCTION("""COMPUTED_VALUE"""),44125.66666666667)</f>
        <v>44125.66667</v>
      </c>
      <c r="M743" s="9">
        <f>IFERROR(__xludf.DUMMYFUNCTION("""COMPUTED_VALUE"""),116.67)</f>
        <v>116.67</v>
      </c>
      <c r="N743" s="11">
        <f>IFERROR(__xludf.DUMMYFUNCTION("""COMPUTED_VALUE"""),44125.66666666667)</f>
        <v>44125.66667</v>
      </c>
      <c r="O743" s="9">
        <f>IFERROR(__xludf.DUMMYFUNCTION("""COMPUTED_VALUE"""),116.87)</f>
        <v>116.87</v>
      </c>
      <c r="Q743" s="11">
        <f>IFERROR(__xludf.DUMMYFUNCTION("""COMPUTED_VALUE"""),44125.66666666667)</f>
        <v>44125.66667</v>
      </c>
      <c r="R743" s="9">
        <f>IFERROR(__xludf.DUMMYFUNCTION("""COMPUTED_VALUE"""),279.56)</f>
        <v>279.56</v>
      </c>
      <c r="S743" s="11">
        <f>IFERROR(__xludf.DUMMYFUNCTION("""COMPUTED_VALUE"""),44125.66666666667)</f>
        <v>44125.66667</v>
      </c>
      <c r="T743" s="9">
        <f>IFERROR(__xludf.DUMMYFUNCTION("""COMPUTED_VALUE"""),278.73)</f>
        <v>278.73</v>
      </c>
      <c r="V743" s="11">
        <f>IFERROR(__xludf.DUMMYFUNCTION("""COMPUTED_VALUE"""),44125.66666666667)</f>
        <v>44125.66667</v>
      </c>
      <c r="W743" s="9">
        <f>IFERROR(__xludf.DUMMYFUNCTION("""COMPUTED_VALUE"""),501.03)</f>
        <v>501.03</v>
      </c>
      <c r="X743" s="11">
        <f>IFERROR(__xludf.DUMMYFUNCTION("""COMPUTED_VALUE"""),44125.66666666667)</f>
        <v>44125.66667</v>
      </c>
      <c r="Y743" s="9">
        <f>IFERROR(__xludf.DUMMYFUNCTION("""COMPUTED_VALUE"""),489.05)</f>
        <v>489.05</v>
      </c>
      <c r="AA743" s="11">
        <f>IFERROR(__xludf.DUMMYFUNCTION("""COMPUTED_VALUE"""),44125.66666666667)</f>
        <v>44125.66667</v>
      </c>
      <c r="AB743" s="9">
        <f>IFERROR(__xludf.DUMMYFUNCTION("""COMPUTED_VALUE"""),3212.5)</f>
        <v>3212.5</v>
      </c>
      <c r="AC743" s="11">
        <f>IFERROR(__xludf.DUMMYFUNCTION("""COMPUTED_VALUE"""),44125.66666666667)</f>
        <v>44125.66667</v>
      </c>
      <c r="AD743" s="9">
        <f>IFERROR(__xludf.DUMMYFUNCTION("""COMPUTED_VALUE"""),3184.94)</f>
        <v>3184.94</v>
      </c>
    </row>
    <row r="744">
      <c r="B744" s="11">
        <f>IFERROR(__xludf.DUMMYFUNCTION("""COMPUTED_VALUE"""),44126.66666666667)</f>
        <v>44126.66667</v>
      </c>
      <c r="C744" s="9">
        <f>IFERROR(__xludf.DUMMYFUNCTION("""COMPUTED_VALUE"""),441.92)</f>
        <v>441.92</v>
      </c>
      <c r="D744" s="11">
        <f>IFERROR(__xludf.DUMMYFUNCTION("""COMPUTED_VALUE"""),44126.66666666667)</f>
        <v>44126.66667</v>
      </c>
      <c r="E744" s="9">
        <f>IFERROR(__xludf.DUMMYFUNCTION("""COMPUTED_VALUE"""),425.79)</f>
        <v>425.79</v>
      </c>
      <c r="G744" s="11">
        <f>IFERROR(__xludf.DUMMYFUNCTION("""COMPUTED_VALUE"""),44126.66666666667)</f>
        <v>44126.66667</v>
      </c>
      <c r="H744" s="9">
        <f>IFERROR(__xludf.DUMMYFUNCTION("""COMPUTED_VALUE"""),1593.05)</f>
        <v>1593.05</v>
      </c>
      <c r="I744" s="11">
        <f>IFERROR(__xludf.DUMMYFUNCTION("""COMPUTED_VALUE"""),44126.66666666667)</f>
        <v>44126.66667</v>
      </c>
      <c r="J744" s="9">
        <f>IFERROR(__xludf.DUMMYFUNCTION("""COMPUTED_VALUE"""),1615.33)</f>
        <v>1615.33</v>
      </c>
      <c r="L744" s="11">
        <f>IFERROR(__xludf.DUMMYFUNCTION("""COMPUTED_VALUE"""),44126.66666666667)</f>
        <v>44126.66667</v>
      </c>
      <c r="M744" s="9">
        <f>IFERROR(__xludf.DUMMYFUNCTION("""COMPUTED_VALUE"""),117.45)</f>
        <v>117.45</v>
      </c>
      <c r="N744" s="11">
        <f>IFERROR(__xludf.DUMMYFUNCTION("""COMPUTED_VALUE"""),44126.66666666667)</f>
        <v>44126.66667</v>
      </c>
      <c r="O744" s="9">
        <f>IFERROR(__xludf.DUMMYFUNCTION("""COMPUTED_VALUE"""),115.75)</f>
        <v>115.75</v>
      </c>
      <c r="Q744" s="11">
        <f>IFERROR(__xludf.DUMMYFUNCTION("""COMPUTED_VALUE"""),44126.66666666667)</f>
        <v>44126.66667</v>
      </c>
      <c r="R744" s="9">
        <f>IFERROR(__xludf.DUMMYFUNCTION("""COMPUTED_VALUE"""),279.87)</f>
        <v>279.87</v>
      </c>
      <c r="S744" s="11">
        <f>IFERROR(__xludf.DUMMYFUNCTION("""COMPUTED_VALUE"""),44126.66666666667)</f>
        <v>44126.66667</v>
      </c>
      <c r="T744" s="9">
        <f>IFERROR(__xludf.DUMMYFUNCTION("""COMPUTED_VALUE"""),278.12)</f>
        <v>278.12</v>
      </c>
      <c r="V744" s="11">
        <f>IFERROR(__xludf.DUMMYFUNCTION("""COMPUTED_VALUE"""),44126.66666666667)</f>
        <v>44126.66667</v>
      </c>
      <c r="W744" s="9">
        <f>IFERROR(__xludf.DUMMYFUNCTION("""COMPUTED_VALUE"""),494.69)</f>
        <v>494.69</v>
      </c>
      <c r="X744" s="11">
        <f>IFERROR(__xludf.DUMMYFUNCTION("""COMPUTED_VALUE"""),44126.66666666667)</f>
        <v>44126.66667</v>
      </c>
      <c r="Y744" s="9">
        <f>IFERROR(__xludf.DUMMYFUNCTION("""COMPUTED_VALUE"""),485.23)</f>
        <v>485.23</v>
      </c>
      <c r="AA744" s="11">
        <f>IFERROR(__xludf.DUMMYFUNCTION("""COMPUTED_VALUE"""),44126.66666666667)</f>
        <v>44126.66667</v>
      </c>
      <c r="AB744" s="9">
        <f>IFERROR(__xludf.DUMMYFUNCTION("""COMPUTED_VALUE"""),3189.87)</f>
        <v>3189.87</v>
      </c>
      <c r="AC744" s="11">
        <f>IFERROR(__xludf.DUMMYFUNCTION("""COMPUTED_VALUE"""),44126.66666666667)</f>
        <v>44126.66667</v>
      </c>
      <c r="AD744" s="9">
        <f>IFERROR(__xludf.DUMMYFUNCTION("""COMPUTED_VALUE"""),3176.4)</f>
        <v>3176.4</v>
      </c>
    </row>
    <row r="745">
      <c r="B745" s="11">
        <f>IFERROR(__xludf.DUMMYFUNCTION("""COMPUTED_VALUE"""),44127.66666666667)</f>
        <v>44127.66667</v>
      </c>
      <c r="C745" s="9">
        <f>IFERROR(__xludf.DUMMYFUNCTION("""COMPUTED_VALUE"""),421.84)</f>
        <v>421.84</v>
      </c>
      <c r="D745" s="11">
        <f>IFERROR(__xludf.DUMMYFUNCTION("""COMPUTED_VALUE"""),44127.66666666667)</f>
        <v>44127.66667</v>
      </c>
      <c r="E745" s="9">
        <f>IFERROR(__xludf.DUMMYFUNCTION("""COMPUTED_VALUE"""),420.63)</f>
        <v>420.63</v>
      </c>
      <c r="G745" s="11">
        <f>IFERROR(__xludf.DUMMYFUNCTION("""COMPUTED_VALUE"""),44127.66666666667)</f>
        <v>44127.66667</v>
      </c>
      <c r="H745" s="9">
        <f>IFERROR(__xludf.DUMMYFUNCTION("""COMPUTED_VALUE"""),1626.07)</f>
        <v>1626.07</v>
      </c>
      <c r="I745" s="11">
        <f>IFERROR(__xludf.DUMMYFUNCTION("""COMPUTED_VALUE"""),44127.66666666667)</f>
        <v>44127.66667</v>
      </c>
      <c r="J745" s="9">
        <f>IFERROR(__xludf.DUMMYFUNCTION("""COMPUTED_VALUE"""),1641.0)</f>
        <v>1641</v>
      </c>
      <c r="L745" s="11">
        <f>IFERROR(__xludf.DUMMYFUNCTION("""COMPUTED_VALUE"""),44127.66666666667)</f>
        <v>44127.66667</v>
      </c>
      <c r="M745" s="9">
        <f>IFERROR(__xludf.DUMMYFUNCTION("""COMPUTED_VALUE"""),116.39)</f>
        <v>116.39</v>
      </c>
      <c r="N745" s="11">
        <f>IFERROR(__xludf.DUMMYFUNCTION("""COMPUTED_VALUE"""),44127.66666666667)</f>
        <v>44127.66667</v>
      </c>
      <c r="O745" s="9">
        <f>IFERROR(__xludf.DUMMYFUNCTION("""COMPUTED_VALUE"""),115.04)</f>
        <v>115.04</v>
      </c>
      <c r="Q745" s="11">
        <f>IFERROR(__xludf.DUMMYFUNCTION("""COMPUTED_VALUE"""),44127.66666666667)</f>
        <v>44127.66667</v>
      </c>
      <c r="R745" s="9">
        <f>IFERROR(__xludf.DUMMYFUNCTION("""COMPUTED_VALUE"""),278.8)</f>
        <v>278.8</v>
      </c>
      <c r="S745" s="11">
        <f>IFERROR(__xludf.DUMMYFUNCTION("""COMPUTED_VALUE"""),44127.66666666667)</f>
        <v>44127.66667</v>
      </c>
      <c r="T745" s="9">
        <f>IFERROR(__xludf.DUMMYFUNCTION("""COMPUTED_VALUE"""),284.79)</f>
        <v>284.79</v>
      </c>
      <c r="V745" s="11">
        <f>IFERROR(__xludf.DUMMYFUNCTION("""COMPUTED_VALUE"""),44127.66666666667)</f>
        <v>44127.66667</v>
      </c>
      <c r="W745" s="9">
        <f>IFERROR(__xludf.DUMMYFUNCTION("""COMPUTED_VALUE"""),488.11)</f>
        <v>488.11</v>
      </c>
      <c r="X745" s="11">
        <f>IFERROR(__xludf.DUMMYFUNCTION("""COMPUTED_VALUE"""),44127.66666666667)</f>
        <v>44127.66667</v>
      </c>
      <c r="Y745" s="9">
        <f>IFERROR(__xludf.DUMMYFUNCTION("""COMPUTED_VALUE"""),488.28)</f>
        <v>488.28</v>
      </c>
      <c r="AA745" s="11">
        <f>IFERROR(__xludf.DUMMYFUNCTION("""COMPUTED_VALUE"""),44127.66666666667)</f>
        <v>44127.66667</v>
      </c>
      <c r="AB745" s="9">
        <f>IFERROR(__xludf.DUMMYFUNCTION("""COMPUTED_VALUE"""),3191.0)</f>
        <v>3191</v>
      </c>
      <c r="AC745" s="11">
        <f>IFERROR(__xludf.DUMMYFUNCTION("""COMPUTED_VALUE"""),44127.66666666667)</f>
        <v>44127.66667</v>
      </c>
      <c r="AD745" s="9">
        <f>IFERROR(__xludf.DUMMYFUNCTION("""COMPUTED_VALUE"""),3204.4)</f>
        <v>3204.4</v>
      </c>
    </row>
    <row r="746">
      <c r="B746" s="11">
        <f>IFERROR(__xludf.DUMMYFUNCTION("""COMPUTED_VALUE"""),44130.66666666667)</f>
        <v>44130.66667</v>
      </c>
      <c r="C746" s="9">
        <f>IFERROR(__xludf.DUMMYFUNCTION("""COMPUTED_VALUE"""),411.63)</f>
        <v>411.63</v>
      </c>
      <c r="D746" s="11">
        <f>IFERROR(__xludf.DUMMYFUNCTION("""COMPUTED_VALUE"""),44130.66666666667)</f>
        <v>44130.66667</v>
      </c>
      <c r="E746" s="9">
        <f>IFERROR(__xludf.DUMMYFUNCTION("""COMPUTED_VALUE"""),420.28)</f>
        <v>420.28</v>
      </c>
      <c r="G746" s="11">
        <f>IFERROR(__xludf.DUMMYFUNCTION("""COMPUTED_VALUE"""),44130.66666666667)</f>
        <v>44130.66667</v>
      </c>
      <c r="H746" s="9">
        <f>IFERROR(__xludf.DUMMYFUNCTION("""COMPUTED_VALUE"""),1625.01)</f>
        <v>1625.01</v>
      </c>
      <c r="I746" s="11">
        <f>IFERROR(__xludf.DUMMYFUNCTION("""COMPUTED_VALUE"""),44130.66666666667)</f>
        <v>44130.66667</v>
      </c>
      <c r="J746" s="9">
        <f>IFERROR(__xludf.DUMMYFUNCTION("""COMPUTED_VALUE"""),1590.45)</f>
        <v>1590.45</v>
      </c>
      <c r="L746" s="11">
        <f>IFERROR(__xludf.DUMMYFUNCTION("""COMPUTED_VALUE"""),44130.66666666667)</f>
        <v>44130.66667</v>
      </c>
      <c r="M746" s="9">
        <f>IFERROR(__xludf.DUMMYFUNCTION("""COMPUTED_VALUE"""),114.01)</f>
        <v>114.01</v>
      </c>
      <c r="N746" s="11">
        <f>IFERROR(__xludf.DUMMYFUNCTION("""COMPUTED_VALUE"""),44130.66666666667)</f>
        <v>44130.66667</v>
      </c>
      <c r="O746" s="9">
        <f>IFERROR(__xludf.DUMMYFUNCTION("""COMPUTED_VALUE"""),115.05)</f>
        <v>115.05</v>
      </c>
      <c r="Q746" s="11">
        <f>IFERROR(__xludf.DUMMYFUNCTION("""COMPUTED_VALUE"""),44130.66666666667)</f>
        <v>44130.66667</v>
      </c>
      <c r="R746" s="9">
        <f>IFERROR(__xludf.DUMMYFUNCTION("""COMPUTED_VALUE"""),283.16)</f>
        <v>283.16</v>
      </c>
      <c r="S746" s="11">
        <f>IFERROR(__xludf.DUMMYFUNCTION("""COMPUTED_VALUE"""),44130.66666666667)</f>
        <v>44130.66667</v>
      </c>
      <c r="T746" s="9">
        <f>IFERROR(__xludf.DUMMYFUNCTION("""COMPUTED_VALUE"""),277.11)</f>
        <v>277.11</v>
      </c>
      <c r="V746" s="11">
        <f>IFERROR(__xludf.DUMMYFUNCTION("""COMPUTED_VALUE"""),44130.66666666667)</f>
        <v>44130.66667</v>
      </c>
      <c r="W746" s="9">
        <f>IFERROR(__xludf.DUMMYFUNCTION("""COMPUTED_VALUE"""),487.03)</f>
        <v>487.03</v>
      </c>
      <c r="X746" s="11">
        <f>IFERROR(__xludf.DUMMYFUNCTION("""COMPUTED_VALUE"""),44130.66666666667)</f>
        <v>44130.66667</v>
      </c>
      <c r="Y746" s="9">
        <f>IFERROR(__xludf.DUMMYFUNCTION("""COMPUTED_VALUE"""),488.24)</f>
        <v>488.24</v>
      </c>
      <c r="AA746" s="11">
        <f>IFERROR(__xludf.DUMMYFUNCTION("""COMPUTED_VALUE"""),44130.66666666667)</f>
        <v>44130.66667</v>
      </c>
      <c r="AB746" s="9">
        <f>IFERROR(__xludf.DUMMYFUNCTION("""COMPUTED_VALUE"""),3198.74)</f>
        <v>3198.74</v>
      </c>
      <c r="AC746" s="11">
        <f>IFERROR(__xludf.DUMMYFUNCTION("""COMPUTED_VALUE"""),44130.66666666667)</f>
        <v>44130.66667</v>
      </c>
      <c r="AD746" s="9">
        <f>IFERROR(__xludf.DUMMYFUNCTION("""COMPUTED_VALUE"""),3207.04)</f>
        <v>3207.04</v>
      </c>
    </row>
    <row r="747">
      <c r="B747" s="11">
        <f>IFERROR(__xludf.DUMMYFUNCTION("""COMPUTED_VALUE"""),44131.66666666667)</f>
        <v>44131.66667</v>
      </c>
      <c r="C747" s="9">
        <f>IFERROR(__xludf.DUMMYFUNCTION("""COMPUTED_VALUE"""),423.76)</f>
        <v>423.76</v>
      </c>
      <c r="D747" s="11">
        <f>IFERROR(__xludf.DUMMYFUNCTION("""COMPUTED_VALUE"""),44131.66666666667)</f>
        <v>44131.66667</v>
      </c>
      <c r="E747" s="9">
        <f>IFERROR(__xludf.DUMMYFUNCTION("""COMPUTED_VALUE"""),424.68)</f>
        <v>424.68</v>
      </c>
      <c r="G747" s="11">
        <f>IFERROR(__xludf.DUMMYFUNCTION("""COMPUTED_VALUE"""),44131.66666666667)</f>
        <v>44131.66667</v>
      </c>
      <c r="H747" s="9">
        <f>IFERROR(__xludf.DUMMYFUNCTION("""COMPUTED_VALUE"""),1595.67)</f>
        <v>1595.67</v>
      </c>
      <c r="I747" s="11">
        <f>IFERROR(__xludf.DUMMYFUNCTION("""COMPUTED_VALUE"""),44131.66666666667)</f>
        <v>44131.66667</v>
      </c>
      <c r="J747" s="9">
        <f>IFERROR(__xludf.DUMMYFUNCTION("""COMPUTED_VALUE"""),1604.26)</f>
        <v>1604.26</v>
      </c>
      <c r="L747" s="11">
        <f>IFERROR(__xludf.DUMMYFUNCTION("""COMPUTED_VALUE"""),44131.66666666667)</f>
        <v>44131.66667</v>
      </c>
      <c r="M747" s="9">
        <f>IFERROR(__xludf.DUMMYFUNCTION("""COMPUTED_VALUE"""),115.49)</f>
        <v>115.49</v>
      </c>
      <c r="N747" s="11">
        <f>IFERROR(__xludf.DUMMYFUNCTION("""COMPUTED_VALUE"""),44131.66666666667)</f>
        <v>44131.66667</v>
      </c>
      <c r="O747" s="9">
        <f>IFERROR(__xludf.DUMMYFUNCTION("""COMPUTED_VALUE"""),116.6)</f>
        <v>116.6</v>
      </c>
      <c r="Q747" s="11">
        <f>IFERROR(__xludf.DUMMYFUNCTION("""COMPUTED_VALUE"""),44131.66666666667)</f>
        <v>44131.66667</v>
      </c>
      <c r="R747" s="9">
        <f>IFERROR(__xludf.DUMMYFUNCTION("""COMPUTED_VALUE"""),278.76)</f>
        <v>278.76</v>
      </c>
      <c r="S747" s="11">
        <f>IFERROR(__xludf.DUMMYFUNCTION("""COMPUTED_VALUE"""),44131.66666666667)</f>
        <v>44131.66667</v>
      </c>
      <c r="T747" s="9">
        <f>IFERROR(__xludf.DUMMYFUNCTION("""COMPUTED_VALUE"""),283.29)</f>
        <v>283.29</v>
      </c>
      <c r="V747" s="11">
        <f>IFERROR(__xludf.DUMMYFUNCTION("""COMPUTED_VALUE"""),44131.66666666667)</f>
        <v>44131.66667</v>
      </c>
      <c r="W747" s="9">
        <f>IFERROR(__xludf.DUMMYFUNCTION("""COMPUTED_VALUE"""),490.01)</f>
        <v>490.01</v>
      </c>
      <c r="X747" s="11">
        <f>IFERROR(__xludf.DUMMYFUNCTION("""COMPUTED_VALUE"""),44131.66666666667)</f>
        <v>44131.66667</v>
      </c>
      <c r="Y747" s="9">
        <f>IFERROR(__xludf.DUMMYFUNCTION("""COMPUTED_VALUE"""),488.93)</f>
        <v>488.93</v>
      </c>
      <c r="AA747" s="11">
        <f>IFERROR(__xludf.DUMMYFUNCTION("""COMPUTED_VALUE"""),44131.66666666667)</f>
        <v>44131.66667</v>
      </c>
      <c r="AB747" s="9">
        <f>IFERROR(__xludf.DUMMYFUNCTION("""COMPUTED_VALUE"""),3224.94)</f>
        <v>3224.94</v>
      </c>
      <c r="AC747" s="11">
        <f>IFERROR(__xludf.DUMMYFUNCTION("""COMPUTED_VALUE"""),44131.66666666667)</f>
        <v>44131.66667</v>
      </c>
      <c r="AD747" s="9">
        <f>IFERROR(__xludf.DUMMYFUNCTION("""COMPUTED_VALUE"""),3286.33)</f>
        <v>3286.33</v>
      </c>
    </row>
    <row r="748">
      <c r="B748" s="11">
        <f>IFERROR(__xludf.DUMMYFUNCTION("""COMPUTED_VALUE"""),44132.66666666667)</f>
        <v>44132.66667</v>
      </c>
      <c r="C748" s="9">
        <f>IFERROR(__xludf.DUMMYFUNCTION("""COMPUTED_VALUE"""),416.48)</f>
        <v>416.48</v>
      </c>
      <c r="D748" s="11">
        <f>IFERROR(__xludf.DUMMYFUNCTION("""COMPUTED_VALUE"""),44132.66666666667)</f>
        <v>44132.66667</v>
      </c>
      <c r="E748" s="9">
        <f>IFERROR(__xludf.DUMMYFUNCTION("""COMPUTED_VALUE"""),406.02)</f>
        <v>406.02</v>
      </c>
      <c r="G748" s="11">
        <f>IFERROR(__xludf.DUMMYFUNCTION("""COMPUTED_VALUE"""),44132.66666666667)</f>
        <v>44132.66667</v>
      </c>
      <c r="H748" s="9">
        <f>IFERROR(__xludf.DUMMYFUNCTION("""COMPUTED_VALUE"""),1559.74)</f>
        <v>1559.74</v>
      </c>
      <c r="I748" s="11">
        <f>IFERROR(__xludf.DUMMYFUNCTION("""COMPUTED_VALUE"""),44132.66666666667)</f>
        <v>44132.66667</v>
      </c>
      <c r="J748" s="9">
        <f>IFERROR(__xludf.DUMMYFUNCTION("""COMPUTED_VALUE"""),1516.62)</f>
        <v>1516.62</v>
      </c>
      <c r="L748" s="11">
        <f>IFERROR(__xludf.DUMMYFUNCTION("""COMPUTED_VALUE"""),44132.66666666667)</f>
        <v>44132.66667</v>
      </c>
      <c r="M748" s="9">
        <f>IFERROR(__xludf.DUMMYFUNCTION("""COMPUTED_VALUE"""),115.05)</f>
        <v>115.05</v>
      </c>
      <c r="N748" s="11">
        <f>IFERROR(__xludf.DUMMYFUNCTION("""COMPUTED_VALUE"""),44132.66666666667)</f>
        <v>44132.66667</v>
      </c>
      <c r="O748" s="9">
        <f>IFERROR(__xludf.DUMMYFUNCTION("""COMPUTED_VALUE"""),111.2)</f>
        <v>111.2</v>
      </c>
      <c r="Q748" s="11">
        <f>IFERROR(__xludf.DUMMYFUNCTION("""COMPUTED_VALUE"""),44132.66666666667)</f>
        <v>44132.66667</v>
      </c>
      <c r="R748" s="9">
        <f>IFERROR(__xludf.DUMMYFUNCTION("""COMPUTED_VALUE"""),278.79)</f>
        <v>278.79</v>
      </c>
      <c r="S748" s="11">
        <f>IFERROR(__xludf.DUMMYFUNCTION("""COMPUTED_VALUE"""),44132.66666666667)</f>
        <v>44132.66667</v>
      </c>
      <c r="T748" s="9">
        <f>IFERROR(__xludf.DUMMYFUNCTION("""COMPUTED_VALUE"""),267.67)</f>
        <v>267.67</v>
      </c>
      <c r="V748" s="11">
        <f>IFERROR(__xludf.DUMMYFUNCTION("""COMPUTED_VALUE"""),44132.66666666667)</f>
        <v>44132.66667</v>
      </c>
      <c r="W748" s="9">
        <f>IFERROR(__xludf.DUMMYFUNCTION("""COMPUTED_VALUE"""),486.36)</f>
        <v>486.36</v>
      </c>
      <c r="X748" s="11">
        <f>IFERROR(__xludf.DUMMYFUNCTION("""COMPUTED_VALUE"""),44132.66666666667)</f>
        <v>44132.66667</v>
      </c>
      <c r="Y748" s="9">
        <f>IFERROR(__xludf.DUMMYFUNCTION("""COMPUTED_VALUE"""),486.24)</f>
        <v>486.24</v>
      </c>
      <c r="AA748" s="11">
        <f>IFERROR(__xludf.DUMMYFUNCTION("""COMPUTED_VALUE"""),44132.66666666667)</f>
        <v>44132.66667</v>
      </c>
      <c r="AB748" s="9">
        <f>IFERROR(__xludf.DUMMYFUNCTION("""COMPUTED_VALUE"""),3249.3)</f>
        <v>3249.3</v>
      </c>
      <c r="AC748" s="11">
        <f>IFERROR(__xludf.DUMMYFUNCTION("""COMPUTED_VALUE"""),44132.66666666667)</f>
        <v>44132.66667</v>
      </c>
      <c r="AD748" s="9">
        <f>IFERROR(__xludf.DUMMYFUNCTION("""COMPUTED_VALUE"""),3162.78)</f>
        <v>3162.78</v>
      </c>
    </row>
    <row r="749">
      <c r="B749" s="11">
        <f>IFERROR(__xludf.DUMMYFUNCTION("""COMPUTED_VALUE"""),44133.66666666667)</f>
        <v>44133.66667</v>
      </c>
      <c r="C749" s="9">
        <f>IFERROR(__xludf.DUMMYFUNCTION("""COMPUTED_VALUE"""),409.96)</f>
        <v>409.96</v>
      </c>
      <c r="D749" s="11">
        <f>IFERROR(__xludf.DUMMYFUNCTION("""COMPUTED_VALUE"""),44133.66666666667)</f>
        <v>44133.66667</v>
      </c>
      <c r="E749" s="9">
        <f>IFERROR(__xludf.DUMMYFUNCTION("""COMPUTED_VALUE"""),410.83)</f>
        <v>410.83</v>
      </c>
      <c r="G749" s="11">
        <f>IFERROR(__xludf.DUMMYFUNCTION("""COMPUTED_VALUE"""),44133.66666666667)</f>
        <v>44133.66667</v>
      </c>
      <c r="H749" s="9">
        <f>IFERROR(__xludf.DUMMYFUNCTION("""COMPUTED_VALUE"""),1522.36)</f>
        <v>1522.36</v>
      </c>
      <c r="I749" s="11">
        <f>IFERROR(__xludf.DUMMYFUNCTION("""COMPUTED_VALUE"""),44133.66666666667)</f>
        <v>44133.66667</v>
      </c>
      <c r="J749" s="9">
        <f>IFERROR(__xludf.DUMMYFUNCTION("""COMPUTED_VALUE"""),1567.24)</f>
        <v>1567.24</v>
      </c>
      <c r="L749" s="11">
        <f>IFERROR(__xludf.DUMMYFUNCTION("""COMPUTED_VALUE"""),44133.66666666667)</f>
        <v>44133.66667</v>
      </c>
      <c r="M749" s="9">
        <f>IFERROR(__xludf.DUMMYFUNCTION("""COMPUTED_VALUE"""),112.37)</f>
        <v>112.37</v>
      </c>
      <c r="N749" s="11">
        <f>IFERROR(__xludf.DUMMYFUNCTION("""COMPUTED_VALUE"""),44133.66666666667)</f>
        <v>44133.66667</v>
      </c>
      <c r="O749" s="9">
        <f>IFERROR(__xludf.DUMMYFUNCTION("""COMPUTED_VALUE"""),115.32)</f>
        <v>115.32</v>
      </c>
      <c r="Q749" s="11">
        <f>IFERROR(__xludf.DUMMYFUNCTION("""COMPUTED_VALUE"""),44133.66666666667)</f>
        <v>44133.66667</v>
      </c>
      <c r="R749" s="9">
        <f>IFERROR(__xludf.DUMMYFUNCTION("""COMPUTED_VALUE"""),276.55)</f>
        <v>276.55</v>
      </c>
      <c r="S749" s="11">
        <f>IFERROR(__xludf.DUMMYFUNCTION("""COMPUTED_VALUE"""),44133.66666666667)</f>
        <v>44133.66667</v>
      </c>
      <c r="T749" s="9">
        <f>IFERROR(__xludf.DUMMYFUNCTION("""COMPUTED_VALUE"""),280.83)</f>
        <v>280.83</v>
      </c>
      <c r="V749" s="11">
        <f>IFERROR(__xludf.DUMMYFUNCTION("""COMPUTED_VALUE"""),44133.66666666667)</f>
        <v>44133.66667</v>
      </c>
      <c r="W749" s="9">
        <f>IFERROR(__xludf.DUMMYFUNCTION("""COMPUTED_VALUE"""),488.5)</f>
        <v>488.5</v>
      </c>
      <c r="X749" s="11">
        <f>IFERROR(__xludf.DUMMYFUNCTION("""COMPUTED_VALUE"""),44133.66666666667)</f>
        <v>44133.66667</v>
      </c>
      <c r="Y749" s="9">
        <f>IFERROR(__xludf.DUMMYFUNCTION("""COMPUTED_VALUE"""),504.21)</f>
        <v>504.21</v>
      </c>
      <c r="AA749" s="11">
        <f>IFERROR(__xludf.DUMMYFUNCTION("""COMPUTED_VALUE"""),44133.66666666667)</f>
        <v>44133.66667</v>
      </c>
      <c r="AB749" s="9">
        <f>IFERROR(__xludf.DUMMYFUNCTION("""COMPUTED_VALUE"""),3201.27)</f>
        <v>3201.27</v>
      </c>
      <c r="AC749" s="11">
        <f>IFERROR(__xludf.DUMMYFUNCTION("""COMPUTED_VALUE"""),44133.66666666667)</f>
        <v>44133.66667</v>
      </c>
      <c r="AD749" s="9">
        <f>IFERROR(__xludf.DUMMYFUNCTION("""COMPUTED_VALUE"""),3211.01)</f>
        <v>3211.01</v>
      </c>
    </row>
    <row r="750">
      <c r="B750" s="11">
        <f>IFERROR(__xludf.DUMMYFUNCTION("""COMPUTED_VALUE"""),44134.66666666667)</f>
        <v>44134.66667</v>
      </c>
      <c r="C750" s="9">
        <f>IFERROR(__xludf.DUMMYFUNCTION("""COMPUTED_VALUE"""),406.9)</f>
        <v>406.9</v>
      </c>
      <c r="D750" s="11">
        <f>IFERROR(__xludf.DUMMYFUNCTION("""COMPUTED_VALUE"""),44134.66666666667)</f>
        <v>44134.66667</v>
      </c>
      <c r="E750" s="9">
        <f>IFERROR(__xludf.DUMMYFUNCTION("""COMPUTED_VALUE"""),388.04)</f>
        <v>388.04</v>
      </c>
      <c r="G750" s="11">
        <f>IFERROR(__xludf.DUMMYFUNCTION("""COMPUTED_VALUE"""),44134.66666666667)</f>
        <v>44134.66667</v>
      </c>
      <c r="H750" s="9">
        <f>IFERROR(__xludf.DUMMYFUNCTION("""COMPUTED_VALUE"""),1672.11)</f>
        <v>1672.11</v>
      </c>
      <c r="I750" s="11">
        <f>IFERROR(__xludf.DUMMYFUNCTION("""COMPUTED_VALUE"""),44134.66666666667)</f>
        <v>44134.66667</v>
      </c>
      <c r="J750" s="9">
        <f>IFERROR(__xludf.DUMMYFUNCTION("""COMPUTED_VALUE"""),1621.01)</f>
        <v>1621.01</v>
      </c>
      <c r="L750" s="11">
        <f>IFERROR(__xludf.DUMMYFUNCTION("""COMPUTED_VALUE"""),44134.66666666667)</f>
        <v>44134.66667</v>
      </c>
      <c r="M750" s="9">
        <f>IFERROR(__xludf.DUMMYFUNCTION("""COMPUTED_VALUE"""),111.06)</f>
        <v>111.06</v>
      </c>
      <c r="N750" s="11">
        <f>IFERROR(__xludf.DUMMYFUNCTION("""COMPUTED_VALUE"""),44134.66666666667)</f>
        <v>44134.66667</v>
      </c>
      <c r="O750" s="9">
        <f>IFERROR(__xludf.DUMMYFUNCTION("""COMPUTED_VALUE"""),108.86)</f>
        <v>108.86</v>
      </c>
      <c r="Q750" s="11">
        <f>IFERROR(__xludf.DUMMYFUNCTION("""COMPUTED_VALUE"""),44134.66666666667)</f>
        <v>44134.66667</v>
      </c>
      <c r="R750" s="9">
        <f>IFERROR(__xludf.DUMMYFUNCTION("""COMPUTED_VALUE"""),274.5)</f>
        <v>274.5</v>
      </c>
      <c r="S750" s="11">
        <f>IFERROR(__xludf.DUMMYFUNCTION("""COMPUTED_VALUE"""),44134.66666666667)</f>
        <v>44134.66667</v>
      </c>
      <c r="T750" s="9">
        <f>IFERROR(__xludf.DUMMYFUNCTION("""COMPUTED_VALUE"""),263.11)</f>
        <v>263.11</v>
      </c>
      <c r="V750" s="11">
        <f>IFERROR(__xludf.DUMMYFUNCTION("""COMPUTED_VALUE"""),44134.66666666667)</f>
        <v>44134.66667</v>
      </c>
      <c r="W750" s="9">
        <f>IFERROR(__xludf.DUMMYFUNCTION("""COMPUTED_VALUE"""),502.01)</f>
        <v>502.01</v>
      </c>
      <c r="X750" s="11">
        <f>IFERROR(__xludf.DUMMYFUNCTION("""COMPUTED_VALUE"""),44134.66666666667)</f>
        <v>44134.66667</v>
      </c>
      <c r="Y750" s="9">
        <f>IFERROR(__xludf.DUMMYFUNCTION("""COMPUTED_VALUE"""),475.74)</f>
        <v>475.74</v>
      </c>
      <c r="AA750" s="11">
        <f>IFERROR(__xludf.DUMMYFUNCTION("""COMPUTED_VALUE"""),44134.66666666667)</f>
        <v>44134.66667</v>
      </c>
      <c r="AB750" s="9">
        <f>IFERROR(__xludf.DUMMYFUNCTION("""COMPUTED_VALUE"""),3157.75)</f>
        <v>3157.75</v>
      </c>
      <c r="AC750" s="11">
        <f>IFERROR(__xludf.DUMMYFUNCTION("""COMPUTED_VALUE"""),44134.66666666667)</f>
        <v>44134.66667</v>
      </c>
      <c r="AD750" s="9">
        <f>IFERROR(__xludf.DUMMYFUNCTION("""COMPUTED_VALUE"""),3036.15)</f>
        <v>3036.15</v>
      </c>
    </row>
    <row r="751">
      <c r="B751" s="11">
        <f>IFERROR(__xludf.DUMMYFUNCTION("""COMPUTED_VALUE"""),44137.66666666667)</f>
        <v>44137.66667</v>
      </c>
      <c r="C751" s="9">
        <f>IFERROR(__xludf.DUMMYFUNCTION("""COMPUTED_VALUE"""),394.0)</f>
        <v>394</v>
      </c>
      <c r="D751" s="11">
        <f>IFERROR(__xludf.DUMMYFUNCTION("""COMPUTED_VALUE"""),44137.66666666667)</f>
        <v>44137.66667</v>
      </c>
      <c r="E751" s="9">
        <f>IFERROR(__xludf.DUMMYFUNCTION("""COMPUTED_VALUE"""),400.51)</f>
        <v>400.51</v>
      </c>
      <c r="G751" s="11">
        <f>IFERROR(__xludf.DUMMYFUNCTION("""COMPUTED_VALUE"""),44137.66666666667)</f>
        <v>44137.66667</v>
      </c>
      <c r="H751" s="9">
        <f>IFERROR(__xludf.DUMMYFUNCTION("""COMPUTED_VALUE"""),1628.16)</f>
        <v>1628.16</v>
      </c>
      <c r="I751" s="11">
        <f>IFERROR(__xludf.DUMMYFUNCTION("""COMPUTED_VALUE"""),44137.66666666667)</f>
        <v>44137.66667</v>
      </c>
      <c r="J751" s="9">
        <f>IFERROR(__xludf.DUMMYFUNCTION("""COMPUTED_VALUE"""),1626.03)</f>
        <v>1626.03</v>
      </c>
      <c r="L751" s="11">
        <f>IFERROR(__xludf.DUMMYFUNCTION("""COMPUTED_VALUE"""),44137.66666666667)</f>
        <v>44137.66667</v>
      </c>
      <c r="M751" s="9">
        <f>IFERROR(__xludf.DUMMYFUNCTION("""COMPUTED_VALUE"""),109.11)</f>
        <v>109.11</v>
      </c>
      <c r="N751" s="11">
        <f>IFERROR(__xludf.DUMMYFUNCTION("""COMPUTED_VALUE"""),44137.66666666667)</f>
        <v>44137.66667</v>
      </c>
      <c r="O751" s="9">
        <f>IFERROR(__xludf.DUMMYFUNCTION("""COMPUTED_VALUE"""),108.77)</f>
        <v>108.77</v>
      </c>
      <c r="Q751" s="11">
        <f>IFERROR(__xludf.DUMMYFUNCTION("""COMPUTED_VALUE"""),44137.66666666667)</f>
        <v>44137.66667</v>
      </c>
      <c r="R751" s="9">
        <f>IFERROR(__xludf.DUMMYFUNCTION("""COMPUTED_VALUE"""),264.6)</f>
        <v>264.6</v>
      </c>
      <c r="S751" s="11">
        <f>IFERROR(__xludf.DUMMYFUNCTION("""COMPUTED_VALUE"""),44137.66666666667)</f>
        <v>44137.66667</v>
      </c>
      <c r="T751" s="9">
        <f>IFERROR(__xludf.DUMMYFUNCTION("""COMPUTED_VALUE"""),261.36)</f>
        <v>261.36</v>
      </c>
      <c r="V751" s="11">
        <f>IFERROR(__xludf.DUMMYFUNCTION("""COMPUTED_VALUE"""),44137.66666666667)</f>
        <v>44137.66667</v>
      </c>
      <c r="W751" s="9">
        <f>IFERROR(__xludf.DUMMYFUNCTION("""COMPUTED_VALUE"""),478.87)</f>
        <v>478.87</v>
      </c>
      <c r="X751" s="11">
        <f>IFERROR(__xludf.DUMMYFUNCTION("""COMPUTED_VALUE"""),44137.66666666667)</f>
        <v>44137.66667</v>
      </c>
      <c r="Y751" s="9">
        <f>IFERROR(__xludf.DUMMYFUNCTION("""COMPUTED_VALUE"""),484.12)</f>
        <v>484.12</v>
      </c>
      <c r="AA751" s="11">
        <f>IFERROR(__xludf.DUMMYFUNCTION("""COMPUTED_VALUE"""),44137.66666666667)</f>
        <v>44137.66667</v>
      </c>
      <c r="AB751" s="9">
        <f>IFERROR(__xludf.DUMMYFUNCTION("""COMPUTED_VALUE"""),3061.74)</f>
        <v>3061.74</v>
      </c>
      <c r="AC751" s="11">
        <f>IFERROR(__xludf.DUMMYFUNCTION("""COMPUTED_VALUE"""),44137.66666666667)</f>
        <v>44137.66667</v>
      </c>
      <c r="AD751" s="9">
        <f>IFERROR(__xludf.DUMMYFUNCTION("""COMPUTED_VALUE"""),3004.48)</f>
        <v>3004.48</v>
      </c>
    </row>
    <row r="752">
      <c r="B752" s="11">
        <f>IFERROR(__xludf.DUMMYFUNCTION("""COMPUTED_VALUE"""),44138.66666666667)</f>
        <v>44138.66667</v>
      </c>
      <c r="C752" s="9">
        <f>IFERROR(__xludf.DUMMYFUNCTION("""COMPUTED_VALUE"""),409.73)</f>
        <v>409.73</v>
      </c>
      <c r="D752" s="11">
        <f>IFERROR(__xludf.DUMMYFUNCTION("""COMPUTED_VALUE"""),44138.66666666667)</f>
        <v>44138.66667</v>
      </c>
      <c r="E752" s="9">
        <f>IFERROR(__xludf.DUMMYFUNCTION("""COMPUTED_VALUE"""),423.9)</f>
        <v>423.9</v>
      </c>
      <c r="G752" s="11">
        <f>IFERROR(__xludf.DUMMYFUNCTION("""COMPUTED_VALUE"""),44138.66666666667)</f>
        <v>44138.66667</v>
      </c>
      <c r="H752" s="9">
        <f>IFERROR(__xludf.DUMMYFUNCTION("""COMPUTED_VALUE"""),1631.78)</f>
        <v>1631.78</v>
      </c>
      <c r="I752" s="11">
        <f>IFERROR(__xludf.DUMMYFUNCTION("""COMPUTED_VALUE"""),44138.66666666667)</f>
        <v>44138.66667</v>
      </c>
      <c r="J752" s="9">
        <f>IFERROR(__xludf.DUMMYFUNCTION("""COMPUTED_VALUE"""),1650.21)</f>
        <v>1650.21</v>
      </c>
      <c r="L752" s="11">
        <f>IFERROR(__xludf.DUMMYFUNCTION("""COMPUTED_VALUE"""),44138.66666666667)</f>
        <v>44138.66667</v>
      </c>
      <c r="M752" s="9">
        <f>IFERROR(__xludf.DUMMYFUNCTION("""COMPUTED_VALUE"""),109.66)</f>
        <v>109.66</v>
      </c>
      <c r="N752" s="11">
        <f>IFERROR(__xludf.DUMMYFUNCTION("""COMPUTED_VALUE"""),44138.66666666667)</f>
        <v>44138.66667</v>
      </c>
      <c r="O752" s="9">
        <f>IFERROR(__xludf.DUMMYFUNCTION("""COMPUTED_VALUE"""),110.44)</f>
        <v>110.44</v>
      </c>
      <c r="Q752" s="11">
        <f>IFERROR(__xludf.DUMMYFUNCTION("""COMPUTED_VALUE"""),44138.66666666667)</f>
        <v>44138.66667</v>
      </c>
      <c r="R752" s="9">
        <f>IFERROR(__xludf.DUMMYFUNCTION("""COMPUTED_VALUE"""),263.16)</f>
        <v>263.16</v>
      </c>
      <c r="S752" s="11">
        <f>IFERROR(__xludf.DUMMYFUNCTION("""COMPUTED_VALUE"""),44138.66666666667)</f>
        <v>44138.66667</v>
      </c>
      <c r="T752" s="9">
        <f>IFERROR(__xludf.DUMMYFUNCTION("""COMPUTED_VALUE"""),265.3)</f>
        <v>265.3</v>
      </c>
      <c r="V752" s="11">
        <f>IFERROR(__xludf.DUMMYFUNCTION("""COMPUTED_VALUE"""),44138.66666666667)</f>
        <v>44138.66667</v>
      </c>
      <c r="W752" s="9">
        <f>IFERROR(__xludf.DUMMYFUNCTION("""COMPUTED_VALUE"""),484.93)</f>
        <v>484.93</v>
      </c>
      <c r="X752" s="11">
        <f>IFERROR(__xludf.DUMMYFUNCTION("""COMPUTED_VALUE"""),44138.66666666667)</f>
        <v>44138.66667</v>
      </c>
      <c r="Y752" s="9">
        <f>IFERROR(__xludf.DUMMYFUNCTION("""COMPUTED_VALUE"""),487.22)</f>
        <v>487.22</v>
      </c>
      <c r="AA752" s="11">
        <f>IFERROR(__xludf.DUMMYFUNCTION("""COMPUTED_VALUE"""),44138.66666666667)</f>
        <v>44138.66667</v>
      </c>
      <c r="AB752" s="9">
        <f>IFERROR(__xludf.DUMMYFUNCTION("""COMPUTED_VALUE"""),3018.53)</f>
        <v>3018.53</v>
      </c>
      <c r="AC752" s="11">
        <f>IFERROR(__xludf.DUMMYFUNCTION("""COMPUTED_VALUE"""),44138.66666666667)</f>
        <v>44138.66667</v>
      </c>
      <c r="AD752" s="9">
        <f>IFERROR(__xludf.DUMMYFUNCTION("""COMPUTED_VALUE"""),3048.41)</f>
        <v>3048.41</v>
      </c>
    </row>
    <row r="753">
      <c r="B753" s="11">
        <f>IFERROR(__xludf.DUMMYFUNCTION("""COMPUTED_VALUE"""),44139.66666666667)</f>
        <v>44139.66667</v>
      </c>
      <c r="C753" s="9">
        <f>IFERROR(__xludf.DUMMYFUNCTION("""COMPUTED_VALUE"""),430.62)</f>
        <v>430.62</v>
      </c>
      <c r="D753" s="11">
        <f>IFERROR(__xludf.DUMMYFUNCTION("""COMPUTED_VALUE"""),44139.66666666667)</f>
        <v>44139.66667</v>
      </c>
      <c r="E753" s="9">
        <f>IFERROR(__xludf.DUMMYFUNCTION("""COMPUTED_VALUE"""),420.98)</f>
        <v>420.98</v>
      </c>
      <c r="G753" s="11">
        <f>IFERROR(__xludf.DUMMYFUNCTION("""COMPUTED_VALUE"""),44139.66666666667)</f>
        <v>44139.66667</v>
      </c>
      <c r="H753" s="9">
        <f>IFERROR(__xludf.DUMMYFUNCTION("""COMPUTED_VALUE"""),1710.28)</f>
        <v>1710.28</v>
      </c>
      <c r="I753" s="11">
        <f>IFERROR(__xludf.DUMMYFUNCTION("""COMPUTED_VALUE"""),44139.66666666667)</f>
        <v>44139.66667</v>
      </c>
      <c r="J753" s="9">
        <f>IFERROR(__xludf.DUMMYFUNCTION("""COMPUTED_VALUE"""),1749.13)</f>
        <v>1749.13</v>
      </c>
      <c r="L753" s="11">
        <f>IFERROR(__xludf.DUMMYFUNCTION("""COMPUTED_VALUE"""),44139.66666666667)</f>
        <v>44139.66667</v>
      </c>
      <c r="M753" s="9">
        <f>IFERROR(__xludf.DUMMYFUNCTION("""COMPUTED_VALUE"""),114.14)</f>
        <v>114.14</v>
      </c>
      <c r="N753" s="11">
        <f>IFERROR(__xludf.DUMMYFUNCTION("""COMPUTED_VALUE"""),44139.66666666667)</f>
        <v>44139.66667</v>
      </c>
      <c r="O753" s="9">
        <f>IFERROR(__xludf.DUMMYFUNCTION("""COMPUTED_VALUE"""),114.95)</f>
        <v>114.95</v>
      </c>
      <c r="Q753" s="11">
        <f>IFERROR(__xludf.DUMMYFUNCTION("""COMPUTED_VALUE"""),44139.66666666667)</f>
        <v>44139.66667</v>
      </c>
      <c r="R753" s="9">
        <f>IFERROR(__xludf.DUMMYFUNCTION("""COMPUTED_VALUE"""),281.0)</f>
        <v>281</v>
      </c>
      <c r="S753" s="11">
        <f>IFERROR(__xludf.DUMMYFUNCTION("""COMPUTED_VALUE"""),44139.66666666667)</f>
        <v>44139.66667</v>
      </c>
      <c r="T753" s="9">
        <f>IFERROR(__xludf.DUMMYFUNCTION("""COMPUTED_VALUE"""),287.38)</f>
        <v>287.38</v>
      </c>
      <c r="V753" s="11">
        <f>IFERROR(__xludf.DUMMYFUNCTION("""COMPUTED_VALUE"""),44139.66666666667)</f>
        <v>44139.66667</v>
      </c>
      <c r="W753" s="9">
        <f>IFERROR(__xludf.DUMMYFUNCTION("""COMPUTED_VALUE"""),495.36)</f>
        <v>495.36</v>
      </c>
      <c r="X753" s="11">
        <f>IFERROR(__xludf.DUMMYFUNCTION("""COMPUTED_VALUE"""),44139.66666666667)</f>
        <v>44139.66667</v>
      </c>
      <c r="Y753" s="9">
        <f>IFERROR(__xludf.DUMMYFUNCTION("""COMPUTED_VALUE"""),496.95)</f>
        <v>496.95</v>
      </c>
      <c r="AA753" s="11">
        <f>IFERROR(__xludf.DUMMYFUNCTION("""COMPUTED_VALUE"""),44139.66666666667)</f>
        <v>44139.66667</v>
      </c>
      <c r="AB753" s="9">
        <f>IFERROR(__xludf.DUMMYFUNCTION("""COMPUTED_VALUE"""),3159.99)</f>
        <v>3159.99</v>
      </c>
      <c r="AC753" s="11">
        <f>IFERROR(__xludf.DUMMYFUNCTION("""COMPUTED_VALUE"""),44139.66666666667)</f>
        <v>44139.66667</v>
      </c>
      <c r="AD753" s="9">
        <f>IFERROR(__xludf.DUMMYFUNCTION("""COMPUTED_VALUE"""),3241.16)</f>
        <v>3241.16</v>
      </c>
    </row>
    <row r="754">
      <c r="B754" s="11">
        <f>IFERROR(__xludf.DUMMYFUNCTION("""COMPUTED_VALUE"""),44140.66666666667)</f>
        <v>44140.66667</v>
      </c>
      <c r="C754" s="9">
        <f>IFERROR(__xludf.DUMMYFUNCTION("""COMPUTED_VALUE"""),428.3)</f>
        <v>428.3</v>
      </c>
      <c r="D754" s="11">
        <f>IFERROR(__xludf.DUMMYFUNCTION("""COMPUTED_VALUE"""),44140.66666666667)</f>
        <v>44140.66667</v>
      </c>
      <c r="E754" s="9">
        <f>IFERROR(__xludf.DUMMYFUNCTION("""COMPUTED_VALUE"""),438.09)</f>
        <v>438.09</v>
      </c>
      <c r="G754" s="11">
        <f>IFERROR(__xludf.DUMMYFUNCTION("""COMPUTED_VALUE"""),44140.66666666667)</f>
        <v>44140.66667</v>
      </c>
      <c r="H754" s="9">
        <f>IFERROR(__xludf.DUMMYFUNCTION("""COMPUTED_VALUE"""),1781.0)</f>
        <v>1781</v>
      </c>
      <c r="I754" s="11">
        <f>IFERROR(__xludf.DUMMYFUNCTION("""COMPUTED_VALUE"""),44140.66666666667)</f>
        <v>44140.66667</v>
      </c>
      <c r="J754" s="9">
        <f>IFERROR(__xludf.DUMMYFUNCTION("""COMPUTED_VALUE"""),1763.37)</f>
        <v>1763.37</v>
      </c>
      <c r="L754" s="11">
        <f>IFERROR(__xludf.DUMMYFUNCTION("""COMPUTED_VALUE"""),44140.66666666667)</f>
        <v>44140.66667</v>
      </c>
      <c r="M754" s="9">
        <f>IFERROR(__xludf.DUMMYFUNCTION("""COMPUTED_VALUE"""),117.95)</f>
        <v>117.95</v>
      </c>
      <c r="N754" s="11">
        <f>IFERROR(__xludf.DUMMYFUNCTION("""COMPUTED_VALUE"""),44140.66666666667)</f>
        <v>44140.66667</v>
      </c>
      <c r="O754" s="9">
        <f>IFERROR(__xludf.DUMMYFUNCTION("""COMPUTED_VALUE"""),119.03)</f>
        <v>119.03</v>
      </c>
      <c r="Q754" s="11">
        <f>IFERROR(__xludf.DUMMYFUNCTION("""COMPUTED_VALUE"""),44140.66666666667)</f>
        <v>44140.66667</v>
      </c>
      <c r="R754" s="9">
        <f>IFERROR(__xludf.DUMMYFUNCTION("""COMPUTED_VALUE"""),291.9)</f>
        <v>291.9</v>
      </c>
      <c r="S754" s="11">
        <f>IFERROR(__xludf.DUMMYFUNCTION("""COMPUTED_VALUE"""),44140.66666666667)</f>
        <v>44140.66667</v>
      </c>
      <c r="T754" s="9">
        <f>IFERROR(__xludf.DUMMYFUNCTION("""COMPUTED_VALUE"""),294.68)</f>
        <v>294.68</v>
      </c>
      <c r="V754" s="11">
        <f>IFERROR(__xludf.DUMMYFUNCTION("""COMPUTED_VALUE"""),44140.66666666667)</f>
        <v>44140.66667</v>
      </c>
      <c r="W754" s="9">
        <f>IFERROR(__xludf.DUMMYFUNCTION("""COMPUTED_VALUE"""),506.56)</f>
        <v>506.56</v>
      </c>
      <c r="X754" s="11">
        <f>IFERROR(__xludf.DUMMYFUNCTION("""COMPUTED_VALUE"""),44140.66666666667)</f>
        <v>44140.66667</v>
      </c>
      <c r="Y754" s="9">
        <f>IFERROR(__xludf.DUMMYFUNCTION("""COMPUTED_VALUE"""),513.76)</f>
        <v>513.76</v>
      </c>
      <c r="AA754" s="11">
        <f>IFERROR(__xludf.DUMMYFUNCTION("""COMPUTED_VALUE"""),44140.66666666667)</f>
        <v>44140.66667</v>
      </c>
      <c r="AB754" s="9">
        <f>IFERROR(__xludf.DUMMYFUNCTION("""COMPUTED_VALUE"""),3319.97)</f>
        <v>3319.97</v>
      </c>
      <c r="AC754" s="11">
        <f>IFERROR(__xludf.DUMMYFUNCTION("""COMPUTED_VALUE"""),44140.66666666667)</f>
        <v>44140.66667</v>
      </c>
      <c r="AD754" s="9">
        <f>IFERROR(__xludf.DUMMYFUNCTION("""COMPUTED_VALUE"""),3322.0)</f>
        <v>3322</v>
      </c>
    </row>
    <row r="755">
      <c r="B755" s="11">
        <f>IFERROR(__xludf.DUMMYFUNCTION("""COMPUTED_VALUE"""),44141.66666666667)</f>
        <v>44141.66667</v>
      </c>
      <c r="C755" s="9">
        <f>IFERROR(__xludf.DUMMYFUNCTION("""COMPUTED_VALUE"""),436.1)</f>
        <v>436.1</v>
      </c>
      <c r="D755" s="11">
        <f>IFERROR(__xludf.DUMMYFUNCTION("""COMPUTED_VALUE"""),44141.66666666667)</f>
        <v>44141.66667</v>
      </c>
      <c r="E755" s="9">
        <f>IFERROR(__xludf.DUMMYFUNCTION("""COMPUTED_VALUE"""),429.95)</f>
        <v>429.95</v>
      </c>
      <c r="G755" s="11">
        <f>IFERROR(__xludf.DUMMYFUNCTION("""COMPUTED_VALUE"""),44141.66666666667)</f>
        <v>44141.66667</v>
      </c>
      <c r="H755" s="9">
        <f>IFERROR(__xludf.DUMMYFUNCTION("""COMPUTED_VALUE"""),1753.95)</f>
        <v>1753.95</v>
      </c>
      <c r="I755" s="11">
        <f>IFERROR(__xludf.DUMMYFUNCTION("""COMPUTED_VALUE"""),44141.66666666667)</f>
        <v>44141.66667</v>
      </c>
      <c r="J755" s="9">
        <f>IFERROR(__xludf.DUMMYFUNCTION("""COMPUTED_VALUE"""),1761.75)</f>
        <v>1761.75</v>
      </c>
      <c r="L755" s="11">
        <f>IFERROR(__xludf.DUMMYFUNCTION("""COMPUTED_VALUE"""),44141.66666666667)</f>
        <v>44141.66667</v>
      </c>
      <c r="M755" s="9">
        <f>IFERROR(__xludf.DUMMYFUNCTION("""COMPUTED_VALUE"""),118.32)</f>
        <v>118.32</v>
      </c>
      <c r="N755" s="11">
        <f>IFERROR(__xludf.DUMMYFUNCTION("""COMPUTED_VALUE"""),44141.66666666667)</f>
        <v>44141.66667</v>
      </c>
      <c r="O755" s="9">
        <f>IFERROR(__xludf.DUMMYFUNCTION("""COMPUTED_VALUE"""),118.69)</f>
        <v>118.69</v>
      </c>
      <c r="Q755" s="11">
        <f>IFERROR(__xludf.DUMMYFUNCTION("""COMPUTED_VALUE"""),44141.66666666667)</f>
        <v>44141.66667</v>
      </c>
      <c r="R755" s="9">
        <f>IFERROR(__xludf.DUMMYFUNCTION("""COMPUTED_VALUE"""),293.95)</f>
        <v>293.95</v>
      </c>
      <c r="S755" s="11">
        <f>IFERROR(__xludf.DUMMYFUNCTION("""COMPUTED_VALUE"""),44141.66666666667)</f>
        <v>44141.66667</v>
      </c>
      <c r="T755" s="9">
        <f>IFERROR(__xludf.DUMMYFUNCTION("""COMPUTED_VALUE"""),293.41)</f>
        <v>293.41</v>
      </c>
      <c r="V755" s="11">
        <f>IFERROR(__xludf.DUMMYFUNCTION("""COMPUTED_VALUE"""),44141.66666666667)</f>
        <v>44141.66667</v>
      </c>
      <c r="W755" s="9">
        <f>IFERROR(__xludf.DUMMYFUNCTION("""COMPUTED_VALUE"""),515.0)</f>
        <v>515</v>
      </c>
      <c r="X755" s="11">
        <f>IFERROR(__xludf.DUMMYFUNCTION("""COMPUTED_VALUE"""),44141.66666666667)</f>
        <v>44141.66667</v>
      </c>
      <c r="Y755" s="9">
        <f>IFERROR(__xludf.DUMMYFUNCTION("""COMPUTED_VALUE"""),514.73)</f>
        <v>514.73</v>
      </c>
      <c r="AA755" s="11">
        <f>IFERROR(__xludf.DUMMYFUNCTION("""COMPUTED_VALUE"""),44141.66666666667)</f>
        <v>44141.66667</v>
      </c>
      <c r="AB755" s="9">
        <f>IFERROR(__xludf.DUMMYFUNCTION("""COMPUTED_VALUE"""),3304.64)</f>
        <v>3304.64</v>
      </c>
      <c r="AC755" s="11">
        <f>IFERROR(__xludf.DUMMYFUNCTION("""COMPUTED_VALUE"""),44141.66666666667)</f>
        <v>44141.66667</v>
      </c>
      <c r="AD755" s="9">
        <f>IFERROR(__xludf.DUMMYFUNCTION("""COMPUTED_VALUE"""),3311.37)</f>
        <v>3311.37</v>
      </c>
    </row>
    <row r="756">
      <c r="B756" s="11">
        <f>IFERROR(__xludf.DUMMYFUNCTION("""COMPUTED_VALUE"""),44144.66666666667)</f>
        <v>44144.66667</v>
      </c>
      <c r="C756" s="9">
        <f>IFERROR(__xludf.DUMMYFUNCTION("""COMPUTED_VALUE"""),439.5)</f>
        <v>439.5</v>
      </c>
      <c r="D756" s="11">
        <f>IFERROR(__xludf.DUMMYFUNCTION("""COMPUTED_VALUE"""),44144.66666666667)</f>
        <v>44144.66667</v>
      </c>
      <c r="E756" s="9">
        <f>IFERROR(__xludf.DUMMYFUNCTION("""COMPUTED_VALUE"""),421.26)</f>
        <v>421.26</v>
      </c>
      <c r="G756" s="11">
        <f>IFERROR(__xludf.DUMMYFUNCTION("""COMPUTED_VALUE"""),44144.66666666667)</f>
        <v>44144.66667</v>
      </c>
      <c r="H756" s="9">
        <f>IFERROR(__xludf.DUMMYFUNCTION("""COMPUTED_VALUE"""),1790.9)</f>
        <v>1790.9</v>
      </c>
      <c r="I756" s="11">
        <f>IFERROR(__xludf.DUMMYFUNCTION("""COMPUTED_VALUE"""),44144.66666666667)</f>
        <v>44144.66667</v>
      </c>
      <c r="J756" s="9">
        <f>IFERROR(__xludf.DUMMYFUNCTION("""COMPUTED_VALUE"""),1763.0)</f>
        <v>1763</v>
      </c>
      <c r="L756" s="11">
        <f>IFERROR(__xludf.DUMMYFUNCTION("""COMPUTED_VALUE"""),44144.66666666667)</f>
        <v>44144.66667</v>
      </c>
      <c r="M756" s="9">
        <f>IFERROR(__xludf.DUMMYFUNCTION("""COMPUTED_VALUE"""),120.5)</f>
        <v>120.5</v>
      </c>
      <c r="N756" s="11">
        <f>IFERROR(__xludf.DUMMYFUNCTION("""COMPUTED_VALUE"""),44144.66666666667)</f>
        <v>44144.66667</v>
      </c>
      <c r="O756" s="9">
        <f>IFERROR(__xludf.DUMMYFUNCTION("""COMPUTED_VALUE"""),116.32)</f>
        <v>116.32</v>
      </c>
      <c r="Q756" s="11">
        <f>IFERROR(__xludf.DUMMYFUNCTION("""COMPUTED_VALUE"""),44144.66666666667)</f>
        <v>44144.66667</v>
      </c>
      <c r="R756" s="9">
        <f>IFERROR(__xludf.DUMMYFUNCTION("""COMPUTED_VALUE"""),289.87)</f>
        <v>289.87</v>
      </c>
      <c r="S756" s="11">
        <f>IFERROR(__xludf.DUMMYFUNCTION("""COMPUTED_VALUE"""),44144.66666666667)</f>
        <v>44144.66667</v>
      </c>
      <c r="T756" s="9">
        <f>IFERROR(__xludf.DUMMYFUNCTION("""COMPUTED_VALUE"""),278.77)</f>
        <v>278.77</v>
      </c>
      <c r="V756" s="11">
        <f>IFERROR(__xludf.DUMMYFUNCTION("""COMPUTED_VALUE"""),44144.66666666667)</f>
        <v>44144.66667</v>
      </c>
      <c r="W756" s="9">
        <f>IFERROR(__xludf.DUMMYFUNCTION("""COMPUTED_VALUE"""),485.54)</f>
        <v>485.54</v>
      </c>
      <c r="X756" s="11">
        <f>IFERROR(__xludf.DUMMYFUNCTION("""COMPUTED_VALUE"""),44144.66666666667)</f>
        <v>44144.66667</v>
      </c>
      <c r="Y756" s="9">
        <f>IFERROR(__xludf.DUMMYFUNCTION("""COMPUTED_VALUE"""),470.5)</f>
        <v>470.5</v>
      </c>
      <c r="AA756" s="11">
        <f>IFERROR(__xludf.DUMMYFUNCTION("""COMPUTED_VALUE"""),44144.66666666667)</f>
        <v>44144.66667</v>
      </c>
      <c r="AB756" s="9">
        <f>IFERROR(__xludf.DUMMYFUNCTION("""COMPUTED_VALUE"""),3231.03)</f>
        <v>3231.03</v>
      </c>
      <c r="AC756" s="11">
        <f>IFERROR(__xludf.DUMMYFUNCTION("""COMPUTED_VALUE"""),44144.66666666667)</f>
        <v>44144.66667</v>
      </c>
      <c r="AD756" s="9">
        <f>IFERROR(__xludf.DUMMYFUNCTION("""COMPUTED_VALUE"""),3143.74)</f>
        <v>3143.74</v>
      </c>
    </row>
    <row r="757">
      <c r="B757" s="11">
        <f>IFERROR(__xludf.DUMMYFUNCTION("""COMPUTED_VALUE"""),44145.66666666667)</f>
        <v>44145.66667</v>
      </c>
      <c r="C757" s="9">
        <f>IFERROR(__xludf.DUMMYFUNCTION("""COMPUTED_VALUE"""),420.09)</f>
        <v>420.09</v>
      </c>
      <c r="D757" s="11">
        <f>IFERROR(__xludf.DUMMYFUNCTION("""COMPUTED_VALUE"""),44145.66666666667)</f>
        <v>44145.66667</v>
      </c>
      <c r="E757" s="9">
        <f>IFERROR(__xludf.DUMMYFUNCTION("""COMPUTED_VALUE"""),410.36)</f>
        <v>410.36</v>
      </c>
      <c r="G757" s="11">
        <f>IFERROR(__xludf.DUMMYFUNCTION("""COMPUTED_VALUE"""),44145.66666666667)</f>
        <v>44145.66667</v>
      </c>
      <c r="H757" s="9">
        <f>IFERROR(__xludf.DUMMYFUNCTION("""COMPUTED_VALUE"""),1731.09)</f>
        <v>1731.09</v>
      </c>
      <c r="I757" s="11">
        <f>IFERROR(__xludf.DUMMYFUNCTION("""COMPUTED_VALUE"""),44145.66666666667)</f>
        <v>44145.66667</v>
      </c>
      <c r="J757" s="9">
        <f>IFERROR(__xludf.DUMMYFUNCTION("""COMPUTED_VALUE"""),1740.39)</f>
        <v>1740.39</v>
      </c>
      <c r="L757" s="11">
        <f>IFERROR(__xludf.DUMMYFUNCTION("""COMPUTED_VALUE"""),44145.66666666667)</f>
        <v>44145.66667</v>
      </c>
      <c r="M757" s="9">
        <f>IFERROR(__xludf.DUMMYFUNCTION("""COMPUTED_VALUE"""),115.55)</f>
        <v>115.55</v>
      </c>
      <c r="N757" s="11">
        <f>IFERROR(__xludf.DUMMYFUNCTION("""COMPUTED_VALUE"""),44145.66666666667)</f>
        <v>44145.66667</v>
      </c>
      <c r="O757" s="9">
        <f>IFERROR(__xludf.DUMMYFUNCTION("""COMPUTED_VALUE"""),115.97)</f>
        <v>115.97</v>
      </c>
      <c r="Q757" s="11">
        <f>IFERROR(__xludf.DUMMYFUNCTION("""COMPUTED_VALUE"""),44145.66666666667)</f>
        <v>44145.66667</v>
      </c>
      <c r="R757" s="9">
        <f>IFERROR(__xludf.DUMMYFUNCTION("""COMPUTED_VALUE"""),273.1)</f>
        <v>273.1</v>
      </c>
      <c r="S757" s="11">
        <f>IFERROR(__xludf.DUMMYFUNCTION("""COMPUTED_VALUE"""),44145.66666666667)</f>
        <v>44145.66667</v>
      </c>
      <c r="T757" s="9">
        <f>IFERROR(__xludf.DUMMYFUNCTION("""COMPUTED_VALUE"""),272.43)</f>
        <v>272.43</v>
      </c>
      <c r="V757" s="11">
        <f>IFERROR(__xludf.DUMMYFUNCTION("""COMPUTED_VALUE"""),44145.66666666667)</f>
        <v>44145.66667</v>
      </c>
      <c r="W757" s="9">
        <f>IFERROR(__xludf.DUMMYFUNCTION("""COMPUTED_VALUE"""),470.95)</f>
        <v>470.95</v>
      </c>
      <c r="X757" s="11">
        <f>IFERROR(__xludf.DUMMYFUNCTION("""COMPUTED_VALUE"""),44145.66666666667)</f>
        <v>44145.66667</v>
      </c>
      <c r="Y757" s="9">
        <f>IFERROR(__xludf.DUMMYFUNCTION("""COMPUTED_VALUE"""),480.24)</f>
        <v>480.24</v>
      </c>
      <c r="AA757" s="11">
        <f>IFERROR(__xludf.DUMMYFUNCTION("""COMPUTED_VALUE"""),44145.66666666667)</f>
        <v>44145.66667</v>
      </c>
      <c r="AB757" s="9">
        <f>IFERROR(__xludf.DUMMYFUNCTION("""COMPUTED_VALUE"""),3095.02)</f>
        <v>3095.02</v>
      </c>
      <c r="AC757" s="11">
        <f>IFERROR(__xludf.DUMMYFUNCTION("""COMPUTED_VALUE"""),44145.66666666667)</f>
        <v>44145.66667</v>
      </c>
      <c r="AD757" s="9">
        <f>IFERROR(__xludf.DUMMYFUNCTION("""COMPUTED_VALUE"""),3035.02)</f>
        <v>3035.02</v>
      </c>
    </row>
    <row r="758">
      <c r="B758" s="11">
        <f>IFERROR(__xludf.DUMMYFUNCTION("""COMPUTED_VALUE"""),44146.66666666667)</f>
        <v>44146.66667</v>
      </c>
      <c r="C758" s="9">
        <f>IFERROR(__xludf.DUMMYFUNCTION("""COMPUTED_VALUE"""),416.45)</f>
        <v>416.45</v>
      </c>
      <c r="D758" s="11">
        <f>IFERROR(__xludf.DUMMYFUNCTION("""COMPUTED_VALUE"""),44146.66666666667)</f>
        <v>44146.66667</v>
      </c>
      <c r="E758" s="9">
        <f>IFERROR(__xludf.DUMMYFUNCTION("""COMPUTED_VALUE"""),417.13)</f>
        <v>417.13</v>
      </c>
      <c r="G758" s="11">
        <f>IFERROR(__xludf.DUMMYFUNCTION("""COMPUTED_VALUE"""),44146.66666666667)</f>
        <v>44146.66667</v>
      </c>
      <c r="H758" s="9">
        <f>IFERROR(__xludf.DUMMYFUNCTION("""COMPUTED_VALUE"""),1750.0)</f>
        <v>1750</v>
      </c>
      <c r="I758" s="11">
        <f>IFERROR(__xludf.DUMMYFUNCTION("""COMPUTED_VALUE"""),44146.66666666667)</f>
        <v>44146.66667</v>
      </c>
      <c r="J758" s="9">
        <f>IFERROR(__xludf.DUMMYFUNCTION("""COMPUTED_VALUE"""),1752.71)</f>
        <v>1752.71</v>
      </c>
      <c r="L758" s="11">
        <f>IFERROR(__xludf.DUMMYFUNCTION("""COMPUTED_VALUE"""),44146.66666666667)</f>
        <v>44146.66667</v>
      </c>
      <c r="M758" s="9">
        <f>IFERROR(__xludf.DUMMYFUNCTION("""COMPUTED_VALUE"""),117.19)</f>
        <v>117.19</v>
      </c>
      <c r="N758" s="11">
        <f>IFERROR(__xludf.DUMMYFUNCTION("""COMPUTED_VALUE"""),44146.66666666667)</f>
        <v>44146.66667</v>
      </c>
      <c r="O758" s="9">
        <f>IFERROR(__xludf.DUMMYFUNCTION("""COMPUTED_VALUE"""),119.49)</f>
        <v>119.49</v>
      </c>
      <c r="Q758" s="11">
        <f>IFERROR(__xludf.DUMMYFUNCTION("""COMPUTED_VALUE"""),44146.66666666667)</f>
        <v>44146.66667</v>
      </c>
      <c r="R758" s="9">
        <f>IFERROR(__xludf.DUMMYFUNCTION("""COMPUTED_VALUE"""),273.47)</f>
        <v>273.47</v>
      </c>
      <c r="S758" s="11">
        <f>IFERROR(__xludf.DUMMYFUNCTION("""COMPUTED_VALUE"""),44146.66666666667)</f>
        <v>44146.66667</v>
      </c>
      <c r="T758" s="9">
        <f>IFERROR(__xludf.DUMMYFUNCTION("""COMPUTED_VALUE"""),276.48)</f>
        <v>276.48</v>
      </c>
      <c r="V758" s="11">
        <f>IFERROR(__xludf.DUMMYFUNCTION("""COMPUTED_VALUE"""),44146.66666666667)</f>
        <v>44146.66667</v>
      </c>
      <c r="W758" s="9">
        <f>IFERROR(__xludf.DUMMYFUNCTION("""COMPUTED_VALUE"""),483.0)</f>
        <v>483</v>
      </c>
      <c r="X758" s="11">
        <f>IFERROR(__xludf.DUMMYFUNCTION("""COMPUTED_VALUE"""),44146.66666666667)</f>
        <v>44146.66667</v>
      </c>
      <c r="Y758" s="9">
        <f>IFERROR(__xludf.DUMMYFUNCTION("""COMPUTED_VALUE"""),490.76)</f>
        <v>490.76</v>
      </c>
      <c r="AA758" s="11">
        <f>IFERROR(__xludf.DUMMYFUNCTION("""COMPUTED_VALUE"""),44146.66666666667)</f>
        <v>44146.66667</v>
      </c>
      <c r="AB758" s="9">
        <f>IFERROR(__xludf.DUMMYFUNCTION("""COMPUTED_VALUE"""),3061.78)</f>
        <v>3061.78</v>
      </c>
      <c r="AC758" s="11">
        <f>IFERROR(__xludf.DUMMYFUNCTION("""COMPUTED_VALUE"""),44146.66666666667)</f>
        <v>44146.66667</v>
      </c>
      <c r="AD758" s="9">
        <f>IFERROR(__xludf.DUMMYFUNCTION("""COMPUTED_VALUE"""),3137.39)</f>
        <v>3137.39</v>
      </c>
    </row>
    <row r="759">
      <c r="B759" s="11">
        <f>IFERROR(__xludf.DUMMYFUNCTION("""COMPUTED_VALUE"""),44147.66666666667)</f>
        <v>44147.66667</v>
      </c>
      <c r="C759" s="9">
        <f>IFERROR(__xludf.DUMMYFUNCTION("""COMPUTED_VALUE"""),415.05)</f>
        <v>415.05</v>
      </c>
      <c r="D759" s="11">
        <f>IFERROR(__xludf.DUMMYFUNCTION("""COMPUTED_VALUE"""),44147.66666666667)</f>
        <v>44147.66667</v>
      </c>
      <c r="E759" s="9">
        <f>IFERROR(__xludf.DUMMYFUNCTION("""COMPUTED_VALUE"""),411.76)</f>
        <v>411.76</v>
      </c>
      <c r="G759" s="11">
        <f>IFERROR(__xludf.DUMMYFUNCTION("""COMPUTED_VALUE"""),44147.66666666667)</f>
        <v>44147.66667</v>
      </c>
      <c r="H759" s="9">
        <f>IFERROR(__xludf.DUMMYFUNCTION("""COMPUTED_VALUE"""),1747.63)</f>
        <v>1747.63</v>
      </c>
      <c r="I759" s="11">
        <f>IFERROR(__xludf.DUMMYFUNCTION("""COMPUTED_VALUE"""),44147.66666666667)</f>
        <v>44147.66667</v>
      </c>
      <c r="J759" s="9">
        <f>IFERROR(__xludf.DUMMYFUNCTION("""COMPUTED_VALUE"""),1749.84)</f>
        <v>1749.84</v>
      </c>
      <c r="L759" s="11">
        <f>IFERROR(__xludf.DUMMYFUNCTION("""COMPUTED_VALUE"""),44147.66666666667)</f>
        <v>44147.66667</v>
      </c>
      <c r="M759" s="9">
        <f>IFERROR(__xludf.DUMMYFUNCTION("""COMPUTED_VALUE"""),119.62)</f>
        <v>119.62</v>
      </c>
      <c r="N759" s="11">
        <f>IFERROR(__xludf.DUMMYFUNCTION("""COMPUTED_VALUE"""),44147.66666666667)</f>
        <v>44147.66667</v>
      </c>
      <c r="O759" s="9">
        <f>IFERROR(__xludf.DUMMYFUNCTION("""COMPUTED_VALUE"""),119.21)</f>
        <v>119.21</v>
      </c>
      <c r="Q759" s="11">
        <f>IFERROR(__xludf.DUMMYFUNCTION("""COMPUTED_VALUE"""),44147.66666666667)</f>
        <v>44147.66667</v>
      </c>
      <c r="R759" s="9">
        <f>IFERROR(__xludf.DUMMYFUNCTION("""COMPUTED_VALUE"""),277.18)</f>
        <v>277.18</v>
      </c>
      <c r="S759" s="11">
        <f>IFERROR(__xludf.DUMMYFUNCTION("""COMPUTED_VALUE"""),44147.66666666667)</f>
        <v>44147.66667</v>
      </c>
      <c r="T759" s="9">
        <f>IFERROR(__xludf.DUMMYFUNCTION("""COMPUTED_VALUE"""),275.08)</f>
        <v>275.08</v>
      </c>
      <c r="V759" s="11">
        <f>IFERROR(__xludf.DUMMYFUNCTION("""COMPUTED_VALUE"""),44147.66666666667)</f>
        <v>44147.66667</v>
      </c>
      <c r="W759" s="9">
        <f>IFERROR(__xludf.DUMMYFUNCTION("""COMPUTED_VALUE"""),491.0)</f>
        <v>491</v>
      </c>
      <c r="X759" s="11">
        <f>IFERROR(__xludf.DUMMYFUNCTION("""COMPUTED_VALUE"""),44147.66666666667)</f>
        <v>44147.66667</v>
      </c>
      <c r="Y759" s="9">
        <f>IFERROR(__xludf.DUMMYFUNCTION("""COMPUTED_VALUE"""),486.77)</f>
        <v>486.77</v>
      </c>
      <c r="AA759" s="11">
        <f>IFERROR(__xludf.DUMMYFUNCTION("""COMPUTED_VALUE"""),44147.66666666667)</f>
        <v>44147.66667</v>
      </c>
      <c r="AB759" s="9">
        <f>IFERROR(__xludf.DUMMYFUNCTION("""COMPUTED_VALUE"""),3159.95)</f>
        <v>3159.95</v>
      </c>
      <c r="AC759" s="11">
        <f>IFERROR(__xludf.DUMMYFUNCTION("""COMPUTED_VALUE"""),44147.66666666667)</f>
        <v>44147.66667</v>
      </c>
      <c r="AD759" s="9">
        <f>IFERROR(__xludf.DUMMYFUNCTION("""COMPUTED_VALUE"""),3110.28)</f>
        <v>3110.28</v>
      </c>
    </row>
    <row r="760">
      <c r="B760" s="11">
        <f>IFERROR(__xludf.DUMMYFUNCTION("""COMPUTED_VALUE"""),44148.66666666667)</f>
        <v>44148.66667</v>
      </c>
      <c r="C760" s="9">
        <f>IFERROR(__xludf.DUMMYFUNCTION("""COMPUTED_VALUE"""),410.85)</f>
        <v>410.85</v>
      </c>
      <c r="D760" s="11">
        <f>IFERROR(__xludf.DUMMYFUNCTION("""COMPUTED_VALUE"""),44148.66666666667)</f>
        <v>44148.66667</v>
      </c>
      <c r="E760" s="9">
        <f>IFERROR(__xludf.DUMMYFUNCTION("""COMPUTED_VALUE"""),408.5)</f>
        <v>408.5</v>
      </c>
      <c r="G760" s="11">
        <f>IFERROR(__xludf.DUMMYFUNCTION("""COMPUTED_VALUE"""),44148.66666666667)</f>
        <v>44148.66667</v>
      </c>
      <c r="H760" s="9">
        <f>IFERROR(__xludf.DUMMYFUNCTION("""COMPUTED_VALUE"""),1757.63)</f>
        <v>1757.63</v>
      </c>
      <c r="I760" s="11">
        <f>IFERROR(__xludf.DUMMYFUNCTION("""COMPUTED_VALUE"""),44148.66666666667)</f>
        <v>44148.66667</v>
      </c>
      <c r="J760" s="9">
        <f>IFERROR(__xludf.DUMMYFUNCTION("""COMPUTED_VALUE"""),1777.02)</f>
        <v>1777.02</v>
      </c>
      <c r="L760" s="11">
        <f>IFERROR(__xludf.DUMMYFUNCTION("""COMPUTED_VALUE"""),44148.66666666667)</f>
        <v>44148.66667</v>
      </c>
      <c r="M760" s="9">
        <f>IFERROR(__xludf.DUMMYFUNCTION("""COMPUTED_VALUE"""),119.44)</f>
        <v>119.44</v>
      </c>
      <c r="N760" s="11">
        <f>IFERROR(__xludf.DUMMYFUNCTION("""COMPUTED_VALUE"""),44148.66666666667)</f>
        <v>44148.66667</v>
      </c>
      <c r="O760" s="9">
        <f>IFERROR(__xludf.DUMMYFUNCTION("""COMPUTED_VALUE"""),119.26)</f>
        <v>119.26</v>
      </c>
      <c r="Q760" s="11">
        <f>IFERROR(__xludf.DUMMYFUNCTION("""COMPUTED_VALUE"""),44148.66666666667)</f>
        <v>44148.66667</v>
      </c>
      <c r="R760" s="9">
        <f>IFERROR(__xludf.DUMMYFUNCTION("""COMPUTED_VALUE"""),277.72)</f>
        <v>277.72</v>
      </c>
      <c r="S760" s="11">
        <f>IFERROR(__xludf.DUMMYFUNCTION("""COMPUTED_VALUE"""),44148.66666666667)</f>
        <v>44148.66667</v>
      </c>
      <c r="T760" s="9">
        <f>IFERROR(__xludf.DUMMYFUNCTION("""COMPUTED_VALUE"""),276.95)</f>
        <v>276.95</v>
      </c>
      <c r="V760" s="11">
        <f>IFERROR(__xludf.DUMMYFUNCTION("""COMPUTED_VALUE"""),44148.66666666667)</f>
        <v>44148.66667</v>
      </c>
      <c r="W760" s="9">
        <f>IFERROR(__xludf.DUMMYFUNCTION("""COMPUTED_VALUE"""),486.77)</f>
        <v>486.77</v>
      </c>
      <c r="X760" s="11">
        <f>IFERROR(__xludf.DUMMYFUNCTION("""COMPUTED_VALUE"""),44148.66666666667)</f>
        <v>44148.66667</v>
      </c>
      <c r="Y760" s="9">
        <f>IFERROR(__xludf.DUMMYFUNCTION("""COMPUTED_VALUE"""),482.84)</f>
        <v>482.84</v>
      </c>
      <c r="AA760" s="11">
        <f>IFERROR(__xludf.DUMMYFUNCTION("""COMPUTED_VALUE"""),44148.66666666667)</f>
        <v>44148.66667</v>
      </c>
      <c r="AB760" s="9">
        <f>IFERROR(__xludf.DUMMYFUNCTION("""COMPUTED_VALUE"""),3122.0)</f>
        <v>3122</v>
      </c>
      <c r="AC760" s="11">
        <f>IFERROR(__xludf.DUMMYFUNCTION("""COMPUTED_VALUE"""),44148.66666666667)</f>
        <v>44148.66667</v>
      </c>
      <c r="AD760" s="9">
        <f>IFERROR(__xludf.DUMMYFUNCTION("""COMPUTED_VALUE"""),3128.81)</f>
        <v>3128.81</v>
      </c>
    </row>
    <row r="761">
      <c r="B761" s="11">
        <f>IFERROR(__xludf.DUMMYFUNCTION("""COMPUTED_VALUE"""),44151.66666666667)</f>
        <v>44151.66667</v>
      </c>
      <c r="C761" s="9">
        <f>IFERROR(__xludf.DUMMYFUNCTION("""COMPUTED_VALUE"""),408.93)</f>
        <v>408.93</v>
      </c>
      <c r="D761" s="11">
        <f>IFERROR(__xludf.DUMMYFUNCTION("""COMPUTED_VALUE"""),44151.66666666667)</f>
        <v>44151.66667</v>
      </c>
      <c r="E761" s="9">
        <f>IFERROR(__xludf.DUMMYFUNCTION("""COMPUTED_VALUE"""),408.09)</f>
        <v>408.09</v>
      </c>
      <c r="G761" s="11">
        <f>IFERROR(__xludf.DUMMYFUNCTION("""COMPUTED_VALUE"""),44151.66666666667)</f>
        <v>44151.66667</v>
      </c>
      <c r="H761" s="9">
        <f>IFERROR(__xludf.DUMMYFUNCTION("""COMPUTED_VALUE"""),1771.7)</f>
        <v>1771.7</v>
      </c>
      <c r="I761" s="11">
        <f>IFERROR(__xludf.DUMMYFUNCTION("""COMPUTED_VALUE"""),44151.66666666667)</f>
        <v>44151.66667</v>
      </c>
      <c r="J761" s="9">
        <f>IFERROR(__xludf.DUMMYFUNCTION("""COMPUTED_VALUE"""),1781.38)</f>
        <v>1781.38</v>
      </c>
      <c r="L761" s="11">
        <f>IFERROR(__xludf.DUMMYFUNCTION("""COMPUTED_VALUE"""),44151.66666666667)</f>
        <v>44151.66667</v>
      </c>
      <c r="M761" s="9">
        <f>IFERROR(__xludf.DUMMYFUNCTION("""COMPUTED_VALUE"""),118.92)</f>
        <v>118.92</v>
      </c>
      <c r="N761" s="11">
        <f>IFERROR(__xludf.DUMMYFUNCTION("""COMPUTED_VALUE"""),44151.66666666667)</f>
        <v>44151.66667</v>
      </c>
      <c r="O761" s="9">
        <f>IFERROR(__xludf.DUMMYFUNCTION("""COMPUTED_VALUE"""),120.3)</f>
        <v>120.3</v>
      </c>
      <c r="Q761" s="11">
        <f>IFERROR(__xludf.DUMMYFUNCTION("""COMPUTED_VALUE"""),44151.66666666667)</f>
        <v>44151.66667</v>
      </c>
      <c r="R761" s="9">
        <f>IFERROR(__xludf.DUMMYFUNCTION("""COMPUTED_VALUE"""),275.05)</f>
        <v>275.05</v>
      </c>
      <c r="S761" s="11">
        <f>IFERROR(__xludf.DUMMYFUNCTION("""COMPUTED_VALUE"""),44151.66666666667)</f>
        <v>44151.66667</v>
      </c>
      <c r="T761" s="9">
        <f>IFERROR(__xludf.DUMMYFUNCTION("""COMPUTED_VALUE"""),278.96)</f>
        <v>278.96</v>
      </c>
      <c r="V761" s="11">
        <f>IFERROR(__xludf.DUMMYFUNCTION("""COMPUTED_VALUE"""),44151.66666666667)</f>
        <v>44151.66667</v>
      </c>
      <c r="W761" s="9">
        <f>IFERROR(__xludf.DUMMYFUNCTION("""COMPUTED_VALUE"""),480.0)</f>
        <v>480</v>
      </c>
      <c r="X761" s="11">
        <f>IFERROR(__xludf.DUMMYFUNCTION("""COMPUTED_VALUE"""),44151.66666666667)</f>
        <v>44151.66667</v>
      </c>
      <c r="Y761" s="9">
        <f>IFERROR(__xludf.DUMMYFUNCTION("""COMPUTED_VALUE"""),479.1)</f>
        <v>479.1</v>
      </c>
      <c r="AA761" s="11">
        <f>IFERROR(__xludf.DUMMYFUNCTION("""COMPUTED_VALUE"""),44151.66666666667)</f>
        <v>44151.66667</v>
      </c>
      <c r="AB761" s="9">
        <f>IFERROR(__xludf.DUMMYFUNCTION("""COMPUTED_VALUE"""),3093.2)</f>
        <v>3093.2</v>
      </c>
      <c r="AC761" s="11">
        <f>IFERROR(__xludf.DUMMYFUNCTION("""COMPUTED_VALUE"""),44151.66666666667)</f>
        <v>44151.66667</v>
      </c>
      <c r="AD761" s="9">
        <f>IFERROR(__xludf.DUMMYFUNCTION("""COMPUTED_VALUE"""),3131.06)</f>
        <v>3131.06</v>
      </c>
    </row>
    <row r="762">
      <c r="B762" s="11">
        <f>IFERROR(__xludf.DUMMYFUNCTION("""COMPUTED_VALUE"""),44152.66666666667)</f>
        <v>44152.66667</v>
      </c>
      <c r="C762" s="9">
        <f>IFERROR(__xludf.DUMMYFUNCTION("""COMPUTED_VALUE"""),460.17)</f>
        <v>460.17</v>
      </c>
      <c r="D762" s="11">
        <f>IFERROR(__xludf.DUMMYFUNCTION("""COMPUTED_VALUE"""),44152.66666666667)</f>
        <v>44152.66667</v>
      </c>
      <c r="E762" s="9">
        <f>IFERROR(__xludf.DUMMYFUNCTION("""COMPUTED_VALUE"""),441.61)</f>
        <v>441.61</v>
      </c>
      <c r="G762" s="11">
        <f>IFERROR(__xludf.DUMMYFUNCTION("""COMPUTED_VALUE"""),44152.66666666667)</f>
        <v>44152.66667</v>
      </c>
      <c r="H762" s="9">
        <f>IFERROR(__xludf.DUMMYFUNCTION("""COMPUTED_VALUE"""),1776.94)</f>
        <v>1776.94</v>
      </c>
      <c r="I762" s="11">
        <f>IFERROR(__xludf.DUMMYFUNCTION("""COMPUTED_VALUE"""),44152.66666666667)</f>
        <v>44152.66667</v>
      </c>
      <c r="J762" s="9">
        <f>IFERROR(__xludf.DUMMYFUNCTION("""COMPUTED_VALUE"""),1770.15)</f>
        <v>1770.15</v>
      </c>
      <c r="L762" s="11">
        <f>IFERROR(__xludf.DUMMYFUNCTION("""COMPUTED_VALUE"""),44152.66666666667)</f>
        <v>44152.66667</v>
      </c>
      <c r="M762" s="9">
        <f>IFERROR(__xludf.DUMMYFUNCTION("""COMPUTED_VALUE"""),119.55)</f>
        <v>119.55</v>
      </c>
      <c r="N762" s="11">
        <f>IFERROR(__xludf.DUMMYFUNCTION("""COMPUTED_VALUE"""),44152.66666666667)</f>
        <v>44152.66667</v>
      </c>
      <c r="O762" s="9">
        <f>IFERROR(__xludf.DUMMYFUNCTION("""COMPUTED_VALUE"""),119.39)</f>
        <v>119.39</v>
      </c>
      <c r="Q762" s="11">
        <f>IFERROR(__xludf.DUMMYFUNCTION("""COMPUTED_VALUE"""),44152.66666666667)</f>
        <v>44152.66667</v>
      </c>
      <c r="R762" s="9">
        <f>IFERROR(__xludf.DUMMYFUNCTION("""COMPUTED_VALUE"""),277.68)</f>
        <v>277.68</v>
      </c>
      <c r="S762" s="11">
        <f>IFERROR(__xludf.DUMMYFUNCTION("""COMPUTED_VALUE"""),44152.66666666667)</f>
        <v>44152.66667</v>
      </c>
      <c r="T762" s="9">
        <f>IFERROR(__xludf.DUMMYFUNCTION("""COMPUTED_VALUE"""),275.0)</f>
        <v>275</v>
      </c>
      <c r="V762" s="11">
        <f>IFERROR(__xludf.DUMMYFUNCTION("""COMPUTED_VALUE"""),44152.66666666667)</f>
        <v>44152.66667</v>
      </c>
      <c r="W762" s="9">
        <f>IFERROR(__xludf.DUMMYFUNCTION("""COMPUTED_VALUE"""),480.12)</f>
        <v>480.12</v>
      </c>
      <c r="X762" s="11">
        <f>IFERROR(__xludf.DUMMYFUNCTION("""COMPUTED_VALUE"""),44152.66666666667)</f>
        <v>44152.66667</v>
      </c>
      <c r="Y762" s="9">
        <f>IFERROR(__xludf.DUMMYFUNCTION("""COMPUTED_VALUE"""),480.63)</f>
        <v>480.63</v>
      </c>
      <c r="AA762" s="11">
        <f>IFERROR(__xludf.DUMMYFUNCTION("""COMPUTED_VALUE"""),44152.66666666667)</f>
        <v>44152.66667</v>
      </c>
      <c r="AB762" s="9">
        <f>IFERROR(__xludf.DUMMYFUNCTION("""COMPUTED_VALUE"""),3183.54)</f>
        <v>3183.54</v>
      </c>
      <c r="AC762" s="11">
        <f>IFERROR(__xludf.DUMMYFUNCTION("""COMPUTED_VALUE"""),44152.66666666667)</f>
        <v>44152.66667</v>
      </c>
      <c r="AD762" s="9">
        <f>IFERROR(__xludf.DUMMYFUNCTION("""COMPUTED_VALUE"""),3135.66)</f>
        <v>3135.66</v>
      </c>
    </row>
    <row r="763">
      <c r="B763" s="11">
        <f>IFERROR(__xludf.DUMMYFUNCTION("""COMPUTED_VALUE"""),44153.66666666667)</f>
        <v>44153.66667</v>
      </c>
      <c r="C763" s="9">
        <f>IFERROR(__xludf.DUMMYFUNCTION("""COMPUTED_VALUE"""),448.35)</f>
        <v>448.35</v>
      </c>
      <c r="D763" s="11">
        <f>IFERROR(__xludf.DUMMYFUNCTION("""COMPUTED_VALUE"""),44153.66666666667)</f>
        <v>44153.66667</v>
      </c>
      <c r="E763" s="9">
        <f>IFERROR(__xludf.DUMMYFUNCTION("""COMPUTED_VALUE"""),486.64)</f>
        <v>486.64</v>
      </c>
      <c r="G763" s="11">
        <f>IFERROR(__xludf.DUMMYFUNCTION("""COMPUTED_VALUE"""),44153.66666666667)</f>
        <v>44153.66667</v>
      </c>
      <c r="H763" s="9">
        <f>IFERROR(__xludf.DUMMYFUNCTION("""COMPUTED_VALUE"""),1765.23)</f>
        <v>1765.23</v>
      </c>
      <c r="I763" s="11">
        <f>IFERROR(__xludf.DUMMYFUNCTION("""COMPUTED_VALUE"""),44153.66666666667)</f>
        <v>44153.66667</v>
      </c>
      <c r="J763" s="9">
        <f>IFERROR(__xludf.DUMMYFUNCTION("""COMPUTED_VALUE"""),1746.78)</f>
        <v>1746.78</v>
      </c>
      <c r="L763" s="11">
        <f>IFERROR(__xludf.DUMMYFUNCTION("""COMPUTED_VALUE"""),44153.66666666667)</f>
        <v>44153.66667</v>
      </c>
      <c r="M763" s="9">
        <f>IFERROR(__xludf.DUMMYFUNCTION("""COMPUTED_VALUE"""),118.61)</f>
        <v>118.61</v>
      </c>
      <c r="N763" s="11">
        <f>IFERROR(__xludf.DUMMYFUNCTION("""COMPUTED_VALUE"""),44153.66666666667)</f>
        <v>44153.66667</v>
      </c>
      <c r="O763" s="9">
        <f>IFERROR(__xludf.DUMMYFUNCTION("""COMPUTED_VALUE"""),118.03)</f>
        <v>118.03</v>
      </c>
      <c r="Q763" s="11">
        <f>IFERROR(__xludf.DUMMYFUNCTION("""COMPUTED_VALUE"""),44153.66666666667)</f>
        <v>44153.66667</v>
      </c>
      <c r="R763" s="9">
        <f>IFERROR(__xludf.DUMMYFUNCTION("""COMPUTED_VALUE"""),274.52)</f>
        <v>274.52</v>
      </c>
      <c r="S763" s="11">
        <f>IFERROR(__xludf.DUMMYFUNCTION("""COMPUTED_VALUE"""),44153.66666666667)</f>
        <v>44153.66667</v>
      </c>
      <c r="T763" s="9">
        <f>IFERROR(__xludf.DUMMYFUNCTION("""COMPUTED_VALUE"""),271.97)</f>
        <v>271.97</v>
      </c>
      <c r="V763" s="11">
        <f>IFERROR(__xludf.DUMMYFUNCTION("""COMPUTED_VALUE"""),44153.66666666667)</f>
        <v>44153.66667</v>
      </c>
      <c r="W763" s="9">
        <f>IFERROR(__xludf.DUMMYFUNCTION("""COMPUTED_VALUE"""),481.95)</f>
        <v>481.95</v>
      </c>
      <c r="X763" s="11">
        <f>IFERROR(__xludf.DUMMYFUNCTION("""COMPUTED_VALUE"""),44153.66666666667)</f>
        <v>44153.66667</v>
      </c>
      <c r="Y763" s="9">
        <f>IFERROR(__xludf.DUMMYFUNCTION("""COMPUTED_VALUE"""),481.79)</f>
        <v>481.79</v>
      </c>
      <c r="AA763" s="11">
        <f>IFERROR(__xludf.DUMMYFUNCTION("""COMPUTED_VALUE"""),44153.66666666667)</f>
        <v>44153.66667</v>
      </c>
      <c r="AB763" s="9">
        <f>IFERROR(__xludf.DUMMYFUNCTION("""COMPUTED_VALUE"""),3134.0)</f>
        <v>3134</v>
      </c>
      <c r="AC763" s="11">
        <f>IFERROR(__xludf.DUMMYFUNCTION("""COMPUTED_VALUE"""),44153.66666666667)</f>
        <v>44153.66667</v>
      </c>
      <c r="AD763" s="9">
        <f>IFERROR(__xludf.DUMMYFUNCTION("""COMPUTED_VALUE"""),3105.46)</f>
        <v>3105.46</v>
      </c>
    </row>
    <row r="764">
      <c r="B764" s="11">
        <f>IFERROR(__xludf.DUMMYFUNCTION("""COMPUTED_VALUE"""),44154.66666666667)</f>
        <v>44154.66667</v>
      </c>
      <c r="C764" s="9">
        <f>IFERROR(__xludf.DUMMYFUNCTION("""COMPUTED_VALUE"""),492.0)</f>
        <v>492</v>
      </c>
      <c r="D764" s="11">
        <f>IFERROR(__xludf.DUMMYFUNCTION("""COMPUTED_VALUE"""),44154.66666666667)</f>
        <v>44154.66667</v>
      </c>
      <c r="E764" s="9">
        <f>IFERROR(__xludf.DUMMYFUNCTION("""COMPUTED_VALUE"""),499.27)</f>
        <v>499.27</v>
      </c>
      <c r="G764" s="11">
        <f>IFERROR(__xludf.DUMMYFUNCTION("""COMPUTED_VALUE"""),44154.66666666667)</f>
        <v>44154.66667</v>
      </c>
      <c r="H764" s="9">
        <f>IFERROR(__xludf.DUMMYFUNCTION("""COMPUTED_VALUE"""),1738.38)</f>
        <v>1738.38</v>
      </c>
      <c r="I764" s="11">
        <f>IFERROR(__xludf.DUMMYFUNCTION("""COMPUTED_VALUE"""),44154.66666666667)</f>
        <v>44154.66667</v>
      </c>
      <c r="J764" s="9">
        <f>IFERROR(__xludf.DUMMYFUNCTION("""COMPUTED_VALUE"""),1763.92)</f>
        <v>1763.92</v>
      </c>
      <c r="L764" s="11">
        <f>IFERROR(__xludf.DUMMYFUNCTION("""COMPUTED_VALUE"""),44154.66666666667)</f>
        <v>44154.66667</v>
      </c>
      <c r="M764" s="9">
        <f>IFERROR(__xludf.DUMMYFUNCTION("""COMPUTED_VALUE"""),117.59)</f>
        <v>117.59</v>
      </c>
      <c r="N764" s="11">
        <f>IFERROR(__xludf.DUMMYFUNCTION("""COMPUTED_VALUE"""),44154.66666666667)</f>
        <v>44154.66667</v>
      </c>
      <c r="O764" s="9">
        <f>IFERROR(__xludf.DUMMYFUNCTION("""COMPUTED_VALUE"""),118.64)</f>
        <v>118.64</v>
      </c>
      <c r="Q764" s="11">
        <f>IFERROR(__xludf.DUMMYFUNCTION("""COMPUTED_VALUE"""),44154.66666666667)</f>
        <v>44154.66667</v>
      </c>
      <c r="R764" s="9">
        <f>IFERROR(__xludf.DUMMYFUNCTION("""COMPUTED_VALUE"""),271.02)</f>
        <v>271.02</v>
      </c>
      <c r="S764" s="11">
        <f>IFERROR(__xludf.DUMMYFUNCTION("""COMPUTED_VALUE"""),44154.66666666667)</f>
        <v>44154.66667</v>
      </c>
      <c r="T764" s="9">
        <f>IFERROR(__xludf.DUMMYFUNCTION("""COMPUTED_VALUE"""),272.94)</f>
        <v>272.94</v>
      </c>
      <c r="V764" s="11">
        <f>IFERROR(__xludf.DUMMYFUNCTION("""COMPUTED_VALUE"""),44154.66666666667)</f>
        <v>44154.66667</v>
      </c>
      <c r="W764" s="9">
        <f>IFERROR(__xludf.DUMMYFUNCTION("""COMPUTED_VALUE"""),482.0)</f>
        <v>482</v>
      </c>
      <c r="X764" s="11">
        <f>IFERROR(__xludf.DUMMYFUNCTION("""COMPUTED_VALUE"""),44154.66666666667)</f>
        <v>44154.66667</v>
      </c>
      <c r="Y764" s="9">
        <f>IFERROR(__xludf.DUMMYFUNCTION("""COMPUTED_VALUE"""),484.67)</f>
        <v>484.67</v>
      </c>
      <c r="AA764" s="11">
        <f>IFERROR(__xludf.DUMMYFUNCTION("""COMPUTED_VALUE"""),44154.66666666667)</f>
        <v>44154.66667</v>
      </c>
      <c r="AB764" s="9">
        <f>IFERROR(__xludf.DUMMYFUNCTION("""COMPUTED_VALUE"""),3105.31)</f>
        <v>3105.31</v>
      </c>
      <c r="AC764" s="11">
        <f>IFERROR(__xludf.DUMMYFUNCTION("""COMPUTED_VALUE"""),44154.66666666667)</f>
        <v>44154.66667</v>
      </c>
      <c r="AD764" s="9">
        <f>IFERROR(__xludf.DUMMYFUNCTION("""COMPUTED_VALUE"""),3117.02)</f>
        <v>3117.02</v>
      </c>
    </row>
    <row r="765">
      <c r="B765" s="11">
        <f>IFERROR(__xludf.DUMMYFUNCTION("""COMPUTED_VALUE"""),44155.66666666667)</f>
        <v>44155.66667</v>
      </c>
      <c r="C765" s="9">
        <f>IFERROR(__xludf.DUMMYFUNCTION("""COMPUTED_VALUE"""),497.99)</f>
        <v>497.99</v>
      </c>
      <c r="D765" s="11">
        <f>IFERROR(__xludf.DUMMYFUNCTION("""COMPUTED_VALUE"""),44155.66666666667)</f>
        <v>44155.66667</v>
      </c>
      <c r="E765" s="9">
        <f>IFERROR(__xludf.DUMMYFUNCTION("""COMPUTED_VALUE"""),489.61)</f>
        <v>489.61</v>
      </c>
      <c r="G765" s="11">
        <f>IFERROR(__xludf.DUMMYFUNCTION("""COMPUTED_VALUE"""),44155.66666666667)</f>
        <v>44155.66667</v>
      </c>
      <c r="H765" s="9">
        <f>IFERROR(__xludf.DUMMYFUNCTION("""COMPUTED_VALUE"""),1765.21)</f>
        <v>1765.21</v>
      </c>
      <c r="I765" s="11">
        <f>IFERROR(__xludf.DUMMYFUNCTION("""COMPUTED_VALUE"""),44155.66666666667)</f>
        <v>44155.66667</v>
      </c>
      <c r="J765" s="9">
        <f>IFERROR(__xludf.DUMMYFUNCTION("""COMPUTED_VALUE"""),1742.19)</f>
        <v>1742.19</v>
      </c>
      <c r="L765" s="11">
        <f>IFERROR(__xludf.DUMMYFUNCTION("""COMPUTED_VALUE"""),44155.66666666667)</f>
        <v>44155.66667</v>
      </c>
      <c r="M765" s="9">
        <f>IFERROR(__xludf.DUMMYFUNCTION("""COMPUTED_VALUE"""),118.64)</f>
        <v>118.64</v>
      </c>
      <c r="N765" s="11">
        <f>IFERROR(__xludf.DUMMYFUNCTION("""COMPUTED_VALUE"""),44155.66666666667)</f>
        <v>44155.66667</v>
      </c>
      <c r="O765" s="9">
        <f>IFERROR(__xludf.DUMMYFUNCTION("""COMPUTED_VALUE"""),117.34)</f>
        <v>117.34</v>
      </c>
      <c r="Q765" s="11">
        <f>IFERROR(__xludf.DUMMYFUNCTION("""COMPUTED_VALUE"""),44155.66666666667)</f>
        <v>44155.66667</v>
      </c>
      <c r="R765" s="9">
        <f>IFERROR(__xludf.DUMMYFUNCTION("""COMPUTED_VALUE"""),272.56)</f>
        <v>272.56</v>
      </c>
      <c r="S765" s="11">
        <f>IFERROR(__xludf.DUMMYFUNCTION("""COMPUTED_VALUE"""),44155.66666666667)</f>
        <v>44155.66667</v>
      </c>
      <c r="T765" s="9">
        <f>IFERROR(__xludf.DUMMYFUNCTION("""COMPUTED_VALUE"""),269.7)</f>
        <v>269.7</v>
      </c>
      <c r="V765" s="11">
        <f>IFERROR(__xludf.DUMMYFUNCTION("""COMPUTED_VALUE"""),44155.66666666667)</f>
        <v>44155.66667</v>
      </c>
      <c r="W765" s="9">
        <f>IFERROR(__xludf.DUMMYFUNCTION("""COMPUTED_VALUE"""),485.22)</f>
        <v>485.22</v>
      </c>
      <c r="X765" s="11">
        <f>IFERROR(__xludf.DUMMYFUNCTION("""COMPUTED_VALUE"""),44155.66666666667)</f>
        <v>44155.66667</v>
      </c>
      <c r="Y765" s="9">
        <f>IFERROR(__xludf.DUMMYFUNCTION("""COMPUTED_VALUE"""),488.24)</f>
        <v>488.24</v>
      </c>
      <c r="AA765" s="11">
        <f>IFERROR(__xludf.DUMMYFUNCTION("""COMPUTED_VALUE"""),44155.66666666667)</f>
        <v>44155.66667</v>
      </c>
      <c r="AB765" s="9">
        <f>IFERROR(__xludf.DUMMYFUNCTION("""COMPUTED_VALUE"""),3117.02)</f>
        <v>3117.02</v>
      </c>
      <c r="AC765" s="11">
        <f>IFERROR(__xludf.DUMMYFUNCTION("""COMPUTED_VALUE"""),44155.66666666667)</f>
        <v>44155.66667</v>
      </c>
      <c r="AD765" s="9">
        <f>IFERROR(__xludf.DUMMYFUNCTION("""COMPUTED_VALUE"""),3099.4)</f>
        <v>3099.4</v>
      </c>
    </row>
    <row r="766">
      <c r="B766" s="11">
        <f>IFERROR(__xludf.DUMMYFUNCTION("""COMPUTED_VALUE"""),44158.66666666667)</f>
        <v>44158.66667</v>
      </c>
      <c r="C766" s="9">
        <f>IFERROR(__xludf.DUMMYFUNCTION("""COMPUTED_VALUE"""),503.5)</f>
        <v>503.5</v>
      </c>
      <c r="D766" s="11">
        <f>IFERROR(__xludf.DUMMYFUNCTION("""COMPUTED_VALUE"""),44158.66666666667)</f>
        <v>44158.66667</v>
      </c>
      <c r="E766" s="9">
        <f>IFERROR(__xludf.DUMMYFUNCTION("""COMPUTED_VALUE"""),521.85)</f>
        <v>521.85</v>
      </c>
      <c r="G766" s="11">
        <f>IFERROR(__xludf.DUMMYFUNCTION("""COMPUTED_VALUE"""),44158.66666666667)</f>
        <v>44158.66667</v>
      </c>
      <c r="H766" s="9">
        <f>IFERROR(__xludf.DUMMYFUNCTION("""COMPUTED_VALUE"""),1749.6)</f>
        <v>1749.6</v>
      </c>
      <c r="I766" s="11">
        <f>IFERROR(__xludf.DUMMYFUNCTION("""COMPUTED_VALUE"""),44158.66666666667)</f>
        <v>44158.66667</v>
      </c>
      <c r="J766" s="9">
        <f>IFERROR(__xludf.DUMMYFUNCTION("""COMPUTED_VALUE"""),1734.86)</f>
        <v>1734.86</v>
      </c>
      <c r="L766" s="11">
        <f>IFERROR(__xludf.DUMMYFUNCTION("""COMPUTED_VALUE"""),44158.66666666667)</f>
        <v>44158.66667</v>
      </c>
      <c r="M766" s="9">
        <f>IFERROR(__xludf.DUMMYFUNCTION("""COMPUTED_VALUE"""),117.18)</f>
        <v>117.18</v>
      </c>
      <c r="N766" s="11">
        <f>IFERROR(__xludf.DUMMYFUNCTION("""COMPUTED_VALUE"""),44158.66666666667)</f>
        <v>44158.66667</v>
      </c>
      <c r="O766" s="9">
        <f>IFERROR(__xludf.DUMMYFUNCTION("""COMPUTED_VALUE"""),113.85)</f>
        <v>113.85</v>
      </c>
      <c r="Q766" s="11">
        <f>IFERROR(__xludf.DUMMYFUNCTION("""COMPUTED_VALUE"""),44158.66666666667)</f>
        <v>44158.66667</v>
      </c>
      <c r="R766" s="9">
        <f>IFERROR(__xludf.DUMMYFUNCTION("""COMPUTED_VALUE"""),270.89)</f>
        <v>270.89</v>
      </c>
      <c r="S766" s="11">
        <f>IFERROR(__xludf.DUMMYFUNCTION("""COMPUTED_VALUE"""),44158.66666666667)</f>
        <v>44158.66667</v>
      </c>
      <c r="T766" s="9">
        <f>IFERROR(__xludf.DUMMYFUNCTION("""COMPUTED_VALUE"""),268.43)</f>
        <v>268.43</v>
      </c>
      <c r="V766" s="11">
        <f>IFERROR(__xludf.DUMMYFUNCTION("""COMPUTED_VALUE"""),44158.66666666667)</f>
        <v>44158.66667</v>
      </c>
      <c r="W766" s="9">
        <f>IFERROR(__xludf.DUMMYFUNCTION("""COMPUTED_VALUE"""),490.46)</f>
        <v>490.46</v>
      </c>
      <c r="X766" s="11">
        <f>IFERROR(__xludf.DUMMYFUNCTION("""COMPUTED_VALUE"""),44158.66666666667)</f>
        <v>44158.66667</v>
      </c>
      <c r="Y766" s="9">
        <f>IFERROR(__xludf.DUMMYFUNCTION("""COMPUTED_VALUE"""),476.62)</f>
        <v>476.62</v>
      </c>
      <c r="AA766" s="11">
        <f>IFERROR(__xludf.DUMMYFUNCTION("""COMPUTED_VALUE"""),44158.66666666667)</f>
        <v>44158.66667</v>
      </c>
      <c r="AB766" s="9">
        <f>IFERROR(__xludf.DUMMYFUNCTION("""COMPUTED_VALUE"""),3116.7)</f>
        <v>3116.7</v>
      </c>
      <c r="AC766" s="11">
        <f>IFERROR(__xludf.DUMMYFUNCTION("""COMPUTED_VALUE"""),44158.66666666667)</f>
        <v>44158.66667</v>
      </c>
      <c r="AD766" s="9">
        <f>IFERROR(__xludf.DUMMYFUNCTION("""COMPUTED_VALUE"""),3098.39)</f>
        <v>3098.39</v>
      </c>
    </row>
    <row r="767">
      <c r="B767" s="11">
        <f>IFERROR(__xludf.DUMMYFUNCTION("""COMPUTED_VALUE"""),44159.66666666667)</f>
        <v>44159.66667</v>
      </c>
      <c r="C767" s="9">
        <f>IFERROR(__xludf.DUMMYFUNCTION("""COMPUTED_VALUE"""),540.4)</f>
        <v>540.4</v>
      </c>
      <c r="D767" s="11">
        <f>IFERROR(__xludf.DUMMYFUNCTION("""COMPUTED_VALUE"""),44159.66666666667)</f>
        <v>44159.66667</v>
      </c>
      <c r="E767" s="9">
        <f>IFERROR(__xludf.DUMMYFUNCTION("""COMPUTED_VALUE"""),555.38)</f>
        <v>555.38</v>
      </c>
      <c r="G767" s="11">
        <f>IFERROR(__xludf.DUMMYFUNCTION("""COMPUTED_VALUE"""),44159.66666666667)</f>
        <v>44159.66667</v>
      </c>
      <c r="H767" s="9">
        <f>IFERROR(__xludf.DUMMYFUNCTION("""COMPUTED_VALUE"""),1730.5)</f>
        <v>1730.5</v>
      </c>
      <c r="I767" s="11">
        <f>IFERROR(__xludf.DUMMYFUNCTION("""COMPUTED_VALUE"""),44159.66666666667)</f>
        <v>44159.66667</v>
      </c>
      <c r="J767" s="9">
        <f>IFERROR(__xludf.DUMMYFUNCTION("""COMPUTED_VALUE"""),1768.88)</f>
        <v>1768.88</v>
      </c>
      <c r="L767" s="11">
        <f>IFERROR(__xludf.DUMMYFUNCTION("""COMPUTED_VALUE"""),44159.66666666667)</f>
        <v>44159.66667</v>
      </c>
      <c r="M767" s="9">
        <f>IFERROR(__xludf.DUMMYFUNCTION("""COMPUTED_VALUE"""),113.91)</f>
        <v>113.91</v>
      </c>
      <c r="N767" s="11">
        <f>IFERROR(__xludf.DUMMYFUNCTION("""COMPUTED_VALUE"""),44159.66666666667)</f>
        <v>44159.66667</v>
      </c>
      <c r="O767" s="9">
        <f>IFERROR(__xludf.DUMMYFUNCTION("""COMPUTED_VALUE"""),115.17)</f>
        <v>115.17</v>
      </c>
      <c r="Q767" s="11">
        <f>IFERROR(__xludf.DUMMYFUNCTION("""COMPUTED_VALUE"""),44159.66666666667)</f>
        <v>44159.66667</v>
      </c>
      <c r="R767" s="9">
        <f>IFERROR(__xludf.DUMMYFUNCTION("""COMPUTED_VALUE"""),268.49)</f>
        <v>268.49</v>
      </c>
      <c r="S767" s="11">
        <f>IFERROR(__xludf.DUMMYFUNCTION("""COMPUTED_VALUE"""),44159.66666666667)</f>
        <v>44159.66667</v>
      </c>
      <c r="T767" s="9">
        <f>IFERROR(__xludf.DUMMYFUNCTION("""COMPUTED_VALUE"""),276.92)</f>
        <v>276.92</v>
      </c>
      <c r="V767" s="11">
        <f>IFERROR(__xludf.DUMMYFUNCTION("""COMPUTED_VALUE"""),44159.66666666667)</f>
        <v>44159.66667</v>
      </c>
      <c r="W767" s="9">
        <f>IFERROR(__xludf.DUMMYFUNCTION("""COMPUTED_VALUE"""),478.84)</f>
        <v>478.84</v>
      </c>
      <c r="X767" s="11">
        <f>IFERROR(__xludf.DUMMYFUNCTION("""COMPUTED_VALUE"""),44159.66666666667)</f>
        <v>44159.66667</v>
      </c>
      <c r="Y767" s="9">
        <f>IFERROR(__xludf.DUMMYFUNCTION("""COMPUTED_VALUE"""),482.88)</f>
        <v>482.88</v>
      </c>
      <c r="AA767" s="11">
        <f>IFERROR(__xludf.DUMMYFUNCTION("""COMPUTED_VALUE"""),44159.66666666667)</f>
        <v>44159.66667</v>
      </c>
      <c r="AB767" s="9">
        <f>IFERROR(__xludf.DUMMYFUNCTION("""COMPUTED_VALUE"""),3100.5)</f>
        <v>3100.5</v>
      </c>
      <c r="AC767" s="11">
        <f>IFERROR(__xludf.DUMMYFUNCTION("""COMPUTED_VALUE"""),44159.66666666667)</f>
        <v>44159.66667</v>
      </c>
      <c r="AD767" s="9">
        <f>IFERROR(__xludf.DUMMYFUNCTION("""COMPUTED_VALUE"""),3118.06)</f>
        <v>3118.06</v>
      </c>
    </row>
    <row r="768">
      <c r="B768" s="11">
        <f>IFERROR(__xludf.DUMMYFUNCTION("""COMPUTED_VALUE"""),44160.66666666667)</f>
        <v>44160.66667</v>
      </c>
      <c r="C768" s="9">
        <f>IFERROR(__xludf.DUMMYFUNCTION("""COMPUTED_VALUE"""),550.06)</f>
        <v>550.06</v>
      </c>
      <c r="D768" s="11">
        <f>IFERROR(__xludf.DUMMYFUNCTION("""COMPUTED_VALUE"""),44160.66666666667)</f>
        <v>44160.66667</v>
      </c>
      <c r="E768" s="9">
        <f>IFERROR(__xludf.DUMMYFUNCTION("""COMPUTED_VALUE"""),574.0)</f>
        <v>574</v>
      </c>
      <c r="G768" s="11">
        <f>IFERROR(__xludf.DUMMYFUNCTION("""COMPUTED_VALUE"""),44160.66666666667)</f>
        <v>44160.66667</v>
      </c>
      <c r="H768" s="9">
        <f>IFERROR(__xludf.DUMMYFUNCTION("""COMPUTED_VALUE"""),1772.89)</f>
        <v>1772.89</v>
      </c>
      <c r="I768" s="11">
        <f>IFERROR(__xludf.DUMMYFUNCTION("""COMPUTED_VALUE"""),44160.66666666667)</f>
        <v>44160.66667</v>
      </c>
      <c r="J768" s="9">
        <f>IFERROR(__xludf.DUMMYFUNCTION("""COMPUTED_VALUE"""),1771.43)</f>
        <v>1771.43</v>
      </c>
      <c r="L768" s="11">
        <f>IFERROR(__xludf.DUMMYFUNCTION("""COMPUTED_VALUE"""),44160.66666666667)</f>
        <v>44160.66667</v>
      </c>
      <c r="M768" s="9">
        <f>IFERROR(__xludf.DUMMYFUNCTION("""COMPUTED_VALUE"""),115.55)</f>
        <v>115.55</v>
      </c>
      <c r="N768" s="11">
        <f>IFERROR(__xludf.DUMMYFUNCTION("""COMPUTED_VALUE"""),44160.66666666667)</f>
        <v>44160.66667</v>
      </c>
      <c r="O768" s="9">
        <f>IFERROR(__xludf.DUMMYFUNCTION("""COMPUTED_VALUE"""),116.03)</f>
        <v>116.03</v>
      </c>
      <c r="Q768" s="11">
        <f>IFERROR(__xludf.DUMMYFUNCTION("""COMPUTED_VALUE"""),44160.66666666667)</f>
        <v>44160.66667</v>
      </c>
      <c r="R768" s="9">
        <f>IFERROR(__xludf.DUMMYFUNCTION("""COMPUTED_VALUE"""),278.14)</f>
        <v>278.14</v>
      </c>
      <c r="S768" s="11">
        <f>IFERROR(__xludf.DUMMYFUNCTION("""COMPUTED_VALUE"""),44160.66666666667)</f>
        <v>44160.66667</v>
      </c>
      <c r="T768" s="9">
        <f>IFERROR(__xludf.DUMMYFUNCTION("""COMPUTED_VALUE"""),275.59)</f>
        <v>275.59</v>
      </c>
      <c r="V768" s="11">
        <f>IFERROR(__xludf.DUMMYFUNCTION("""COMPUTED_VALUE"""),44160.66666666667)</f>
        <v>44160.66667</v>
      </c>
      <c r="W768" s="9">
        <f>IFERROR(__xludf.DUMMYFUNCTION("""COMPUTED_VALUE"""),485.13)</f>
        <v>485.13</v>
      </c>
      <c r="X768" s="11">
        <f>IFERROR(__xludf.DUMMYFUNCTION("""COMPUTED_VALUE"""),44160.66666666667)</f>
        <v>44160.66667</v>
      </c>
      <c r="Y768" s="9">
        <f>IFERROR(__xludf.DUMMYFUNCTION("""COMPUTED_VALUE"""),485.0)</f>
        <v>485</v>
      </c>
      <c r="AA768" s="11">
        <f>IFERROR(__xludf.DUMMYFUNCTION("""COMPUTED_VALUE"""),44160.66666666667)</f>
        <v>44160.66667</v>
      </c>
      <c r="AB768" s="9">
        <f>IFERROR(__xludf.DUMMYFUNCTION("""COMPUTED_VALUE"""),3141.87)</f>
        <v>3141.87</v>
      </c>
      <c r="AC768" s="11">
        <f>IFERROR(__xludf.DUMMYFUNCTION("""COMPUTED_VALUE"""),44160.66666666667)</f>
        <v>44160.66667</v>
      </c>
      <c r="AD768" s="9">
        <f>IFERROR(__xludf.DUMMYFUNCTION("""COMPUTED_VALUE"""),3185.07)</f>
        <v>3185.07</v>
      </c>
    </row>
    <row r="769">
      <c r="B769" s="11">
        <f>IFERROR(__xludf.DUMMYFUNCTION("""COMPUTED_VALUE"""),44162.54166666667)</f>
        <v>44162.54167</v>
      </c>
      <c r="C769" s="9">
        <f>IFERROR(__xludf.DUMMYFUNCTION("""COMPUTED_VALUE"""),581.16)</f>
        <v>581.16</v>
      </c>
      <c r="D769" s="11">
        <f>IFERROR(__xludf.DUMMYFUNCTION("""COMPUTED_VALUE"""),44162.54166666667)</f>
        <v>44162.54167</v>
      </c>
      <c r="E769" s="9">
        <f>IFERROR(__xludf.DUMMYFUNCTION("""COMPUTED_VALUE"""),585.76)</f>
        <v>585.76</v>
      </c>
      <c r="G769" s="11">
        <f>IFERROR(__xludf.DUMMYFUNCTION("""COMPUTED_VALUE"""),44162.54166666667)</f>
        <v>44162.54167</v>
      </c>
      <c r="H769" s="9">
        <f>IFERROR(__xludf.DUMMYFUNCTION("""COMPUTED_VALUE"""),1773.09)</f>
        <v>1773.09</v>
      </c>
      <c r="I769" s="11">
        <f>IFERROR(__xludf.DUMMYFUNCTION("""COMPUTED_VALUE"""),44162.54166666667)</f>
        <v>44162.54167</v>
      </c>
      <c r="J769" s="9">
        <f>IFERROR(__xludf.DUMMYFUNCTION("""COMPUTED_VALUE"""),1793.19)</f>
        <v>1793.19</v>
      </c>
      <c r="L769" s="11">
        <f>IFERROR(__xludf.DUMMYFUNCTION("""COMPUTED_VALUE"""),44162.54166666667)</f>
        <v>44162.54167</v>
      </c>
      <c r="M769" s="9">
        <f>IFERROR(__xludf.DUMMYFUNCTION("""COMPUTED_VALUE"""),116.57)</f>
        <v>116.57</v>
      </c>
      <c r="N769" s="11">
        <f>IFERROR(__xludf.DUMMYFUNCTION("""COMPUTED_VALUE"""),44162.54166666667)</f>
        <v>44162.54167</v>
      </c>
      <c r="O769" s="9">
        <f>IFERROR(__xludf.DUMMYFUNCTION("""COMPUTED_VALUE"""),116.59)</f>
        <v>116.59</v>
      </c>
      <c r="Q769" s="11">
        <f>IFERROR(__xludf.DUMMYFUNCTION("""COMPUTED_VALUE"""),44162.54166666667)</f>
        <v>44162.54167</v>
      </c>
      <c r="R769" s="9">
        <f>IFERROR(__xludf.DUMMYFUNCTION("""COMPUTED_VALUE"""),277.39)</f>
        <v>277.39</v>
      </c>
      <c r="S769" s="11">
        <f>IFERROR(__xludf.DUMMYFUNCTION("""COMPUTED_VALUE"""),44162.54166666667)</f>
        <v>44162.54167</v>
      </c>
      <c r="T769" s="9">
        <f>IFERROR(__xludf.DUMMYFUNCTION("""COMPUTED_VALUE"""),277.81)</f>
        <v>277.81</v>
      </c>
      <c r="V769" s="11">
        <f>IFERROR(__xludf.DUMMYFUNCTION("""COMPUTED_VALUE"""),44162.54166666667)</f>
        <v>44162.54167</v>
      </c>
      <c r="W769" s="9">
        <f>IFERROR(__xludf.DUMMYFUNCTION("""COMPUTED_VALUE"""),486.58)</f>
        <v>486.58</v>
      </c>
      <c r="X769" s="11">
        <f>IFERROR(__xludf.DUMMYFUNCTION("""COMPUTED_VALUE"""),44162.54166666667)</f>
        <v>44162.54167</v>
      </c>
      <c r="Y769" s="9">
        <f>IFERROR(__xludf.DUMMYFUNCTION("""COMPUTED_VALUE"""),491.36)</f>
        <v>491.36</v>
      </c>
      <c r="AA769" s="11">
        <f>IFERROR(__xludf.DUMMYFUNCTION("""COMPUTED_VALUE"""),44162.54166666667)</f>
        <v>44162.54167</v>
      </c>
      <c r="AB769" s="9">
        <f>IFERROR(__xludf.DUMMYFUNCTION("""COMPUTED_VALUE"""),3211.26)</f>
        <v>3211.26</v>
      </c>
      <c r="AC769" s="11">
        <f>IFERROR(__xludf.DUMMYFUNCTION("""COMPUTED_VALUE"""),44162.54166666667)</f>
        <v>44162.54167</v>
      </c>
      <c r="AD769" s="9">
        <f>IFERROR(__xludf.DUMMYFUNCTION("""COMPUTED_VALUE"""),3195.34)</f>
        <v>3195.34</v>
      </c>
    </row>
    <row r="770">
      <c r="B770" s="11">
        <f>IFERROR(__xludf.DUMMYFUNCTION("""COMPUTED_VALUE"""),44165.66666666667)</f>
        <v>44165.66667</v>
      </c>
      <c r="C770" s="9">
        <f>IFERROR(__xludf.DUMMYFUNCTION("""COMPUTED_VALUE"""),602.21)</f>
        <v>602.21</v>
      </c>
      <c r="D770" s="11">
        <f>IFERROR(__xludf.DUMMYFUNCTION("""COMPUTED_VALUE"""),44165.66666666667)</f>
        <v>44165.66667</v>
      </c>
      <c r="E770" s="9">
        <f>IFERROR(__xludf.DUMMYFUNCTION("""COMPUTED_VALUE"""),567.6)</f>
        <v>567.6</v>
      </c>
      <c r="G770" s="11">
        <f>IFERROR(__xludf.DUMMYFUNCTION("""COMPUTED_VALUE"""),44165.66666666667)</f>
        <v>44165.66667</v>
      </c>
      <c r="H770" s="9">
        <f>IFERROR(__xludf.DUMMYFUNCTION("""COMPUTED_VALUE"""),1781.18)</f>
        <v>1781.18</v>
      </c>
      <c r="I770" s="11">
        <f>IFERROR(__xludf.DUMMYFUNCTION("""COMPUTED_VALUE"""),44165.66666666667)</f>
        <v>44165.66667</v>
      </c>
      <c r="J770" s="9">
        <f>IFERROR(__xludf.DUMMYFUNCTION("""COMPUTED_VALUE"""),1760.74)</f>
        <v>1760.74</v>
      </c>
      <c r="L770" s="11">
        <f>IFERROR(__xludf.DUMMYFUNCTION("""COMPUTED_VALUE"""),44165.66666666667)</f>
        <v>44165.66667</v>
      </c>
      <c r="M770" s="9">
        <f>IFERROR(__xludf.DUMMYFUNCTION("""COMPUTED_VALUE"""),116.97)</f>
        <v>116.97</v>
      </c>
      <c r="N770" s="11">
        <f>IFERROR(__xludf.DUMMYFUNCTION("""COMPUTED_VALUE"""),44165.66666666667)</f>
        <v>44165.66667</v>
      </c>
      <c r="O770" s="9">
        <f>IFERROR(__xludf.DUMMYFUNCTION("""COMPUTED_VALUE"""),119.05)</f>
        <v>119.05</v>
      </c>
      <c r="Q770" s="11">
        <f>IFERROR(__xludf.DUMMYFUNCTION("""COMPUTED_VALUE"""),44165.66666666667)</f>
        <v>44165.66667</v>
      </c>
      <c r="R770" s="9">
        <f>IFERROR(__xludf.DUMMYFUNCTION("""COMPUTED_VALUE"""),276.03)</f>
        <v>276.03</v>
      </c>
      <c r="S770" s="11">
        <f>IFERROR(__xludf.DUMMYFUNCTION("""COMPUTED_VALUE"""),44165.66666666667)</f>
        <v>44165.66667</v>
      </c>
      <c r="T770" s="9">
        <f>IFERROR(__xludf.DUMMYFUNCTION("""COMPUTED_VALUE"""),276.97)</f>
        <v>276.97</v>
      </c>
      <c r="V770" s="11">
        <f>IFERROR(__xludf.DUMMYFUNCTION("""COMPUTED_VALUE"""),44165.66666666667)</f>
        <v>44165.66667</v>
      </c>
      <c r="W770" s="9">
        <f>IFERROR(__xludf.DUMMYFUNCTION("""COMPUTED_VALUE"""),490.08)</f>
        <v>490.08</v>
      </c>
      <c r="X770" s="11">
        <f>IFERROR(__xludf.DUMMYFUNCTION("""COMPUTED_VALUE"""),44165.66666666667)</f>
        <v>44165.66667</v>
      </c>
      <c r="Y770" s="9">
        <f>IFERROR(__xludf.DUMMYFUNCTION("""COMPUTED_VALUE"""),490.7)</f>
        <v>490.7</v>
      </c>
      <c r="AA770" s="11">
        <f>IFERROR(__xludf.DUMMYFUNCTION("""COMPUTED_VALUE"""),44165.66666666667)</f>
        <v>44165.66667</v>
      </c>
      <c r="AB770" s="9">
        <f>IFERROR(__xludf.DUMMYFUNCTION("""COMPUTED_VALUE"""),3208.48)</f>
        <v>3208.48</v>
      </c>
      <c r="AC770" s="11">
        <f>IFERROR(__xludf.DUMMYFUNCTION("""COMPUTED_VALUE"""),44165.66666666667)</f>
        <v>44165.66667</v>
      </c>
      <c r="AD770" s="9">
        <f>IFERROR(__xludf.DUMMYFUNCTION("""COMPUTED_VALUE"""),3168.04)</f>
        <v>3168.04</v>
      </c>
    </row>
    <row r="771">
      <c r="B771" s="11">
        <f>IFERROR(__xludf.DUMMYFUNCTION("""COMPUTED_VALUE"""),44166.66666666667)</f>
        <v>44166.66667</v>
      </c>
      <c r="C771" s="9">
        <f>IFERROR(__xludf.DUMMYFUNCTION("""COMPUTED_VALUE"""),597.59)</f>
        <v>597.59</v>
      </c>
      <c r="D771" s="11">
        <f>IFERROR(__xludf.DUMMYFUNCTION("""COMPUTED_VALUE"""),44166.66666666667)</f>
        <v>44166.66667</v>
      </c>
      <c r="E771" s="9">
        <f>IFERROR(__xludf.DUMMYFUNCTION("""COMPUTED_VALUE"""),584.76)</f>
        <v>584.76</v>
      </c>
      <c r="G771" s="11">
        <f>IFERROR(__xludf.DUMMYFUNCTION("""COMPUTED_VALUE"""),44166.66666666667)</f>
        <v>44166.66667</v>
      </c>
      <c r="H771" s="9">
        <f>IFERROR(__xludf.DUMMYFUNCTION("""COMPUTED_VALUE"""),1774.37)</f>
        <v>1774.37</v>
      </c>
      <c r="I771" s="11">
        <f>IFERROR(__xludf.DUMMYFUNCTION("""COMPUTED_VALUE"""),44166.66666666667)</f>
        <v>44166.66667</v>
      </c>
      <c r="J771" s="9">
        <f>IFERROR(__xludf.DUMMYFUNCTION("""COMPUTED_VALUE"""),1798.1)</f>
        <v>1798.1</v>
      </c>
      <c r="L771" s="11">
        <f>IFERROR(__xludf.DUMMYFUNCTION("""COMPUTED_VALUE"""),44166.66666666667)</f>
        <v>44166.66667</v>
      </c>
      <c r="M771" s="9">
        <f>IFERROR(__xludf.DUMMYFUNCTION("""COMPUTED_VALUE"""),121.01)</f>
        <v>121.01</v>
      </c>
      <c r="N771" s="11">
        <f>IFERROR(__xludf.DUMMYFUNCTION("""COMPUTED_VALUE"""),44166.66666666667)</f>
        <v>44166.66667</v>
      </c>
      <c r="O771" s="9">
        <f>IFERROR(__xludf.DUMMYFUNCTION("""COMPUTED_VALUE"""),122.72)</f>
        <v>122.72</v>
      </c>
      <c r="Q771" s="11">
        <f>IFERROR(__xludf.DUMMYFUNCTION("""COMPUTED_VALUE"""),44166.66666666667)</f>
        <v>44166.66667</v>
      </c>
      <c r="R771" s="9">
        <f>IFERROR(__xludf.DUMMYFUNCTION("""COMPUTED_VALUE"""),279.16)</f>
        <v>279.16</v>
      </c>
      <c r="S771" s="11">
        <f>IFERROR(__xludf.DUMMYFUNCTION("""COMPUTED_VALUE"""),44166.66666666667)</f>
        <v>44166.66667</v>
      </c>
      <c r="T771" s="9">
        <f>IFERROR(__xludf.DUMMYFUNCTION("""COMPUTED_VALUE"""),286.55)</f>
        <v>286.55</v>
      </c>
      <c r="V771" s="11">
        <f>IFERROR(__xludf.DUMMYFUNCTION("""COMPUTED_VALUE"""),44166.66666666667)</f>
        <v>44166.66667</v>
      </c>
      <c r="W771" s="9">
        <f>IFERROR(__xludf.DUMMYFUNCTION("""COMPUTED_VALUE"""),492.34)</f>
        <v>492.34</v>
      </c>
      <c r="X771" s="11">
        <f>IFERROR(__xludf.DUMMYFUNCTION("""COMPUTED_VALUE"""),44166.66666666667)</f>
        <v>44166.66667</v>
      </c>
      <c r="Y771" s="9">
        <f>IFERROR(__xludf.DUMMYFUNCTION("""COMPUTED_VALUE"""),504.58)</f>
        <v>504.58</v>
      </c>
      <c r="AA771" s="11">
        <f>IFERROR(__xludf.DUMMYFUNCTION("""COMPUTED_VALUE"""),44166.66666666667)</f>
        <v>44166.66667</v>
      </c>
      <c r="AB771" s="9">
        <f>IFERROR(__xludf.DUMMYFUNCTION("""COMPUTED_VALUE"""),3188.5)</f>
        <v>3188.5</v>
      </c>
      <c r="AC771" s="11">
        <f>IFERROR(__xludf.DUMMYFUNCTION("""COMPUTED_VALUE"""),44166.66666666667)</f>
        <v>44166.66667</v>
      </c>
      <c r="AD771" s="9">
        <f>IFERROR(__xludf.DUMMYFUNCTION("""COMPUTED_VALUE"""),3220.08)</f>
        <v>3220.08</v>
      </c>
    </row>
    <row r="772">
      <c r="B772" s="11">
        <f>IFERROR(__xludf.DUMMYFUNCTION("""COMPUTED_VALUE"""),44167.66666666667)</f>
        <v>44167.66667</v>
      </c>
      <c r="C772" s="9">
        <f>IFERROR(__xludf.DUMMYFUNCTION("""COMPUTED_VALUE"""),556.44)</f>
        <v>556.44</v>
      </c>
      <c r="D772" s="11">
        <f>IFERROR(__xludf.DUMMYFUNCTION("""COMPUTED_VALUE"""),44167.66666666667)</f>
        <v>44167.66667</v>
      </c>
      <c r="E772" s="9">
        <f>IFERROR(__xludf.DUMMYFUNCTION("""COMPUTED_VALUE"""),568.82)</f>
        <v>568.82</v>
      </c>
      <c r="G772" s="11">
        <f>IFERROR(__xludf.DUMMYFUNCTION("""COMPUTED_VALUE"""),44167.66666666667)</f>
        <v>44167.66667</v>
      </c>
      <c r="H772" s="9">
        <f>IFERROR(__xludf.DUMMYFUNCTION("""COMPUTED_VALUE"""),1798.1)</f>
        <v>1798.1</v>
      </c>
      <c r="I772" s="11">
        <f>IFERROR(__xludf.DUMMYFUNCTION("""COMPUTED_VALUE"""),44167.66666666667)</f>
        <v>44167.66667</v>
      </c>
      <c r="J772" s="9">
        <f>IFERROR(__xludf.DUMMYFUNCTION("""COMPUTED_VALUE"""),1827.95)</f>
        <v>1827.95</v>
      </c>
      <c r="L772" s="11">
        <f>IFERROR(__xludf.DUMMYFUNCTION("""COMPUTED_VALUE"""),44167.66666666667)</f>
        <v>44167.66667</v>
      </c>
      <c r="M772" s="9">
        <f>IFERROR(__xludf.DUMMYFUNCTION("""COMPUTED_VALUE"""),122.02)</f>
        <v>122.02</v>
      </c>
      <c r="N772" s="11">
        <f>IFERROR(__xludf.DUMMYFUNCTION("""COMPUTED_VALUE"""),44167.66666666667)</f>
        <v>44167.66667</v>
      </c>
      <c r="O772" s="9">
        <f>IFERROR(__xludf.DUMMYFUNCTION("""COMPUTED_VALUE"""),123.08)</f>
        <v>123.08</v>
      </c>
      <c r="Q772" s="11">
        <f>IFERROR(__xludf.DUMMYFUNCTION("""COMPUTED_VALUE"""),44167.66666666667)</f>
        <v>44167.66667</v>
      </c>
      <c r="R772" s="9">
        <f>IFERROR(__xludf.DUMMYFUNCTION("""COMPUTED_VALUE"""),285.36)</f>
        <v>285.36</v>
      </c>
      <c r="S772" s="11">
        <f>IFERROR(__xludf.DUMMYFUNCTION("""COMPUTED_VALUE"""),44167.66666666667)</f>
        <v>44167.66667</v>
      </c>
      <c r="T772" s="9">
        <f>IFERROR(__xludf.DUMMYFUNCTION("""COMPUTED_VALUE"""),287.52)</f>
        <v>287.52</v>
      </c>
      <c r="V772" s="11">
        <f>IFERROR(__xludf.DUMMYFUNCTION("""COMPUTED_VALUE"""),44167.66666666667)</f>
        <v>44167.66667</v>
      </c>
      <c r="W772" s="9">
        <f>IFERROR(__xludf.DUMMYFUNCTION("""COMPUTED_VALUE"""),501.62)</f>
        <v>501.62</v>
      </c>
      <c r="X772" s="11">
        <f>IFERROR(__xludf.DUMMYFUNCTION("""COMPUTED_VALUE"""),44167.66666666667)</f>
        <v>44167.66667</v>
      </c>
      <c r="Y772" s="9">
        <f>IFERROR(__xludf.DUMMYFUNCTION("""COMPUTED_VALUE"""),503.38)</f>
        <v>503.38</v>
      </c>
      <c r="AA772" s="11">
        <f>IFERROR(__xludf.DUMMYFUNCTION("""COMPUTED_VALUE"""),44167.66666666667)</f>
        <v>44167.66667</v>
      </c>
      <c r="AB772" s="9">
        <f>IFERROR(__xludf.DUMMYFUNCTION("""COMPUTED_VALUE"""),3221.65)</f>
        <v>3221.65</v>
      </c>
      <c r="AC772" s="11">
        <f>IFERROR(__xludf.DUMMYFUNCTION("""COMPUTED_VALUE"""),44167.66666666667)</f>
        <v>44167.66667</v>
      </c>
      <c r="AD772" s="9">
        <f>IFERROR(__xludf.DUMMYFUNCTION("""COMPUTED_VALUE"""),3203.53)</f>
        <v>3203.53</v>
      </c>
    </row>
    <row r="773">
      <c r="B773" s="11">
        <f>IFERROR(__xludf.DUMMYFUNCTION("""COMPUTED_VALUE"""),44168.66666666667)</f>
        <v>44168.66667</v>
      </c>
      <c r="C773" s="9">
        <f>IFERROR(__xludf.DUMMYFUNCTION("""COMPUTED_VALUE"""),590.02)</f>
        <v>590.02</v>
      </c>
      <c r="D773" s="11">
        <f>IFERROR(__xludf.DUMMYFUNCTION("""COMPUTED_VALUE"""),44168.66666666667)</f>
        <v>44168.66667</v>
      </c>
      <c r="E773" s="9">
        <f>IFERROR(__xludf.DUMMYFUNCTION("""COMPUTED_VALUE"""),593.38)</f>
        <v>593.38</v>
      </c>
      <c r="G773" s="11">
        <f>IFERROR(__xludf.DUMMYFUNCTION("""COMPUTED_VALUE"""),44168.66666666667)</f>
        <v>44168.66667</v>
      </c>
      <c r="H773" s="9">
        <f>IFERROR(__xludf.DUMMYFUNCTION("""COMPUTED_VALUE"""),1824.01)</f>
        <v>1824.01</v>
      </c>
      <c r="I773" s="11">
        <f>IFERROR(__xludf.DUMMYFUNCTION("""COMPUTED_VALUE"""),44168.66666666667)</f>
        <v>44168.66667</v>
      </c>
      <c r="J773" s="9">
        <f>IFERROR(__xludf.DUMMYFUNCTION("""COMPUTED_VALUE"""),1826.77)</f>
        <v>1826.77</v>
      </c>
      <c r="L773" s="11">
        <f>IFERROR(__xludf.DUMMYFUNCTION("""COMPUTED_VALUE"""),44168.66666666667)</f>
        <v>44168.66667</v>
      </c>
      <c r="M773" s="9">
        <f>IFERROR(__xludf.DUMMYFUNCTION("""COMPUTED_VALUE"""),123.52)</f>
        <v>123.52</v>
      </c>
      <c r="N773" s="11">
        <f>IFERROR(__xludf.DUMMYFUNCTION("""COMPUTED_VALUE"""),44168.66666666667)</f>
        <v>44168.66667</v>
      </c>
      <c r="O773" s="9">
        <f>IFERROR(__xludf.DUMMYFUNCTION("""COMPUTED_VALUE"""),122.94)</f>
        <v>122.94</v>
      </c>
      <c r="Q773" s="11">
        <f>IFERROR(__xludf.DUMMYFUNCTION("""COMPUTED_VALUE"""),44168.66666666667)</f>
        <v>44168.66667</v>
      </c>
      <c r="R773" s="9">
        <f>IFERROR(__xludf.DUMMYFUNCTION("""COMPUTED_VALUE"""),286.25)</f>
        <v>286.25</v>
      </c>
      <c r="S773" s="11">
        <f>IFERROR(__xludf.DUMMYFUNCTION("""COMPUTED_VALUE"""),44168.66666666667)</f>
        <v>44168.66667</v>
      </c>
      <c r="T773" s="9">
        <f>IFERROR(__xludf.DUMMYFUNCTION("""COMPUTED_VALUE"""),281.85)</f>
        <v>281.85</v>
      </c>
      <c r="V773" s="11">
        <f>IFERROR(__xludf.DUMMYFUNCTION("""COMPUTED_VALUE"""),44168.66666666667)</f>
        <v>44168.66667</v>
      </c>
      <c r="W773" s="9">
        <f>IFERROR(__xludf.DUMMYFUNCTION("""COMPUTED_VALUE"""),502.99)</f>
        <v>502.99</v>
      </c>
      <c r="X773" s="11">
        <f>IFERROR(__xludf.DUMMYFUNCTION("""COMPUTED_VALUE"""),44168.66666666667)</f>
        <v>44168.66667</v>
      </c>
      <c r="Y773" s="9">
        <f>IFERROR(__xludf.DUMMYFUNCTION("""COMPUTED_VALUE"""),497.52)</f>
        <v>497.52</v>
      </c>
      <c r="AA773" s="11">
        <f>IFERROR(__xludf.DUMMYFUNCTION("""COMPUTED_VALUE"""),44168.66666666667)</f>
        <v>44168.66667</v>
      </c>
      <c r="AB773" s="9">
        <f>IFERROR(__xludf.DUMMYFUNCTION("""COMPUTED_VALUE"""),3205.46)</f>
        <v>3205.46</v>
      </c>
      <c r="AC773" s="11">
        <f>IFERROR(__xludf.DUMMYFUNCTION("""COMPUTED_VALUE"""),44168.66666666667)</f>
        <v>44168.66667</v>
      </c>
      <c r="AD773" s="9">
        <f>IFERROR(__xludf.DUMMYFUNCTION("""COMPUTED_VALUE"""),3186.73)</f>
        <v>3186.73</v>
      </c>
    </row>
    <row r="774">
      <c r="B774" s="11">
        <f>IFERROR(__xludf.DUMMYFUNCTION("""COMPUTED_VALUE"""),44169.66666666667)</f>
        <v>44169.66667</v>
      </c>
      <c r="C774" s="9">
        <f>IFERROR(__xludf.DUMMYFUNCTION("""COMPUTED_VALUE"""),591.01)</f>
        <v>591.01</v>
      </c>
      <c r="D774" s="11">
        <f>IFERROR(__xludf.DUMMYFUNCTION("""COMPUTED_VALUE"""),44169.66666666667)</f>
        <v>44169.66667</v>
      </c>
      <c r="E774" s="9">
        <f>IFERROR(__xludf.DUMMYFUNCTION("""COMPUTED_VALUE"""),599.04)</f>
        <v>599.04</v>
      </c>
      <c r="G774" s="11">
        <f>IFERROR(__xludf.DUMMYFUNCTION("""COMPUTED_VALUE"""),44169.66666666667)</f>
        <v>44169.66667</v>
      </c>
      <c r="H774" s="9">
        <f>IFERROR(__xludf.DUMMYFUNCTION("""COMPUTED_VALUE"""),1824.52)</f>
        <v>1824.52</v>
      </c>
      <c r="I774" s="11">
        <f>IFERROR(__xludf.DUMMYFUNCTION("""COMPUTED_VALUE"""),44169.66666666667)</f>
        <v>44169.66667</v>
      </c>
      <c r="J774" s="9">
        <f>IFERROR(__xludf.DUMMYFUNCTION("""COMPUTED_VALUE"""),1827.99)</f>
        <v>1827.99</v>
      </c>
      <c r="L774" s="11">
        <f>IFERROR(__xludf.DUMMYFUNCTION("""COMPUTED_VALUE"""),44169.66666666667)</f>
        <v>44169.66667</v>
      </c>
      <c r="M774" s="9">
        <f>IFERROR(__xludf.DUMMYFUNCTION("""COMPUTED_VALUE"""),122.6)</f>
        <v>122.6</v>
      </c>
      <c r="N774" s="11">
        <f>IFERROR(__xludf.DUMMYFUNCTION("""COMPUTED_VALUE"""),44169.66666666667)</f>
        <v>44169.66667</v>
      </c>
      <c r="O774" s="9">
        <f>IFERROR(__xludf.DUMMYFUNCTION("""COMPUTED_VALUE"""),122.25)</f>
        <v>122.25</v>
      </c>
      <c r="Q774" s="11">
        <f>IFERROR(__xludf.DUMMYFUNCTION("""COMPUTED_VALUE"""),44169.66666666667)</f>
        <v>44169.66667</v>
      </c>
      <c r="R774" s="9">
        <f>IFERROR(__xludf.DUMMYFUNCTION("""COMPUTED_VALUE"""),280.3)</f>
        <v>280.3</v>
      </c>
      <c r="S774" s="11">
        <f>IFERROR(__xludf.DUMMYFUNCTION("""COMPUTED_VALUE"""),44169.66666666667)</f>
        <v>44169.66667</v>
      </c>
      <c r="T774" s="9">
        <f>IFERROR(__xludf.DUMMYFUNCTION("""COMPUTED_VALUE"""),279.7)</f>
        <v>279.7</v>
      </c>
      <c r="V774" s="11">
        <f>IFERROR(__xludf.DUMMYFUNCTION("""COMPUTED_VALUE"""),44169.66666666667)</f>
        <v>44169.66667</v>
      </c>
      <c r="W774" s="9">
        <f>IFERROR(__xludf.DUMMYFUNCTION("""COMPUTED_VALUE"""),497.5)</f>
        <v>497.5</v>
      </c>
      <c r="X774" s="11">
        <f>IFERROR(__xludf.DUMMYFUNCTION("""COMPUTED_VALUE"""),44169.66666666667)</f>
        <v>44169.66667</v>
      </c>
      <c r="Y774" s="9">
        <f>IFERROR(__xludf.DUMMYFUNCTION("""COMPUTED_VALUE"""),498.31)</f>
        <v>498.31</v>
      </c>
      <c r="AA774" s="11">
        <f>IFERROR(__xludf.DUMMYFUNCTION("""COMPUTED_VALUE"""),44169.66666666667)</f>
        <v>44169.66667</v>
      </c>
      <c r="AB774" s="9">
        <f>IFERROR(__xludf.DUMMYFUNCTION("""COMPUTED_VALUE"""),3198.21)</f>
        <v>3198.21</v>
      </c>
      <c r="AC774" s="11">
        <f>IFERROR(__xludf.DUMMYFUNCTION("""COMPUTED_VALUE"""),44169.66666666667)</f>
        <v>44169.66667</v>
      </c>
      <c r="AD774" s="9">
        <f>IFERROR(__xludf.DUMMYFUNCTION("""COMPUTED_VALUE"""),3162.58)</f>
        <v>3162.58</v>
      </c>
    </row>
    <row r="775">
      <c r="B775" s="11">
        <f>IFERROR(__xludf.DUMMYFUNCTION("""COMPUTED_VALUE"""),44172.66666666667)</f>
        <v>44172.66667</v>
      </c>
      <c r="C775" s="9">
        <f>IFERROR(__xludf.DUMMYFUNCTION("""COMPUTED_VALUE"""),604.92)</f>
        <v>604.92</v>
      </c>
      <c r="D775" s="11">
        <f>IFERROR(__xludf.DUMMYFUNCTION("""COMPUTED_VALUE"""),44172.66666666667)</f>
        <v>44172.66667</v>
      </c>
      <c r="E775" s="9">
        <f>IFERROR(__xludf.DUMMYFUNCTION("""COMPUTED_VALUE"""),641.76)</f>
        <v>641.76</v>
      </c>
      <c r="G775" s="11">
        <f>IFERROR(__xludf.DUMMYFUNCTION("""COMPUTED_VALUE"""),44172.66666666667)</f>
        <v>44172.66667</v>
      </c>
      <c r="H775" s="9">
        <f>IFERROR(__xludf.DUMMYFUNCTION("""COMPUTED_VALUE"""),1819.0)</f>
        <v>1819</v>
      </c>
      <c r="I775" s="11">
        <f>IFERROR(__xludf.DUMMYFUNCTION("""COMPUTED_VALUE"""),44172.66666666667)</f>
        <v>44172.66667</v>
      </c>
      <c r="J775" s="9">
        <f>IFERROR(__xludf.DUMMYFUNCTION("""COMPUTED_VALUE"""),1819.48)</f>
        <v>1819.48</v>
      </c>
      <c r="L775" s="11">
        <f>IFERROR(__xludf.DUMMYFUNCTION("""COMPUTED_VALUE"""),44172.66666666667)</f>
        <v>44172.66667</v>
      </c>
      <c r="M775" s="9">
        <f>IFERROR(__xludf.DUMMYFUNCTION("""COMPUTED_VALUE"""),122.31)</f>
        <v>122.31</v>
      </c>
      <c r="N775" s="11">
        <f>IFERROR(__xludf.DUMMYFUNCTION("""COMPUTED_VALUE"""),44172.66666666667)</f>
        <v>44172.66667</v>
      </c>
      <c r="O775" s="9">
        <f>IFERROR(__xludf.DUMMYFUNCTION("""COMPUTED_VALUE"""),123.75)</f>
        <v>123.75</v>
      </c>
      <c r="Q775" s="11">
        <f>IFERROR(__xludf.DUMMYFUNCTION("""COMPUTED_VALUE"""),44172.66666666667)</f>
        <v>44172.66667</v>
      </c>
      <c r="R775" s="9">
        <f>IFERROR(__xludf.DUMMYFUNCTION("""COMPUTED_VALUE"""),279.19)</f>
        <v>279.19</v>
      </c>
      <c r="S775" s="11">
        <f>IFERROR(__xludf.DUMMYFUNCTION("""COMPUTED_VALUE"""),44172.66666666667)</f>
        <v>44172.66667</v>
      </c>
      <c r="T775" s="9">
        <f>IFERROR(__xludf.DUMMYFUNCTION("""COMPUTED_VALUE"""),285.58)</f>
        <v>285.58</v>
      </c>
      <c r="V775" s="11">
        <f>IFERROR(__xludf.DUMMYFUNCTION("""COMPUTED_VALUE"""),44172.66666666667)</f>
        <v>44172.66667</v>
      </c>
      <c r="W775" s="9">
        <f>IFERROR(__xludf.DUMMYFUNCTION("""COMPUTED_VALUE"""),500.01)</f>
        <v>500.01</v>
      </c>
      <c r="X775" s="11">
        <f>IFERROR(__xludf.DUMMYFUNCTION("""COMPUTED_VALUE"""),44172.66666666667)</f>
        <v>44172.66667</v>
      </c>
      <c r="Y775" s="9">
        <f>IFERROR(__xludf.DUMMYFUNCTION("""COMPUTED_VALUE"""),515.78)</f>
        <v>515.78</v>
      </c>
      <c r="AA775" s="11">
        <f>IFERROR(__xludf.DUMMYFUNCTION("""COMPUTED_VALUE"""),44172.66666666667)</f>
        <v>44172.66667</v>
      </c>
      <c r="AB775" s="9">
        <f>IFERROR(__xludf.DUMMYFUNCTION("""COMPUTED_VALUE"""),3156.48)</f>
        <v>3156.48</v>
      </c>
      <c r="AC775" s="11">
        <f>IFERROR(__xludf.DUMMYFUNCTION("""COMPUTED_VALUE"""),44172.66666666667)</f>
        <v>44172.66667</v>
      </c>
      <c r="AD775" s="9">
        <f>IFERROR(__xludf.DUMMYFUNCTION("""COMPUTED_VALUE"""),3158.0)</f>
        <v>3158</v>
      </c>
    </row>
    <row r="776">
      <c r="B776" s="11">
        <f>IFERROR(__xludf.DUMMYFUNCTION("""COMPUTED_VALUE"""),44173.66666666667)</f>
        <v>44173.66667</v>
      </c>
      <c r="C776" s="9">
        <f>IFERROR(__xludf.DUMMYFUNCTION("""COMPUTED_VALUE"""),625.51)</f>
        <v>625.51</v>
      </c>
      <c r="D776" s="11">
        <f>IFERROR(__xludf.DUMMYFUNCTION("""COMPUTED_VALUE"""),44173.66666666667)</f>
        <v>44173.66667</v>
      </c>
      <c r="E776" s="9">
        <f>IFERROR(__xludf.DUMMYFUNCTION("""COMPUTED_VALUE"""),649.88)</f>
        <v>649.88</v>
      </c>
      <c r="G776" s="11">
        <f>IFERROR(__xludf.DUMMYFUNCTION("""COMPUTED_VALUE"""),44173.66666666667)</f>
        <v>44173.66667</v>
      </c>
      <c r="H776" s="9">
        <f>IFERROR(__xludf.DUMMYFUNCTION("""COMPUTED_VALUE"""),1810.1)</f>
        <v>1810.1</v>
      </c>
      <c r="I776" s="11">
        <f>IFERROR(__xludf.DUMMYFUNCTION("""COMPUTED_VALUE"""),44173.66666666667)</f>
        <v>44173.66667</v>
      </c>
      <c r="J776" s="9">
        <f>IFERROR(__xludf.DUMMYFUNCTION("""COMPUTED_VALUE"""),1818.55)</f>
        <v>1818.55</v>
      </c>
      <c r="L776" s="11">
        <f>IFERROR(__xludf.DUMMYFUNCTION("""COMPUTED_VALUE"""),44173.66666666667)</f>
        <v>44173.66667</v>
      </c>
      <c r="M776" s="9">
        <f>IFERROR(__xludf.DUMMYFUNCTION("""COMPUTED_VALUE"""),124.37)</f>
        <v>124.37</v>
      </c>
      <c r="N776" s="11">
        <f>IFERROR(__xludf.DUMMYFUNCTION("""COMPUTED_VALUE"""),44173.66666666667)</f>
        <v>44173.66667</v>
      </c>
      <c r="O776" s="9">
        <f>IFERROR(__xludf.DUMMYFUNCTION("""COMPUTED_VALUE"""),124.38)</f>
        <v>124.38</v>
      </c>
      <c r="Q776" s="11">
        <f>IFERROR(__xludf.DUMMYFUNCTION("""COMPUTED_VALUE"""),44173.66666666667)</f>
        <v>44173.66667</v>
      </c>
      <c r="R776" s="9">
        <f>IFERROR(__xludf.DUMMYFUNCTION("""COMPUTED_VALUE"""),286.01)</f>
        <v>286.01</v>
      </c>
      <c r="S776" s="11">
        <f>IFERROR(__xludf.DUMMYFUNCTION("""COMPUTED_VALUE"""),44173.66666666667)</f>
        <v>44173.66667</v>
      </c>
      <c r="T776" s="9">
        <f>IFERROR(__xludf.DUMMYFUNCTION("""COMPUTED_VALUE"""),283.4)</f>
        <v>283.4</v>
      </c>
      <c r="V776" s="11">
        <f>IFERROR(__xludf.DUMMYFUNCTION("""COMPUTED_VALUE"""),44173.66666666667)</f>
        <v>44173.66667</v>
      </c>
      <c r="W776" s="9">
        <f>IFERROR(__xludf.DUMMYFUNCTION("""COMPUTED_VALUE"""),517.9)</f>
        <v>517.9</v>
      </c>
      <c r="X776" s="11">
        <f>IFERROR(__xludf.DUMMYFUNCTION("""COMPUTED_VALUE"""),44173.66666666667)</f>
        <v>44173.66667</v>
      </c>
      <c r="Y776" s="9">
        <f>IFERROR(__xludf.DUMMYFUNCTION("""COMPUTED_VALUE"""),512.66)</f>
        <v>512.66</v>
      </c>
      <c r="AA776" s="11">
        <f>IFERROR(__xludf.DUMMYFUNCTION("""COMPUTED_VALUE"""),44173.66666666667)</f>
        <v>44173.66667</v>
      </c>
      <c r="AB776" s="9">
        <f>IFERROR(__xludf.DUMMYFUNCTION("""COMPUTED_VALUE"""),3158.9)</f>
        <v>3158.9</v>
      </c>
      <c r="AC776" s="11">
        <f>IFERROR(__xludf.DUMMYFUNCTION("""COMPUTED_VALUE"""),44173.66666666667)</f>
        <v>44173.66667</v>
      </c>
      <c r="AD776" s="9">
        <f>IFERROR(__xludf.DUMMYFUNCTION("""COMPUTED_VALUE"""),3177.29)</f>
        <v>3177.29</v>
      </c>
    </row>
    <row r="777">
      <c r="B777" s="11">
        <f>IFERROR(__xludf.DUMMYFUNCTION("""COMPUTED_VALUE"""),44174.66666666667)</f>
        <v>44174.66667</v>
      </c>
      <c r="C777" s="9">
        <f>IFERROR(__xludf.DUMMYFUNCTION("""COMPUTED_VALUE"""),653.69)</f>
        <v>653.69</v>
      </c>
      <c r="D777" s="11">
        <f>IFERROR(__xludf.DUMMYFUNCTION("""COMPUTED_VALUE"""),44174.66666666667)</f>
        <v>44174.66667</v>
      </c>
      <c r="E777" s="9">
        <f>IFERROR(__xludf.DUMMYFUNCTION("""COMPUTED_VALUE"""),604.48)</f>
        <v>604.48</v>
      </c>
      <c r="G777" s="11">
        <f>IFERROR(__xludf.DUMMYFUNCTION("""COMPUTED_VALUE"""),44174.66666666667)</f>
        <v>44174.66667</v>
      </c>
      <c r="H777" s="9">
        <f>IFERROR(__xludf.DUMMYFUNCTION("""COMPUTED_VALUE"""),1812.01)</f>
        <v>1812.01</v>
      </c>
      <c r="I777" s="11">
        <f>IFERROR(__xludf.DUMMYFUNCTION("""COMPUTED_VALUE"""),44174.66666666667)</f>
        <v>44174.66667</v>
      </c>
      <c r="J777" s="9">
        <f>IFERROR(__xludf.DUMMYFUNCTION("""COMPUTED_VALUE"""),1784.13)</f>
        <v>1784.13</v>
      </c>
      <c r="L777" s="11">
        <f>IFERROR(__xludf.DUMMYFUNCTION("""COMPUTED_VALUE"""),44174.66666666667)</f>
        <v>44174.66667</v>
      </c>
      <c r="M777" s="9">
        <f>IFERROR(__xludf.DUMMYFUNCTION("""COMPUTED_VALUE"""),124.53)</f>
        <v>124.53</v>
      </c>
      <c r="N777" s="11">
        <f>IFERROR(__xludf.DUMMYFUNCTION("""COMPUTED_VALUE"""),44174.66666666667)</f>
        <v>44174.66667</v>
      </c>
      <c r="O777" s="9">
        <f>IFERROR(__xludf.DUMMYFUNCTION("""COMPUTED_VALUE"""),121.78)</f>
        <v>121.78</v>
      </c>
      <c r="Q777" s="11">
        <f>IFERROR(__xludf.DUMMYFUNCTION("""COMPUTED_VALUE"""),44174.66666666667)</f>
        <v>44174.66667</v>
      </c>
      <c r="R777" s="9">
        <f>IFERROR(__xludf.DUMMYFUNCTION("""COMPUTED_VALUE"""),283.66)</f>
        <v>283.66</v>
      </c>
      <c r="S777" s="11">
        <f>IFERROR(__xludf.DUMMYFUNCTION("""COMPUTED_VALUE"""),44174.66666666667)</f>
        <v>44174.66667</v>
      </c>
      <c r="T777" s="9">
        <f>IFERROR(__xludf.DUMMYFUNCTION("""COMPUTED_VALUE"""),277.92)</f>
        <v>277.92</v>
      </c>
      <c r="V777" s="11">
        <f>IFERROR(__xludf.DUMMYFUNCTION("""COMPUTED_VALUE"""),44174.66666666667)</f>
        <v>44174.66667</v>
      </c>
      <c r="W777" s="9">
        <f>IFERROR(__xludf.DUMMYFUNCTION("""COMPUTED_VALUE"""),510.53)</f>
        <v>510.53</v>
      </c>
      <c r="X777" s="11">
        <f>IFERROR(__xludf.DUMMYFUNCTION("""COMPUTED_VALUE"""),44174.66666666667)</f>
        <v>44174.66667</v>
      </c>
      <c r="Y777" s="9">
        <f>IFERROR(__xludf.DUMMYFUNCTION("""COMPUTED_VALUE"""),493.6)</f>
        <v>493.6</v>
      </c>
      <c r="AA777" s="11">
        <f>IFERROR(__xludf.DUMMYFUNCTION("""COMPUTED_VALUE"""),44174.66666666667)</f>
        <v>44174.66667</v>
      </c>
      <c r="AB777" s="9">
        <f>IFERROR(__xludf.DUMMYFUNCTION("""COMPUTED_VALUE"""),3167.89)</f>
        <v>3167.89</v>
      </c>
      <c r="AC777" s="11">
        <f>IFERROR(__xludf.DUMMYFUNCTION("""COMPUTED_VALUE"""),44174.66666666667)</f>
        <v>44174.66667</v>
      </c>
      <c r="AD777" s="9">
        <f>IFERROR(__xludf.DUMMYFUNCTION("""COMPUTED_VALUE"""),3104.2)</f>
        <v>3104.2</v>
      </c>
    </row>
    <row r="778">
      <c r="B778" s="11">
        <f>IFERROR(__xludf.DUMMYFUNCTION("""COMPUTED_VALUE"""),44175.66666666667)</f>
        <v>44175.66667</v>
      </c>
      <c r="C778" s="9">
        <f>IFERROR(__xludf.DUMMYFUNCTION("""COMPUTED_VALUE"""),574.37)</f>
        <v>574.37</v>
      </c>
      <c r="D778" s="11">
        <f>IFERROR(__xludf.DUMMYFUNCTION("""COMPUTED_VALUE"""),44175.66666666667)</f>
        <v>44175.66667</v>
      </c>
      <c r="E778" s="9">
        <f>IFERROR(__xludf.DUMMYFUNCTION("""COMPUTED_VALUE"""),627.07)</f>
        <v>627.07</v>
      </c>
      <c r="G778" s="11">
        <f>IFERROR(__xludf.DUMMYFUNCTION("""COMPUTED_VALUE"""),44175.66666666667)</f>
        <v>44175.66667</v>
      </c>
      <c r="H778" s="9">
        <f>IFERROR(__xludf.DUMMYFUNCTION("""COMPUTED_VALUE"""),1769.8)</f>
        <v>1769.8</v>
      </c>
      <c r="I778" s="11">
        <f>IFERROR(__xludf.DUMMYFUNCTION("""COMPUTED_VALUE"""),44175.66666666667)</f>
        <v>44175.66667</v>
      </c>
      <c r="J778" s="9">
        <f>IFERROR(__xludf.DUMMYFUNCTION("""COMPUTED_VALUE"""),1775.33)</f>
        <v>1775.33</v>
      </c>
      <c r="L778" s="11">
        <f>IFERROR(__xludf.DUMMYFUNCTION("""COMPUTED_VALUE"""),44175.66666666667)</f>
        <v>44175.66667</v>
      </c>
      <c r="M778" s="9">
        <f>IFERROR(__xludf.DUMMYFUNCTION("""COMPUTED_VALUE"""),120.5)</f>
        <v>120.5</v>
      </c>
      <c r="N778" s="11">
        <f>IFERROR(__xludf.DUMMYFUNCTION("""COMPUTED_VALUE"""),44175.66666666667)</f>
        <v>44175.66667</v>
      </c>
      <c r="O778" s="9">
        <f>IFERROR(__xludf.DUMMYFUNCTION("""COMPUTED_VALUE"""),123.24)</f>
        <v>123.24</v>
      </c>
      <c r="Q778" s="11">
        <f>IFERROR(__xludf.DUMMYFUNCTION("""COMPUTED_VALUE"""),44175.66666666667)</f>
        <v>44175.66667</v>
      </c>
      <c r="R778" s="9">
        <f>IFERROR(__xludf.DUMMYFUNCTION("""COMPUTED_VALUE"""),275.54)</f>
        <v>275.54</v>
      </c>
      <c r="S778" s="11">
        <f>IFERROR(__xludf.DUMMYFUNCTION("""COMPUTED_VALUE"""),44175.66666666667)</f>
        <v>44175.66667</v>
      </c>
      <c r="T778" s="9">
        <f>IFERROR(__xludf.DUMMYFUNCTION("""COMPUTED_VALUE"""),277.12)</f>
        <v>277.12</v>
      </c>
      <c r="V778" s="11">
        <f>IFERROR(__xludf.DUMMYFUNCTION("""COMPUTED_VALUE"""),44175.66666666667)</f>
        <v>44175.66667</v>
      </c>
      <c r="W778" s="9">
        <f>IFERROR(__xludf.DUMMYFUNCTION("""COMPUTED_VALUE"""),494.56)</f>
        <v>494.56</v>
      </c>
      <c r="X778" s="11">
        <f>IFERROR(__xludf.DUMMYFUNCTION("""COMPUTED_VALUE"""),44175.66666666667)</f>
        <v>44175.66667</v>
      </c>
      <c r="Y778" s="9">
        <f>IFERROR(__xludf.DUMMYFUNCTION("""COMPUTED_VALUE"""),501.09)</f>
        <v>501.09</v>
      </c>
      <c r="AA778" s="11">
        <f>IFERROR(__xludf.DUMMYFUNCTION("""COMPUTED_VALUE"""),44175.66666666667)</f>
        <v>44175.66667</v>
      </c>
      <c r="AB778" s="9">
        <f>IFERROR(__xludf.DUMMYFUNCTION("""COMPUTED_VALUE"""),3088.99)</f>
        <v>3088.99</v>
      </c>
      <c r="AC778" s="11">
        <f>IFERROR(__xludf.DUMMYFUNCTION("""COMPUTED_VALUE"""),44175.66666666667)</f>
        <v>44175.66667</v>
      </c>
      <c r="AD778" s="9">
        <f>IFERROR(__xludf.DUMMYFUNCTION("""COMPUTED_VALUE"""),3101.49)</f>
        <v>3101.49</v>
      </c>
    </row>
    <row r="779">
      <c r="B779" s="11">
        <f>IFERROR(__xludf.DUMMYFUNCTION("""COMPUTED_VALUE"""),44176.66666666667)</f>
        <v>44176.66667</v>
      </c>
      <c r="C779" s="9">
        <f>IFERROR(__xludf.DUMMYFUNCTION("""COMPUTED_VALUE"""),615.01)</f>
        <v>615.01</v>
      </c>
      <c r="D779" s="11">
        <f>IFERROR(__xludf.DUMMYFUNCTION("""COMPUTED_VALUE"""),44176.66666666667)</f>
        <v>44176.66667</v>
      </c>
      <c r="E779" s="9">
        <f>IFERROR(__xludf.DUMMYFUNCTION("""COMPUTED_VALUE"""),609.99)</f>
        <v>609.99</v>
      </c>
      <c r="G779" s="11">
        <f>IFERROR(__xludf.DUMMYFUNCTION("""COMPUTED_VALUE"""),44176.66666666667)</f>
        <v>44176.66667</v>
      </c>
      <c r="H779" s="9">
        <f>IFERROR(__xludf.DUMMYFUNCTION("""COMPUTED_VALUE"""),1763.06)</f>
        <v>1763.06</v>
      </c>
      <c r="I779" s="11">
        <f>IFERROR(__xludf.DUMMYFUNCTION("""COMPUTED_VALUE"""),44176.66666666667)</f>
        <v>44176.66667</v>
      </c>
      <c r="J779" s="9">
        <f>IFERROR(__xludf.DUMMYFUNCTION("""COMPUTED_VALUE"""),1781.77)</f>
        <v>1781.77</v>
      </c>
      <c r="L779" s="11">
        <f>IFERROR(__xludf.DUMMYFUNCTION("""COMPUTED_VALUE"""),44176.66666666667)</f>
        <v>44176.66667</v>
      </c>
      <c r="M779" s="9">
        <f>IFERROR(__xludf.DUMMYFUNCTION("""COMPUTED_VALUE"""),122.43)</f>
        <v>122.43</v>
      </c>
      <c r="N779" s="11">
        <f>IFERROR(__xludf.DUMMYFUNCTION("""COMPUTED_VALUE"""),44176.66666666667)</f>
        <v>44176.66667</v>
      </c>
      <c r="O779" s="9">
        <f>IFERROR(__xludf.DUMMYFUNCTION("""COMPUTED_VALUE"""),122.41)</f>
        <v>122.41</v>
      </c>
      <c r="Q779" s="11">
        <f>IFERROR(__xludf.DUMMYFUNCTION("""COMPUTED_VALUE"""),44176.66666666667)</f>
        <v>44176.66667</v>
      </c>
      <c r="R779" s="9">
        <f>IFERROR(__xludf.DUMMYFUNCTION("""COMPUTED_VALUE"""),274.53)</f>
        <v>274.53</v>
      </c>
      <c r="S779" s="11">
        <f>IFERROR(__xludf.DUMMYFUNCTION("""COMPUTED_VALUE"""),44176.66666666667)</f>
        <v>44176.66667</v>
      </c>
      <c r="T779" s="9">
        <f>IFERROR(__xludf.DUMMYFUNCTION("""COMPUTED_VALUE"""),273.55)</f>
        <v>273.55</v>
      </c>
      <c r="V779" s="11">
        <f>IFERROR(__xludf.DUMMYFUNCTION("""COMPUTED_VALUE"""),44176.66666666667)</f>
        <v>44176.66667</v>
      </c>
      <c r="W779" s="9">
        <f>IFERROR(__xludf.DUMMYFUNCTION("""COMPUTED_VALUE"""),495.0)</f>
        <v>495</v>
      </c>
      <c r="X779" s="11">
        <f>IFERROR(__xludf.DUMMYFUNCTION("""COMPUTED_VALUE"""),44176.66666666667)</f>
        <v>44176.66667</v>
      </c>
      <c r="Y779" s="9">
        <f>IFERROR(__xludf.DUMMYFUNCTION("""COMPUTED_VALUE"""),503.22)</f>
        <v>503.22</v>
      </c>
      <c r="AA779" s="11">
        <f>IFERROR(__xludf.DUMMYFUNCTION("""COMPUTED_VALUE"""),44176.66666666667)</f>
        <v>44176.66667</v>
      </c>
      <c r="AB779" s="9">
        <f>IFERROR(__xludf.DUMMYFUNCTION("""COMPUTED_VALUE"""),3096.66)</f>
        <v>3096.66</v>
      </c>
      <c r="AC779" s="11">
        <f>IFERROR(__xludf.DUMMYFUNCTION("""COMPUTED_VALUE"""),44176.66666666667)</f>
        <v>44176.66667</v>
      </c>
      <c r="AD779" s="9">
        <f>IFERROR(__xludf.DUMMYFUNCTION("""COMPUTED_VALUE"""),3116.42)</f>
        <v>3116.42</v>
      </c>
    </row>
    <row r="780">
      <c r="B780" s="11">
        <f>IFERROR(__xludf.DUMMYFUNCTION("""COMPUTED_VALUE"""),44179.66666666667)</f>
        <v>44179.66667</v>
      </c>
      <c r="C780" s="9">
        <f>IFERROR(__xludf.DUMMYFUNCTION("""COMPUTED_VALUE"""),619.0)</f>
        <v>619</v>
      </c>
      <c r="D780" s="11">
        <f>IFERROR(__xludf.DUMMYFUNCTION("""COMPUTED_VALUE"""),44179.66666666667)</f>
        <v>44179.66667</v>
      </c>
      <c r="E780" s="9">
        <f>IFERROR(__xludf.DUMMYFUNCTION("""COMPUTED_VALUE"""),639.83)</f>
        <v>639.83</v>
      </c>
      <c r="G780" s="11">
        <f>IFERROR(__xludf.DUMMYFUNCTION("""COMPUTED_VALUE"""),44179.66666666667)</f>
        <v>44179.66667</v>
      </c>
      <c r="H780" s="9">
        <f>IFERROR(__xludf.DUMMYFUNCTION("""COMPUTED_VALUE"""),1775.0)</f>
        <v>1775</v>
      </c>
      <c r="I780" s="11">
        <f>IFERROR(__xludf.DUMMYFUNCTION("""COMPUTED_VALUE"""),44179.66666666667)</f>
        <v>44179.66667</v>
      </c>
      <c r="J780" s="9">
        <f>IFERROR(__xludf.DUMMYFUNCTION("""COMPUTED_VALUE"""),1760.06)</f>
        <v>1760.06</v>
      </c>
      <c r="L780" s="11">
        <f>IFERROR(__xludf.DUMMYFUNCTION("""COMPUTED_VALUE"""),44179.66666666667)</f>
        <v>44179.66667</v>
      </c>
      <c r="M780" s="9">
        <f>IFERROR(__xludf.DUMMYFUNCTION("""COMPUTED_VALUE"""),122.6)</f>
        <v>122.6</v>
      </c>
      <c r="N780" s="11">
        <f>IFERROR(__xludf.DUMMYFUNCTION("""COMPUTED_VALUE"""),44179.66666666667)</f>
        <v>44179.66667</v>
      </c>
      <c r="O780" s="9">
        <f>IFERROR(__xludf.DUMMYFUNCTION("""COMPUTED_VALUE"""),121.78)</f>
        <v>121.78</v>
      </c>
      <c r="Q780" s="11">
        <f>IFERROR(__xludf.DUMMYFUNCTION("""COMPUTED_VALUE"""),44179.66666666667)</f>
        <v>44179.66667</v>
      </c>
      <c r="R780" s="9">
        <f>IFERROR(__xludf.DUMMYFUNCTION("""COMPUTED_VALUE"""),273.37)</f>
        <v>273.37</v>
      </c>
      <c r="S780" s="11">
        <f>IFERROR(__xludf.DUMMYFUNCTION("""COMPUTED_VALUE"""),44179.66666666667)</f>
        <v>44179.66667</v>
      </c>
      <c r="T780" s="9">
        <f>IFERROR(__xludf.DUMMYFUNCTION("""COMPUTED_VALUE"""),274.19)</f>
        <v>274.19</v>
      </c>
      <c r="V780" s="11">
        <f>IFERROR(__xludf.DUMMYFUNCTION("""COMPUTED_VALUE"""),44179.66666666667)</f>
        <v>44179.66667</v>
      </c>
      <c r="W780" s="9">
        <f>IFERROR(__xludf.DUMMYFUNCTION("""COMPUTED_VALUE"""),505.44)</f>
        <v>505.44</v>
      </c>
      <c r="X780" s="11">
        <f>IFERROR(__xludf.DUMMYFUNCTION("""COMPUTED_VALUE"""),44179.66666666667)</f>
        <v>44179.66667</v>
      </c>
      <c r="Y780" s="9">
        <f>IFERROR(__xludf.DUMMYFUNCTION("""COMPUTED_VALUE"""),522.42)</f>
        <v>522.42</v>
      </c>
      <c r="AA780" s="11">
        <f>IFERROR(__xludf.DUMMYFUNCTION("""COMPUTED_VALUE"""),44179.66666666667)</f>
        <v>44179.66667</v>
      </c>
      <c r="AB780" s="9">
        <f>IFERROR(__xludf.DUMMYFUNCTION("""COMPUTED_VALUE"""),3143.0)</f>
        <v>3143</v>
      </c>
      <c r="AC780" s="11">
        <f>IFERROR(__xludf.DUMMYFUNCTION("""COMPUTED_VALUE"""),44179.66666666667)</f>
        <v>44179.66667</v>
      </c>
      <c r="AD780" s="9">
        <f>IFERROR(__xludf.DUMMYFUNCTION("""COMPUTED_VALUE"""),3156.97)</f>
        <v>3156.97</v>
      </c>
    </row>
    <row r="781">
      <c r="B781" s="11">
        <f>IFERROR(__xludf.DUMMYFUNCTION("""COMPUTED_VALUE"""),44180.66666666667)</f>
        <v>44180.66667</v>
      </c>
      <c r="C781" s="9">
        <f>IFERROR(__xludf.DUMMYFUNCTION("""COMPUTED_VALUE"""),643.28)</f>
        <v>643.28</v>
      </c>
      <c r="D781" s="11">
        <f>IFERROR(__xludf.DUMMYFUNCTION("""COMPUTED_VALUE"""),44180.66666666667)</f>
        <v>44180.66667</v>
      </c>
      <c r="E781" s="9">
        <f>IFERROR(__xludf.DUMMYFUNCTION("""COMPUTED_VALUE"""),633.25)</f>
        <v>633.25</v>
      </c>
      <c r="G781" s="11">
        <f>IFERROR(__xludf.DUMMYFUNCTION("""COMPUTED_VALUE"""),44180.66666666667)</f>
        <v>44180.66667</v>
      </c>
      <c r="H781" s="9">
        <f>IFERROR(__xludf.DUMMYFUNCTION("""COMPUTED_VALUE"""),1764.42)</f>
        <v>1764.42</v>
      </c>
      <c r="I781" s="11">
        <f>IFERROR(__xludf.DUMMYFUNCTION("""COMPUTED_VALUE"""),44180.66666666667)</f>
        <v>44180.66667</v>
      </c>
      <c r="J781" s="9">
        <f>IFERROR(__xludf.DUMMYFUNCTION("""COMPUTED_VALUE"""),1767.77)</f>
        <v>1767.77</v>
      </c>
      <c r="L781" s="11">
        <f>IFERROR(__xludf.DUMMYFUNCTION("""COMPUTED_VALUE"""),44180.66666666667)</f>
        <v>44180.66667</v>
      </c>
      <c r="M781" s="9">
        <f>IFERROR(__xludf.DUMMYFUNCTION("""COMPUTED_VALUE"""),124.34)</f>
        <v>124.34</v>
      </c>
      <c r="N781" s="11">
        <f>IFERROR(__xludf.DUMMYFUNCTION("""COMPUTED_VALUE"""),44180.66666666667)</f>
        <v>44180.66667</v>
      </c>
      <c r="O781" s="9">
        <f>IFERROR(__xludf.DUMMYFUNCTION("""COMPUTED_VALUE"""),127.88)</f>
        <v>127.88</v>
      </c>
      <c r="Q781" s="11">
        <f>IFERROR(__xludf.DUMMYFUNCTION("""COMPUTED_VALUE"""),44180.66666666667)</f>
        <v>44180.66667</v>
      </c>
      <c r="R781" s="9">
        <f>IFERROR(__xludf.DUMMYFUNCTION("""COMPUTED_VALUE"""),274.83)</f>
        <v>274.83</v>
      </c>
      <c r="S781" s="11">
        <f>IFERROR(__xludf.DUMMYFUNCTION("""COMPUTED_VALUE"""),44180.66666666667)</f>
        <v>44180.66667</v>
      </c>
      <c r="T781" s="9">
        <f>IFERROR(__xludf.DUMMYFUNCTION("""COMPUTED_VALUE"""),275.55)</f>
        <v>275.55</v>
      </c>
      <c r="V781" s="11">
        <f>IFERROR(__xludf.DUMMYFUNCTION("""COMPUTED_VALUE"""),44180.66666666667)</f>
        <v>44180.66667</v>
      </c>
      <c r="W781" s="9">
        <f>IFERROR(__xludf.DUMMYFUNCTION("""COMPUTED_VALUE"""),518.5)</f>
        <v>518.5</v>
      </c>
      <c r="X781" s="11">
        <f>IFERROR(__xludf.DUMMYFUNCTION("""COMPUTED_VALUE"""),44180.66666666667)</f>
        <v>44180.66667</v>
      </c>
      <c r="Y781" s="9">
        <f>IFERROR(__xludf.DUMMYFUNCTION("""COMPUTED_VALUE"""),519.78)</f>
        <v>519.78</v>
      </c>
      <c r="AA781" s="11">
        <f>IFERROR(__xludf.DUMMYFUNCTION("""COMPUTED_VALUE"""),44180.66666666667)</f>
        <v>44180.66667</v>
      </c>
      <c r="AB781" s="9">
        <f>IFERROR(__xludf.DUMMYFUNCTION("""COMPUTED_VALUE"""),3181.01)</f>
        <v>3181.01</v>
      </c>
      <c r="AC781" s="11">
        <f>IFERROR(__xludf.DUMMYFUNCTION("""COMPUTED_VALUE"""),44180.66666666667)</f>
        <v>44180.66667</v>
      </c>
      <c r="AD781" s="9">
        <f>IFERROR(__xludf.DUMMYFUNCTION("""COMPUTED_VALUE"""),3165.12)</f>
        <v>3165.12</v>
      </c>
    </row>
    <row r="782">
      <c r="B782" s="11">
        <f>IFERROR(__xludf.DUMMYFUNCTION("""COMPUTED_VALUE"""),44181.66666666667)</f>
        <v>44181.66667</v>
      </c>
      <c r="C782" s="9">
        <f>IFERROR(__xludf.DUMMYFUNCTION("""COMPUTED_VALUE"""),628.23)</f>
        <v>628.23</v>
      </c>
      <c r="D782" s="11">
        <f>IFERROR(__xludf.DUMMYFUNCTION("""COMPUTED_VALUE"""),44181.66666666667)</f>
        <v>44181.66667</v>
      </c>
      <c r="E782" s="9">
        <f>IFERROR(__xludf.DUMMYFUNCTION("""COMPUTED_VALUE"""),622.77)</f>
        <v>622.77</v>
      </c>
      <c r="G782" s="11">
        <f>IFERROR(__xludf.DUMMYFUNCTION("""COMPUTED_VALUE"""),44181.66666666667)</f>
        <v>44181.66667</v>
      </c>
      <c r="H782" s="9">
        <f>IFERROR(__xludf.DUMMYFUNCTION("""COMPUTED_VALUE"""),1772.88)</f>
        <v>1772.88</v>
      </c>
      <c r="I782" s="11">
        <f>IFERROR(__xludf.DUMMYFUNCTION("""COMPUTED_VALUE"""),44181.66666666667)</f>
        <v>44181.66667</v>
      </c>
      <c r="J782" s="9">
        <f>IFERROR(__xludf.DUMMYFUNCTION("""COMPUTED_VALUE"""),1763.0)</f>
        <v>1763</v>
      </c>
      <c r="L782" s="11">
        <f>IFERROR(__xludf.DUMMYFUNCTION("""COMPUTED_VALUE"""),44181.66666666667)</f>
        <v>44181.66667</v>
      </c>
      <c r="M782" s="9">
        <f>IFERROR(__xludf.DUMMYFUNCTION("""COMPUTED_VALUE"""),127.41)</f>
        <v>127.41</v>
      </c>
      <c r="N782" s="11">
        <f>IFERROR(__xludf.DUMMYFUNCTION("""COMPUTED_VALUE"""),44181.66666666667)</f>
        <v>44181.66667</v>
      </c>
      <c r="O782" s="9">
        <f>IFERROR(__xludf.DUMMYFUNCTION("""COMPUTED_VALUE"""),127.81)</f>
        <v>127.81</v>
      </c>
      <c r="Q782" s="11">
        <f>IFERROR(__xludf.DUMMYFUNCTION("""COMPUTED_VALUE"""),44181.66666666667)</f>
        <v>44181.66667</v>
      </c>
      <c r="R782" s="9">
        <f>IFERROR(__xludf.DUMMYFUNCTION("""COMPUTED_VALUE"""),274.76)</f>
        <v>274.76</v>
      </c>
      <c r="S782" s="11">
        <f>IFERROR(__xludf.DUMMYFUNCTION("""COMPUTED_VALUE"""),44181.66666666667)</f>
        <v>44181.66667</v>
      </c>
      <c r="T782" s="9">
        <f>IFERROR(__xludf.DUMMYFUNCTION("""COMPUTED_VALUE"""),275.67)</f>
        <v>275.67</v>
      </c>
      <c r="V782" s="11">
        <f>IFERROR(__xludf.DUMMYFUNCTION("""COMPUTED_VALUE"""),44181.66666666667)</f>
        <v>44181.66667</v>
      </c>
      <c r="W782" s="9">
        <f>IFERROR(__xludf.DUMMYFUNCTION("""COMPUTED_VALUE"""),520.11)</f>
        <v>520.11</v>
      </c>
      <c r="X782" s="11">
        <f>IFERROR(__xludf.DUMMYFUNCTION("""COMPUTED_VALUE"""),44181.66666666667)</f>
        <v>44181.66667</v>
      </c>
      <c r="Y782" s="9">
        <f>IFERROR(__xludf.DUMMYFUNCTION("""COMPUTED_VALUE"""),524.83)</f>
        <v>524.83</v>
      </c>
      <c r="AA782" s="11">
        <f>IFERROR(__xludf.DUMMYFUNCTION("""COMPUTED_VALUE"""),44181.66666666667)</f>
        <v>44181.66667</v>
      </c>
      <c r="AB782" s="9">
        <f>IFERROR(__xludf.DUMMYFUNCTION("""COMPUTED_VALUE"""),3176.01)</f>
        <v>3176.01</v>
      </c>
      <c r="AC782" s="11">
        <f>IFERROR(__xludf.DUMMYFUNCTION("""COMPUTED_VALUE"""),44181.66666666667)</f>
        <v>44181.66667</v>
      </c>
      <c r="AD782" s="9">
        <f>IFERROR(__xludf.DUMMYFUNCTION("""COMPUTED_VALUE"""),3240.96)</f>
        <v>3240.96</v>
      </c>
    </row>
    <row r="783">
      <c r="B783" s="11">
        <f>IFERROR(__xludf.DUMMYFUNCTION("""COMPUTED_VALUE"""),44182.66666666667)</f>
        <v>44182.66667</v>
      </c>
      <c r="C783" s="9">
        <f>IFERROR(__xludf.DUMMYFUNCTION("""COMPUTED_VALUE"""),628.19)</f>
        <v>628.19</v>
      </c>
      <c r="D783" s="11">
        <f>IFERROR(__xludf.DUMMYFUNCTION("""COMPUTED_VALUE"""),44182.66666666667)</f>
        <v>44182.66667</v>
      </c>
      <c r="E783" s="9">
        <f>IFERROR(__xludf.DUMMYFUNCTION("""COMPUTED_VALUE"""),655.9)</f>
        <v>655.9</v>
      </c>
      <c r="G783" s="11">
        <f>IFERROR(__xludf.DUMMYFUNCTION("""COMPUTED_VALUE"""),44182.66666666667)</f>
        <v>44182.66667</v>
      </c>
      <c r="H783" s="9">
        <f>IFERROR(__xludf.DUMMYFUNCTION("""COMPUTED_VALUE"""),1768.51)</f>
        <v>1768.51</v>
      </c>
      <c r="I783" s="11">
        <f>IFERROR(__xludf.DUMMYFUNCTION("""COMPUTED_VALUE"""),44182.66666666667)</f>
        <v>44182.66667</v>
      </c>
      <c r="J783" s="9">
        <f>IFERROR(__xludf.DUMMYFUNCTION("""COMPUTED_VALUE"""),1747.9)</f>
        <v>1747.9</v>
      </c>
      <c r="L783" s="11">
        <f>IFERROR(__xludf.DUMMYFUNCTION("""COMPUTED_VALUE"""),44182.66666666667)</f>
        <v>44182.66667</v>
      </c>
      <c r="M783" s="9">
        <f>IFERROR(__xludf.DUMMYFUNCTION("""COMPUTED_VALUE"""),128.9)</f>
        <v>128.9</v>
      </c>
      <c r="N783" s="11">
        <f>IFERROR(__xludf.DUMMYFUNCTION("""COMPUTED_VALUE"""),44182.66666666667)</f>
        <v>44182.66667</v>
      </c>
      <c r="O783" s="9">
        <f>IFERROR(__xludf.DUMMYFUNCTION("""COMPUTED_VALUE"""),128.7)</f>
        <v>128.7</v>
      </c>
      <c r="Q783" s="11">
        <f>IFERROR(__xludf.DUMMYFUNCTION("""COMPUTED_VALUE"""),44182.66666666667)</f>
        <v>44182.66667</v>
      </c>
      <c r="R783" s="9">
        <f>IFERROR(__xludf.DUMMYFUNCTION("""COMPUTED_VALUE"""),277.07)</f>
        <v>277.07</v>
      </c>
      <c r="S783" s="11">
        <f>IFERROR(__xludf.DUMMYFUNCTION("""COMPUTED_VALUE"""),44182.66666666667)</f>
        <v>44182.66667</v>
      </c>
      <c r="T783" s="9">
        <f>IFERROR(__xludf.DUMMYFUNCTION("""COMPUTED_VALUE"""),274.48)</f>
        <v>274.48</v>
      </c>
      <c r="V783" s="11">
        <f>IFERROR(__xludf.DUMMYFUNCTION("""COMPUTED_VALUE"""),44182.66666666667)</f>
        <v>44182.66667</v>
      </c>
      <c r="W783" s="9">
        <f>IFERROR(__xludf.DUMMYFUNCTION("""COMPUTED_VALUE"""),529.0)</f>
        <v>529</v>
      </c>
      <c r="X783" s="11">
        <f>IFERROR(__xludf.DUMMYFUNCTION("""COMPUTED_VALUE"""),44182.66666666667)</f>
        <v>44182.66667</v>
      </c>
      <c r="Y783" s="9">
        <f>IFERROR(__xludf.DUMMYFUNCTION("""COMPUTED_VALUE"""),532.9)</f>
        <v>532.9</v>
      </c>
      <c r="AA783" s="11">
        <f>IFERROR(__xludf.DUMMYFUNCTION("""COMPUTED_VALUE"""),44182.66666666667)</f>
        <v>44182.66667</v>
      </c>
      <c r="AB783" s="9">
        <f>IFERROR(__xludf.DUMMYFUNCTION("""COMPUTED_VALUE"""),3250.0)</f>
        <v>3250</v>
      </c>
      <c r="AC783" s="11">
        <f>IFERROR(__xludf.DUMMYFUNCTION("""COMPUTED_VALUE"""),44182.66666666667)</f>
        <v>44182.66667</v>
      </c>
      <c r="AD783" s="9">
        <f>IFERROR(__xludf.DUMMYFUNCTION("""COMPUTED_VALUE"""),3236.08)</f>
        <v>3236.08</v>
      </c>
    </row>
    <row r="784">
      <c r="B784" s="11">
        <f>IFERROR(__xludf.DUMMYFUNCTION("""COMPUTED_VALUE"""),44183.66666666667)</f>
        <v>44183.66667</v>
      </c>
      <c r="C784" s="9">
        <f>IFERROR(__xludf.DUMMYFUNCTION("""COMPUTED_VALUE"""),668.9)</f>
        <v>668.9</v>
      </c>
      <c r="D784" s="11">
        <f>IFERROR(__xludf.DUMMYFUNCTION("""COMPUTED_VALUE"""),44183.66666666667)</f>
        <v>44183.66667</v>
      </c>
      <c r="E784" s="9">
        <f>IFERROR(__xludf.DUMMYFUNCTION("""COMPUTED_VALUE"""),695.0)</f>
        <v>695</v>
      </c>
      <c r="G784" s="11">
        <f>IFERROR(__xludf.DUMMYFUNCTION("""COMPUTED_VALUE"""),44183.66666666667)</f>
        <v>44183.66667</v>
      </c>
      <c r="H784" s="9">
        <f>IFERROR(__xludf.DUMMYFUNCTION("""COMPUTED_VALUE"""),1754.18)</f>
        <v>1754.18</v>
      </c>
      <c r="I784" s="11">
        <f>IFERROR(__xludf.DUMMYFUNCTION("""COMPUTED_VALUE"""),44183.66666666667)</f>
        <v>44183.66667</v>
      </c>
      <c r="J784" s="9">
        <f>IFERROR(__xludf.DUMMYFUNCTION("""COMPUTED_VALUE"""),1731.01)</f>
        <v>1731.01</v>
      </c>
      <c r="L784" s="11">
        <f>IFERROR(__xludf.DUMMYFUNCTION("""COMPUTED_VALUE"""),44183.66666666667)</f>
        <v>44183.66667</v>
      </c>
      <c r="M784" s="9">
        <f>IFERROR(__xludf.DUMMYFUNCTION("""COMPUTED_VALUE"""),128.96)</f>
        <v>128.96</v>
      </c>
      <c r="N784" s="11">
        <f>IFERROR(__xludf.DUMMYFUNCTION("""COMPUTED_VALUE"""),44183.66666666667)</f>
        <v>44183.66667</v>
      </c>
      <c r="O784" s="9">
        <f>IFERROR(__xludf.DUMMYFUNCTION("""COMPUTED_VALUE"""),126.66)</f>
        <v>126.66</v>
      </c>
      <c r="Q784" s="11">
        <f>IFERROR(__xludf.DUMMYFUNCTION("""COMPUTED_VALUE"""),44183.66666666667)</f>
        <v>44183.66667</v>
      </c>
      <c r="R784" s="9">
        <f>IFERROR(__xludf.DUMMYFUNCTION("""COMPUTED_VALUE"""),275.77)</f>
        <v>275.77</v>
      </c>
      <c r="S784" s="11">
        <f>IFERROR(__xludf.DUMMYFUNCTION("""COMPUTED_VALUE"""),44183.66666666667)</f>
        <v>44183.66667</v>
      </c>
      <c r="T784" s="9">
        <f>IFERROR(__xludf.DUMMYFUNCTION("""COMPUTED_VALUE"""),276.4)</f>
        <v>276.4</v>
      </c>
      <c r="V784" s="11">
        <f>IFERROR(__xludf.DUMMYFUNCTION("""COMPUTED_VALUE"""),44183.66666666667)</f>
        <v>44183.66667</v>
      </c>
      <c r="W784" s="9">
        <f>IFERROR(__xludf.DUMMYFUNCTION("""COMPUTED_VALUE"""),533.2)</f>
        <v>533.2</v>
      </c>
      <c r="X784" s="11">
        <f>IFERROR(__xludf.DUMMYFUNCTION("""COMPUTED_VALUE"""),44183.66666666667)</f>
        <v>44183.66667</v>
      </c>
      <c r="Y784" s="9">
        <f>IFERROR(__xludf.DUMMYFUNCTION("""COMPUTED_VALUE"""),534.45)</f>
        <v>534.45</v>
      </c>
      <c r="AA784" s="11">
        <f>IFERROR(__xludf.DUMMYFUNCTION("""COMPUTED_VALUE"""),44183.66666666667)</f>
        <v>44183.66667</v>
      </c>
      <c r="AB784" s="9">
        <f>IFERROR(__xludf.DUMMYFUNCTION("""COMPUTED_VALUE"""),3243.99)</f>
        <v>3243.99</v>
      </c>
      <c r="AC784" s="11">
        <f>IFERROR(__xludf.DUMMYFUNCTION("""COMPUTED_VALUE"""),44183.66666666667)</f>
        <v>44183.66667</v>
      </c>
      <c r="AD784" s="9">
        <f>IFERROR(__xludf.DUMMYFUNCTION("""COMPUTED_VALUE"""),3201.65)</f>
        <v>3201.65</v>
      </c>
    </row>
    <row r="785">
      <c r="B785" s="11">
        <f>IFERROR(__xludf.DUMMYFUNCTION("""COMPUTED_VALUE"""),44186.66666666667)</f>
        <v>44186.66667</v>
      </c>
      <c r="C785" s="9">
        <f>IFERROR(__xludf.DUMMYFUNCTION("""COMPUTED_VALUE"""),666.24)</f>
        <v>666.24</v>
      </c>
      <c r="D785" s="11">
        <f>IFERROR(__xludf.DUMMYFUNCTION("""COMPUTED_VALUE"""),44186.66666666667)</f>
        <v>44186.66667</v>
      </c>
      <c r="E785" s="9">
        <f>IFERROR(__xludf.DUMMYFUNCTION("""COMPUTED_VALUE"""),649.86)</f>
        <v>649.86</v>
      </c>
      <c r="G785" s="11">
        <f>IFERROR(__xludf.DUMMYFUNCTION("""COMPUTED_VALUE"""),44186.66666666667)</f>
        <v>44186.66667</v>
      </c>
      <c r="H785" s="9">
        <f>IFERROR(__xludf.DUMMYFUNCTION("""COMPUTED_VALUE"""),1713.51)</f>
        <v>1713.51</v>
      </c>
      <c r="I785" s="11">
        <f>IFERROR(__xludf.DUMMYFUNCTION("""COMPUTED_VALUE"""),44186.66666666667)</f>
        <v>44186.66667</v>
      </c>
      <c r="J785" s="9">
        <f>IFERROR(__xludf.DUMMYFUNCTION("""COMPUTED_VALUE"""),1739.37)</f>
        <v>1739.37</v>
      </c>
      <c r="L785" s="11">
        <f>IFERROR(__xludf.DUMMYFUNCTION("""COMPUTED_VALUE"""),44186.66666666667)</f>
        <v>44186.66667</v>
      </c>
      <c r="M785" s="9">
        <f>IFERROR(__xludf.DUMMYFUNCTION("""COMPUTED_VALUE"""),125.02)</f>
        <v>125.02</v>
      </c>
      <c r="N785" s="11">
        <f>IFERROR(__xludf.DUMMYFUNCTION("""COMPUTED_VALUE"""),44186.66666666667)</f>
        <v>44186.66667</v>
      </c>
      <c r="O785" s="9">
        <f>IFERROR(__xludf.DUMMYFUNCTION("""COMPUTED_VALUE"""),128.23)</f>
        <v>128.23</v>
      </c>
      <c r="Q785" s="11">
        <f>IFERROR(__xludf.DUMMYFUNCTION("""COMPUTED_VALUE"""),44186.66666666667)</f>
        <v>44186.66667</v>
      </c>
      <c r="R785" s="9">
        <f>IFERROR(__xludf.DUMMYFUNCTION("""COMPUTED_VALUE"""),272.98)</f>
        <v>272.98</v>
      </c>
      <c r="S785" s="11">
        <f>IFERROR(__xludf.DUMMYFUNCTION("""COMPUTED_VALUE"""),44186.66666666667)</f>
        <v>44186.66667</v>
      </c>
      <c r="T785" s="9">
        <f>IFERROR(__xludf.DUMMYFUNCTION("""COMPUTED_VALUE"""),272.79)</f>
        <v>272.79</v>
      </c>
      <c r="V785" s="11">
        <f>IFERROR(__xludf.DUMMYFUNCTION("""COMPUTED_VALUE"""),44186.66666666667)</f>
        <v>44186.66667</v>
      </c>
      <c r="W785" s="9">
        <f>IFERROR(__xludf.DUMMYFUNCTION("""COMPUTED_VALUE"""),530.05)</f>
        <v>530.05</v>
      </c>
      <c r="X785" s="11">
        <f>IFERROR(__xludf.DUMMYFUNCTION("""COMPUTED_VALUE"""),44186.66666666667)</f>
        <v>44186.66667</v>
      </c>
      <c r="Y785" s="9">
        <f>IFERROR(__xludf.DUMMYFUNCTION("""COMPUTED_VALUE"""),528.91)</f>
        <v>528.91</v>
      </c>
      <c r="AA785" s="11">
        <f>IFERROR(__xludf.DUMMYFUNCTION("""COMPUTED_VALUE"""),44186.66666666667)</f>
        <v>44186.66667</v>
      </c>
      <c r="AB785" s="9">
        <f>IFERROR(__xludf.DUMMYFUNCTION("""COMPUTED_VALUE"""),3200.01)</f>
        <v>3200.01</v>
      </c>
      <c r="AC785" s="11">
        <f>IFERROR(__xludf.DUMMYFUNCTION("""COMPUTED_VALUE"""),44186.66666666667)</f>
        <v>44186.66667</v>
      </c>
      <c r="AD785" s="9">
        <f>IFERROR(__xludf.DUMMYFUNCTION("""COMPUTED_VALUE"""),3206.18)</f>
        <v>3206.18</v>
      </c>
    </row>
    <row r="786">
      <c r="B786" s="11">
        <f>IFERROR(__xludf.DUMMYFUNCTION("""COMPUTED_VALUE"""),44187.66666666667)</f>
        <v>44187.66667</v>
      </c>
      <c r="C786" s="9">
        <f>IFERROR(__xludf.DUMMYFUNCTION("""COMPUTED_VALUE"""),648.0)</f>
        <v>648</v>
      </c>
      <c r="D786" s="11">
        <f>IFERROR(__xludf.DUMMYFUNCTION("""COMPUTED_VALUE"""),44187.66666666667)</f>
        <v>44187.66667</v>
      </c>
      <c r="E786" s="9">
        <f>IFERROR(__xludf.DUMMYFUNCTION("""COMPUTED_VALUE"""),640.34)</f>
        <v>640.34</v>
      </c>
      <c r="G786" s="11">
        <f>IFERROR(__xludf.DUMMYFUNCTION("""COMPUTED_VALUE"""),44187.66666666667)</f>
        <v>44187.66667</v>
      </c>
      <c r="H786" s="9">
        <f>IFERROR(__xludf.DUMMYFUNCTION("""COMPUTED_VALUE"""),1734.43)</f>
        <v>1734.43</v>
      </c>
      <c r="I786" s="11">
        <f>IFERROR(__xludf.DUMMYFUNCTION("""COMPUTED_VALUE"""),44187.66666666667)</f>
        <v>44187.66667</v>
      </c>
      <c r="J786" s="9">
        <f>IFERROR(__xludf.DUMMYFUNCTION("""COMPUTED_VALUE"""),1723.5)</f>
        <v>1723.5</v>
      </c>
      <c r="L786" s="11">
        <f>IFERROR(__xludf.DUMMYFUNCTION("""COMPUTED_VALUE"""),44187.66666666667)</f>
        <v>44187.66667</v>
      </c>
      <c r="M786" s="9">
        <f>IFERROR(__xludf.DUMMYFUNCTION("""COMPUTED_VALUE"""),131.61)</f>
        <v>131.61</v>
      </c>
      <c r="N786" s="11">
        <f>IFERROR(__xludf.DUMMYFUNCTION("""COMPUTED_VALUE"""),44187.66666666667)</f>
        <v>44187.66667</v>
      </c>
      <c r="O786" s="9">
        <f>IFERROR(__xludf.DUMMYFUNCTION("""COMPUTED_VALUE"""),131.88)</f>
        <v>131.88</v>
      </c>
      <c r="Q786" s="11">
        <f>IFERROR(__xludf.DUMMYFUNCTION("""COMPUTED_VALUE"""),44187.66666666667)</f>
        <v>44187.66667</v>
      </c>
      <c r="R786" s="9">
        <f>IFERROR(__xludf.DUMMYFUNCTION("""COMPUTED_VALUE"""),271.5)</f>
        <v>271.5</v>
      </c>
      <c r="S786" s="11">
        <f>IFERROR(__xludf.DUMMYFUNCTION("""COMPUTED_VALUE"""),44187.66666666667)</f>
        <v>44187.66667</v>
      </c>
      <c r="T786" s="9">
        <f>IFERROR(__xludf.DUMMYFUNCTION("""COMPUTED_VALUE"""),267.09)</f>
        <v>267.09</v>
      </c>
      <c r="V786" s="11">
        <f>IFERROR(__xludf.DUMMYFUNCTION("""COMPUTED_VALUE"""),44187.66666666667)</f>
        <v>44187.66667</v>
      </c>
      <c r="W786" s="9">
        <f>IFERROR(__xludf.DUMMYFUNCTION("""COMPUTED_VALUE"""),527.69)</f>
        <v>527.69</v>
      </c>
      <c r="X786" s="11">
        <f>IFERROR(__xludf.DUMMYFUNCTION("""COMPUTED_VALUE"""),44187.66666666667)</f>
        <v>44187.66667</v>
      </c>
      <c r="Y786" s="9">
        <f>IFERROR(__xludf.DUMMYFUNCTION("""COMPUTED_VALUE"""),527.33)</f>
        <v>527.33</v>
      </c>
      <c r="AA786" s="11">
        <f>IFERROR(__xludf.DUMMYFUNCTION("""COMPUTED_VALUE"""),44187.66666666667)</f>
        <v>44187.66667</v>
      </c>
      <c r="AB786" s="9">
        <f>IFERROR(__xludf.DUMMYFUNCTION("""COMPUTED_VALUE"""),3202.84)</f>
        <v>3202.84</v>
      </c>
      <c r="AC786" s="11">
        <f>IFERROR(__xludf.DUMMYFUNCTION("""COMPUTED_VALUE"""),44187.66666666667)</f>
        <v>44187.66667</v>
      </c>
      <c r="AD786" s="9">
        <f>IFERROR(__xludf.DUMMYFUNCTION("""COMPUTED_VALUE"""),3206.52)</f>
        <v>3206.52</v>
      </c>
    </row>
    <row r="787">
      <c r="B787" s="11">
        <f>IFERROR(__xludf.DUMMYFUNCTION("""COMPUTED_VALUE"""),44188.66666666667)</f>
        <v>44188.66667</v>
      </c>
      <c r="C787" s="9">
        <f>IFERROR(__xludf.DUMMYFUNCTION("""COMPUTED_VALUE"""),632.2)</f>
        <v>632.2</v>
      </c>
      <c r="D787" s="11">
        <f>IFERROR(__xludf.DUMMYFUNCTION("""COMPUTED_VALUE"""),44188.66666666667)</f>
        <v>44188.66667</v>
      </c>
      <c r="E787" s="9">
        <f>IFERROR(__xludf.DUMMYFUNCTION("""COMPUTED_VALUE"""),645.98)</f>
        <v>645.98</v>
      </c>
      <c r="G787" s="11">
        <f>IFERROR(__xludf.DUMMYFUNCTION("""COMPUTED_VALUE"""),44188.66666666667)</f>
        <v>44188.66667</v>
      </c>
      <c r="H787" s="9">
        <f>IFERROR(__xludf.DUMMYFUNCTION("""COMPUTED_VALUE"""),1728.11)</f>
        <v>1728.11</v>
      </c>
      <c r="I787" s="11">
        <f>IFERROR(__xludf.DUMMYFUNCTION("""COMPUTED_VALUE"""),44188.66666666667)</f>
        <v>44188.66667</v>
      </c>
      <c r="J787" s="9">
        <f>IFERROR(__xludf.DUMMYFUNCTION("""COMPUTED_VALUE"""),1732.38)</f>
        <v>1732.38</v>
      </c>
      <c r="L787" s="11">
        <f>IFERROR(__xludf.DUMMYFUNCTION("""COMPUTED_VALUE"""),44188.66666666667)</f>
        <v>44188.66667</v>
      </c>
      <c r="M787" s="9">
        <f>IFERROR(__xludf.DUMMYFUNCTION("""COMPUTED_VALUE"""),132.16)</f>
        <v>132.16</v>
      </c>
      <c r="N787" s="11">
        <f>IFERROR(__xludf.DUMMYFUNCTION("""COMPUTED_VALUE"""),44188.66666666667)</f>
        <v>44188.66667</v>
      </c>
      <c r="O787" s="9">
        <f>IFERROR(__xludf.DUMMYFUNCTION("""COMPUTED_VALUE"""),130.96)</f>
        <v>130.96</v>
      </c>
      <c r="Q787" s="11">
        <f>IFERROR(__xludf.DUMMYFUNCTION("""COMPUTED_VALUE"""),44188.66666666667)</f>
        <v>44188.66667</v>
      </c>
      <c r="R787" s="9">
        <f>IFERROR(__xludf.DUMMYFUNCTION("""COMPUTED_VALUE"""),266.89)</f>
        <v>266.89</v>
      </c>
      <c r="S787" s="11">
        <f>IFERROR(__xludf.DUMMYFUNCTION("""COMPUTED_VALUE"""),44188.66666666667)</f>
        <v>44188.66667</v>
      </c>
      <c r="T787" s="9">
        <f>IFERROR(__xludf.DUMMYFUNCTION("""COMPUTED_VALUE"""),268.11)</f>
        <v>268.11</v>
      </c>
      <c r="V787" s="11">
        <f>IFERROR(__xludf.DUMMYFUNCTION("""COMPUTED_VALUE"""),44188.66666666667)</f>
        <v>44188.66667</v>
      </c>
      <c r="W787" s="9">
        <f>IFERROR(__xludf.DUMMYFUNCTION("""COMPUTED_VALUE"""),524.76)</f>
        <v>524.76</v>
      </c>
      <c r="X787" s="11">
        <f>IFERROR(__xludf.DUMMYFUNCTION("""COMPUTED_VALUE"""),44188.66666666667)</f>
        <v>44188.66667</v>
      </c>
      <c r="Y787" s="9">
        <f>IFERROR(__xludf.DUMMYFUNCTION("""COMPUTED_VALUE"""),514.48)</f>
        <v>514.48</v>
      </c>
      <c r="AA787" s="11">
        <f>IFERROR(__xludf.DUMMYFUNCTION("""COMPUTED_VALUE"""),44188.66666666667)</f>
        <v>44188.66667</v>
      </c>
      <c r="AB787" s="9">
        <f>IFERROR(__xludf.DUMMYFUNCTION("""COMPUTED_VALUE"""),3205.0)</f>
        <v>3205</v>
      </c>
      <c r="AC787" s="11">
        <f>IFERROR(__xludf.DUMMYFUNCTION("""COMPUTED_VALUE"""),44188.66666666667)</f>
        <v>44188.66667</v>
      </c>
      <c r="AD787" s="9">
        <f>IFERROR(__xludf.DUMMYFUNCTION("""COMPUTED_VALUE"""),3185.27)</f>
        <v>3185.27</v>
      </c>
    </row>
    <row r="788">
      <c r="B788" s="11">
        <f>IFERROR(__xludf.DUMMYFUNCTION("""COMPUTED_VALUE"""),44189.54166666667)</f>
        <v>44189.54167</v>
      </c>
      <c r="C788" s="9">
        <f>IFERROR(__xludf.DUMMYFUNCTION("""COMPUTED_VALUE"""),642.99)</f>
        <v>642.99</v>
      </c>
      <c r="D788" s="11">
        <f>IFERROR(__xludf.DUMMYFUNCTION("""COMPUTED_VALUE"""),44189.54166666667)</f>
        <v>44189.54167</v>
      </c>
      <c r="E788" s="9">
        <f>IFERROR(__xludf.DUMMYFUNCTION("""COMPUTED_VALUE"""),661.77)</f>
        <v>661.77</v>
      </c>
      <c r="G788" s="11">
        <f>IFERROR(__xludf.DUMMYFUNCTION("""COMPUTED_VALUE"""),44189.54166666667)</f>
        <v>44189.54167</v>
      </c>
      <c r="H788" s="9">
        <f>IFERROR(__xludf.DUMMYFUNCTION("""COMPUTED_VALUE"""),1735.0)</f>
        <v>1735</v>
      </c>
      <c r="I788" s="11">
        <f>IFERROR(__xludf.DUMMYFUNCTION("""COMPUTED_VALUE"""),44189.54166666667)</f>
        <v>44189.54167</v>
      </c>
      <c r="J788" s="9">
        <f>IFERROR(__xludf.DUMMYFUNCTION("""COMPUTED_VALUE"""),1738.85)</f>
        <v>1738.85</v>
      </c>
      <c r="L788" s="11">
        <f>IFERROR(__xludf.DUMMYFUNCTION("""COMPUTED_VALUE"""),44189.54166666667)</f>
        <v>44189.54167</v>
      </c>
      <c r="M788" s="9">
        <f>IFERROR(__xludf.DUMMYFUNCTION("""COMPUTED_VALUE"""),131.32)</f>
        <v>131.32</v>
      </c>
      <c r="N788" s="11">
        <f>IFERROR(__xludf.DUMMYFUNCTION("""COMPUTED_VALUE"""),44189.54166666667)</f>
        <v>44189.54167</v>
      </c>
      <c r="O788" s="9">
        <f>IFERROR(__xludf.DUMMYFUNCTION("""COMPUTED_VALUE"""),131.97)</f>
        <v>131.97</v>
      </c>
      <c r="Q788" s="11">
        <f>IFERROR(__xludf.DUMMYFUNCTION("""COMPUTED_VALUE"""),44189.54166666667)</f>
        <v>44189.54167</v>
      </c>
      <c r="R788" s="9">
        <f>IFERROR(__xludf.DUMMYFUNCTION("""COMPUTED_VALUE"""),268.88)</f>
        <v>268.88</v>
      </c>
      <c r="S788" s="11">
        <f>IFERROR(__xludf.DUMMYFUNCTION("""COMPUTED_VALUE"""),44189.54166666667)</f>
        <v>44189.54167</v>
      </c>
      <c r="T788" s="9">
        <f>IFERROR(__xludf.DUMMYFUNCTION("""COMPUTED_VALUE"""),267.4)</f>
        <v>267.4</v>
      </c>
      <c r="V788" s="11">
        <f>IFERROR(__xludf.DUMMYFUNCTION("""COMPUTED_VALUE"""),44189.54166666667)</f>
        <v>44189.54167</v>
      </c>
      <c r="W788" s="9">
        <f>IFERROR(__xludf.DUMMYFUNCTION("""COMPUTED_VALUE"""),515.12)</f>
        <v>515.12</v>
      </c>
      <c r="X788" s="11">
        <f>IFERROR(__xludf.DUMMYFUNCTION("""COMPUTED_VALUE"""),44189.54166666667)</f>
        <v>44189.54167</v>
      </c>
      <c r="Y788" s="9">
        <f>IFERROR(__xludf.DUMMYFUNCTION("""COMPUTED_VALUE"""),513.97)</f>
        <v>513.97</v>
      </c>
      <c r="AA788" s="11">
        <f>IFERROR(__xludf.DUMMYFUNCTION("""COMPUTED_VALUE"""),44189.54166666667)</f>
        <v>44189.54167</v>
      </c>
      <c r="AB788" s="9">
        <f>IFERROR(__xludf.DUMMYFUNCTION("""COMPUTED_VALUE"""),3193.9)</f>
        <v>3193.9</v>
      </c>
      <c r="AC788" s="11">
        <f>IFERROR(__xludf.DUMMYFUNCTION("""COMPUTED_VALUE"""),44189.54166666667)</f>
        <v>44189.54167</v>
      </c>
      <c r="AD788" s="9">
        <f>IFERROR(__xludf.DUMMYFUNCTION("""COMPUTED_VALUE"""),3172.69)</f>
        <v>3172.69</v>
      </c>
    </row>
    <row r="789">
      <c r="B789" s="11">
        <f>IFERROR(__xludf.DUMMYFUNCTION("""COMPUTED_VALUE"""),44193.66666666667)</f>
        <v>44193.66667</v>
      </c>
      <c r="C789" s="9">
        <f>IFERROR(__xludf.DUMMYFUNCTION("""COMPUTED_VALUE"""),674.51)</f>
        <v>674.51</v>
      </c>
      <c r="D789" s="11">
        <f>IFERROR(__xludf.DUMMYFUNCTION("""COMPUTED_VALUE"""),44193.66666666667)</f>
        <v>44193.66667</v>
      </c>
      <c r="E789" s="9">
        <f>IFERROR(__xludf.DUMMYFUNCTION("""COMPUTED_VALUE"""),663.69)</f>
        <v>663.69</v>
      </c>
      <c r="G789" s="11">
        <f>IFERROR(__xludf.DUMMYFUNCTION("""COMPUTED_VALUE"""),44193.66666666667)</f>
        <v>44193.66667</v>
      </c>
      <c r="H789" s="9">
        <f>IFERROR(__xludf.DUMMYFUNCTION("""COMPUTED_VALUE"""),1751.64)</f>
        <v>1751.64</v>
      </c>
      <c r="I789" s="11">
        <f>IFERROR(__xludf.DUMMYFUNCTION("""COMPUTED_VALUE"""),44193.66666666667)</f>
        <v>44193.66667</v>
      </c>
      <c r="J789" s="9">
        <f>IFERROR(__xludf.DUMMYFUNCTION("""COMPUTED_VALUE"""),1776.09)</f>
        <v>1776.09</v>
      </c>
      <c r="L789" s="11">
        <f>IFERROR(__xludf.DUMMYFUNCTION("""COMPUTED_VALUE"""),44193.66666666667)</f>
        <v>44193.66667</v>
      </c>
      <c r="M789" s="9">
        <f>IFERROR(__xludf.DUMMYFUNCTION("""COMPUTED_VALUE"""),133.99)</f>
        <v>133.99</v>
      </c>
      <c r="N789" s="11">
        <f>IFERROR(__xludf.DUMMYFUNCTION("""COMPUTED_VALUE"""),44193.66666666667)</f>
        <v>44193.66667</v>
      </c>
      <c r="O789" s="9">
        <f>IFERROR(__xludf.DUMMYFUNCTION("""COMPUTED_VALUE"""),136.69)</f>
        <v>136.69</v>
      </c>
      <c r="Q789" s="11">
        <f>IFERROR(__xludf.DUMMYFUNCTION("""COMPUTED_VALUE"""),44193.66666666667)</f>
        <v>44193.66667</v>
      </c>
      <c r="R789" s="9">
        <f>IFERROR(__xludf.DUMMYFUNCTION("""COMPUTED_VALUE"""),268.74)</f>
        <v>268.74</v>
      </c>
      <c r="S789" s="11">
        <f>IFERROR(__xludf.DUMMYFUNCTION("""COMPUTED_VALUE"""),44193.66666666667)</f>
        <v>44193.66667</v>
      </c>
      <c r="T789" s="9">
        <f>IFERROR(__xludf.DUMMYFUNCTION("""COMPUTED_VALUE"""),277.0)</f>
        <v>277</v>
      </c>
      <c r="V789" s="11">
        <f>IFERROR(__xludf.DUMMYFUNCTION("""COMPUTED_VALUE"""),44193.66666666667)</f>
        <v>44193.66667</v>
      </c>
      <c r="W789" s="9">
        <f>IFERROR(__xludf.DUMMYFUNCTION("""COMPUTED_VALUE"""),516.43)</f>
        <v>516.43</v>
      </c>
      <c r="X789" s="11">
        <f>IFERROR(__xludf.DUMMYFUNCTION("""COMPUTED_VALUE"""),44193.66666666667)</f>
        <v>44193.66667</v>
      </c>
      <c r="Y789" s="9">
        <f>IFERROR(__xludf.DUMMYFUNCTION("""COMPUTED_VALUE"""),519.12)</f>
        <v>519.12</v>
      </c>
      <c r="AA789" s="11">
        <f>IFERROR(__xludf.DUMMYFUNCTION("""COMPUTED_VALUE"""),44193.66666666667)</f>
        <v>44193.66667</v>
      </c>
      <c r="AB789" s="9">
        <f>IFERROR(__xludf.DUMMYFUNCTION("""COMPUTED_VALUE"""),3194.0)</f>
        <v>3194</v>
      </c>
      <c r="AC789" s="11">
        <f>IFERROR(__xludf.DUMMYFUNCTION("""COMPUTED_VALUE"""),44193.66666666667)</f>
        <v>44193.66667</v>
      </c>
      <c r="AD789" s="9">
        <f>IFERROR(__xludf.DUMMYFUNCTION("""COMPUTED_VALUE"""),3283.96)</f>
        <v>3283.96</v>
      </c>
    </row>
    <row r="790">
      <c r="B790" s="11">
        <f>IFERROR(__xludf.DUMMYFUNCTION("""COMPUTED_VALUE"""),44194.66666666667)</f>
        <v>44194.66667</v>
      </c>
      <c r="C790" s="9">
        <f>IFERROR(__xludf.DUMMYFUNCTION("""COMPUTED_VALUE"""),661.0)</f>
        <v>661</v>
      </c>
      <c r="D790" s="11">
        <f>IFERROR(__xludf.DUMMYFUNCTION("""COMPUTED_VALUE"""),44194.66666666667)</f>
        <v>44194.66667</v>
      </c>
      <c r="E790" s="9">
        <f>IFERROR(__xludf.DUMMYFUNCTION("""COMPUTED_VALUE"""),665.99)</f>
        <v>665.99</v>
      </c>
      <c r="G790" s="11">
        <f>IFERROR(__xludf.DUMMYFUNCTION("""COMPUTED_VALUE"""),44194.66666666667)</f>
        <v>44194.66667</v>
      </c>
      <c r="H790" s="9">
        <f>IFERROR(__xludf.DUMMYFUNCTION("""COMPUTED_VALUE"""),1787.79)</f>
        <v>1787.79</v>
      </c>
      <c r="I790" s="11">
        <f>IFERROR(__xludf.DUMMYFUNCTION("""COMPUTED_VALUE"""),44194.66666666667)</f>
        <v>44194.66667</v>
      </c>
      <c r="J790" s="9">
        <f>IFERROR(__xludf.DUMMYFUNCTION("""COMPUTED_VALUE"""),1758.72)</f>
        <v>1758.72</v>
      </c>
      <c r="L790" s="11">
        <f>IFERROR(__xludf.DUMMYFUNCTION("""COMPUTED_VALUE"""),44194.66666666667)</f>
        <v>44194.66667</v>
      </c>
      <c r="M790" s="9">
        <f>IFERROR(__xludf.DUMMYFUNCTION("""COMPUTED_VALUE"""),138.05)</f>
        <v>138.05</v>
      </c>
      <c r="N790" s="11">
        <f>IFERROR(__xludf.DUMMYFUNCTION("""COMPUTED_VALUE"""),44194.66666666667)</f>
        <v>44194.66667</v>
      </c>
      <c r="O790" s="9">
        <f>IFERROR(__xludf.DUMMYFUNCTION("""COMPUTED_VALUE"""),134.87)</f>
        <v>134.87</v>
      </c>
      <c r="Q790" s="11">
        <f>IFERROR(__xludf.DUMMYFUNCTION("""COMPUTED_VALUE"""),44194.66666666667)</f>
        <v>44194.66667</v>
      </c>
      <c r="R790" s="9">
        <f>IFERROR(__xludf.DUMMYFUNCTION("""COMPUTED_VALUE"""),276.95)</f>
        <v>276.95</v>
      </c>
      <c r="S790" s="11">
        <f>IFERROR(__xludf.DUMMYFUNCTION("""COMPUTED_VALUE"""),44194.66666666667)</f>
        <v>44194.66667</v>
      </c>
      <c r="T790" s="9">
        <f>IFERROR(__xludf.DUMMYFUNCTION("""COMPUTED_VALUE"""),276.78)</f>
        <v>276.78</v>
      </c>
      <c r="V790" s="11">
        <f>IFERROR(__xludf.DUMMYFUNCTION("""COMPUTED_VALUE"""),44194.66666666667)</f>
        <v>44194.66667</v>
      </c>
      <c r="W790" s="9">
        <f>IFERROR(__xludf.DUMMYFUNCTION("""COMPUTED_VALUE"""),519.9)</f>
        <v>519.9</v>
      </c>
      <c r="X790" s="11">
        <f>IFERROR(__xludf.DUMMYFUNCTION("""COMPUTED_VALUE"""),44194.66666666667)</f>
        <v>44194.66667</v>
      </c>
      <c r="Y790" s="9">
        <f>IFERROR(__xludf.DUMMYFUNCTION("""COMPUTED_VALUE"""),530.87)</f>
        <v>530.87</v>
      </c>
      <c r="AA790" s="11">
        <f>IFERROR(__xludf.DUMMYFUNCTION("""COMPUTED_VALUE"""),44194.66666666667)</f>
        <v>44194.66667</v>
      </c>
      <c r="AB790" s="9">
        <f>IFERROR(__xludf.DUMMYFUNCTION("""COMPUTED_VALUE"""),3309.94)</f>
        <v>3309.94</v>
      </c>
      <c r="AC790" s="11">
        <f>IFERROR(__xludf.DUMMYFUNCTION("""COMPUTED_VALUE"""),44194.66666666667)</f>
        <v>44194.66667</v>
      </c>
      <c r="AD790" s="9">
        <f>IFERROR(__xludf.DUMMYFUNCTION("""COMPUTED_VALUE"""),3322.0)</f>
        <v>3322</v>
      </c>
    </row>
    <row r="791">
      <c r="B791" s="11">
        <f>IFERROR(__xludf.DUMMYFUNCTION("""COMPUTED_VALUE"""),44195.66666666667)</f>
        <v>44195.66667</v>
      </c>
      <c r="C791" s="9">
        <f>IFERROR(__xludf.DUMMYFUNCTION("""COMPUTED_VALUE"""),672.0)</f>
        <v>672</v>
      </c>
      <c r="D791" s="11">
        <f>IFERROR(__xludf.DUMMYFUNCTION("""COMPUTED_VALUE"""),44195.66666666667)</f>
        <v>44195.66667</v>
      </c>
      <c r="E791" s="9">
        <f>IFERROR(__xludf.DUMMYFUNCTION("""COMPUTED_VALUE"""),694.78)</f>
        <v>694.78</v>
      </c>
      <c r="G791" s="11">
        <f>IFERROR(__xludf.DUMMYFUNCTION("""COMPUTED_VALUE"""),44195.66666666667)</f>
        <v>44195.66667</v>
      </c>
      <c r="H791" s="9">
        <f>IFERROR(__xludf.DUMMYFUNCTION("""COMPUTED_VALUE"""),1762.01)</f>
        <v>1762.01</v>
      </c>
      <c r="I791" s="11">
        <f>IFERROR(__xludf.DUMMYFUNCTION("""COMPUTED_VALUE"""),44195.66666666667)</f>
        <v>44195.66667</v>
      </c>
      <c r="J791" s="9">
        <f>IFERROR(__xludf.DUMMYFUNCTION("""COMPUTED_VALUE"""),1739.52)</f>
        <v>1739.52</v>
      </c>
      <c r="L791" s="11">
        <f>IFERROR(__xludf.DUMMYFUNCTION("""COMPUTED_VALUE"""),44195.66666666667)</f>
        <v>44195.66667</v>
      </c>
      <c r="M791" s="9">
        <f>IFERROR(__xludf.DUMMYFUNCTION("""COMPUTED_VALUE"""),135.58)</f>
        <v>135.58</v>
      </c>
      <c r="N791" s="11">
        <f>IFERROR(__xludf.DUMMYFUNCTION("""COMPUTED_VALUE"""),44195.66666666667)</f>
        <v>44195.66667</v>
      </c>
      <c r="O791" s="9">
        <f>IFERROR(__xludf.DUMMYFUNCTION("""COMPUTED_VALUE"""),133.72)</f>
        <v>133.72</v>
      </c>
      <c r="Q791" s="11">
        <f>IFERROR(__xludf.DUMMYFUNCTION("""COMPUTED_VALUE"""),44195.66666666667)</f>
        <v>44195.66667</v>
      </c>
      <c r="R791" s="9">
        <f>IFERROR(__xludf.DUMMYFUNCTION("""COMPUTED_VALUE"""),277.95)</f>
        <v>277.95</v>
      </c>
      <c r="S791" s="11">
        <f>IFERROR(__xludf.DUMMYFUNCTION("""COMPUTED_VALUE"""),44195.66666666667)</f>
        <v>44195.66667</v>
      </c>
      <c r="T791" s="9">
        <f>IFERROR(__xludf.DUMMYFUNCTION("""COMPUTED_VALUE"""),271.87)</f>
        <v>271.87</v>
      </c>
      <c r="V791" s="11">
        <f>IFERROR(__xludf.DUMMYFUNCTION("""COMPUTED_VALUE"""),44195.66666666667)</f>
        <v>44195.66667</v>
      </c>
      <c r="W791" s="9">
        <f>IFERROR(__xludf.DUMMYFUNCTION("""COMPUTED_VALUE"""),530.13)</f>
        <v>530.13</v>
      </c>
      <c r="X791" s="11">
        <f>IFERROR(__xludf.DUMMYFUNCTION("""COMPUTED_VALUE"""),44195.66666666667)</f>
        <v>44195.66667</v>
      </c>
      <c r="Y791" s="9">
        <f>IFERROR(__xludf.DUMMYFUNCTION("""COMPUTED_VALUE"""),524.59)</f>
        <v>524.59</v>
      </c>
      <c r="AA791" s="11">
        <f>IFERROR(__xludf.DUMMYFUNCTION("""COMPUTED_VALUE"""),44195.66666666667)</f>
        <v>44195.66667</v>
      </c>
      <c r="AB791" s="9">
        <f>IFERROR(__xludf.DUMMYFUNCTION("""COMPUTED_VALUE"""),3341.0)</f>
        <v>3341</v>
      </c>
      <c r="AC791" s="11">
        <f>IFERROR(__xludf.DUMMYFUNCTION("""COMPUTED_VALUE"""),44195.66666666667)</f>
        <v>44195.66667</v>
      </c>
      <c r="AD791" s="9">
        <f>IFERROR(__xludf.DUMMYFUNCTION("""COMPUTED_VALUE"""),3285.85)</f>
        <v>3285.85</v>
      </c>
    </row>
    <row r="792">
      <c r="B792" s="11">
        <f>IFERROR(__xludf.DUMMYFUNCTION("""COMPUTED_VALUE"""),44196.66666666667)</f>
        <v>44196.66667</v>
      </c>
      <c r="C792" s="9">
        <f>IFERROR(__xludf.DUMMYFUNCTION("""COMPUTED_VALUE"""),699.99)</f>
        <v>699.99</v>
      </c>
      <c r="D792" s="11">
        <f>IFERROR(__xludf.DUMMYFUNCTION("""COMPUTED_VALUE"""),44196.66666666667)</f>
        <v>44196.66667</v>
      </c>
      <c r="E792" s="9">
        <f>IFERROR(__xludf.DUMMYFUNCTION("""COMPUTED_VALUE"""),705.67)</f>
        <v>705.67</v>
      </c>
      <c r="G792" s="11">
        <f>IFERROR(__xludf.DUMMYFUNCTION("""COMPUTED_VALUE"""),44196.66666666667)</f>
        <v>44196.66667</v>
      </c>
      <c r="H792" s="9">
        <f>IFERROR(__xludf.DUMMYFUNCTION("""COMPUTED_VALUE"""),1735.42)</f>
        <v>1735.42</v>
      </c>
      <c r="I792" s="11">
        <f>IFERROR(__xludf.DUMMYFUNCTION("""COMPUTED_VALUE"""),44196.66666666667)</f>
        <v>44196.66667</v>
      </c>
      <c r="J792" s="9">
        <f>IFERROR(__xludf.DUMMYFUNCTION("""COMPUTED_VALUE"""),1751.88)</f>
        <v>1751.88</v>
      </c>
      <c r="L792" s="11">
        <f>IFERROR(__xludf.DUMMYFUNCTION("""COMPUTED_VALUE"""),44196.66666666667)</f>
        <v>44196.66667</v>
      </c>
      <c r="M792" s="9">
        <f>IFERROR(__xludf.DUMMYFUNCTION("""COMPUTED_VALUE"""),134.08)</f>
        <v>134.08</v>
      </c>
      <c r="N792" s="11">
        <f>IFERROR(__xludf.DUMMYFUNCTION("""COMPUTED_VALUE"""),44196.66666666667)</f>
        <v>44196.66667</v>
      </c>
      <c r="O792" s="9">
        <f>IFERROR(__xludf.DUMMYFUNCTION("""COMPUTED_VALUE"""),132.69)</f>
        <v>132.69</v>
      </c>
      <c r="Q792" s="11">
        <f>IFERROR(__xludf.DUMMYFUNCTION("""COMPUTED_VALUE"""),44196.66666666667)</f>
        <v>44196.66667</v>
      </c>
      <c r="R792" s="9">
        <f>IFERROR(__xludf.DUMMYFUNCTION("""COMPUTED_VALUE"""),272.0)</f>
        <v>272</v>
      </c>
      <c r="S792" s="11">
        <f>IFERROR(__xludf.DUMMYFUNCTION("""COMPUTED_VALUE"""),44196.66666666667)</f>
        <v>44196.66667</v>
      </c>
      <c r="T792" s="9">
        <f>IFERROR(__xludf.DUMMYFUNCTION("""COMPUTED_VALUE"""),273.16)</f>
        <v>273.16</v>
      </c>
      <c r="V792" s="11">
        <f>IFERROR(__xludf.DUMMYFUNCTION("""COMPUTED_VALUE"""),44196.66666666667)</f>
        <v>44196.66667</v>
      </c>
      <c r="W792" s="9">
        <f>IFERROR(__xludf.DUMMYFUNCTION("""COMPUTED_VALUE"""),525.53)</f>
        <v>525.53</v>
      </c>
      <c r="X792" s="11">
        <f>IFERROR(__xludf.DUMMYFUNCTION("""COMPUTED_VALUE"""),44196.66666666667)</f>
        <v>44196.66667</v>
      </c>
      <c r="Y792" s="9">
        <f>IFERROR(__xludf.DUMMYFUNCTION("""COMPUTED_VALUE"""),540.73)</f>
        <v>540.73</v>
      </c>
      <c r="AA792" s="11">
        <f>IFERROR(__xludf.DUMMYFUNCTION("""COMPUTED_VALUE"""),44196.66666666667)</f>
        <v>44196.66667</v>
      </c>
      <c r="AB792" s="9">
        <f>IFERROR(__xludf.DUMMYFUNCTION("""COMPUTED_VALUE"""),3275.0)</f>
        <v>3275</v>
      </c>
      <c r="AC792" s="11">
        <f>IFERROR(__xludf.DUMMYFUNCTION("""COMPUTED_VALUE"""),44196.66666666667)</f>
        <v>44196.66667</v>
      </c>
      <c r="AD792" s="9">
        <f>IFERROR(__xludf.DUMMYFUNCTION("""COMPUTED_VALUE"""),3256.93)</f>
        <v>3256.93</v>
      </c>
    </row>
    <row r="793">
      <c r="B793" s="11">
        <f>IFERROR(__xludf.DUMMYFUNCTION("""COMPUTED_VALUE"""),44200.66666666667)</f>
        <v>44200.66667</v>
      </c>
      <c r="C793" s="9">
        <f>IFERROR(__xludf.DUMMYFUNCTION("""COMPUTED_VALUE"""),719.46)</f>
        <v>719.46</v>
      </c>
      <c r="D793" s="11">
        <f>IFERROR(__xludf.DUMMYFUNCTION("""COMPUTED_VALUE"""),44200.66666666667)</f>
        <v>44200.66667</v>
      </c>
      <c r="E793" s="9">
        <f>IFERROR(__xludf.DUMMYFUNCTION("""COMPUTED_VALUE"""),729.77)</f>
        <v>729.77</v>
      </c>
      <c r="G793" s="11">
        <f>IFERROR(__xludf.DUMMYFUNCTION("""COMPUTED_VALUE"""),44200.66666666667)</f>
        <v>44200.66667</v>
      </c>
      <c r="H793" s="9">
        <f>IFERROR(__xludf.DUMMYFUNCTION("""COMPUTED_VALUE"""),1757.54)</f>
        <v>1757.54</v>
      </c>
      <c r="I793" s="11">
        <f>IFERROR(__xludf.DUMMYFUNCTION("""COMPUTED_VALUE"""),44200.66666666667)</f>
        <v>44200.66667</v>
      </c>
      <c r="J793" s="9">
        <f>IFERROR(__xludf.DUMMYFUNCTION("""COMPUTED_VALUE"""),1728.24)</f>
        <v>1728.24</v>
      </c>
      <c r="L793" s="11">
        <f>IFERROR(__xludf.DUMMYFUNCTION("""COMPUTED_VALUE"""),44200.66666666667)</f>
        <v>44200.66667</v>
      </c>
      <c r="M793" s="9">
        <f>IFERROR(__xludf.DUMMYFUNCTION("""COMPUTED_VALUE"""),133.52)</f>
        <v>133.52</v>
      </c>
      <c r="N793" s="11">
        <f>IFERROR(__xludf.DUMMYFUNCTION("""COMPUTED_VALUE"""),44200.66666666667)</f>
        <v>44200.66667</v>
      </c>
      <c r="O793" s="9">
        <f>IFERROR(__xludf.DUMMYFUNCTION("""COMPUTED_VALUE"""),129.41)</f>
        <v>129.41</v>
      </c>
      <c r="Q793" s="11">
        <f>IFERROR(__xludf.DUMMYFUNCTION("""COMPUTED_VALUE"""),44200.66666666667)</f>
        <v>44200.66667</v>
      </c>
      <c r="R793" s="9">
        <f>IFERROR(__xludf.DUMMYFUNCTION("""COMPUTED_VALUE"""),274.78)</f>
        <v>274.78</v>
      </c>
      <c r="S793" s="11">
        <f>IFERROR(__xludf.DUMMYFUNCTION("""COMPUTED_VALUE"""),44200.66666666667)</f>
        <v>44200.66667</v>
      </c>
      <c r="T793" s="9">
        <f>IFERROR(__xludf.DUMMYFUNCTION("""COMPUTED_VALUE"""),268.94)</f>
        <v>268.94</v>
      </c>
      <c r="V793" s="11">
        <f>IFERROR(__xludf.DUMMYFUNCTION("""COMPUTED_VALUE"""),44200.66666666667)</f>
        <v>44200.66667</v>
      </c>
      <c r="W793" s="9">
        <f>IFERROR(__xludf.DUMMYFUNCTION("""COMPUTED_VALUE"""),539.0)</f>
        <v>539</v>
      </c>
      <c r="X793" s="11">
        <f>IFERROR(__xludf.DUMMYFUNCTION("""COMPUTED_VALUE"""),44200.66666666667)</f>
        <v>44200.66667</v>
      </c>
      <c r="Y793" s="9">
        <f>IFERROR(__xludf.DUMMYFUNCTION("""COMPUTED_VALUE"""),522.86)</f>
        <v>522.86</v>
      </c>
      <c r="AA793" s="11">
        <f>IFERROR(__xludf.DUMMYFUNCTION("""COMPUTED_VALUE"""),44200.66666666667)</f>
        <v>44200.66667</v>
      </c>
      <c r="AB793" s="9">
        <f>IFERROR(__xludf.DUMMYFUNCTION("""COMPUTED_VALUE"""),3270.0)</f>
        <v>3270</v>
      </c>
      <c r="AC793" s="11">
        <f>IFERROR(__xludf.DUMMYFUNCTION("""COMPUTED_VALUE"""),44200.66666666667)</f>
        <v>44200.66667</v>
      </c>
      <c r="AD793" s="9">
        <f>IFERROR(__xludf.DUMMYFUNCTION("""COMPUTED_VALUE"""),3186.63)</f>
        <v>3186.63</v>
      </c>
    </row>
    <row r="794">
      <c r="B794" s="11">
        <f>IFERROR(__xludf.DUMMYFUNCTION("""COMPUTED_VALUE"""),44201.66666666667)</f>
        <v>44201.66667</v>
      </c>
      <c r="C794" s="9">
        <f>IFERROR(__xludf.DUMMYFUNCTION("""COMPUTED_VALUE"""),723.66)</f>
        <v>723.66</v>
      </c>
      <c r="D794" s="11">
        <f>IFERROR(__xludf.DUMMYFUNCTION("""COMPUTED_VALUE"""),44201.66666666667)</f>
        <v>44201.66667</v>
      </c>
      <c r="E794" s="9">
        <f>IFERROR(__xludf.DUMMYFUNCTION("""COMPUTED_VALUE"""),735.11)</f>
        <v>735.11</v>
      </c>
      <c r="G794" s="11">
        <f>IFERROR(__xludf.DUMMYFUNCTION("""COMPUTED_VALUE"""),44201.66666666667)</f>
        <v>44201.66667</v>
      </c>
      <c r="H794" s="9">
        <f>IFERROR(__xludf.DUMMYFUNCTION("""COMPUTED_VALUE"""),1725.0)</f>
        <v>1725</v>
      </c>
      <c r="I794" s="11">
        <f>IFERROR(__xludf.DUMMYFUNCTION("""COMPUTED_VALUE"""),44201.66666666667)</f>
        <v>44201.66667</v>
      </c>
      <c r="J794" s="9">
        <f>IFERROR(__xludf.DUMMYFUNCTION("""COMPUTED_VALUE"""),1740.92)</f>
        <v>1740.92</v>
      </c>
      <c r="L794" s="11">
        <f>IFERROR(__xludf.DUMMYFUNCTION("""COMPUTED_VALUE"""),44201.66666666667)</f>
        <v>44201.66667</v>
      </c>
      <c r="M794" s="9">
        <f>IFERROR(__xludf.DUMMYFUNCTION("""COMPUTED_VALUE"""),128.89)</f>
        <v>128.89</v>
      </c>
      <c r="N794" s="11">
        <f>IFERROR(__xludf.DUMMYFUNCTION("""COMPUTED_VALUE"""),44201.66666666667)</f>
        <v>44201.66667</v>
      </c>
      <c r="O794" s="9">
        <f>IFERROR(__xludf.DUMMYFUNCTION("""COMPUTED_VALUE"""),131.01)</f>
        <v>131.01</v>
      </c>
      <c r="Q794" s="11">
        <f>IFERROR(__xludf.DUMMYFUNCTION("""COMPUTED_VALUE"""),44201.66666666667)</f>
        <v>44201.66667</v>
      </c>
      <c r="R794" s="9">
        <f>IFERROR(__xludf.DUMMYFUNCTION("""COMPUTED_VALUE"""),268.29)</f>
        <v>268.29</v>
      </c>
      <c r="S794" s="11">
        <f>IFERROR(__xludf.DUMMYFUNCTION("""COMPUTED_VALUE"""),44201.66666666667)</f>
        <v>44201.66667</v>
      </c>
      <c r="T794" s="9">
        <f>IFERROR(__xludf.DUMMYFUNCTION("""COMPUTED_VALUE"""),270.97)</f>
        <v>270.97</v>
      </c>
      <c r="V794" s="11">
        <f>IFERROR(__xludf.DUMMYFUNCTION("""COMPUTED_VALUE"""),44201.66666666667)</f>
        <v>44201.66667</v>
      </c>
      <c r="W794" s="9">
        <f>IFERROR(__xludf.DUMMYFUNCTION("""COMPUTED_VALUE"""),521.55)</f>
        <v>521.55</v>
      </c>
      <c r="X794" s="11">
        <f>IFERROR(__xludf.DUMMYFUNCTION("""COMPUTED_VALUE"""),44201.66666666667)</f>
        <v>44201.66667</v>
      </c>
      <c r="Y794" s="9">
        <f>IFERROR(__xludf.DUMMYFUNCTION("""COMPUTED_VALUE"""),520.8)</f>
        <v>520.8</v>
      </c>
      <c r="AA794" s="11">
        <f>IFERROR(__xludf.DUMMYFUNCTION("""COMPUTED_VALUE"""),44201.66666666667)</f>
        <v>44201.66667</v>
      </c>
      <c r="AB794" s="9">
        <f>IFERROR(__xludf.DUMMYFUNCTION("""COMPUTED_VALUE"""),3166.01)</f>
        <v>3166.01</v>
      </c>
      <c r="AC794" s="11">
        <f>IFERROR(__xludf.DUMMYFUNCTION("""COMPUTED_VALUE"""),44201.66666666667)</f>
        <v>44201.66667</v>
      </c>
      <c r="AD794" s="9">
        <f>IFERROR(__xludf.DUMMYFUNCTION("""COMPUTED_VALUE"""),3218.51)</f>
        <v>3218.51</v>
      </c>
    </row>
    <row r="795">
      <c r="B795" s="11">
        <f>IFERROR(__xludf.DUMMYFUNCTION("""COMPUTED_VALUE"""),44202.66666666667)</f>
        <v>44202.66667</v>
      </c>
      <c r="C795" s="9">
        <f>IFERROR(__xludf.DUMMYFUNCTION("""COMPUTED_VALUE"""),758.49)</f>
        <v>758.49</v>
      </c>
      <c r="D795" s="11">
        <f>IFERROR(__xludf.DUMMYFUNCTION("""COMPUTED_VALUE"""),44202.66666666667)</f>
        <v>44202.66667</v>
      </c>
      <c r="E795" s="9">
        <f>IFERROR(__xludf.DUMMYFUNCTION("""COMPUTED_VALUE"""),755.98)</f>
        <v>755.98</v>
      </c>
      <c r="G795" s="11">
        <f>IFERROR(__xludf.DUMMYFUNCTION("""COMPUTED_VALUE"""),44202.66666666667)</f>
        <v>44202.66667</v>
      </c>
      <c r="H795" s="9">
        <f>IFERROR(__xludf.DUMMYFUNCTION("""COMPUTED_VALUE"""),1702.63)</f>
        <v>1702.63</v>
      </c>
      <c r="I795" s="11">
        <f>IFERROR(__xludf.DUMMYFUNCTION("""COMPUTED_VALUE"""),44202.66666666667)</f>
        <v>44202.66667</v>
      </c>
      <c r="J795" s="9">
        <f>IFERROR(__xludf.DUMMYFUNCTION("""COMPUTED_VALUE"""),1735.29)</f>
        <v>1735.29</v>
      </c>
      <c r="L795" s="11">
        <f>IFERROR(__xludf.DUMMYFUNCTION("""COMPUTED_VALUE"""),44202.66666666667)</f>
        <v>44202.66667</v>
      </c>
      <c r="M795" s="9">
        <f>IFERROR(__xludf.DUMMYFUNCTION("""COMPUTED_VALUE"""),127.72)</f>
        <v>127.72</v>
      </c>
      <c r="N795" s="11">
        <f>IFERROR(__xludf.DUMMYFUNCTION("""COMPUTED_VALUE"""),44202.66666666667)</f>
        <v>44202.66667</v>
      </c>
      <c r="O795" s="9">
        <f>IFERROR(__xludf.DUMMYFUNCTION("""COMPUTED_VALUE"""),126.6)</f>
        <v>126.6</v>
      </c>
      <c r="Q795" s="11">
        <f>IFERROR(__xludf.DUMMYFUNCTION("""COMPUTED_VALUE"""),44202.66666666667)</f>
        <v>44202.66667</v>
      </c>
      <c r="R795" s="9">
        <f>IFERROR(__xludf.DUMMYFUNCTION("""COMPUTED_VALUE"""),262.0)</f>
        <v>262</v>
      </c>
      <c r="S795" s="11">
        <f>IFERROR(__xludf.DUMMYFUNCTION("""COMPUTED_VALUE"""),44202.66666666667)</f>
        <v>44202.66667</v>
      </c>
      <c r="T795" s="9">
        <f>IFERROR(__xludf.DUMMYFUNCTION("""COMPUTED_VALUE"""),263.31)</f>
        <v>263.31</v>
      </c>
      <c r="V795" s="11">
        <f>IFERROR(__xludf.DUMMYFUNCTION("""COMPUTED_VALUE"""),44202.66666666667)</f>
        <v>44202.66667</v>
      </c>
      <c r="W795" s="9">
        <f>IFERROR(__xludf.DUMMYFUNCTION("""COMPUTED_VALUE"""),511.97)</f>
        <v>511.97</v>
      </c>
      <c r="X795" s="11">
        <f>IFERROR(__xludf.DUMMYFUNCTION("""COMPUTED_VALUE"""),44202.66666666667)</f>
        <v>44202.66667</v>
      </c>
      <c r="Y795" s="9">
        <f>IFERROR(__xludf.DUMMYFUNCTION("""COMPUTED_VALUE"""),500.49)</f>
        <v>500.49</v>
      </c>
      <c r="AA795" s="11">
        <f>IFERROR(__xludf.DUMMYFUNCTION("""COMPUTED_VALUE"""),44202.66666666667)</f>
        <v>44202.66667</v>
      </c>
      <c r="AB795" s="9">
        <f>IFERROR(__xludf.DUMMYFUNCTION("""COMPUTED_VALUE"""),3146.48)</f>
        <v>3146.48</v>
      </c>
      <c r="AC795" s="11">
        <f>IFERROR(__xludf.DUMMYFUNCTION("""COMPUTED_VALUE"""),44202.66666666667)</f>
        <v>44202.66667</v>
      </c>
      <c r="AD795" s="9">
        <f>IFERROR(__xludf.DUMMYFUNCTION("""COMPUTED_VALUE"""),3138.38)</f>
        <v>3138.38</v>
      </c>
    </row>
    <row r="796">
      <c r="B796" s="11">
        <f>IFERROR(__xludf.DUMMYFUNCTION("""COMPUTED_VALUE"""),44203.66666666667)</f>
        <v>44203.66667</v>
      </c>
      <c r="C796" s="9">
        <f>IFERROR(__xludf.DUMMYFUNCTION("""COMPUTED_VALUE"""),777.63)</f>
        <v>777.63</v>
      </c>
      <c r="D796" s="11">
        <f>IFERROR(__xludf.DUMMYFUNCTION("""COMPUTED_VALUE"""),44203.66666666667)</f>
        <v>44203.66667</v>
      </c>
      <c r="E796" s="9">
        <f>IFERROR(__xludf.DUMMYFUNCTION("""COMPUTED_VALUE"""),816.04)</f>
        <v>816.04</v>
      </c>
      <c r="G796" s="11">
        <f>IFERROR(__xludf.DUMMYFUNCTION("""COMPUTED_VALUE"""),44203.66666666667)</f>
        <v>44203.66667</v>
      </c>
      <c r="H796" s="9">
        <f>IFERROR(__xludf.DUMMYFUNCTION("""COMPUTED_VALUE"""),1740.06)</f>
        <v>1740.06</v>
      </c>
      <c r="I796" s="11">
        <f>IFERROR(__xludf.DUMMYFUNCTION("""COMPUTED_VALUE"""),44203.66666666667)</f>
        <v>44203.66667</v>
      </c>
      <c r="J796" s="9">
        <f>IFERROR(__xludf.DUMMYFUNCTION("""COMPUTED_VALUE"""),1787.25)</f>
        <v>1787.25</v>
      </c>
      <c r="L796" s="11">
        <f>IFERROR(__xludf.DUMMYFUNCTION("""COMPUTED_VALUE"""),44203.66666666667)</f>
        <v>44203.66667</v>
      </c>
      <c r="M796" s="9">
        <f>IFERROR(__xludf.DUMMYFUNCTION("""COMPUTED_VALUE"""),128.36)</f>
        <v>128.36</v>
      </c>
      <c r="N796" s="11">
        <f>IFERROR(__xludf.DUMMYFUNCTION("""COMPUTED_VALUE"""),44203.66666666667)</f>
        <v>44203.66667</v>
      </c>
      <c r="O796" s="9">
        <f>IFERROR(__xludf.DUMMYFUNCTION("""COMPUTED_VALUE"""),130.92)</f>
        <v>130.92</v>
      </c>
      <c r="Q796" s="11">
        <f>IFERROR(__xludf.DUMMYFUNCTION("""COMPUTED_VALUE"""),44203.66666666667)</f>
        <v>44203.66667</v>
      </c>
      <c r="R796" s="9">
        <f>IFERROR(__xludf.DUMMYFUNCTION("""COMPUTED_VALUE"""),265.9)</f>
        <v>265.9</v>
      </c>
      <c r="S796" s="11">
        <f>IFERROR(__xludf.DUMMYFUNCTION("""COMPUTED_VALUE"""),44203.66666666667)</f>
        <v>44203.66667</v>
      </c>
      <c r="T796" s="9">
        <f>IFERROR(__xludf.DUMMYFUNCTION("""COMPUTED_VALUE"""),268.74)</f>
        <v>268.74</v>
      </c>
      <c r="V796" s="11">
        <f>IFERROR(__xludf.DUMMYFUNCTION("""COMPUTED_VALUE"""),44203.66666666667)</f>
        <v>44203.66667</v>
      </c>
      <c r="W796" s="9">
        <f>IFERROR(__xludf.DUMMYFUNCTION("""COMPUTED_VALUE"""),508.28)</f>
        <v>508.28</v>
      </c>
      <c r="X796" s="11">
        <f>IFERROR(__xludf.DUMMYFUNCTION("""COMPUTED_VALUE"""),44203.66666666667)</f>
        <v>44203.66667</v>
      </c>
      <c r="Y796" s="9">
        <f>IFERROR(__xludf.DUMMYFUNCTION("""COMPUTED_VALUE"""),508.89)</f>
        <v>508.89</v>
      </c>
      <c r="AA796" s="11">
        <f>IFERROR(__xludf.DUMMYFUNCTION("""COMPUTED_VALUE"""),44203.66666666667)</f>
        <v>44203.66667</v>
      </c>
      <c r="AB796" s="9">
        <f>IFERROR(__xludf.DUMMYFUNCTION("""COMPUTED_VALUE"""),3157.0)</f>
        <v>3157</v>
      </c>
      <c r="AC796" s="11">
        <f>IFERROR(__xludf.DUMMYFUNCTION("""COMPUTED_VALUE"""),44203.66666666667)</f>
        <v>44203.66667</v>
      </c>
      <c r="AD796" s="9">
        <f>IFERROR(__xludf.DUMMYFUNCTION("""COMPUTED_VALUE"""),3162.16)</f>
        <v>3162.16</v>
      </c>
    </row>
    <row r="797">
      <c r="B797" s="11">
        <f>IFERROR(__xludf.DUMMYFUNCTION("""COMPUTED_VALUE"""),44204.66666666667)</f>
        <v>44204.66667</v>
      </c>
      <c r="C797" s="9">
        <f>IFERROR(__xludf.DUMMYFUNCTION("""COMPUTED_VALUE"""),856.0)</f>
        <v>856</v>
      </c>
      <c r="D797" s="11">
        <f>IFERROR(__xludf.DUMMYFUNCTION("""COMPUTED_VALUE"""),44204.66666666667)</f>
        <v>44204.66667</v>
      </c>
      <c r="E797" s="9">
        <f>IFERROR(__xludf.DUMMYFUNCTION("""COMPUTED_VALUE"""),880.02)</f>
        <v>880.02</v>
      </c>
      <c r="G797" s="11">
        <f>IFERROR(__xludf.DUMMYFUNCTION("""COMPUTED_VALUE"""),44204.66666666667)</f>
        <v>44204.66667</v>
      </c>
      <c r="H797" s="9">
        <f>IFERROR(__xludf.DUMMYFUNCTION("""COMPUTED_VALUE"""),1787.98)</f>
        <v>1787.98</v>
      </c>
      <c r="I797" s="11">
        <f>IFERROR(__xludf.DUMMYFUNCTION("""COMPUTED_VALUE"""),44204.66666666667)</f>
        <v>44204.66667</v>
      </c>
      <c r="J797" s="9">
        <f>IFERROR(__xludf.DUMMYFUNCTION("""COMPUTED_VALUE"""),1807.21)</f>
        <v>1807.21</v>
      </c>
      <c r="L797" s="11">
        <f>IFERROR(__xludf.DUMMYFUNCTION("""COMPUTED_VALUE"""),44204.66666666667)</f>
        <v>44204.66667</v>
      </c>
      <c r="M797" s="9">
        <f>IFERROR(__xludf.DUMMYFUNCTION("""COMPUTED_VALUE"""),132.43)</f>
        <v>132.43</v>
      </c>
      <c r="N797" s="11">
        <f>IFERROR(__xludf.DUMMYFUNCTION("""COMPUTED_VALUE"""),44204.66666666667)</f>
        <v>44204.66667</v>
      </c>
      <c r="O797" s="9">
        <f>IFERROR(__xludf.DUMMYFUNCTION("""COMPUTED_VALUE"""),132.05)</f>
        <v>132.05</v>
      </c>
      <c r="Q797" s="11">
        <f>IFERROR(__xludf.DUMMYFUNCTION("""COMPUTED_VALUE"""),44204.66666666667)</f>
        <v>44204.66667</v>
      </c>
      <c r="R797" s="9">
        <f>IFERROR(__xludf.DUMMYFUNCTION("""COMPUTED_VALUE"""),268.31)</f>
        <v>268.31</v>
      </c>
      <c r="S797" s="11">
        <f>IFERROR(__xludf.DUMMYFUNCTION("""COMPUTED_VALUE"""),44204.66666666667)</f>
        <v>44204.66667</v>
      </c>
      <c r="T797" s="9">
        <f>IFERROR(__xludf.DUMMYFUNCTION("""COMPUTED_VALUE"""),267.57)</f>
        <v>267.57</v>
      </c>
      <c r="V797" s="11">
        <f>IFERROR(__xludf.DUMMYFUNCTION("""COMPUTED_VALUE"""),44204.66666666667)</f>
        <v>44204.66667</v>
      </c>
      <c r="W797" s="9">
        <f>IFERROR(__xludf.DUMMYFUNCTION("""COMPUTED_VALUE"""),511.31)</f>
        <v>511.31</v>
      </c>
      <c r="X797" s="11">
        <f>IFERROR(__xludf.DUMMYFUNCTION("""COMPUTED_VALUE"""),44204.66666666667)</f>
        <v>44204.66667</v>
      </c>
      <c r="Y797" s="9">
        <f>IFERROR(__xludf.DUMMYFUNCTION("""COMPUTED_VALUE"""),510.4)</f>
        <v>510.4</v>
      </c>
      <c r="AA797" s="11">
        <f>IFERROR(__xludf.DUMMYFUNCTION("""COMPUTED_VALUE"""),44204.66666666667)</f>
        <v>44204.66667</v>
      </c>
      <c r="AB797" s="9">
        <f>IFERROR(__xludf.DUMMYFUNCTION("""COMPUTED_VALUE"""),3180.0)</f>
        <v>3180</v>
      </c>
      <c r="AC797" s="11">
        <f>IFERROR(__xludf.DUMMYFUNCTION("""COMPUTED_VALUE"""),44204.66666666667)</f>
        <v>44204.66667</v>
      </c>
      <c r="AD797" s="9">
        <f>IFERROR(__xludf.DUMMYFUNCTION("""COMPUTED_VALUE"""),3182.7)</f>
        <v>3182.7</v>
      </c>
    </row>
    <row r="798">
      <c r="B798" s="11">
        <f>IFERROR(__xludf.DUMMYFUNCTION("""COMPUTED_VALUE"""),44207.66666666667)</f>
        <v>44207.66667</v>
      </c>
      <c r="C798" s="9">
        <f>IFERROR(__xludf.DUMMYFUNCTION("""COMPUTED_VALUE"""),849.4)</f>
        <v>849.4</v>
      </c>
      <c r="D798" s="11">
        <f>IFERROR(__xludf.DUMMYFUNCTION("""COMPUTED_VALUE"""),44207.66666666667)</f>
        <v>44207.66667</v>
      </c>
      <c r="E798" s="9">
        <f>IFERROR(__xludf.DUMMYFUNCTION("""COMPUTED_VALUE"""),811.19)</f>
        <v>811.19</v>
      </c>
      <c r="G798" s="11">
        <f>IFERROR(__xludf.DUMMYFUNCTION("""COMPUTED_VALUE"""),44207.66666666667)</f>
        <v>44207.66667</v>
      </c>
      <c r="H798" s="9">
        <f>IFERROR(__xludf.DUMMYFUNCTION("""COMPUTED_VALUE"""),1786.07)</f>
        <v>1786.07</v>
      </c>
      <c r="I798" s="11">
        <f>IFERROR(__xludf.DUMMYFUNCTION("""COMPUTED_VALUE"""),44207.66666666667)</f>
        <v>44207.66667</v>
      </c>
      <c r="J798" s="9">
        <f>IFERROR(__xludf.DUMMYFUNCTION("""COMPUTED_VALUE"""),1766.72)</f>
        <v>1766.72</v>
      </c>
      <c r="L798" s="11">
        <f>IFERROR(__xludf.DUMMYFUNCTION("""COMPUTED_VALUE"""),44207.66666666667)</f>
        <v>44207.66667</v>
      </c>
      <c r="M798" s="9">
        <f>IFERROR(__xludf.DUMMYFUNCTION("""COMPUTED_VALUE"""),129.19)</f>
        <v>129.19</v>
      </c>
      <c r="N798" s="11">
        <f>IFERROR(__xludf.DUMMYFUNCTION("""COMPUTED_VALUE"""),44207.66666666667)</f>
        <v>44207.66667</v>
      </c>
      <c r="O798" s="9">
        <f>IFERROR(__xludf.DUMMYFUNCTION("""COMPUTED_VALUE"""),128.98)</f>
        <v>128.98</v>
      </c>
      <c r="Q798" s="11">
        <f>IFERROR(__xludf.DUMMYFUNCTION("""COMPUTED_VALUE"""),44207.66666666667)</f>
        <v>44207.66667</v>
      </c>
      <c r="R798" s="9">
        <f>IFERROR(__xludf.DUMMYFUNCTION("""COMPUTED_VALUE"""),260.48)</f>
        <v>260.48</v>
      </c>
      <c r="S798" s="11">
        <f>IFERROR(__xludf.DUMMYFUNCTION("""COMPUTED_VALUE"""),44207.66666666667)</f>
        <v>44207.66667</v>
      </c>
      <c r="T798" s="9">
        <f>IFERROR(__xludf.DUMMYFUNCTION("""COMPUTED_VALUE"""),256.84)</f>
        <v>256.84</v>
      </c>
      <c r="V798" s="11">
        <f>IFERROR(__xludf.DUMMYFUNCTION("""COMPUTED_VALUE"""),44207.66666666667)</f>
        <v>44207.66667</v>
      </c>
      <c r="W798" s="9">
        <f>IFERROR(__xludf.DUMMYFUNCTION("""COMPUTED_VALUE"""),507.84)</f>
        <v>507.84</v>
      </c>
      <c r="X798" s="11">
        <f>IFERROR(__xludf.DUMMYFUNCTION("""COMPUTED_VALUE"""),44207.66666666667)</f>
        <v>44207.66667</v>
      </c>
      <c r="Y798" s="9">
        <f>IFERROR(__xludf.DUMMYFUNCTION("""COMPUTED_VALUE"""),499.1)</f>
        <v>499.1</v>
      </c>
      <c r="AA798" s="11">
        <f>IFERROR(__xludf.DUMMYFUNCTION("""COMPUTED_VALUE"""),44207.66666666667)</f>
        <v>44207.66667</v>
      </c>
      <c r="AB798" s="9">
        <f>IFERROR(__xludf.DUMMYFUNCTION("""COMPUTED_VALUE"""),3148.01)</f>
        <v>3148.01</v>
      </c>
      <c r="AC798" s="11">
        <f>IFERROR(__xludf.DUMMYFUNCTION("""COMPUTED_VALUE"""),44207.66666666667)</f>
        <v>44207.66667</v>
      </c>
      <c r="AD798" s="9">
        <f>IFERROR(__xludf.DUMMYFUNCTION("""COMPUTED_VALUE"""),3114.21)</f>
        <v>3114.21</v>
      </c>
    </row>
    <row r="799">
      <c r="B799" s="11">
        <f>IFERROR(__xludf.DUMMYFUNCTION("""COMPUTED_VALUE"""),44208.66666666667)</f>
        <v>44208.66667</v>
      </c>
      <c r="C799" s="9">
        <f>IFERROR(__xludf.DUMMYFUNCTION("""COMPUTED_VALUE"""),831.0)</f>
        <v>831</v>
      </c>
      <c r="D799" s="11">
        <f>IFERROR(__xludf.DUMMYFUNCTION("""COMPUTED_VALUE"""),44208.66666666667)</f>
        <v>44208.66667</v>
      </c>
      <c r="E799" s="9">
        <f>IFERROR(__xludf.DUMMYFUNCTION("""COMPUTED_VALUE"""),849.44)</f>
        <v>849.44</v>
      </c>
      <c r="G799" s="11">
        <f>IFERROR(__xludf.DUMMYFUNCTION("""COMPUTED_VALUE"""),44208.66666666667)</f>
        <v>44208.66667</v>
      </c>
      <c r="H799" s="9">
        <f>IFERROR(__xludf.DUMMYFUNCTION("""COMPUTED_VALUE"""),1753.92)</f>
        <v>1753.92</v>
      </c>
      <c r="I799" s="11">
        <f>IFERROR(__xludf.DUMMYFUNCTION("""COMPUTED_VALUE"""),44208.66666666667)</f>
        <v>44208.66667</v>
      </c>
      <c r="J799" s="9">
        <f>IFERROR(__xludf.DUMMYFUNCTION("""COMPUTED_VALUE"""),1746.55)</f>
        <v>1746.55</v>
      </c>
      <c r="L799" s="11">
        <f>IFERROR(__xludf.DUMMYFUNCTION("""COMPUTED_VALUE"""),44208.66666666667)</f>
        <v>44208.66667</v>
      </c>
      <c r="M799" s="9">
        <f>IFERROR(__xludf.DUMMYFUNCTION("""COMPUTED_VALUE"""),128.5)</f>
        <v>128.5</v>
      </c>
      <c r="N799" s="11">
        <f>IFERROR(__xludf.DUMMYFUNCTION("""COMPUTED_VALUE"""),44208.66666666667)</f>
        <v>44208.66667</v>
      </c>
      <c r="O799" s="9">
        <f>IFERROR(__xludf.DUMMYFUNCTION("""COMPUTED_VALUE"""),128.8)</f>
        <v>128.8</v>
      </c>
      <c r="Q799" s="11">
        <f>IFERROR(__xludf.DUMMYFUNCTION("""COMPUTED_VALUE"""),44208.66666666667)</f>
        <v>44208.66667</v>
      </c>
      <c r="R799" s="9">
        <f>IFERROR(__xludf.DUMMYFUNCTION("""COMPUTED_VALUE"""),256.63)</f>
        <v>256.63</v>
      </c>
      <c r="S799" s="11">
        <f>IFERROR(__xludf.DUMMYFUNCTION("""COMPUTED_VALUE"""),44208.66666666667)</f>
        <v>44208.66667</v>
      </c>
      <c r="T799" s="9">
        <f>IFERROR(__xludf.DUMMYFUNCTION("""COMPUTED_VALUE"""),251.09)</f>
        <v>251.09</v>
      </c>
      <c r="V799" s="11">
        <f>IFERROR(__xludf.DUMMYFUNCTION("""COMPUTED_VALUE"""),44208.66666666667)</f>
        <v>44208.66667</v>
      </c>
      <c r="W799" s="9">
        <f>IFERROR(__xludf.DUMMYFUNCTION("""COMPUTED_VALUE"""),500.0)</f>
        <v>500</v>
      </c>
      <c r="X799" s="11">
        <f>IFERROR(__xludf.DUMMYFUNCTION("""COMPUTED_VALUE"""),44208.66666666667)</f>
        <v>44208.66667</v>
      </c>
      <c r="Y799" s="9">
        <f>IFERROR(__xludf.DUMMYFUNCTION("""COMPUTED_VALUE"""),494.25)</f>
        <v>494.25</v>
      </c>
      <c r="AA799" s="11">
        <f>IFERROR(__xludf.DUMMYFUNCTION("""COMPUTED_VALUE"""),44208.66666666667)</f>
        <v>44208.66667</v>
      </c>
      <c r="AB799" s="9">
        <f>IFERROR(__xludf.DUMMYFUNCTION("""COMPUTED_VALUE"""),3120.0)</f>
        <v>3120</v>
      </c>
      <c r="AC799" s="11">
        <f>IFERROR(__xludf.DUMMYFUNCTION("""COMPUTED_VALUE"""),44208.66666666667)</f>
        <v>44208.66667</v>
      </c>
      <c r="AD799" s="9">
        <f>IFERROR(__xludf.DUMMYFUNCTION("""COMPUTED_VALUE"""),3120.83)</f>
        <v>3120.83</v>
      </c>
    </row>
    <row r="800">
      <c r="B800" s="11">
        <f>IFERROR(__xludf.DUMMYFUNCTION("""COMPUTED_VALUE"""),44209.66666666667)</f>
        <v>44209.66667</v>
      </c>
      <c r="C800" s="9">
        <f>IFERROR(__xludf.DUMMYFUNCTION("""COMPUTED_VALUE"""),852.76)</f>
        <v>852.76</v>
      </c>
      <c r="D800" s="11">
        <f>IFERROR(__xludf.DUMMYFUNCTION("""COMPUTED_VALUE"""),44209.66666666667)</f>
        <v>44209.66667</v>
      </c>
      <c r="E800" s="9">
        <f>IFERROR(__xludf.DUMMYFUNCTION("""COMPUTED_VALUE"""),854.41)</f>
        <v>854.41</v>
      </c>
      <c r="G800" s="11">
        <f>IFERROR(__xludf.DUMMYFUNCTION("""COMPUTED_VALUE"""),44209.66666666667)</f>
        <v>44209.66667</v>
      </c>
      <c r="H800" s="9">
        <f>IFERROR(__xludf.DUMMYFUNCTION("""COMPUTED_VALUE"""),1738.58)</f>
        <v>1738.58</v>
      </c>
      <c r="I800" s="11">
        <f>IFERROR(__xludf.DUMMYFUNCTION("""COMPUTED_VALUE"""),44209.66666666667)</f>
        <v>44209.66667</v>
      </c>
      <c r="J800" s="9">
        <f>IFERROR(__xludf.DUMMYFUNCTION("""COMPUTED_VALUE"""),1754.4)</f>
        <v>1754.4</v>
      </c>
      <c r="L800" s="11">
        <f>IFERROR(__xludf.DUMMYFUNCTION("""COMPUTED_VALUE"""),44209.66666666667)</f>
        <v>44209.66667</v>
      </c>
      <c r="M800" s="9">
        <f>IFERROR(__xludf.DUMMYFUNCTION("""COMPUTED_VALUE"""),128.76)</f>
        <v>128.76</v>
      </c>
      <c r="N800" s="11">
        <f>IFERROR(__xludf.DUMMYFUNCTION("""COMPUTED_VALUE"""),44209.66666666667)</f>
        <v>44209.66667</v>
      </c>
      <c r="O800" s="9">
        <f>IFERROR(__xludf.DUMMYFUNCTION("""COMPUTED_VALUE"""),130.89)</f>
        <v>130.89</v>
      </c>
      <c r="Q800" s="11">
        <f>IFERROR(__xludf.DUMMYFUNCTION("""COMPUTED_VALUE"""),44209.66666666667)</f>
        <v>44209.66667</v>
      </c>
      <c r="R800" s="9">
        <f>IFERROR(__xludf.DUMMYFUNCTION("""COMPUTED_VALUE"""),251.55)</f>
        <v>251.55</v>
      </c>
      <c r="S800" s="11">
        <f>IFERROR(__xludf.DUMMYFUNCTION("""COMPUTED_VALUE"""),44209.66666666667)</f>
        <v>44209.66667</v>
      </c>
      <c r="T800" s="9">
        <f>IFERROR(__xludf.DUMMYFUNCTION("""COMPUTED_VALUE"""),251.64)</f>
        <v>251.64</v>
      </c>
      <c r="V800" s="11">
        <f>IFERROR(__xludf.DUMMYFUNCTION("""COMPUTED_VALUE"""),44209.66666666667)</f>
        <v>44209.66667</v>
      </c>
      <c r="W800" s="9">
        <f>IFERROR(__xludf.DUMMYFUNCTION("""COMPUTED_VALUE"""),495.5)</f>
        <v>495.5</v>
      </c>
      <c r="X800" s="11">
        <f>IFERROR(__xludf.DUMMYFUNCTION("""COMPUTED_VALUE"""),44209.66666666667)</f>
        <v>44209.66667</v>
      </c>
      <c r="Y800" s="9">
        <f>IFERROR(__xludf.DUMMYFUNCTION("""COMPUTED_VALUE"""),507.79)</f>
        <v>507.79</v>
      </c>
      <c r="AA800" s="11">
        <f>IFERROR(__xludf.DUMMYFUNCTION("""COMPUTED_VALUE"""),44209.66666666667)</f>
        <v>44209.66667</v>
      </c>
      <c r="AB800" s="9">
        <f>IFERROR(__xludf.DUMMYFUNCTION("""COMPUTED_VALUE"""),3128.44)</f>
        <v>3128.44</v>
      </c>
      <c r="AC800" s="11">
        <f>IFERROR(__xludf.DUMMYFUNCTION("""COMPUTED_VALUE"""),44209.66666666667)</f>
        <v>44209.66667</v>
      </c>
      <c r="AD800" s="9">
        <f>IFERROR(__xludf.DUMMYFUNCTION("""COMPUTED_VALUE"""),3165.89)</f>
        <v>3165.89</v>
      </c>
    </row>
    <row r="801">
      <c r="B801" s="11">
        <f>IFERROR(__xludf.DUMMYFUNCTION("""COMPUTED_VALUE"""),44210.66666666667)</f>
        <v>44210.66667</v>
      </c>
      <c r="C801" s="9">
        <f>IFERROR(__xludf.DUMMYFUNCTION("""COMPUTED_VALUE"""),843.39)</f>
        <v>843.39</v>
      </c>
      <c r="D801" s="11">
        <f>IFERROR(__xludf.DUMMYFUNCTION("""COMPUTED_VALUE"""),44210.66666666667)</f>
        <v>44210.66667</v>
      </c>
      <c r="E801" s="9">
        <f>IFERROR(__xludf.DUMMYFUNCTION("""COMPUTED_VALUE"""),845.0)</f>
        <v>845</v>
      </c>
      <c r="G801" s="11">
        <f>IFERROR(__xludf.DUMMYFUNCTION("""COMPUTED_VALUE"""),44210.66666666667)</f>
        <v>44210.66667</v>
      </c>
      <c r="H801" s="9">
        <f>IFERROR(__xludf.DUMMYFUNCTION("""COMPUTED_VALUE"""),1753.62)</f>
        <v>1753.62</v>
      </c>
      <c r="I801" s="11">
        <f>IFERROR(__xludf.DUMMYFUNCTION("""COMPUTED_VALUE"""),44210.66666666667)</f>
        <v>44210.66667</v>
      </c>
      <c r="J801" s="9">
        <f>IFERROR(__xludf.DUMMYFUNCTION("""COMPUTED_VALUE"""),1740.18)</f>
        <v>1740.18</v>
      </c>
      <c r="L801" s="11">
        <f>IFERROR(__xludf.DUMMYFUNCTION("""COMPUTED_VALUE"""),44210.66666666667)</f>
        <v>44210.66667</v>
      </c>
      <c r="M801" s="9">
        <f>IFERROR(__xludf.DUMMYFUNCTION("""COMPUTED_VALUE"""),130.8)</f>
        <v>130.8</v>
      </c>
      <c r="N801" s="11">
        <f>IFERROR(__xludf.DUMMYFUNCTION("""COMPUTED_VALUE"""),44210.66666666667)</f>
        <v>44210.66667</v>
      </c>
      <c r="O801" s="9">
        <f>IFERROR(__xludf.DUMMYFUNCTION("""COMPUTED_VALUE"""),128.91)</f>
        <v>128.91</v>
      </c>
      <c r="Q801" s="11">
        <f>IFERROR(__xludf.DUMMYFUNCTION("""COMPUTED_VALUE"""),44210.66666666667)</f>
        <v>44210.66667</v>
      </c>
      <c r="R801" s="9">
        <f>IFERROR(__xludf.DUMMYFUNCTION("""COMPUTED_VALUE"""),253.4)</f>
        <v>253.4</v>
      </c>
      <c r="S801" s="11">
        <f>IFERROR(__xludf.DUMMYFUNCTION("""COMPUTED_VALUE"""),44210.66666666667)</f>
        <v>44210.66667</v>
      </c>
      <c r="T801" s="9">
        <f>IFERROR(__xludf.DUMMYFUNCTION("""COMPUTED_VALUE"""),245.64)</f>
        <v>245.64</v>
      </c>
      <c r="V801" s="11">
        <f>IFERROR(__xludf.DUMMYFUNCTION("""COMPUTED_VALUE"""),44210.66666666667)</f>
        <v>44210.66667</v>
      </c>
      <c r="W801" s="9">
        <f>IFERROR(__xludf.DUMMYFUNCTION("""COMPUTED_VALUE"""),507.35)</f>
        <v>507.35</v>
      </c>
      <c r="X801" s="11">
        <f>IFERROR(__xludf.DUMMYFUNCTION("""COMPUTED_VALUE"""),44210.66666666667)</f>
        <v>44210.66667</v>
      </c>
      <c r="Y801" s="9">
        <f>IFERROR(__xludf.DUMMYFUNCTION("""COMPUTED_VALUE"""),500.86)</f>
        <v>500.86</v>
      </c>
      <c r="AA801" s="11">
        <f>IFERROR(__xludf.DUMMYFUNCTION("""COMPUTED_VALUE"""),44210.66666666667)</f>
        <v>44210.66667</v>
      </c>
      <c r="AB801" s="9">
        <f>IFERROR(__xludf.DUMMYFUNCTION("""COMPUTED_VALUE"""),3167.52)</f>
        <v>3167.52</v>
      </c>
      <c r="AC801" s="11">
        <f>IFERROR(__xludf.DUMMYFUNCTION("""COMPUTED_VALUE"""),44210.66666666667)</f>
        <v>44210.66667</v>
      </c>
      <c r="AD801" s="9">
        <f>IFERROR(__xludf.DUMMYFUNCTION("""COMPUTED_VALUE"""),3127.47)</f>
        <v>3127.47</v>
      </c>
    </row>
    <row r="802">
      <c r="B802" s="11">
        <f>IFERROR(__xludf.DUMMYFUNCTION("""COMPUTED_VALUE"""),44211.66666666667)</f>
        <v>44211.66667</v>
      </c>
      <c r="C802" s="9">
        <f>IFERROR(__xludf.DUMMYFUNCTION("""COMPUTED_VALUE"""),852.0)</f>
        <v>852</v>
      </c>
      <c r="D802" s="11">
        <f>IFERROR(__xludf.DUMMYFUNCTION("""COMPUTED_VALUE"""),44211.66666666667)</f>
        <v>44211.66667</v>
      </c>
      <c r="E802" s="9">
        <f>IFERROR(__xludf.DUMMYFUNCTION("""COMPUTED_VALUE"""),826.16)</f>
        <v>826.16</v>
      </c>
      <c r="G802" s="11">
        <f>IFERROR(__xludf.DUMMYFUNCTION("""COMPUTED_VALUE"""),44211.66666666667)</f>
        <v>44211.66667</v>
      </c>
      <c r="H802" s="9">
        <f>IFERROR(__xludf.DUMMYFUNCTION("""COMPUTED_VALUE"""),1738.19)</f>
        <v>1738.19</v>
      </c>
      <c r="I802" s="11">
        <f>IFERROR(__xludf.DUMMYFUNCTION("""COMPUTED_VALUE"""),44211.66666666667)</f>
        <v>44211.66667</v>
      </c>
      <c r="J802" s="9">
        <f>IFERROR(__xludf.DUMMYFUNCTION("""COMPUTED_VALUE"""),1736.19)</f>
        <v>1736.19</v>
      </c>
      <c r="L802" s="11">
        <f>IFERROR(__xludf.DUMMYFUNCTION("""COMPUTED_VALUE"""),44211.66666666667)</f>
        <v>44211.66667</v>
      </c>
      <c r="M802" s="9">
        <f>IFERROR(__xludf.DUMMYFUNCTION("""COMPUTED_VALUE"""),128.78)</f>
        <v>128.78</v>
      </c>
      <c r="N802" s="11">
        <f>IFERROR(__xludf.DUMMYFUNCTION("""COMPUTED_VALUE"""),44211.66666666667)</f>
        <v>44211.66667</v>
      </c>
      <c r="O802" s="9">
        <f>IFERROR(__xludf.DUMMYFUNCTION("""COMPUTED_VALUE"""),127.14)</f>
        <v>127.14</v>
      </c>
      <c r="Q802" s="11">
        <f>IFERROR(__xludf.DUMMYFUNCTION("""COMPUTED_VALUE"""),44211.66666666667)</f>
        <v>44211.66667</v>
      </c>
      <c r="R802" s="9">
        <f>IFERROR(__xludf.DUMMYFUNCTION("""COMPUTED_VALUE"""),247.9)</f>
        <v>247.9</v>
      </c>
      <c r="S802" s="11">
        <f>IFERROR(__xludf.DUMMYFUNCTION("""COMPUTED_VALUE"""),44211.66666666667)</f>
        <v>44211.66667</v>
      </c>
      <c r="T802" s="9">
        <f>IFERROR(__xludf.DUMMYFUNCTION("""COMPUTED_VALUE"""),251.36)</f>
        <v>251.36</v>
      </c>
      <c r="V802" s="11">
        <f>IFERROR(__xludf.DUMMYFUNCTION("""COMPUTED_VALUE"""),44211.66666666667)</f>
        <v>44211.66667</v>
      </c>
      <c r="W802" s="9">
        <f>IFERROR(__xludf.DUMMYFUNCTION("""COMPUTED_VALUE"""),500.0)</f>
        <v>500</v>
      </c>
      <c r="X802" s="11">
        <f>IFERROR(__xludf.DUMMYFUNCTION("""COMPUTED_VALUE"""),44211.66666666667)</f>
        <v>44211.66667</v>
      </c>
      <c r="Y802" s="9">
        <f>IFERROR(__xludf.DUMMYFUNCTION("""COMPUTED_VALUE"""),497.98)</f>
        <v>497.98</v>
      </c>
      <c r="AA802" s="11">
        <f>IFERROR(__xludf.DUMMYFUNCTION("""COMPUTED_VALUE"""),44211.66666666667)</f>
        <v>44211.66667</v>
      </c>
      <c r="AB802" s="9">
        <f>IFERROR(__xludf.DUMMYFUNCTION("""COMPUTED_VALUE"""),3123.02)</f>
        <v>3123.02</v>
      </c>
      <c r="AC802" s="11">
        <f>IFERROR(__xludf.DUMMYFUNCTION("""COMPUTED_VALUE"""),44211.66666666667)</f>
        <v>44211.66667</v>
      </c>
      <c r="AD802" s="9">
        <f>IFERROR(__xludf.DUMMYFUNCTION("""COMPUTED_VALUE"""),3104.25)</f>
        <v>3104.25</v>
      </c>
    </row>
    <row r="803">
      <c r="B803" s="11">
        <f>IFERROR(__xludf.DUMMYFUNCTION("""COMPUTED_VALUE"""),44215.66666666667)</f>
        <v>44215.66667</v>
      </c>
      <c r="C803" s="9">
        <f>IFERROR(__xludf.DUMMYFUNCTION("""COMPUTED_VALUE"""),837.8)</f>
        <v>837.8</v>
      </c>
      <c r="D803" s="11">
        <f>IFERROR(__xludf.DUMMYFUNCTION("""COMPUTED_VALUE"""),44215.66666666667)</f>
        <v>44215.66667</v>
      </c>
      <c r="E803" s="9">
        <f>IFERROR(__xludf.DUMMYFUNCTION("""COMPUTED_VALUE"""),844.55)</f>
        <v>844.55</v>
      </c>
      <c r="G803" s="11">
        <f>IFERROR(__xludf.DUMMYFUNCTION("""COMPUTED_VALUE"""),44215.66666666667)</f>
        <v>44215.66667</v>
      </c>
      <c r="H803" s="9">
        <f>IFERROR(__xludf.DUMMYFUNCTION("""COMPUTED_VALUE"""),1752.25)</f>
        <v>1752.25</v>
      </c>
      <c r="I803" s="11">
        <f>IFERROR(__xludf.DUMMYFUNCTION("""COMPUTED_VALUE"""),44215.66666666667)</f>
        <v>44215.66667</v>
      </c>
      <c r="J803" s="9">
        <f>IFERROR(__xludf.DUMMYFUNCTION("""COMPUTED_VALUE"""),1790.86)</f>
        <v>1790.86</v>
      </c>
      <c r="L803" s="11">
        <f>IFERROR(__xludf.DUMMYFUNCTION("""COMPUTED_VALUE"""),44215.66666666667)</f>
        <v>44215.66667</v>
      </c>
      <c r="M803" s="9">
        <f>IFERROR(__xludf.DUMMYFUNCTION("""COMPUTED_VALUE"""),127.78)</f>
        <v>127.78</v>
      </c>
      <c r="N803" s="11">
        <f>IFERROR(__xludf.DUMMYFUNCTION("""COMPUTED_VALUE"""),44215.66666666667)</f>
        <v>44215.66667</v>
      </c>
      <c r="O803" s="9">
        <f>IFERROR(__xludf.DUMMYFUNCTION("""COMPUTED_VALUE"""),127.83)</f>
        <v>127.83</v>
      </c>
      <c r="Q803" s="11">
        <f>IFERROR(__xludf.DUMMYFUNCTION("""COMPUTED_VALUE"""),44215.66666666667)</f>
        <v>44215.66667</v>
      </c>
      <c r="R803" s="9">
        <f>IFERROR(__xludf.DUMMYFUNCTION("""COMPUTED_VALUE"""),256.9)</f>
        <v>256.9</v>
      </c>
      <c r="S803" s="11">
        <f>IFERROR(__xludf.DUMMYFUNCTION("""COMPUTED_VALUE"""),44215.66666666667)</f>
        <v>44215.66667</v>
      </c>
      <c r="T803" s="9">
        <f>IFERROR(__xludf.DUMMYFUNCTION("""COMPUTED_VALUE"""),261.1)</f>
        <v>261.1</v>
      </c>
      <c r="V803" s="11">
        <f>IFERROR(__xludf.DUMMYFUNCTION("""COMPUTED_VALUE"""),44215.66666666667)</f>
        <v>44215.66667</v>
      </c>
      <c r="W803" s="9">
        <f>IFERROR(__xludf.DUMMYFUNCTION("""COMPUTED_VALUE"""),501.0)</f>
        <v>501</v>
      </c>
      <c r="X803" s="11">
        <f>IFERROR(__xludf.DUMMYFUNCTION("""COMPUTED_VALUE"""),44215.66666666667)</f>
        <v>44215.66667</v>
      </c>
      <c r="Y803" s="9">
        <f>IFERROR(__xludf.DUMMYFUNCTION("""COMPUTED_VALUE"""),501.77)</f>
        <v>501.77</v>
      </c>
      <c r="AA803" s="11">
        <f>IFERROR(__xludf.DUMMYFUNCTION("""COMPUTED_VALUE"""),44215.66666666667)</f>
        <v>44215.66667</v>
      </c>
      <c r="AB803" s="9">
        <f>IFERROR(__xludf.DUMMYFUNCTION("""COMPUTED_VALUE"""),3107.0)</f>
        <v>3107</v>
      </c>
      <c r="AC803" s="11">
        <f>IFERROR(__xludf.DUMMYFUNCTION("""COMPUTED_VALUE"""),44215.66666666667)</f>
        <v>44215.66667</v>
      </c>
      <c r="AD803" s="9">
        <f>IFERROR(__xludf.DUMMYFUNCTION("""COMPUTED_VALUE"""),3120.76)</f>
        <v>3120.76</v>
      </c>
    </row>
    <row r="804">
      <c r="B804" s="11">
        <f>IFERROR(__xludf.DUMMYFUNCTION("""COMPUTED_VALUE"""),44216.66666666667)</f>
        <v>44216.66667</v>
      </c>
      <c r="C804" s="9">
        <f>IFERROR(__xludf.DUMMYFUNCTION("""COMPUTED_VALUE"""),858.74)</f>
        <v>858.74</v>
      </c>
      <c r="D804" s="11">
        <f>IFERROR(__xludf.DUMMYFUNCTION("""COMPUTED_VALUE"""),44216.66666666667)</f>
        <v>44216.66667</v>
      </c>
      <c r="E804" s="9">
        <f>IFERROR(__xludf.DUMMYFUNCTION("""COMPUTED_VALUE"""),850.45)</f>
        <v>850.45</v>
      </c>
      <c r="G804" s="11">
        <f>IFERROR(__xludf.DUMMYFUNCTION("""COMPUTED_VALUE"""),44216.66666666667)</f>
        <v>44216.66667</v>
      </c>
      <c r="H804" s="9">
        <f>IFERROR(__xludf.DUMMYFUNCTION("""COMPUTED_VALUE"""),1831.46)</f>
        <v>1831.46</v>
      </c>
      <c r="I804" s="11">
        <f>IFERROR(__xludf.DUMMYFUNCTION("""COMPUTED_VALUE"""),44216.66666666667)</f>
        <v>44216.66667</v>
      </c>
      <c r="J804" s="9">
        <f>IFERROR(__xludf.DUMMYFUNCTION("""COMPUTED_VALUE"""),1886.9)</f>
        <v>1886.9</v>
      </c>
      <c r="L804" s="11">
        <f>IFERROR(__xludf.DUMMYFUNCTION("""COMPUTED_VALUE"""),44216.66666666667)</f>
        <v>44216.66667</v>
      </c>
      <c r="M804" s="9">
        <f>IFERROR(__xludf.DUMMYFUNCTION("""COMPUTED_VALUE"""),128.66)</f>
        <v>128.66</v>
      </c>
      <c r="N804" s="11">
        <f>IFERROR(__xludf.DUMMYFUNCTION("""COMPUTED_VALUE"""),44216.66666666667)</f>
        <v>44216.66667</v>
      </c>
      <c r="O804" s="9">
        <f>IFERROR(__xludf.DUMMYFUNCTION("""COMPUTED_VALUE"""),132.03)</f>
        <v>132.03</v>
      </c>
      <c r="Q804" s="11">
        <f>IFERROR(__xludf.DUMMYFUNCTION("""COMPUTED_VALUE"""),44216.66666666667)</f>
        <v>44216.66667</v>
      </c>
      <c r="R804" s="9">
        <f>IFERROR(__xludf.DUMMYFUNCTION("""COMPUTED_VALUE"""),268.93)</f>
        <v>268.93</v>
      </c>
      <c r="S804" s="11">
        <f>IFERROR(__xludf.DUMMYFUNCTION("""COMPUTED_VALUE"""),44216.66666666667)</f>
        <v>44216.66667</v>
      </c>
      <c r="T804" s="9">
        <f>IFERROR(__xludf.DUMMYFUNCTION("""COMPUTED_VALUE"""),267.48)</f>
        <v>267.48</v>
      </c>
      <c r="V804" s="11">
        <f>IFERROR(__xludf.DUMMYFUNCTION("""COMPUTED_VALUE"""),44216.66666666667)</f>
        <v>44216.66667</v>
      </c>
      <c r="W804" s="9">
        <f>IFERROR(__xludf.DUMMYFUNCTION("""COMPUTED_VALUE"""),565.42)</f>
        <v>565.42</v>
      </c>
      <c r="X804" s="11">
        <f>IFERROR(__xludf.DUMMYFUNCTION("""COMPUTED_VALUE"""),44216.66666666667)</f>
        <v>44216.66667</v>
      </c>
      <c r="Y804" s="9">
        <f>IFERROR(__xludf.DUMMYFUNCTION("""COMPUTED_VALUE"""),586.34)</f>
        <v>586.34</v>
      </c>
      <c r="AA804" s="11">
        <f>IFERROR(__xludf.DUMMYFUNCTION("""COMPUTED_VALUE"""),44216.66666666667)</f>
        <v>44216.66667</v>
      </c>
      <c r="AB804" s="9">
        <f>IFERROR(__xludf.DUMMYFUNCTION("""COMPUTED_VALUE"""),3181.99)</f>
        <v>3181.99</v>
      </c>
      <c r="AC804" s="11">
        <f>IFERROR(__xludf.DUMMYFUNCTION("""COMPUTED_VALUE"""),44216.66666666667)</f>
        <v>44216.66667</v>
      </c>
      <c r="AD804" s="9">
        <f>IFERROR(__xludf.DUMMYFUNCTION("""COMPUTED_VALUE"""),3263.38)</f>
        <v>3263.38</v>
      </c>
    </row>
    <row r="805">
      <c r="B805" s="11">
        <f>IFERROR(__xludf.DUMMYFUNCTION("""COMPUTED_VALUE"""),44217.66666666667)</f>
        <v>44217.66667</v>
      </c>
      <c r="C805" s="9">
        <f>IFERROR(__xludf.DUMMYFUNCTION("""COMPUTED_VALUE"""),855.0)</f>
        <v>855</v>
      </c>
      <c r="D805" s="11">
        <f>IFERROR(__xludf.DUMMYFUNCTION("""COMPUTED_VALUE"""),44217.66666666667)</f>
        <v>44217.66667</v>
      </c>
      <c r="E805" s="9">
        <f>IFERROR(__xludf.DUMMYFUNCTION("""COMPUTED_VALUE"""),844.99)</f>
        <v>844.99</v>
      </c>
      <c r="G805" s="11">
        <f>IFERROR(__xludf.DUMMYFUNCTION("""COMPUTED_VALUE"""),44217.66666666667)</f>
        <v>44217.66667</v>
      </c>
      <c r="H805" s="9">
        <f>IFERROR(__xludf.DUMMYFUNCTION("""COMPUTED_VALUE"""),1898.0)</f>
        <v>1898</v>
      </c>
      <c r="I805" s="11">
        <f>IFERROR(__xludf.DUMMYFUNCTION("""COMPUTED_VALUE"""),44217.66666666667)</f>
        <v>44217.66667</v>
      </c>
      <c r="J805" s="9">
        <f>IFERROR(__xludf.DUMMYFUNCTION("""COMPUTED_VALUE"""),1891.25)</f>
        <v>1891.25</v>
      </c>
      <c r="L805" s="11">
        <f>IFERROR(__xludf.DUMMYFUNCTION("""COMPUTED_VALUE"""),44217.66666666667)</f>
        <v>44217.66667</v>
      </c>
      <c r="M805" s="9">
        <f>IFERROR(__xludf.DUMMYFUNCTION("""COMPUTED_VALUE"""),133.8)</f>
        <v>133.8</v>
      </c>
      <c r="N805" s="11">
        <f>IFERROR(__xludf.DUMMYFUNCTION("""COMPUTED_VALUE"""),44217.66666666667)</f>
        <v>44217.66667</v>
      </c>
      <c r="O805" s="9">
        <f>IFERROR(__xludf.DUMMYFUNCTION("""COMPUTED_VALUE"""),136.87)</f>
        <v>136.87</v>
      </c>
      <c r="Q805" s="11">
        <f>IFERROR(__xludf.DUMMYFUNCTION("""COMPUTED_VALUE"""),44217.66666666667)</f>
        <v>44217.66667</v>
      </c>
      <c r="R805" s="9">
        <f>IFERROR(__xludf.DUMMYFUNCTION("""COMPUTED_VALUE"""),269.26)</f>
        <v>269.26</v>
      </c>
      <c r="S805" s="11">
        <f>IFERROR(__xludf.DUMMYFUNCTION("""COMPUTED_VALUE"""),44217.66666666667)</f>
        <v>44217.66667</v>
      </c>
      <c r="T805" s="9">
        <f>IFERROR(__xludf.DUMMYFUNCTION("""COMPUTED_VALUE"""),272.87)</f>
        <v>272.87</v>
      </c>
      <c r="V805" s="11">
        <f>IFERROR(__xludf.DUMMYFUNCTION("""COMPUTED_VALUE"""),44217.66666666667)</f>
        <v>44217.66667</v>
      </c>
      <c r="W805" s="9">
        <f>IFERROR(__xludf.DUMMYFUNCTION("""COMPUTED_VALUE"""),582.45)</f>
        <v>582.45</v>
      </c>
      <c r="X805" s="11">
        <f>IFERROR(__xludf.DUMMYFUNCTION("""COMPUTED_VALUE"""),44217.66666666667)</f>
        <v>44217.66667</v>
      </c>
      <c r="Y805" s="9">
        <f>IFERROR(__xludf.DUMMYFUNCTION("""COMPUTED_VALUE"""),579.84)</f>
        <v>579.84</v>
      </c>
      <c r="AA805" s="11">
        <f>IFERROR(__xludf.DUMMYFUNCTION("""COMPUTED_VALUE"""),44217.66666666667)</f>
        <v>44217.66667</v>
      </c>
      <c r="AB805" s="9">
        <f>IFERROR(__xludf.DUMMYFUNCTION("""COMPUTED_VALUE"""),3293.0)</f>
        <v>3293</v>
      </c>
      <c r="AC805" s="11">
        <f>IFERROR(__xludf.DUMMYFUNCTION("""COMPUTED_VALUE"""),44217.66666666667)</f>
        <v>44217.66667</v>
      </c>
      <c r="AD805" s="9">
        <f>IFERROR(__xludf.DUMMYFUNCTION("""COMPUTED_VALUE"""),3306.99)</f>
        <v>3306.99</v>
      </c>
    </row>
    <row r="806">
      <c r="B806" s="11">
        <f>IFERROR(__xludf.DUMMYFUNCTION("""COMPUTED_VALUE"""),44218.66666666667)</f>
        <v>44218.66667</v>
      </c>
      <c r="C806" s="9">
        <f>IFERROR(__xludf.DUMMYFUNCTION("""COMPUTED_VALUE"""),834.31)</f>
        <v>834.31</v>
      </c>
      <c r="D806" s="11">
        <f>IFERROR(__xludf.DUMMYFUNCTION("""COMPUTED_VALUE"""),44218.66666666667)</f>
        <v>44218.66667</v>
      </c>
      <c r="E806" s="9">
        <f>IFERROR(__xludf.DUMMYFUNCTION("""COMPUTED_VALUE"""),846.64)</f>
        <v>846.64</v>
      </c>
      <c r="G806" s="11">
        <f>IFERROR(__xludf.DUMMYFUNCTION("""COMPUTED_VALUE"""),44218.66666666667)</f>
        <v>44218.66667</v>
      </c>
      <c r="H806" s="9">
        <f>IFERROR(__xludf.DUMMYFUNCTION("""COMPUTED_VALUE"""),1895.68)</f>
        <v>1895.68</v>
      </c>
      <c r="I806" s="11">
        <f>IFERROR(__xludf.DUMMYFUNCTION("""COMPUTED_VALUE"""),44218.66666666667)</f>
        <v>44218.66667</v>
      </c>
      <c r="J806" s="9">
        <f>IFERROR(__xludf.DUMMYFUNCTION("""COMPUTED_VALUE"""),1901.05)</f>
        <v>1901.05</v>
      </c>
      <c r="L806" s="11">
        <f>IFERROR(__xludf.DUMMYFUNCTION("""COMPUTED_VALUE"""),44218.66666666667)</f>
        <v>44218.66667</v>
      </c>
      <c r="M806" s="9">
        <f>IFERROR(__xludf.DUMMYFUNCTION("""COMPUTED_VALUE"""),136.28)</f>
        <v>136.28</v>
      </c>
      <c r="N806" s="11">
        <f>IFERROR(__xludf.DUMMYFUNCTION("""COMPUTED_VALUE"""),44218.66666666667)</f>
        <v>44218.66667</v>
      </c>
      <c r="O806" s="9">
        <f>IFERROR(__xludf.DUMMYFUNCTION("""COMPUTED_VALUE"""),139.07)</f>
        <v>139.07</v>
      </c>
      <c r="Q806" s="11">
        <f>IFERROR(__xludf.DUMMYFUNCTION("""COMPUTED_VALUE"""),44218.66666666667)</f>
        <v>44218.66667</v>
      </c>
      <c r="R806" s="9">
        <f>IFERROR(__xludf.DUMMYFUNCTION("""COMPUTED_VALUE"""),272.01)</f>
        <v>272.01</v>
      </c>
      <c r="S806" s="11">
        <f>IFERROR(__xludf.DUMMYFUNCTION("""COMPUTED_VALUE"""),44218.66666666667)</f>
        <v>44218.66667</v>
      </c>
      <c r="T806" s="9">
        <f>IFERROR(__xludf.DUMMYFUNCTION("""COMPUTED_VALUE"""),274.5)</f>
        <v>274.5</v>
      </c>
      <c r="V806" s="11">
        <f>IFERROR(__xludf.DUMMYFUNCTION("""COMPUTED_VALUE"""),44218.66666666667)</f>
        <v>44218.66667</v>
      </c>
      <c r="W806" s="9">
        <f>IFERROR(__xludf.DUMMYFUNCTION("""COMPUTED_VALUE"""),582.1)</f>
        <v>582.1</v>
      </c>
      <c r="X806" s="11">
        <f>IFERROR(__xludf.DUMMYFUNCTION("""COMPUTED_VALUE"""),44218.66666666667)</f>
        <v>44218.66667</v>
      </c>
      <c r="Y806" s="9">
        <f>IFERROR(__xludf.DUMMYFUNCTION("""COMPUTED_VALUE"""),565.17)</f>
        <v>565.17</v>
      </c>
      <c r="AA806" s="11">
        <f>IFERROR(__xludf.DUMMYFUNCTION("""COMPUTED_VALUE"""),44218.66666666667)</f>
        <v>44218.66667</v>
      </c>
      <c r="AB806" s="9">
        <f>IFERROR(__xludf.DUMMYFUNCTION("""COMPUTED_VALUE"""),3304.31)</f>
        <v>3304.31</v>
      </c>
      <c r="AC806" s="11">
        <f>IFERROR(__xludf.DUMMYFUNCTION("""COMPUTED_VALUE"""),44218.66666666667)</f>
        <v>44218.66667</v>
      </c>
      <c r="AD806" s="9">
        <f>IFERROR(__xludf.DUMMYFUNCTION("""COMPUTED_VALUE"""),3292.23)</f>
        <v>3292.23</v>
      </c>
    </row>
    <row r="807">
      <c r="B807" s="11">
        <f>IFERROR(__xludf.DUMMYFUNCTION("""COMPUTED_VALUE"""),44221.66666666667)</f>
        <v>44221.66667</v>
      </c>
      <c r="C807" s="9">
        <f>IFERROR(__xludf.DUMMYFUNCTION("""COMPUTED_VALUE"""),855.0)</f>
        <v>855</v>
      </c>
      <c r="D807" s="11">
        <f>IFERROR(__xludf.DUMMYFUNCTION("""COMPUTED_VALUE"""),44221.66666666667)</f>
        <v>44221.66667</v>
      </c>
      <c r="E807" s="9">
        <f>IFERROR(__xludf.DUMMYFUNCTION("""COMPUTED_VALUE"""),880.8)</f>
        <v>880.8</v>
      </c>
      <c r="G807" s="11">
        <f>IFERROR(__xludf.DUMMYFUNCTION("""COMPUTED_VALUE"""),44221.66666666667)</f>
        <v>44221.66667</v>
      </c>
      <c r="H807" s="9">
        <f>IFERROR(__xludf.DUMMYFUNCTION("""COMPUTED_VALUE"""),1920.67)</f>
        <v>1920.67</v>
      </c>
      <c r="I807" s="11">
        <f>IFERROR(__xludf.DUMMYFUNCTION("""COMPUTED_VALUE"""),44221.66666666667)</f>
        <v>44221.66667</v>
      </c>
      <c r="J807" s="9">
        <f>IFERROR(__xludf.DUMMYFUNCTION("""COMPUTED_VALUE"""),1899.4)</f>
        <v>1899.4</v>
      </c>
      <c r="L807" s="11">
        <f>IFERROR(__xludf.DUMMYFUNCTION("""COMPUTED_VALUE"""),44221.66666666667)</f>
        <v>44221.66667</v>
      </c>
      <c r="M807" s="9">
        <f>IFERROR(__xludf.DUMMYFUNCTION("""COMPUTED_VALUE"""),143.07)</f>
        <v>143.07</v>
      </c>
      <c r="N807" s="11">
        <f>IFERROR(__xludf.DUMMYFUNCTION("""COMPUTED_VALUE"""),44221.66666666667)</f>
        <v>44221.66667</v>
      </c>
      <c r="O807" s="9">
        <f>IFERROR(__xludf.DUMMYFUNCTION("""COMPUTED_VALUE"""),142.92)</f>
        <v>142.92</v>
      </c>
      <c r="Q807" s="11">
        <f>IFERROR(__xludf.DUMMYFUNCTION("""COMPUTED_VALUE"""),44221.66666666667)</f>
        <v>44221.66667</v>
      </c>
      <c r="R807" s="9">
        <f>IFERROR(__xludf.DUMMYFUNCTION("""COMPUTED_VALUE"""),278.14)</f>
        <v>278.14</v>
      </c>
      <c r="S807" s="11">
        <f>IFERROR(__xludf.DUMMYFUNCTION("""COMPUTED_VALUE"""),44221.66666666667)</f>
        <v>44221.66667</v>
      </c>
      <c r="T807" s="9">
        <f>IFERROR(__xludf.DUMMYFUNCTION("""COMPUTED_VALUE"""),278.01)</f>
        <v>278.01</v>
      </c>
      <c r="V807" s="11">
        <f>IFERROR(__xludf.DUMMYFUNCTION("""COMPUTED_VALUE"""),44221.66666666667)</f>
        <v>44221.66667</v>
      </c>
      <c r="W807" s="9">
        <f>IFERROR(__xludf.DUMMYFUNCTION("""COMPUTED_VALUE"""),567.0)</f>
        <v>567</v>
      </c>
      <c r="X807" s="11">
        <f>IFERROR(__xludf.DUMMYFUNCTION("""COMPUTED_VALUE"""),44221.66666666667)</f>
        <v>44221.66667</v>
      </c>
      <c r="Y807" s="9">
        <f>IFERROR(__xludf.DUMMYFUNCTION("""COMPUTED_VALUE"""),556.78)</f>
        <v>556.78</v>
      </c>
      <c r="AA807" s="11">
        <f>IFERROR(__xludf.DUMMYFUNCTION("""COMPUTED_VALUE"""),44221.66666666667)</f>
        <v>44221.66667</v>
      </c>
      <c r="AB807" s="9">
        <f>IFERROR(__xludf.DUMMYFUNCTION("""COMPUTED_VALUE"""),3328.5)</f>
        <v>3328.5</v>
      </c>
      <c r="AC807" s="11">
        <f>IFERROR(__xludf.DUMMYFUNCTION("""COMPUTED_VALUE"""),44221.66666666667)</f>
        <v>44221.66667</v>
      </c>
      <c r="AD807" s="9">
        <f>IFERROR(__xludf.DUMMYFUNCTION("""COMPUTED_VALUE"""),3294.0)</f>
        <v>3294</v>
      </c>
    </row>
    <row r="808">
      <c r="B808" s="11">
        <f>IFERROR(__xludf.DUMMYFUNCTION("""COMPUTED_VALUE"""),44222.66666666667)</f>
        <v>44222.66667</v>
      </c>
      <c r="C808" s="9">
        <f>IFERROR(__xludf.DUMMYFUNCTION("""COMPUTED_VALUE"""),891.38)</f>
        <v>891.38</v>
      </c>
      <c r="D808" s="11">
        <f>IFERROR(__xludf.DUMMYFUNCTION("""COMPUTED_VALUE"""),44222.66666666667)</f>
        <v>44222.66667</v>
      </c>
      <c r="E808" s="9">
        <f>IFERROR(__xludf.DUMMYFUNCTION("""COMPUTED_VALUE"""),883.09)</f>
        <v>883.09</v>
      </c>
      <c r="G808" s="11">
        <f>IFERROR(__xludf.DUMMYFUNCTION("""COMPUTED_VALUE"""),44222.66666666667)</f>
        <v>44222.66667</v>
      </c>
      <c r="H808" s="9">
        <f>IFERROR(__xludf.DUMMYFUNCTION("""COMPUTED_VALUE"""),1888.84)</f>
        <v>1888.84</v>
      </c>
      <c r="I808" s="11">
        <f>IFERROR(__xludf.DUMMYFUNCTION("""COMPUTED_VALUE"""),44222.66666666667)</f>
        <v>44222.66667</v>
      </c>
      <c r="J808" s="9">
        <f>IFERROR(__xludf.DUMMYFUNCTION("""COMPUTED_VALUE"""),1917.24)</f>
        <v>1917.24</v>
      </c>
      <c r="L808" s="11">
        <f>IFERROR(__xludf.DUMMYFUNCTION("""COMPUTED_VALUE"""),44222.66666666667)</f>
        <v>44222.66667</v>
      </c>
      <c r="M808" s="9">
        <f>IFERROR(__xludf.DUMMYFUNCTION("""COMPUTED_VALUE"""),143.6)</f>
        <v>143.6</v>
      </c>
      <c r="N808" s="11">
        <f>IFERROR(__xludf.DUMMYFUNCTION("""COMPUTED_VALUE"""),44222.66666666667)</f>
        <v>44222.66667</v>
      </c>
      <c r="O808" s="9">
        <f>IFERROR(__xludf.DUMMYFUNCTION("""COMPUTED_VALUE"""),143.16)</f>
        <v>143.16</v>
      </c>
      <c r="Q808" s="11">
        <f>IFERROR(__xludf.DUMMYFUNCTION("""COMPUTED_VALUE"""),44222.66666666667)</f>
        <v>44222.66667</v>
      </c>
      <c r="R808" s="9">
        <f>IFERROR(__xludf.DUMMYFUNCTION("""COMPUTED_VALUE"""),278.14)</f>
        <v>278.14</v>
      </c>
      <c r="S808" s="11">
        <f>IFERROR(__xludf.DUMMYFUNCTION("""COMPUTED_VALUE"""),44222.66666666667)</f>
        <v>44222.66667</v>
      </c>
      <c r="T808" s="9">
        <f>IFERROR(__xludf.DUMMYFUNCTION("""COMPUTED_VALUE"""),282.05)</f>
        <v>282.05</v>
      </c>
      <c r="V808" s="11">
        <f>IFERROR(__xludf.DUMMYFUNCTION("""COMPUTED_VALUE"""),44222.66666666667)</f>
        <v>44222.66667</v>
      </c>
      <c r="W808" s="9">
        <f>IFERROR(__xludf.DUMMYFUNCTION("""COMPUTED_VALUE"""),554.73)</f>
        <v>554.73</v>
      </c>
      <c r="X808" s="11">
        <f>IFERROR(__xludf.DUMMYFUNCTION("""COMPUTED_VALUE"""),44222.66666666667)</f>
        <v>44222.66667</v>
      </c>
      <c r="Y808" s="9">
        <f>IFERROR(__xludf.DUMMYFUNCTION("""COMPUTED_VALUE"""),561.93)</f>
        <v>561.93</v>
      </c>
      <c r="AA808" s="11">
        <f>IFERROR(__xludf.DUMMYFUNCTION("""COMPUTED_VALUE"""),44222.66666666667)</f>
        <v>44222.66667</v>
      </c>
      <c r="AB808" s="9">
        <f>IFERROR(__xludf.DUMMYFUNCTION("""COMPUTED_VALUE"""),3296.36)</f>
        <v>3296.36</v>
      </c>
      <c r="AC808" s="11">
        <f>IFERROR(__xludf.DUMMYFUNCTION("""COMPUTED_VALUE"""),44222.66666666667)</f>
        <v>44222.66667</v>
      </c>
      <c r="AD808" s="9">
        <f>IFERROR(__xludf.DUMMYFUNCTION("""COMPUTED_VALUE"""),3326.13)</f>
        <v>3326.13</v>
      </c>
    </row>
    <row r="809">
      <c r="B809" s="11">
        <f>IFERROR(__xludf.DUMMYFUNCTION("""COMPUTED_VALUE"""),44223.66666666667)</f>
        <v>44223.66667</v>
      </c>
      <c r="C809" s="9">
        <f>IFERROR(__xludf.DUMMYFUNCTION("""COMPUTED_VALUE"""),870.35)</f>
        <v>870.35</v>
      </c>
      <c r="D809" s="11">
        <f>IFERROR(__xludf.DUMMYFUNCTION("""COMPUTED_VALUE"""),44223.66666666667)</f>
        <v>44223.66667</v>
      </c>
      <c r="E809" s="9">
        <f>IFERROR(__xludf.DUMMYFUNCTION("""COMPUTED_VALUE"""),864.16)</f>
        <v>864.16</v>
      </c>
      <c r="G809" s="11">
        <f>IFERROR(__xludf.DUMMYFUNCTION("""COMPUTED_VALUE"""),44223.66666666667)</f>
        <v>44223.66667</v>
      </c>
      <c r="H809" s="9">
        <f>IFERROR(__xludf.DUMMYFUNCTION("""COMPUTED_VALUE"""),1882.53)</f>
        <v>1882.53</v>
      </c>
      <c r="I809" s="11">
        <f>IFERROR(__xludf.DUMMYFUNCTION("""COMPUTED_VALUE"""),44223.66666666667)</f>
        <v>44223.66667</v>
      </c>
      <c r="J809" s="9">
        <f>IFERROR(__xludf.DUMMYFUNCTION("""COMPUTED_VALUE"""),1830.79)</f>
        <v>1830.79</v>
      </c>
      <c r="L809" s="11">
        <f>IFERROR(__xludf.DUMMYFUNCTION("""COMPUTED_VALUE"""),44223.66666666667)</f>
        <v>44223.66667</v>
      </c>
      <c r="M809" s="9">
        <f>IFERROR(__xludf.DUMMYFUNCTION("""COMPUTED_VALUE"""),143.43)</f>
        <v>143.43</v>
      </c>
      <c r="N809" s="11">
        <f>IFERROR(__xludf.DUMMYFUNCTION("""COMPUTED_VALUE"""),44223.66666666667)</f>
        <v>44223.66667</v>
      </c>
      <c r="O809" s="9">
        <f>IFERROR(__xludf.DUMMYFUNCTION("""COMPUTED_VALUE"""),142.06)</f>
        <v>142.06</v>
      </c>
      <c r="Q809" s="11">
        <f>IFERROR(__xludf.DUMMYFUNCTION("""COMPUTED_VALUE"""),44223.66666666667)</f>
        <v>44223.66667</v>
      </c>
      <c r="R809" s="9">
        <f>IFERROR(__xludf.DUMMYFUNCTION("""COMPUTED_VALUE"""),282.53)</f>
        <v>282.53</v>
      </c>
      <c r="S809" s="11">
        <f>IFERROR(__xludf.DUMMYFUNCTION("""COMPUTED_VALUE"""),44223.66666666667)</f>
        <v>44223.66667</v>
      </c>
      <c r="T809" s="9">
        <f>IFERROR(__xludf.DUMMYFUNCTION("""COMPUTED_VALUE"""),272.14)</f>
        <v>272.14</v>
      </c>
      <c r="V809" s="11">
        <f>IFERROR(__xludf.DUMMYFUNCTION("""COMPUTED_VALUE"""),44223.66666666667)</f>
        <v>44223.66667</v>
      </c>
      <c r="W809" s="9">
        <f>IFERROR(__xludf.DUMMYFUNCTION("""COMPUTED_VALUE"""),550.71)</f>
        <v>550.71</v>
      </c>
      <c r="X809" s="11">
        <f>IFERROR(__xludf.DUMMYFUNCTION("""COMPUTED_VALUE"""),44223.66666666667)</f>
        <v>44223.66667</v>
      </c>
      <c r="Y809" s="9">
        <f>IFERROR(__xludf.DUMMYFUNCTION("""COMPUTED_VALUE"""),523.28)</f>
        <v>523.28</v>
      </c>
      <c r="AA809" s="11">
        <f>IFERROR(__xludf.DUMMYFUNCTION("""COMPUTED_VALUE"""),44223.66666666667)</f>
        <v>44223.66667</v>
      </c>
      <c r="AB809" s="9">
        <f>IFERROR(__xludf.DUMMYFUNCTION("""COMPUTED_VALUE"""),3341.49)</f>
        <v>3341.49</v>
      </c>
      <c r="AC809" s="11">
        <f>IFERROR(__xludf.DUMMYFUNCTION("""COMPUTED_VALUE"""),44223.66666666667)</f>
        <v>44223.66667</v>
      </c>
      <c r="AD809" s="9">
        <f>IFERROR(__xludf.DUMMYFUNCTION("""COMPUTED_VALUE"""),3232.58)</f>
        <v>3232.58</v>
      </c>
    </row>
    <row r="810">
      <c r="B810" s="11">
        <f>IFERROR(__xludf.DUMMYFUNCTION("""COMPUTED_VALUE"""),44224.66666666667)</f>
        <v>44224.66667</v>
      </c>
      <c r="C810" s="9">
        <f>IFERROR(__xludf.DUMMYFUNCTION("""COMPUTED_VALUE"""),820.0)</f>
        <v>820</v>
      </c>
      <c r="D810" s="11">
        <f>IFERROR(__xludf.DUMMYFUNCTION("""COMPUTED_VALUE"""),44224.66666666667)</f>
        <v>44224.66667</v>
      </c>
      <c r="E810" s="9">
        <f>IFERROR(__xludf.DUMMYFUNCTION("""COMPUTED_VALUE"""),835.43)</f>
        <v>835.43</v>
      </c>
      <c r="G810" s="11">
        <f>IFERROR(__xludf.DUMMYFUNCTION("""COMPUTED_VALUE"""),44224.66666666667)</f>
        <v>44224.66667</v>
      </c>
      <c r="H810" s="9">
        <f>IFERROR(__xludf.DUMMYFUNCTION("""COMPUTED_VALUE"""),1843.94)</f>
        <v>1843.94</v>
      </c>
      <c r="I810" s="11">
        <f>IFERROR(__xludf.DUMMYFUNCTION("""COMPUTED_VALUE"""),44224.66666666667)</f>
        <v>44224.66667</v>
      </c>
      <c r="J810" s="9">
        <f>IFERROR(__xludf.DUMMYFUNCTION("""COMPUTED_VALUE"""),1863.11)</f>
        <v>1863.11</v>
      </c>
      <c r="L810" s="11">
        <f>IFERROR(__xludf.DUMMYFUNCTION("""COMPUTED_VALUE"""),44224.66666666667)</f>
        <v>44224.66667</v>
      </c>
      <c r="M810" s="9">
        <f>IFERROR(__xludf.DUMMYFUNCTION("""COMPUTED_VALUE"""),139.52)</f>
        <v>139.52</v>
      </c>
      <c r="N810" s="11">
        <f>IFERROR(__xludf.DUMMYFUNCTION("""COMPUTED_VALUE"""),44224.66666666667)</f>
        <v>44224.66667</v>
      </c>
      <c r="O810" s="9">
        <f>IFERROR(__xludf.DUMMYFUNCTION("""COMPUTED_VALUE"""),137.09)</f>
        <v>137.09</v>
      </c>
      <c r="Q810" s="11">
        <f>IFERROR(__xludf.DUMMYFUNCTION("""COMPUTED_VALUE"""),44224.66666666667)</f>
        <v>44224.66667</v>
      </c>
      <c r="R810" s="9">
        <f>IFERROR(__xludf.DUMMYFUNCTION("""COMPUTED_VALUE"""),277.18)</f>
        <v>277.18</v>
      </c>
      <c r="S810" s="11">
        <f>IFERROR(__xludf.DUMMYFUNCTION("""COMPUTED_VALUE"""),44224.66666666667)</f>
        <v>44224.66667</v>
      </c>
      <c r="T810" s="9">
        <f>IFERROR(__xludf.DUMMYFUNCTION("""COMPUTED_VALUE"""),265.0)</f>
        <v>265</v>
      </c>
      <c r="V810" s="11">
        <f>IFERROR(__xludf.DUMMYFUNCTION("""COMPUTED_VALUE"""),44224.66666666667)</f>
        <v>44224.66667</v>
      </c>
      <c r="W810" s="9">
        <f>IFERROR(__xludf.DUMMYFUNCTION("""COMPUTED_VALUE"""),535.88)</f>
        <v>535.88</v>
      </c>
      <c r="X810" s="11">
        <f>IFERROR(__xludf.DUMMYFUNCTION("""COMPUTED_VALUE"""),44224.66666666667)</f>
        <v>44224.66667</v>
      </c>
      <c r="Y810" s="9">
        <f>IFERROR(__xludf.DUMMYFUNCTION("""COMPUTED_VALUE"""),538.6)</f>
        <v>538.6</v>
      </c>
      <c r="AA810" s="11">
        <f>IFERROR(__xludf.DUMMYFUNCTION("""COMPUTED_VALUE"""),44224.66666666667)</f>
        <v>44224.66667</v>
      </c>
      <c r="AB810" s="9">
        <f>IFERROR(__xludf.DUMMYFUNCTION("""COMPUTED_VALUE"""),3235.04)</f>
        <v>3235.04</v>
      </c>
      <c r="AC810" s="11">
        <f>IFERROR(__xludf.DUMMYFUNCTION("""COMPUTED_VALUE"""),44224.66666666667)</f>
        <v>44224.66667</v>
      </c>
      <c r="AD810" s="9">
        <f>IFERROR(__xludf.DUMMYFUNCTION("""COMPUTED_VALUE"""),3237.62)</f>
        <v>3237.62</v>
      </c>
    </row>
    <row r="811">
      <c r="B811" s="11">
        <f>IFERROR(__xludf.DUMMYFUNCTION("""COMPUTED_VALUE"""),44225.66666666667)</f>
        <v>44225.66667</v>
      </c>
      <c r="C811" s="9">
        <f>IFERROR(__xludf.DUMMYFUNCTION("""COMPUTED_VALUE"""),830.0)</f>
        <v>830</v>
      </c>
      <c r="D811" s="11">
        <f>IFERROR(__xludf.DUMMYFUNCTION("""COMPUTED_VALUE"""),44225.66666666667)</f>
        <v>44225.66667</v>
      </c>
      <c r="E811" s="9">
        <f>IFERROR(__xludf.DUMMYFUNCTION("""COMPUTED_VALUE"""),793.53)</f>
        <v>793.53</v>
      </c>
      <c r="G811" s="11">
        <f>IFERROR(__xludf.DUMMYFUNCTION("""COMPUTED_VALUE"""),44225.66666666667)</f>
        <v>44225.66667</v>
      </c>
      <c r="H811" s="9">
        <f>IFERROR(__xludf.DUMMYFUNCTION("""COMPUTED_VALUE"""),1846.17)</f>
        <v>1846.17</v>
      </c>
      <c r="I811" s="11">
        <f>IFERROR(__xludf.DUMMYFUNCTION("""COMPUTED_VALUE"""),44225.66666666667)</f>
        <v>44225.66667</v>
      </c>
      <c r="J811" s="9">
        <f>IFERROR(__xludf.DUMMYFUNCTION("""COMPUTED_VALUE"""),1835.74)</f>
        <v>1835.74</v>
      </c>
      <c r="L811" s="11">
        <f>IFERROR(__xludf.DUMMYFUNCTION("""COMPUTED_VALUE"""),44225.66666666667)</f>
        <v>44225.66667</v>
      </c>
      <c r="M811" s="9">
        <f>IFERROR(__xludf.DUMMYFUNCTION("""COMPUTED_VALUE"""),135.83)</f>
        <v>135.83</v>
      </c>
      <c r="N811" s="11">
        <f>IFERROR(__xludf.DUMMYFUNCTION("""COMPUTED_VALUE"""),44225.66666666667)</f>
        <v>44225.66667</v>
      </c>
      <c r="O811" s="9">
        <f>IFERROR(__xludf.DUMMYFUNCTION("""COMPUTED_VALUE"""),131.96)</f>
        <v>131.96</v>
      </c>
      <c r="Q811" s="11">
        <f>IFERROR(__xludf.DUMMYFUNCTION("""COMPUTED_VALUE"""),44225.66666666667)</f>
        <v>44225.66667</v>
      </c>
      <c r="R811" s="9">
        <f>IFERROR(__xludf.DUMMYFUNCTION("""COMPUTED_VALUE"""),265.3)</f>
        <v>265.3</v>
      </c>
      <c r="S811" s="11">
        <f>IFERROR(__xludf.DUMMYFUNCTION("""COMPUTED_VALUE"""),44225.66666666667)</f>
        <v>44225.66667</v>
      </c>
      <c r="T811" s="9">
        <f>IFERROR(__xludf.DUMMYFUNCTION("""COMPUTED_VALUE"""),258.33)</f>
        <v>258.33</v>
      </c>
      <c r="V811" s="11">
        <f>IFERROR(__xludf.DUMMYFUNCTION("""COMPUTED_VALUE"""),44225.66666666667)</f>
        <v>44225.66667</v>
      </c>
      <c r="W811" s="9">
        <f>IFERROR(__xludf.DUMMYFUNCTION("""COMPUTED_VALUE"""),538.0)</f>
        <v>538</v>
      </c>
      <c r="X811" s="11">
        <f>IFERROR(__xludf.DUMMYFUNCTION("""COMPUTED_VALUE"""),44225.66666666667)</f>
        <v>44225.66667</v>
      </c>
      <c r="Y811" s="9">
        <f>IFERROR(__xludf.DUMMYFUNCTION("""COMPUTED_VALUE"""),532.39)</f>
        <v>532.39</v>
      </c>
      <c r="AA811" s="11">
        <f>IFERROR(__xludf.DUMMYFUNCTION("""COMPUTED_VALUE"""),44225.66666666667)</f>
        <v>44225.66667</v>
      </c>
      <c r="AB811" s="9">
        <f>IFERROR(__xludf.DUMMYFUNCTION("""COMPUTED_VALUE"""),3230.0)</f>
        <v>3230</v>
      </c>
      <c r="AC811" s="11">
        <f>IFERROR(__xludf.DUMMYFUNCTION("""COMPUTED_VALUE"""),44225.66666666667)</f>
        <v>44225.66667</v>
      </c>
      <c r="AD811" s="9">
        <f>IFERROR(__xludf.DUMMYFUNCTION("""COMPUTED_VALUE"""),3206.2)</f>
        <v>3206.2</v>
      </c>
    </row>
    <row r="812">
      <c r="B812" s="11">
        <f>IFERROR(__xludf.DUMMYFUNCTION("""COMPUTED_VALUE"""),44228.66666666667)</f>
        <v>44228.66667</v>
      </c>
      <c r="C812" s="9">
        <f>IFERROR(__xludf.DUMMYFUNCTION("""COMPUTED_VALUE"""),814.29)</f>
        <v>814.29</v>
      </c>
      <c r="D812" s="11">
        <f>IFERROR(__xludf.DUMMYFUNCTION("""COMPUTED_VALUE"""),44228.66666666667)</f>
        <v>44228.66667</v>
      </c>
      <c r="E812" s="9">
        <f>IFERROR(__xludf.DUMMYFUNCTION("""COMPUTED_VALUE"""),839.81)</f>
        <v>839.81</v>
      </c>
      <c r="G812" s="11">
        <f>IFERROR(__xludf.DUMMYFUNCTION("""COMPUTED_VALUE"""),44228.66666666667)</f>
        <v>44228.66667</v>
      </c>
      <c r="H812" s="9">
        <f>IFERROR(__xludf.DUMMYFUNCTION("""COMPUTED_VALUE"""),1853.57)</f>
        <v>1853.57</v>
      </c>
      <c r="I812" s="11">
        <f>IFERROR(__xludf.DUMMYFUNCTION("""COMPUTED_VALUE"""),44228.66666666667)</f>
        <v>44228.66667</v>
      </c>
      <c r="J812" s="9">
        <f>IFERROR(__xludf.DUMMYFUNCTION("""COMPUTED_VALUE"""),1901.35)</f>
        <v>1901.35</v>
      </c>
      <c r="L812" s="11">
        <f>IFERROR(__xludf.DUMMYFUNCTION("""COMPUTED_VALUE"""),44228.66666666667)</f>
        <v>44228.66667</v>
      </c>
      <c r="M812" s="9">
        <f>IFERROR(__xludf.DUMMYFUNCTION("""COMPUTED_VALUE"""),133.75)</f>
        <v>133.75</v>
      </c>
      <c r="N812" s="11">
        <f>IFERROR(__xludf.DUMMYFUNCTION("""COMPUTED_VALUE"""),44228.66666666667)</f>
        <v>44228.66667</v>
      </c>
      <c r="O812" s="9">
        <f>IFERROR(__xludf.DUMMYFUNCTION("""COMPUTED_VALUE"""),134.14)</f>
        <v>134.14</v>
      </c>
      <c r="Q812" s="11">
        <f>IFERROR(__xludf.DUMMYFUNCTION("""COMPUTED_VALUE"""),44228.66666666667)</f>
        <v>44228.66667</v>
      </c>
      <c r="R812" s="9">
        <f>IFERROR(__xludf.DUMMYFUNCTION("""COMPUTED_VALUE"""),259.52)</f>
        <v>259.52</v>
      </c>
      <c r="S812" s="11">
        <f>IFERROR(__xludf.DUMMYFUNCTION("""COMPUTED_VALUE"""),44228.66666666667)</f>
        <v>44228.66667</v>
      </c>
      <c r="T812" s="9">
        <f>IFERROR(__xludf.DUMMYFUNCTION("""COMPUTED_VALUE"""),262.01)</f>
        <v>262.01</v>
      </c>
      <c r="V812" s="11">
        <f>IFERROR(__xludf.DUMMYFUNCTION("""COMPUTED_VALUE"""),44228.66666666667)</f>
        <v>44228.66667</v>
      </c>
      <c r="W812" s="9">
        <f>IFERROR(__xludf.DUMMYFUNCTION("""COMPUTED_VALUE"""),536.79)</f>
        <v>536.79</v>
      </c>
      <c r="X812" s="11">
        <f>IFERROR(__xludf.DUMMYFUNCTION("""COMPUTED_VALUE"""),44228.66666666667)</f>
        <v>44228.66667</v>
      </c>
      <c r="Y812" s="9">
        <f>IFERROR(__xludf.DUMMYFUNCTION("""COMPUTED_VALUE"""),539.04)</f>
        <v>539.04</v>
      </c>
      <c r="AA812" s="11">
        <f>IFERROR(__xludf.DUMMYFUNCTION("""COMPUTED_VALUE"""),44228.66666666667)</f>
        <v>44228.66667</v>
      </c>
      <c r="AB812" s="9">
        <f>IFERROR(__xludf.DUMMYFUNCTION("""COMPUTED_VALUE"""),3242.36)</f>
        <v>3242.36</v>
      </c>
      <c r="AC812" s="11">
        <f>IFERROR(__xludf.DUMMYFUNCTION("""COMPUTED_VALUE"""),44228.66666666667)</f>
        <v>44228.66667</v>
      </c>
      <c r="AD812" s="9">
        <f>IFERROR(__xludf.DUMMYFUNCTION("""COMPUTED_VALUE"""),3342.88)</f>
        <v>3342.88</v>
      </c>
    </row>
    <row r="813">
      <c r="B813" s="11">
        <f>IFERROR(__xludf.DUMMYFUNCTION("""COMPUTED_VALUE"""),44229.66666666667)</f>
        <v>44229.66667</v>
      </c>
      <c r="C813" s="9">
        <f>IFERROR(__xludf.DUMMYFUNCTION("""COMPUTED_VALUE"""),844.68)</f>
        <v>844.68</v>
      </c>
      <c r="D813" s="11">
        <f>IFERROR(__xludf.DUMMYFUNCTION("""COMPUTED_VALUE"""),44229.66666666667)</f>
        <v>44229.66667</v>
      </c>
      <c r="E813" s="9">
        <f>IFERROR(__xludf.DUMMYFUNCTION("""COMPUTED_VALUE"""),872.79)</f>
        <v>872.79</v>
      </c>
      <c r="G813" s="11">
        <f>IFERROR(__xludf.DUMMYFUNCTION("""COMPUTED_VALUE"""),44229.66666666667)</f>
        <v>44229.66667</v>
      </c>
      <c r="H813" s="9">
        <f>IFERROR(__xludf.DUMMYFUNCTION("""COMPUTED_VALUE"""),1922.56)</f>
        <v>1922.56</v>
      </c>
      <c r="I813" s="11">
        <f>IFERROR(__xludf.DUMMYFUNCTION("""COMPUTED_VALUE"""),44229.66666666667)</f>
        <v>44229.66667</v>
      </c>
      <c r="J813" s="9">
        <f>IFERROR(__xludf.DUMMYFUNCTION("""COMPUTED_VALUE"""),1927.51)</f>
        <v>1927.51</v>
      </c>
      <c r="L813" s="11">
        <f>IFERROR(__xludf.DUMMYFUNCTION("""COMPUTED_VALUE"""),44229.66666666667)</f>
        <v>44229.66667</v>
      </c>
      <c r="M813" s="9">
        <f>IFERROR(__xludf.DUMMYFUNCTION("""COMPUTED_VALUE"""),135.73)</f>
        <v>135.73</v>
      </c>
      <c r="N813" s="11">
        <f>IFERROR(__xludf.DUMMYFUNCTION("""COMPUTED_VALUE"""),44229.66666666667)</f>
        <v>44229.66667</v>
      </c>
      <c r="O813" s="9">
        <f>IFERROR(__xludf.DUMMYFUNCTION("""COMPUTED_VALUE"""),134.99)</f>
        <v>134.99</v>
      </c>
      <c r="Q813" s="11">
        <f>IFERROR(__xludf.DUMMYFUNCTION("""COMPUTED_VALUE"""),44229.66666666667)</f>
        <v>44229.66667</v>
      </c>
      <c r="R813" s="9">
        <f>IFERROR(__xludf.DUMMYFUNCTION("""COMPUTED_VALUE"""),264.0)</f>
        <v>264</v>
      </c>
      <c r="S813" s="11">
        <f>IFERROR(__xludf.DUMMYFUNCTION("""COMPUTED_VALUE"""),44229.66666666667)</f>
        <v>44229.66667</v>
      </c>
      <c r="T813" s="9">
        <f>IFERROR(__xludf.DUMMYFUNCTION("""COMPUTED_VALUE"""),267.08)</f>
        <v>267.08</v>
      </c>
      <c r="V813" s="11">
        <f>IFERROR(__xludf.DUMMYFUNCTION("""COMPUTED_VALUE"""),44229.66666666667)</f>
        <v>44229.66667</v>
      </c>
      <c r="W813" s="9">
        <f>IFERROR(__xludf.DUMMYFUNCTION("""COMPUTED_VALUE"""),542.01)</f>
        <v>542.01</v>
      </c>
      <c r="X813" s="11">
        <f>IFERROR(__xludf.DUMMYFUNCTION("""COMPUTED_VALUE"""),44229.66666666667)</f>
        <v>44229.66667</v>
      </c>
      <c r="Y813" s="9">
        <f>IFERROR(__xludf.DUMMYFUNCTION("""COMPUTED_VALUE"""),548.16)</f>
        <v>548.16</v>
      </c>
      <c r="AA813" s="11">
        <f>IFERROR(__xludf.DUMMYFUNCTION("""COMPUTED_VALUE"""),44229.66666666667)</f>
        <v>44229.66667</v>
      </c>
      <c r="AB813" s="9">
        <f>IFERROR(__xludf.DUMMYFUNCTION("""COMPUTED_VALUE"""),3380.0)</f>
        <v>3380</v>
      </c>
      <c r="AC813" s="11">
        <f>IFERROR(__xludf.DUMMYFUNCTION("""COMPUTED_VALUE"""),44229.66666666667)</f>
        <v>44229.66667</v>
      </c>
      <c r="AD813" s="9">
        <f>IFERROR(__xludf.DUMMYFUNCTION("""COMPUTED_VALUE"""),3380.0)</f>
        <v>3380</v>
      </c>
    </row>
    <row r="814">
      <c r="B814" s="11">
        <f>IFERROR(__xludf.DUMMYFUNCTION("""COMPUTED_VALUE"""),44230.66666666667)</f>
        <v>44230.66667</v>
      </c>
      <c r="C814" s="9">
        <f>IFERROR(__xludf.DUMMYFUNCTION("""COMPUTED_VALUE"""),877.02)</f>
        <v>877.02</v>
      </c>
      <c r="D814" s="11">
        <f>IFERROR(__xludf.DUMMYFUNCTION("""COMPUTED_VALUE"""),44230.66666666667)</f>
        <v>44230.66667</v>
      </c>
      <c r="E814" s="9">
        <f>IFERROR(__xludf.DUMMYFUNCTION("""COMPUTED_VALUE"""),854.69)</f>
        <v>854.69</v>
      </c>
      <c r="G814" s="11">
        <f>IFERROR(__xludf.DUMMYFUNCTION("""COMPUTED_VALUE"""),44230.66666666667)</f>
        <v>44230.66667</v>
      </c>
      <c r="H814" s="9">
        <f>IFERROR(__xludf.DUMMYFUNCTION("""COMPUTED_VALUE"""),2073.0)</f>
        <v>2073</v>
      </c>
      <c r="I814" s="11">
        <f>IFERROR(__xludf.DUMMYFUNCTION("""COMPUTED_VALUE"""),44230.66666666667)</f>
        <v>44230.66667</v>
      </c>
      <c r="J814" s="9">
        <f>IFERROR(__xludf.DUMMYFUNCTION("""COMPUTED_VALUE"""),2070.07)</f>
        <v>2070.07</v>
      </c>
      <c r="L814" s="11">
        <f>IFERROR(__xludf.DUMMYFUNCTION("""COMPUTED_VALUE"""),44230.66666666667)</f>
        <v>44230.66667</v>
      </c>
      <c r="M814" s="9">
        <f>IFERROR(__xludf.DUMMYFUNCTION("""COMPUTED_VALUE"""),135.76)</f>
        <v>135.76</v>
      </c>
      <c r="N814" s="11">
        <f>IFERROR(__xludf.DUMMYFUNCTION("""COMPUTED_VALUE"""),44230.66666666667)</f>
        <v>44230.66667</v>
      </c>
      <c r="O814" s="9">
        <f>IFERROR(__xludf.DUMMYFUNCTION("""COMPUTED_VALUE"""),133.94)</f>
        <v>133.94</v>
      </c>
      <c r="Q814" s="11">
        <f>IFERROR(__xludf.DUMMYFUNCTION("""COMPUTED_VALUE"""),44230.66666666667)</f>
        <v>44230.66667</v>
      </c>
      <c r="R814" s="9">
        <f>IFERROR(__xludf.DUMMYFUNCTION("""COMPUTED_VALUE"""),265.62)</f>
        <v>265.62</v>
      </c>
      <c r="S814" s="11">
        <f>IFERROR(__xludf.DUMMYFUNCTION("""COMPUTED_VALUE"""),44230.66666666667)</f>
        <v>44230.66667</v>
      </c>
      <c r="T814" s="9">
        <f>IFERROR(__xludf.DUMMYFUNCTION("""COMPUTED_VALUE"""),266.65)</f>
        <v>266.65</v>
      </c>
      <c r="V814" s="11">
        <f>IFERROR(__xludf.DUMMYFUNCTION("""COMPUTED_VALUE"""),44230.66666666667)</f>
        <v>44230.66667</v>
      </c>
      <c r="W814" s="9">
        <f>IFERROR(__xludf.DUMMYFUNCTION("""COMPUTED_VALUE"""),550.17)</f>
        <v>550.17</v>
      </c>
      <c r="X814" s="11">
        <f>IFERROR(__xludf.DUMMYFUNCTION("""COMPUTED_VALUE"""),44230.66666666667)</f>
        <v>44230.66667</v>
      </c>
      <c r="Y814" s="9">
        <f>IFERROR(__xludf.DUMMYFUNCTION("""COMPUTED_VALUE"""),539.45)</f>
        <v>539.45</v>
      </c>
      <c r="AA814" s="11">
        <f>IFERROR(__xludf.DUMMYFUNCTION("""COMPUTED_VALUE"""),44230.66666666667)</f>
        <v>44230.66667</v>
      </c>
      <c r="AB814" s="9">
        <f>IFERROR(__xludf.DUMMYFUNCTION("""COMPUTED_VALUE"""),3425.01)</f>
        <v>3425.01</v>
      </c>
      <c r="AC814" s="11">
        <f>IFERROR(__xludf.DUMMYFUNCTION("""COMPUTED_VALUE"""),44230.66666666667)</f>
        <v>44230.66667</v>
      </c>
      <c r="AD814" s="9">
        <f>IFERROR(__xludf.DUMMYFUNCTION("""COMPUTED_VALUE"""),3312.53)</f>
        <v>3312.53</v>
      </c>
    </row>
    <row r="815">
      <c r="B815" s="11">
        <f>IFERROR(__xludf.DUMMYFUNCTION("""COMPUTED_VALUE"""),44231.66666666667)</f>
        <v>44231.66667</v>
      </c>
      <c r="C815" s="9">
        <f>IFERROR(__xludf.DUMMYFUNCTION("""COMPUTED_VALUE"""),855.0)</f>
        <v>855</v>
      </c>
      <c r="D815" s="11">
        <f>IFERROR(__xludf.DUMMYFUNCTION("""COMPUTED_VALUE"""),44231.66666666667)</f>
        <v>44231.66667</v>
      </c>
      <c r="E815" s="9">
        <f>IFERROR(__xludf.DUMMYFUNCTION("""COMPUTED_VALUE"""),849.99)</f>
        <v>849.99</v>
      </c>
      <c r="G815" s="11">
        <f>IFERROR(__xludf.DUMMYFUNCTION("""COMPUTED_VALUE"""),44231.66666666667)</f>
        <v>44231.66667</v>
      </c>
      <c r="H815" s="9">
        <f>IFERROR(__xludf.DUMMYFUNCTION("""COMPUTED_VALUE"""),2068.89)</f>
        <v>2068.89</v>
      </c>
      <c r="I815" s="11">
        <f>IFERROR(__xludf.DUMMYFUNCTION("""COMPUTED_VALUE"""),44231.66666666667)</f>
        <v>44231.66667</v>
      </c>
      <c r="J815" s="9">
        <f>IFERROR(__xludf.DUMMYFUNCTION("""COMPUTED_VALUE"""),2062.37)</f>
        <v>2062.37</v>
      </c>
      <c r="L815" s="11">
        <f>IFERROR(__xludf.DUMMYFUNCTION("""COMPUTED_VALUE"""),44231.66666666667)</f>
        <v>44231.66667</v>
      </c>
      <c r="M815" s="9">
        <f>IFERROR(__xludf.DUMMYFUNCTION("""COMPUTED_VALUE"""),136.3)</f>
        <v>136.3</v>
      </c>
      <c r="N815" s="11">
        <f>IFERROR(__xludf.DUMMYFUNCTION("""COMPUTED_VALUE"""),44231.66666666667)</f>
        <v>44231.66667</v>
      </c>
      <c r="O815" s="9">
        <f>IFERROR(__xludf.DUMMYFUNCTION("""COMPUTED_VALUE"""),137.39)</f>
        <v>137.39</v>
      </c>
      <c r="Q815" s="11">
        <f>IFERROR(__xludf.DUMMYFUNCTION("""COMPUTED_VALUE"""),44231.66666666667)</f>
        <v>44231.66667</v>
      </c>
      <c r="R815" s="9">
        <f>IFERROR(__xludf.DUMMYFUNCTION("""COMPUTED_VALUE"""),267.01)</f>
        <v>267.01</v>
      </c>
      <c r="S815" s="11">
        <f>IFERROR(__xludf.DUMMYFUNCTION("""COMPUTED_VALUE"""),44231.66666666667)</f>
        <v>44231.66667</v>
      </c>
      <c r="T815" s="9">
        <f>IFERROR(__xludf.DUMMYFUNCTION("""COMPUTED_VALUE"""),266.49)</f>
        <v>266.49</v>
      </c>
      <c r="V815" s="11">
        <f>IFERROR(__xludf.DUMMYFUNCTION("""COMPUTED_VALUE"""),44231.66666666667)</f>
        <v>44231.66667</v>
      </c>
      <c r="W815" s="9">
        <f>IFERROR(__xludf.DUMMYFUNCTION("""COMPUTED_VALUE"""),539.81)</f>
        <v>539.81</v>
      </c>
      <c r="X815" s="11">
        <f>IFERROR(__xludf.DUMMYFUNCTION("""COMPUTED_VALUE"""),44231.66666666667)</f>
        <v>44231.66667</v>
      </c>
      <c r="Y815" s="9">
        <f>IFERROR(__xludf.DUMMYFUNCTION("""COMPUTED_VALUE"""),552.16)</f>
        <v>552.16</v>
      </c>
      <c r="AA815" s="11">
        <f>IFERROR(__xludf.DUMMYFUNCTION("""COMPUTED_VALUE"""),44231.66666666667)</f>
        <v>44231.66667</v>
      </c>
      <c r="AB815" s="9">
        <f>IFERROR(__xludf.DUMMYFUNCTION("""COMPUTED_VALUE"""),3330.0)</f>
        <v>3330</v>
      </c>
      <c r="AC815" s="11">
        <f>IFERROR(__xludf.DUMMYFUNCTION("""COMPUTED_VALUE"""),44231.66666666667)</f>
        <v>44231.66667</v>
      </c>
      <c r="AD815" s="9">
        <f>IFERROR(__xludf.DUMMYFUNCTION("""COMPUTED_VALUE"""),3331.0)</f>
        <v>3331</v>
      </c>
    </row>
    <row r="816">
      <c r="B816" s="11">
        <f>IFERROR(__xludf.DUMMYFUNCTION("""COMPUTED_VALUE"""),44232.66666666667)</f>
        <v>44232.66667</v>
      </c>
      <c r="C816" s="9">
        <f>IFERROR(__xludf.DUMMYFUNCTION("""COMPUTED_VALUE"""),845.0)</f>
        <v>845</v>
      </c>
      <c r="D816" s="11">
        <f>IFERROR(__xludf.DUMMYFUNCTION("""COMPUTED_VALUE"""),44232.66666666667)</f>
        <v>44232.66667</v>
      </c>
      <c r="E816" s="9">
        <f>IFERROR(__xludf.DUMMYFUNCTION("""COMPUTED_VALUE"""),852.23)</f>
        <v>852.23</v>
      </c>
      <c r="G816" s="11">
        <f>IFERROR(__xludf.DUMMYFUNCTION("""COMPUTED_VALUE"""),44232.66666666667)</f>
        <v>44232.66667</v>
      </c>
      <c r="H816" s="9">
        <f>IFERROR(__xludf.DUMMYFUNCTION("""COMPUTED_VALUE"""),2070.0)</f>
        <v>2070</v>
      </c>
      <c r="I816" s="11">
        <f>IFERROR(__xludf.DUMMYFUNCTION("""COMPUTED_VALUE"""),44232.66666666667)</f>
        <v>44232.66667</v>
      </c>
      <c r="J816" s="9">
        <f>IFERROR(__xludf.DUMMYFUNCTION("""COMPUTED_VALUE"""),2098.0)</f>
        <v>2098</v>
      </c>
      <c r="L816" s="11">
        <f>IFERROR(__xludf.DUMMYFUNCTION("""COMPUTED_VALUE"""),44232.66666666667)</f>
        <v>44232.66667</v>
      </c>
      <c r="M816" s="9">
        <f>IFERROR(__xludf.DUMMYFUNCTION("""COMPUTED_VALUE"""),137.35)</f>
        <v>137.35</v>
      </c>
      <c r="N816" s="11">
        <f>IFERROR(__xludf.DUMMYFUNCTION("""COMPUTED_VALUE"""),44232.66666666667)</f>
        <v>44232.66667</v>
      </c>
      <c r="O816" s="9">
        <f>IFERROR(__xludf.DUMMYFUNCTION("""COMPUTED_VALUE"""),136.76)</f>
        <v>136.76</v>
      </c>
      <c r="Q816" s="11">
        <f>IFERROR(__xludf.DUMMYFUNCTION("""COMPUTED_VALUE"""),44232.66666666667)</f>
        <v>44232.66667</v>
      </c>
      <c r="R816" s="9">
        <f>IFERROR(__xludf.DUMMYFUNCTION("""COMPUTED_VALUE"""),266.8)</f>
        <v>266.8</v>
      </c>
      <c r="S816" s="11">
        <f>IFERROR(__xludf.DUMMYFUNCTION("""COMPUTED_VALUE"""),44232.66666666667)</f>
        <v>44232.66667</v>
      </c>
      <c r="T816" s="9">
        <f>IFERROR(__xludf.DUMMYFUNCTION("""COMPUTED_VALUE"""),268.1)</f>
        <v>268.1</v>
      </c>
      <c r="V816" s="11">
        <f>IFERROR(__xludf.DUMMYFUNCTION("""COMPUTED_VALUE"""),44232.66666666667)</f>
        <v>44232.66667</v>
      </c>
      <c r="W816" s="9">
        <f>IFERROR(__xludf.DUMMYFUNCTION("""COMPUTED_VALUE"""),552.26)</f>
        <v>552.26</v>
      </c>
      <c r="X816" s="11">
        <f>IFERROR(__xludf.DUMMYFUNCTION("""COMPUTED_VALUE"""),44232.66666666667)</f>
        <v>44232.66667</v>
      </c>
      <c r="Y816" s="9">
        <f>IFERROR(__xludf.DUMMYFUNCTION("""COMPUTED_VALUE"""),550.79)</f>
        <v>550.79</v>
      </c>
      <c r="AA816" s="11">
        <f>IFERROR(__xludf.DUMMYFUNCTION("""COMPUTED_VALUE"""),44232.66666666667)</f>
        <v>44232.66667</v>
      </c>
      <c r="AB816" s="9">
        <f>IFERROR(__xludf.DUMMYFUNCTION("""COMPUTED_VALUE"""),3319.0)</f>
        <v>3319</v>
      </c>
      <c r="AC816" s="11">
        <f>IFERROR(__xludf.DUMMYFUNCTION("""COMPUTED_VALUE"""),44232.66666666667)</f>
        <v>44232.66667</v>
      </c>
      <c r="AD816" s="9">
        <f>IFERROR(__xludf.DUMMYFUNCTION("""COMPUTED_VALUE"""),3352.15)</f>
        <v>3352.15</v>
      </c>
    </row>
    <row r="817">
      <c r="B817" s="11">
        <f>IFERROR(__xludf.DUMMYFUNCTION("""COMPUTED_VALUE"""),44235.66666666667)</f>
        <v>44235.66667</v>
      </c>
      <c r="C817" s="9">
        <f>IFERROR(__xludf.DUMMYFUNCTION("""COMPUTED_VALUE"""),869.67)</f>
        <v>869.67</v>
      </c>
      <c r="D817" s="11">
        <f>IFERROR(__xludf.DUMMYFUNCTION("""COMPUTED_VALUE"""),44235.66666666667)</f>
        <v>44235.66667</v>
      </c>
      <c r="E817" s="9">
        <f>IFERROR(__xludf.DUMMYFUNCTION("""COMPUTED_VALUE"""),863.42)</f>
        <v>863.42</v>
      </c>
      <c r="G817" s="11">
        <f>IFERROR(__xludf.DUMMYFUNCTION("""COMPUTED_VALUE"""),44235.66666666667)</f>
        <v>44235.66667</v>
      </c>
      <c r="H817" s="9">
        <f>IFERROR(__xludf.DUMMYFUNCTION("""COMPUTED_VALUE"""),2105.91)</f>
        <v>2105.91</v>
      </c>
      <c r="I817" s="11">
        <f>IFERROR(__xludf.DUMMYFUNCTION("""COMPUTED_VALUE"""),44235.66666666667)</f>
        <v>44235.66667</v>
      </c>
      <c r="J817" s="9">
        <f>IFERROR(__xludf.DUMMYFUNCTION("""COMPUTED_VALUE"""),2092.91)</f>
        <v>2092.91</v>
      </c>
      <c r="L817" s="11">
        <f>IFERROR(__xludf.DUMMYFUNCTION("""COMPUTED_VALUE"""),44235.66666666667)</f>
        <v>44235.66667</v>
      </c>
      <c r="M817" s="9">
        <f>IFERROR(__xludf.DUMMYFUNCTION("""COMPUTED_VALUE"""),136.03)</f>
        <v>136.03</v>
      </c>
      <c r="N817" s="11">
        <f>IFERROR(__xludf.DUMMYFUNCTION("""COMPUTED_VALUE"""),44235.66666666667)</f>
        <v>44235.66667</v>
      </c>
      <c r="O817" s="9">
        <f>IFERROR(__xludf.DUMMYFUNCTION("""COMPUTED_VALUE"""),136.91)</f>
        <v>136.91</v>
      </c>
      <c r="Q817" s="11">
        <f>IFERROR(__xludf.DUMMYFUNCTION("""COMPUTED_VALUE"""),44235.66666666667)</f>
        <v>44235.66667</v>
      </c>
      <c r="R817" s="9">
        <f>IFERROR(__xludf.DUMMYFUNCTION("""COMPUTED_VALUE"""),268.75)</f>
        <v>268.75</v>
      </c>
      <c r="S817" s="11">
        <f>IFERROR(__xludf.DUMMYFUNCTION("""COMPUTED_VALUE"""),44235.66666666667)</f>
        <v>44235.66667</v>
      </c>
      <c r="T817" s="9">
        <f>IFERROR(__xludf.DUMMYFUNCTION("""COMPUTED_VALUE"""),266.58)</f>
        <v>266.58</v>
      </c>
      <c r="V817" s="11">
        <f>IFERROR(__xludf.DUMMYFUNCTION("""COMPUTED_VALUE"""),44235.66666666667)</f>
        <v>44235.66667</v>
      </c>
      <c r="W817" s="9">
        <f>IFERROR(__xludf.DUMMYFUNCTION("""COMPUTED_VALUE"""),555.0)</f>
        <v>555</v>
      </c>
      <c r="X817" s="11">
        <f>IFERROR(__xludf.DUMMYFUNCTION("""COMPUTED_VALUE"""),44235.66666666667)</f>
        <v>44235.66667</v>
      </c>
      <c r="Y817" s="9">
        <f>IFERROR(__xludf.DUMMYFUNCTION("""COMPUTED_VALUE"""),547.92)</f>
        <v>547.92</v>
      </c>
      <c r="AA817" s="11">
        <f>IFERROR(__xludf.DUMMYFUNCTION("""COMPUTED_VALUE"""),44235.66666666667)</f>
        <v>44235.66667</v>
      </c>
      <c r="AB817" s="9">
        <f>IFERROR(__xludf.DUMMYFUNCTION("""COMPUTED_VALUE"""),3358.5)</f>
        <v>3358.5</v>
      </c>
      <c r="AC817" s="11">
        <f>IFERROR(__xludf.DUMMYFUNCTION("""COMPUTED_VALUE"""),44235.66666666667)</f>
        <v>44235.66667</v>
      </c>
      <c r="AD817" s="9">
        <f>IFERROR(__xludf.DUMMYFUNCTION("""COMPUTED_VALUE"""),3322.94)</f>
        <v>3322.94</v>
      </c>
    </row>
    <row r="818">
      <c r="B818" s="11">
        <f>IFERROR(__xludf.DUMMYFUNCTION("""COMPUTED_VALUE"""),44236.66666666667)</f>
        <v>44236.66667</v>
      </c>
      <c r="C818" s="9">
        <f>IFERROR(__xludf.DUMMYFUNCTION("""COMPUTED_VALUE"""),855.12)</f>
        <v>855.12</v>
      </c>
      <c r="D818" s="11">
        <f>IFERROR(__xludf.DUMMYFUNCTION("""COMPUTED_VALUE"""),44236.66666666667)</f>
        <v>44236.66667</v>
      </c>
      <c r="E818" s="9">
        <f>IFERROR(__xludf.DUMMYFUNCTION("""COMPUTED_VALUE"""),849.46)</f>
        <v>849.46</v>
      </c>
      <c r="G818" s="11">
        <f>IFERROR(__xludf.DUMMYFUNCTION("""COMPUTED_VALUE"""),44236.66666666667)</f>
        <v>44236.66667</v>
      </c>
      <c r="H818" s="9">
        <f>IFERROR(__xludf.DUMMYFUNCTION("""COMPUTED_VALUE"""),2078.54)</f>
        <v>2078.54</v>
      </c>
      <c r="I818" s="11">
        <f>IFERROR(__xludf.DUMMYFUNCTION("""COMPUTED_VALUE"""),44236.66666666667)</f>
        <v>44236.66667</v>
      </c>
      <c r="J818" s="9">
        <f>IFERROR(__xludf.DUMMYFUNCTION("""COMPUTED_VALUE"""),2083.51)</f>
        <v>2083.51</v>
      </c>
      <c r="L818" s="11">
        <f>IFERROR(__xludf.DUMMYFUNCTION("""COMPUTED_VALUE"""),44236.66666666667)</f>
        <v>44236.66667</v>
      </c>
      <c r="M818" s="9">
        <f>IFERROR(__xludf.DUMMYFUNCTION("""COMPUTED_VALUE"""),136.62)</f>
        <v>136.62</v>
      </c>
      <c r="N818" s="11">
        <f>IFERROR(__xludf.DUMMYFUNCTION("""COMPUTED_VALUE"""),44236.66666666667)</f>
        <v>44236.66667</v>
      </c>
      <c r="O818" s="9">
        <f>IFERROR(__xludf.DUMMYFUNCTION("""COMPUTED_VALUE"""),136.01)</f>
        <v>136.01</v>
      </c>
      <c r="Q818" s="11">
        <f>IFERROR(__xludf.DUMMYFUNCTION("""COMPUTED_VALUE"""),44236.66666666667)</f>
        <v>44236.66667</v>
      </c>
      <c r="R818" s="9">
        <f>IFERROR(__xludf.DUMMYFUNCTION("""COMPUTED_VALUE"""),266.44)</f>
        <v>266.44</v>
      </c>
      <c r="S818" s="11">
        <f>IFERROR(__xludf.DUMMYFUNCTION("""COMPUTED_VALUE"""),44236.66666666667)</f>
        <v>44236.66667</v>
      </c>
      <c r="T818" s="9">
        <f>IFERROR(__xludf.DUMMYFUNCTION("""COMPUTED_VALUE"""),269.45)</f>
        <v>269.45</v>
      </c>
      <c r="V818" s="11">
        <f>IFERROR(__xludf.DUMMYFUNCTION("""COMPUTED_VALUE"""),44236.66666666667)</f>
        <v>44236.66667</v>
      </c>
      <c r="W818" s="9">
        <f>IFERROR(__xludf.DUMMYFUNCTION("""COMPUTED_VALUE"""),546.0)</f>
        <v>546</v>
      </c>
      <c r="X818" s="11">
        <f>IFERROR(__xludf.DUMMYFUNCTION("""COMPUTED_VALUE"""),44236.66666666667)</f>
        <v>44236.66667</v>
      </c>
      <c r="Y818" s="9">
        <f>IFERROR(__xludf.DUMMYFUNCTION("""COMPUTED_VALUE"""),559.07)</f>
        <v>559.07</v>
      </c>
      <c r="AA818" s="11">
        <f>IFERROR(__xludf.DUMMYFUNCTION("""COMPUTED_VALUE"""),44236.66666666667)</f>
        <v>44236.66667</v>
      </c>
      <c r="AB818" s="9">
        <f>IFERROR(__xludf.DUMMYFUNCTION("""COMPUTED_VALUE"""),3312.49)</f>
        <v>3312.49</v>
      </c>
      <c r="AC818" s="11">
        <f>IFERROR(__xludf.DUMMYFUNCTION("""COMPUTED_VALUE"""),44236.66666666667)</f>
        <v>44236.66667</v>
      </c>
      <c r="AD818" s="9">
        <f>IFERROR(__xludf.DUMMYFUNCTION("""COMPUTED_VALUE"""),3305.0)</f>
        <v>3305</v>
      </c>
    </row>
    <row r="819">
      <c r="B819" s="11">
        <f>IFERROR(__xludf.DUMMYFUNCTION("""COMPUTED_VALUE"""),44237.66666666667)</f>
        <v>44237.66667</v>
      </c>
      <c r="C819" s="9">
        <f>IFERROR(__xludf.DUMMYFUNCTION("""COMPUTED_VALUE"""),843.64)</f>
        <v>843.64</v>
      </c>
      <c r="D819" s="11">
        <f>IFERROR(__xludf.DUMMYFUNCTION("""COMPUTED_VALUE"""),44237.66666666667)</f>
        <v>44237.66667</v>
      </c>
      <c r="E819" s="9">
        <f>IFERROR(__xludf.DUMMYFUNCTION("""COMPUTED_VALUE"""),804.82)</f>
        <v>804.82</v>
      </c>
      <c r="G819" s="11">
        <f>IFERROR(__xludf.DUMMYFUNCTION("""COMPUTED_VALUE"""),44237.66666666667)</f>
        <v>44237.66667</v>
      </c>
      <c r="H819" s="9">
        <f>IFERROR(__xludf.DUMMYFUNCTION("""COMPUTED_VALUE"""),2094.21)</f>
        <v>2094.21</v>
      </c>
      <c r="I819" s="11">
        <f>IFERROR(__xludf.DUMMYFUNCTION("""COMPUTED_VALUE"""),44237.66666666667)</f>
        <v>44237.66667</v>
      </c>
      <c r="J819" s="9">
        <f>IFERROR(__xludf.DUMMYFUNCTION("""COMPUTED_VALUE"""),2095.38)</f>
        <v>2095.38</v>
      </c>
      <c r="L819" s="11">
        <f>IFERROR(__xludf.DUMMYFUNCTION("""COMPUTED_VALUE"""),44237.66666666667)</f>
        <v>44237.66667</v>
      </c>
      <c r="M819" s="9">
        <f>IFERROR(__xludf.DUMMYFUNCTION("""COMPUTED_VALUE"""),136.48)</f>
        <v>136.48</v>
      </c>
      <c r="N819" s="11">
        <f>IFERROR(__xludf.DUMMYFUNCTION("""COMPUTED_VALUE"""),44237.66666666667)</f>
        <v>44237.66667</v>
      </c>
      <c r="O819" s="9">
        <f>IFERROR(__xludf.DUMMYFUNCTION("""COMPUTED_VALUE"""),135.39)</f>
        <v>135.39</v>
      </c>
      <c r="Q819" s="11">
        <f>IFERROR(__xludf.DUMMYFUNCTION("""COMPUTED_VALUE"""),44237.66666666667)</f>
        <v>44237.66667</v>
      </c>
      <c r="R819" s="9">
        <f>IFERROR(__xludf.DUMMYFUNCTION("""COMPUTED_VALUE"""),272.45)</f>
        <v>272.45</v>
      </c>
      <c r="S819" s="11">
        <f>IFERROR(__xludf.DUMMYFUNCTION("""COMPUTED_VALUE"""),44237.66666666667)</f>
        <v>44237.66667</v>
      </c>
      <c r="T819" s="9">
        <f>IFERROR(__xludf.DUMMYFUNCTION("""COMPUTED_VALUE"""),271.87)</f>
        <v>271.87</v>
      </c>
      <c r="V819" s="11">
        <f>IFERROR(__xludf.DUMMYFUNCTION("""COMPUTED_VALUE"""),44237.66666666667)</f>
        <v>44237.66667</v>
      </c>
      <c r="W819" s="9">
        <f>IFERROR(__xludf.DUMMYFUNCTION("""COMPUTED_VALUE"""),562.5)</f>
        <v>562.5</v>
      </c>
      <c r="X819" s="11">
        <f>IFERROR(__xludf.DUMMYFUNCTION("""COMPUTED_VALUE"""),44237.66666666667)</f>
        <v>44237.66667</v>
      </c>
      <c r="Y819" s="9">
        <f>IFERROR(__xludf.DUMMYFUNCTION("""COMPUTED_VALUE"""),563.59)</f>
        <v>563.59</v>
      </c>
      <c r="AA819" s="11">
        <f>IFERROR(__xludf.DUMMYFUNCTION("""COMPUTED_VALUE"""),44237.66666666667)</f>
        <v>44237.66667</v>
      </c>
      <c r="AB819" s="9">
        <f>IFERROR(__xludf.DUMMYFUNCTION("""COMPUTED_VALUE"""),3314.0)</f>
        <v>3314</v>
      </c>
      <c r="AC819" s="11">
        <f>IFERROR(__xludf.DUMMYFUNCTION("""COMPUTED_VALUE"""),44237.66666666667)</f>
        <v>44237.66667</v>
      </c>
      <c r="AD819" s="9">
        <f>IFERROR(__xludf.DUMMYFUNCTION("""COMPUTED_VALUE"""),3286.58)</f>
        <v>3286.58</v>
      </c>
    </row>
    <row r="820">
      <c r="B820" s="11">
        <f>IFERROR(__xludf.DUMMYFUNCTION("""COMPUTED_VALUE"""),44238.66666666667)</f>
        <v>44238.66667</v>
      </c>
      <c r="C820" s="9">
        <f>IFERROR(__xludf.DUMMYFUNCTION("""COMPUTED_VALUE"""),812.44)</f>
        <v>812.44</v>
      </c>
      <c r="D820" s="11">
        <f>IFERROR(__xludf.DUMMYFUNCTION("""COMPUTED_VALUE"""),44238.66666666667)</f>
        <v>44238.66667</v>
      </c>
      <c r="E820" s="9">
        <f>IFERROR(__xludf.DUMMYFUNCTION("""COMPUTED_VALUE"""),811.66)</f>
        <v>811.66</v>
      </c>
      <c r="G820" s="11">
        <f>IFERROR(__xludf.DUMMYFUNCTION("""COMPUTED_VALUE"""),44238.66666666667)</f>
        <v>44238.66667</v>
      </c>
      <c r="H820" s="9">
        <f>IFERROR(__xludf.DUMMYFUNCTION("""COMPUTED_VALUE"""),2099.51)</f>
        <v>2099.51</v>
      </c>
      <c r="I820" s="11">
        <f>IFERROR(__xludf.DUMMYFUNCTION("""COMPUTED_VALUE"""),44238.66666666667)</f>
        <v>44238.66667</v>
      </c>
      <c r="J820" s="9">
        <f>IFERROR(__xludf.DUMMYFUNCTION("""COMPUTED_VALUE"""),2095.89)</f>
        <v>2095.89</v>
      </c>
      <c r="L820" s="11">
        <f>IFERROR(__xludf.DUMMYFUNCTION("""COMPUTED_VALUE"""),44238.66666666667)</f>
        <v>44238.66667</v>
      </c>
      <c r="M820" s="9">
        <f>IFERROR(__xludf.DUMMYFUNCTION("""COMPUTED_VALUE"""),135.9)</f>
        <v>135.9</v>
      </c>
      <c r="N820" s="11">
        <f>IFERROR(__xludf.DUMMYFUNCTION("""COMPUTED_VALUE"""),44238.66666666667)</f>
        <v>44238.66667</v>
      </c>
      <c r="O820" s="9">
        <f>IFERROR(__xludf.DUMMYFUNCTION("""COMPUTED_VALUE"""),135.13)</f>
        <v>135.13</v>
      </c>
      <c r="Q820" s="11">
        <f>IFERROR(__xludf.DUMMYFUNCTION("""COMPUTED_VALUE"""),44238.66666666667)</f>
        <v>44238.66667</v>
      </c>
      <c r="R820" s="9">
        <f>IFERROR(__xludf.DUMMYFUNCTION("""COMPUTED_VALUE"""),271.89)</f>
        <v>271.89</v>
      </c>
      <c r="S820" s="11">
        <f>IFERROR(__xludf.DUMMYFUNCTION("""COMPUTED_VALUE"""),44238.66666666667)</f>
        <v>44238.66667</v>
      </c>
      <c r="T820" s="9">
        <f>IFERROR(__xludf.DUMMYFUNCTION("""COMPUTED_VALUE"""),270.39)</f>
        <v>270.39</v>
      </c>
      <c r="V820" s="11">
        <f>IFERROR(__xludf.DUMMYFUNCTION("""COMPUTED_VALUE"""),44238.66666666667)</f>
        <v>44238.66667</v>
      </c>
      <c r="W820" s="9">
        <f>IFERROR(__xludf.DUMMYFUNCTION("""COMPUTED_VALUE"""),564.44)</f>
        <v>564.44</v>
      </c>
      <c r="X820" s="11">
        <f>IFERROR(__xludf.DUMMYFUNCTION("""COMPUTED_VALUE"""),44238.66666666667)</f>
        <v>44238.66667</v>
      </c>
      <c r="Y820" s="9">
        <f>IFERROR(__xludf.DUMMYFUNCTION("""COMPUTED_VALUE"""),557.59)</f>
        <v>557.59</v>
      </c>
      <c r="AA820" s="11">
        <f>IFERROR(__xludf.DUMMYFUNCTION("""COMPUTED_VALUE"""),44238.66666666667)</f>
        <v>44238.66667</v>
      </c>
      <c r="AB820" s="9">
        <f>IFERROR(__xludf.DUMMYFUNCTION("""COMPUTED_VALUE"""),3292.0)</f>
        <v>3292</v>
      </c>
      <c r="AC820" s="11">
        <f>IFERROR(__xludf.DUMMYFUNCTION("""COMPUTED_VALUE"""),44238.66666666667)</f>
        <v>44238.66667</v>
      </c>
      <c r="AD820" s="9">
        <f>IFERROR(__xludf.DUMMYFUNCTION("""COMPUTED_VALUE"""),3262.13)</f>
        <v>3262.13</v>
      </c>
    </row>
    <row r="821">
      <c r="B821" s="11">
        <f>IFERROR(__xludf.DUMMYFUNCTION("""COMPUTED_VALUE"""),44239.66666666667)</f>
        <v>44239.66667</v>
      </c>
      <c r="C821" s="9">
        <f>IFERROR(__xludf.DUMMYFUNCTION("""COMPUTED_VALUE"""),801.26)</f>
        <v>801.26</v>
      </c>
      <c r="D821" s="11">
        <f>IFERROR(__xludf.DUMMYFUNCTION("""COMPUTED_VALUE"""),44239.66666666667)</f>
        <v>44239.66667</v>
      </c>
      <c r="E821" s="9">
        <f>IFERROR(__xludf.DUMMYFUNCTION("""COMPUTED_VALUE"""),816.12)</f>
        <v>816.12</v>
      </c>
      <c r="G821" s="11">
        <f>IFERROR(__xludf.DUMMYFUNCTION("""COMPUTED_VALUE"""),44239.66666666667)</f>
        <v>44239.66667</v>
      </c>
      <c r="H821" s="9">
        <f>IFERROR(__xludf.DUMMYFUNCTION("""COMPUTED_VALUE"""),2090.25)</f>
        <v>2090.25</v>
      </c>
      <c r="I821" s="11">
        <f>IFERROR(__xludf.DUMMYFUNCTION("""COMPUTED_VALUE"""),44239.66666666667)</f>
        <v>44239.66667</v>
      </c>
      <c r="J821" s="9">
        <f>IFERROR(__xludf.DUMMYFUNCTION("""COMPUTED_VALUE"""),2104.11)</f>
        <v>2104.11</v>
      </c>
      <c r="L821" s="11">
        <f>IFERROR(__xludf.DUMMYFUNCTION("""COMPUTED_VALUE"""),44239.66666666667)</f>
        <v>44239.66667</v>
      </c>
      <c r="M821" s="9">
        <f>IFERROR(__xludf.DUMMYFUNCTION("""COMPUTED_VALUE"""),134.35)</f>
        <v>134.35</v>
      </c>
      <c r="N821" s="11">
        <f>IFERROR(__xludf.DUMMYFUNCTION("""COMPUTED_VALUE"""),44239.66666666667)</f>
        <v>44239.66667</v>
      </c>
      <c r="O821" s="9">
        <f>IFERROR(__xludf.DUMMYFUNCTION("""COMPUTED_VALUE"""),135.37)</f>
        <v>135.37</v>
      </c>
      <c r="Q821" s="11">
        <f>IFERROR(__xludf.DUMMYFUNCTION("""COMPUTED_VALUE"""),44239.66666666667)</f>
        <v>44239.66667</v>
      </c>
      <c r="R821" s="9">
        <f>IFERROR(__xludf.DUMMYFUNCTION("""COMPUTED_VALUE"""),270.52)</f>
        <v>270.52</v>
      </c>
      <c r="S821" s="11">
        <f>IFERROR(__xludf.DUMMYFUNCTION("""COMPUTED_VALUE"""),44239.66666666667)</f>
        <v>44239.66667</v>
      </c>
      <c r="T821" s="9">
        <f>IFERROR(__xludf.DUMMYFUNCTION("""COMPUTED_VALUE"""),270.5)</f>
        <v>270.5</v>
      </c>
      <c r="V821" s="11">
        <f>IFERROR(__xludf.DUMMYFUNCTION("""COMPUTED_VALUE"""),44239.66666666667)</f>
        <v>44239.66667</v>
      </c>
      <c r="W821" s="9">
        <f>IFERROR(__xludf.DUMMYFUNCTION("""COMPUTED_VALUE"""),556.94)</f>
        <v>556.94</v>
      </c>
      <c r="X821" s="11">
        <f>IFERROR(__xludf.DUMMYFUNCTION("""COMPUTED_VALUE"""),44239.66666666667)</f>
        <v>44239.66667</v>
      </c>
      <c r="Y821" s="9">
        <f>IFERROR(__xludf.DUMMYFUNCTION("""COMPUTED_VALUE"""),556.52)</f>
        <v>556.52</v>
      </c>
      <c r="AA821" s="11">
        <f>IFERROR(__xludf.DUMMYFUNCTION("""COMPUTED_VALUE"""),44239.66666666667)</f>
        <v>44239.66667</v>
      </c>
      <c r="AB821" s="9">
        <f>IFERROR(__xludf.DUMMYFUNCTION("""COMPUTED_VALUE"""),3250.0)</f>
        <v>3250</v>
      </c>
      <c r="AC821" s="11">
        <f>IFERROR(__xludf.DUMMYFUNCTION("""COMPUTED_VALUE"""),44239.66666666667)</f>
        <v>44239.66667</v>
      </c>
      <c r="AD821" s="9">
        <f>IFERROR(__xludf.DUMMYFUNCTION("""COMPUTED_VALUE"""),3277.71)</f>
        <v>3277.71</v>
      </c>
    </row>
    <row r="822">
      <c r="B822" s="11">
        <f>IFERROR(__xludf.DUMMYFUNCTION("""COMPUTED_VALUE"""),44243.66666666667)</f>
        <v>44243.66667</v>
      </c>
      <c r="C822" s="9">
        <f>IFERROR(__xludf.DUMMYFUNCTION("""COMPUTED_VALUE"""),818.0)</f>
        <v>818</v>
      </c>
      <c r="D822" s="11">
        <f>IFERROR(__xludf.DUMMYFUNCTION("""COMPUTED_VALUE"""),44243.66666666667)</f>
        <v>44243.66667</v>
      </c>
      <c r="E822" s="9">
        <f>IFERROR(__xludf.DUMMYFUNCTION("""COMPUTED_VALUE"""),796.22)</f>
        <v>796.22</v>
      </c>
      <c r="G822" s="11">
        <f>IFERROR(__xludf.DUMMYFUNCTION("""COMPUTED_VALUE"""),44243.66666666667)</f>
        <v>44243.66667</v>
      </c>
      <c r="H822" s="9">
        <f>IFERROR(__xludf.DUMMYFUNCTION("""COMPUTED_VALUE"""),2104.36)</f>
        <v>2104.36</v>
      </c>
      <c r="I822" s="11">
        <f>IFERROR(__xludf.DUMMYFUNCTION("""COMPUTED_VALUE"""),44243.66666666667)</f>
        <v>44243.66667</v>
      </c>
      <c r="J822" s="9">
        <f>IFERROR(__xludf.DUMMYFUNCTION("""COMPUTED_VALUE"""),2121.9)</f>
        <v>2121.9</v>
      </c>
      <c r="L822" s="11">
        <f>IFERROR(__xludf.DUMMYFUNCTION("""COMPUTED_VALUE"""),44243.66666666667)</f>
        <v>44243.66667</v>
      </c>
      <c r="M822" s="9">
        <f>IFERROR(__xludf.DUMMYFUNCTION("""COMPUTED_VALUE"""),135.49)</f>
        <v>135.49</v>
      </c>
      <c r="N822" s="11">
        <f>IFERROR(__xludf.DUMMYFUNCTION("""COMPUTED_VALUE"""),44243.66666666667)</f>
        <v>44243.66667</v>
      </c>
      <c r="O822" s="9">
        <f>IFERROR(__xludf.DUMMYFUNCTION("""COMPUTED_VALUE"""),133.19)</f>
        <v>133.19</v>
      </c>
      <c r="Q822" s="11">
        <f>IFERROR(__xludf.DUMMYFUNCTION("""COMPUTED_VALUE"""),44243.66666666667)</f>
        <v>44243.66667</v>
      </c>
      <c r="R822" s="9">
        <f>IFERROR(__xludf.DUMMYFUNCTION("""COMPUTED_VALUE"""),270.8)</f>
        <v>270.8</v>
      </c>
      <c r="S822" s="11">
        <f>IFERROR(__xludf.DUMMYFUNCTION("""COMPUTED_VALUE"""),44243.66666666667)</f>
        <v>44243.66667</v>
      </c>
      <c r="T822" s="9">
        <f>IFERROR(__xludf.DUMMYFUNCTION("""COMPUTED_VALUE"""),273.97)</f>
        <v>273.97</v>
      </c>
      <c r="V822" s="11">
        <f>IFERROR(__xludf.DUMMYFUNCTION("""COMPUTED_VALUE"""),44243.66666666667)</f>
        <v>44243.66667</v>
      </c>
      <c r="W822" s="9">
        <f>IFERROR(__xludf.DUMMYFUNCTION("""COMPUTED_VALUE"""),557.29)</f>
        <v>557.29</v>
      </c>
      <c r="X822" s="11">
        <f>IFERROR(__xludf.DUMMYFUNCTION("""COMPUTED_VALUE"""),44243.66666666667)</f>
        <v>44243.66667</v>
      </c>
      <c r="Y822" s="9">
        <f>IFERROR(__xludf.DUMMYFUNCTION("""COMPUTED_VALUE"""),557.28)</f>
        <v>557.28</v>
      </c>
      <c r="AA822" s="11">
        <f>IFERROR(__xludf.DUMMYFUNCTION("""COMPUTED_VALUE"""),44243.66666666667)</f>
        <v>44243.66667</v>
      </c>
      <c r="AB822" s="9">
        <f>IFERROR(__xludf.DUMMYFUNCTION("""COMPUTED_VALUE"""),3254.05)</f>
        <v>3254.05</v>
      </c>
      <c r="AC822" s="11">
        <f>IFERROR(__xludf.DUMMYFUNCTION("""COMPUTED_VALUE"""),44243.66666666667)</f>
        <v>44243.66667</v>
      </c>
      <c r="AD822" s="9">
        <f>IFERROR(__xludf.DUMMYFUNCTION("""COMPUTED_VALUE"""),3268.95)</f>
        <v>3268.95</v>
      </c>
    </row>
    <row r="823">
      <c r="B823" s="11">
        <f>IFERROR(__xludf.DUMMYFUNCTION("""COMPUTED_VALUE"""),44244.66666666667)</f>
        <v>44244.66667</v>
      </c>
      <c r="C823" s="9">
        <f>IFERROR(__xludf.DUMMYFUNCTION("""COMPUTED_VALUE"""),779.09)</f>
        <v>779.09</v>
      </c>
      <c r="D823" s="11">
        <f>IFERROR(__xludf.DUMMYFUNCTION("""COMPUTED_VALUE"""),44244.66666666667)</f>
        <v>44244.66667</v>
      </c>
      <c r="E823" s="9">
        <f>IFERROR(__xludf.DUMMYFUNCTION("""COMPUTED_VALUE"""),798.15)</f>
        <v>798.15</v>
      </c>
      <c r="G823" s="11">
        <f>IFERROR(__xludf.DUMMYFUNCTION("""COMPUTED_VALUE"""),44244.66666666667)</f>
        <v>44244.66667</v>
      </c>
      <c r="H823" s="9">
        <f>IFERROR(__xludf.DUMMYFUNCTION("""COMPUTED_VALUE"""),2100.0)</f>
        <v>2100</v>
      </c>
      <c r="I823" s="11">
        <f>IFERROR(__xludf.DUMMYFUNCTION("""COMPUTED_VALUE"""),44244.66666666667)</f>
        <v>44244.66667</v>
      </c>
      <c r="J823" s="9">
        <f>IFERROR(__xludf.DUMMYFUNCTION("""COMPUTED_VALUE"""),2128.31)</f>
        <v>2128.31</v>
      </c>
      <c r="L823" s="11">
        <f>IFERROR(__xludf.DUMMYFUNCTION("""COMPUTED_VALUE"""),44244.66666666667)</f>
        <v>44244.66667</v>
      </c>
      <c r="M823" s="9">
        <f>IFERROR(__xludf.DUMMYFUNCTION("""COMPUTED_VALUE"""),131.25)</f>
        <v>131.25</v>
      </c>
      <c r="N823" s="11">
        <f>IFERROR(__xludf.DUMMYFUNCTION("""COMPUTED_VALUE"""),44244.66666666667)</f>
        <v>44244.66667</v>
      </c>
      <c r="O823" s="9">
        <f>IFERROR(__xludf.DUMMYFUNCTION("""COMPUTED_VALUE"""),130.84)</f>
        <v>130.84</v>
      </c>
      <c r="Q823" s="11">
        <f>IFERROR(__xludf.DUMMYFUNCTION("""COMPUTED_VALUE"""),44244.66666666667)</f>
        <v>44244.66667</v>
      </c>
      <c r="R823" s="9">
        <f>IFERROR(__xludf.DUMMYFUNCTION("""COMPUTED_VALUE"""),271.24)</f>
        <v>271.24</v>
      </c>
      <c r="S823" s="11">
        <f>IFERROR(__xludf.DUMMYFUNCTION("""COMPUTED_VALUE"""),44244.66666666667)</f>
        <v>44244.66667</v>
      </c>
      <c r="T823" s="9">
        <f>IFERROR(__xludf.DUMMYFUNCTION("""COMPUTED_VALUE"""),273.57)</f>
        <v>273.57</v>
      </c>
      <c r="V823" s="11">
        <f>IFERROR(__xludf.DUMMYFUNCTION("""COMPUTED_VALUE"""),44244.66666666667)</f>
        <v>44244.66667</v>
      </c>
      <c r="W823" s="9">
        <f>IFERROR(__xludf.DUMMYFUNCTION("""COMPUTED_VALUE"""),550.99)</f>
        <v>550.99</v>
      </c>
      <c r="X823" s="11">
        <f>IFERROR(__xludf.DUMMYFUNCTION("""COMPUTED_VALUE"""),44244.66666666667)</f>
        <v>44244.66667</v>
      </c>
      <c r="Y823" s="9">
        <f>IFERROR(__xludf.DUMMYFUNCTION("""COMPUTED_VALUE"""),551.34)</f>
        <v>551.34</v>
      </c>
      <c r="AA823" s="11">
        <f>IFERROR(__xludf.DUMMYFUNCTION("""COMPUTED_VALUE"""),44244.66666666667)</f>
        <v>44244.66667</v>
      </c>
      <c r="AB823" s="9">
        <f>IFERROR(__xludf.DUMMYFUNCTION("""COMPUTED_VALUE"""),3263.6)</f>
        <v>3263.6</v>
      </c>
      <c r="AC823" s="11">
        <f>IFERROR(__xludf.DUMMYFUNCTION("""COMPUTED_VALUE"""),44244.66666666667)</f>
        <v>44244.66667</v>
      </c>
      <c r="AD823" s="9">
        <f>IFERROR(__xludf.DUMMYFUNCTION("""COMPUTED_VALUE"""),3308.64)</f>
        <v>3308.64</v>
      </c>
    </row>
    <row r="824">
      <c r="B824" s="11">
        <f>IFERROR(__xludf.DUMMYFUNCTION("""COMPUTED_VALUE"""),44245.66666666667)</f>
        <v>44245.66667</v>
      </c>
      <c r="C824" s="9">
        <f>IFERROR(__xludf.DUMMYFUNCTION("""COMPUTED_VALUE"""),780.9)</f>
        <v>780.9</v>
      </c>
      <c r="D824" s="11">
        <f>IFERROR(__xludf.DUMMYFUNCTION("""COMPUTED_VALUE"""),44245.66666666667)</f>
        <v>44245.66667</v>
      </c>
      <c r="E824" s="9">
        <f>IFERROR(__xludf.DUMMYFUNCTION("""COMPUTED_VALUE"""),787.38)</f>
        <v>787.38</v>
      </c>
      <c r="G824" s="11">
        <f>IFERROR(__xludf.DUMMYFUNCTION("""COMPUTED_VALUE"""),44245.66666666667)</f>
        <v>44245.66667</v>
      </c>
      <c r="H824" s="9">
        <f>IFERROR(__xludf.DUMMYFUNCTION("""COMPUTED_VALUE"""),2110.39)</f>
        <v>2110.39</v>
      </c>
      <c r="I824" s="11">
        <f>IFERROR(__xludf.DUMMYFUNCTION("""COMPUTED_VALUE"""),44245.66666666667)</f>
        <v>44245.66667</v>
      </c>
      <c r="J824" s="9">
        <f>IFERROR(__xludf.DUMMYFUNCTION("""COMPUTED_VALUE"""),2117.2)</f>
        <v>2117.2</v>
      </c>
      <c r="L824" s="11">
        <f>IFERROR(__xludf.DUMMYFUNCTION("""COMPUTED_VALUE"""),44245.66666666667)</f>
        <v>44245.66667</v>
      </c>
      <c r="M824" s="9">
        <f>IFERROR(__xludf.DUMMYFUNCTION("""COMPUTED_VALUE"""),129.2)</f>
        <v>129.2</v>
      </c>
      <c r="N824" s="11">
        <f>IFERROR(__xludf.DUMMYFUNCTION("""COMPUTED_VALUE"""),44245.66666666667)</f>
        <v>44245.66667</v>
      </c>
      <c r="O824" s="9">
        <f>IFERROR(__xludf.DUMMYFUNCTION("""COMPUTED_VALUE"""),129.71)</f>
        <v>129.71</v>
      </c>
      <c r="Q824" s="11">
        <f>IFERROR(__xludf.DUMMYFUNCTION("""COMPUTED_VALUE"""),44245.66666666667)</f>
        <v>44245.66667</v>
      </c>
      <c r="R824" s="9">
        <f>IFERROR(__xludf.DUMMYFUNCTION("""COMPUTED_VALUE"""),269.57)</f>
        <v>269.57</v>
      </c>
      <c r="S824" s="11">
        <f>IFERROR(__xludf.DUMMYFUNCTION("""COMPUTED_VALUE"""),44245.66666666667)</f>
        <v>44245.66667</v>
      </c>
      <c r="T824" s="9">
        <f>IFERROR(__xludf.DUMMYFUNCTION("""COMPUTED_VALUE"""),269.39)</f>
        <v>269.39</v>
      </c>
      <c r="V824" s="11">
        <f>IFERROR(__xludf.DUMMYFUNCTION("""COMPUTED_VALUE"""),44245.66666666667)</f>
        <v>44245.66667</v>
      </c>
      <c r="W824" s="9">
        <f>IFERROR(__xludf.DUMMYFUNCTION("""COMPUTED_VALUE"""),549.0)</f>
        <v>549</v>
      </c>
      <c r="X824" s="11">
        <f>IFERROR(__xludf.DUMMYFUNCTION("""COMPUTED_VALUE"""),44245.66666666667)</f>
        <v>44245.66667</v>
      </c>
      <c r="Y824" s="9">
        <f>IFERROR(__xludf.DUMMYFUNCTION("""COMPUTED_VALUE"""),548.22)</f>
        <v>548.22</v>
      </c>
      <c r="AA824" s="11">
        <f>IFERROR(__xludf.DUMMYFUNCTION("""COMPUTED_VALUE"""),44245.66666666667)</f>
        <v>44245.66667</v>
      </c>
      <c r="AB824" s="9">
        <f>IFERROR(__xludf.DUMMYFUNCTION("""COMPUTED_VALUE"""),3282.42)</f>
        <v>3282.42</v>
      </c>
      <c r="AC824" s="11">
        <f>IFERROR(__xludf.DUMMYFUNCTION("""COMPUTED_VALUE"""),44245.66666666667)</f>
        <v>44245.66667</v>
      </c>
      <c r="AD824" s="9">
        <f>IFERROR(__xludf.DUMMYFUNCTION("""COMPUTED_VALUE"""),3328.23)</f>
        <v>3328.23</v>
      </c>
    </row>
    <row r="825">
      <c r="B825" s="11">
        <f>IFERROR(__xludf.DUMMYFUNCTION("""COMPUTED_VALUE"""),44246.66666666667)</f>
        <v>44246.66667</v>
      </c>
      <c r="C825" s="9">
        <f>IFERROR(__xludf.DUMMYFUNCTION("""COMPUTED_VALUE"""),795.0)</f>
        <v>795</v>
      </c>
      <c r="D825" s="11">
        <f>IFERROR(__xludf.DUMMYFUNCTION("""COMPUTED_VALUE"""),44246.66666666667)</f>
        <v>44246.66667</v>
      </c>
      <c r="E825" s="9">
        <f>IFERROR(__xludf.DUMMYFUNCTION("""COMPUTED_VALUE"""),781.3)</f>
        <v>781.3</v>
      </c>
      <c r="G825" s="11">
        <f>IFERROR(__xludf.DUMMYFUNCTION("""COMPUTED_VALUE"""),44246.66666666667)</f>
        <v>44246.66667</v>
      </c>
      <c r="H825" s="9">
        <f>IFERROR(__xludf.DUMMYFUNCTION("""COMPUTED_VALUE"""),2119.27)</f>
        <v>2119.27</v>
      </c>
      <c r="I825" s="11">
        <f>IFERROR(__xludf.DUMMYFUNCTION("""COMPUTED_VALUE"""),44246.66666666667)</f>
        <v>44246.66667</v>
      </c>
      <c r="J825" s="9">
        <f>IFERROR(__xludf.DUMMYFUNCTION("""COMPUTED_VALUE"""),2101.14)</f>
        <v>2101.14</v>
      </c>
      <c r="L825" s="11">
        <f>IFERROR(__xludf.DUMMYFUNCTION("""COMPUTED_VALUE"""),44246.66666666667)</f>
        <v>44246.66667</v>
      </c>
      <c r="M825" s="9">
        <f>IFERROR(__xludf.DUMMYFUNCTION("""COMPUTED_VALUE"""),130.24)</f>
        <v>130.24</v>
      </c>
      <c r="N825" s="11">
        <f>IFERROR(__xludf.DUMMYFUNCTION("""COMPUTED_VALUE"""),44246.66666666667)</f>
        <v>44246.66667</v>
      </c>
      <c r="O825" s="9">
        <f>IFERROR(__xludf.DUMMYFUNCTION("""COMPUTED_VALUE"""),129.87)</f>
        <v>129.87</v>
      </c>
      <c r="Q825" s="11">
        <f>IFERROR(__xludf.DUMMYFUNCTION("""COMPUTED_VALUE"""),44246.66666666667)</f>
        <v>44246.66667</v>
      </c>
      <c r="R825" s="9">
        <f>IFERROR(__xludf.DUMMYFUNCTION("""COMPUTED_VALUE"""),269.86)</f>
        <v>269.86</v>
      </c>
      <c r="S825" s="11">
        <f>IFERROR(__xludf.DUMMYFUNCTION("""COMPUTED_VALUE"""),44246.66666666667)</f>
        <v>44246.66667</v>
      </c>
      <c r="T825" s="9">
        <f>IFERROR(__xludf.DUMMYFUNCTION("""COMPUTED_VALUE"""),261.56)</f>
        <v>261.56</v>
      </c>
      <c r="V825" s="11">
        <f>IFERROR(__xludf.DUMMYFUNCTION("""COMPUTED_VALUE"""),44246.66666666667)</f>
        <v>44246.66667</v>
      </c>
      <c r="W825" s="9">
        <f>IFERROR(__xludf.DUMMYFUNCTION("""COMPUTED_VALUE"""),548.0)</f>
        <v>548</v>
      </c>
      <c r="X825" s="11">
        <f>IFERROR(__xludf.DUMMYFUNCTION("""COMPUTED_VALUE"""),44246.66666666667)</f>
        <v>44246.66667</v>
      </c>
      <c r="Y825" s="9">
        <f>IFERROR(__xludf.DUMMYFUNCTION("""COMPUTED_VALUE"""),540.22)</f>
        <v>540.22</v>
      </c>
      <c r="AA825" s="11">
        <f>IFERROR(__xludf.DUMMYFUNCTION("""COMPUTED_VALUE"""),44246.66666666667)</f>
        <v>44246.66667</v>
      </c>
      <c r="AB825" s="9">
        <f>IFERROR(__xludf.DUMMYFUNCTION("""COMPUTED_VALUE"""),3328.23)</f>
        <v>3328.23</v>
      </c>
      <c r="AC825" s="11">
        <f>IFERROR(__xludf.DUMMYFUNCTION("""COMPUTED_VALUE"""),44246.66666666667)</f>
        <v>44246.66667</v>
      </c>
      <c r="AD825" s="9">
        <f>IFERROR(__xludf.DUMMYFUNCTION("""COMPUTED_VALUE"""),3249.9)</f>
        <v>3249.9</v>
      </c>
    </row>
    <row r="826">
      <c r="B826" s="11">
        <f>IFERROR(__xludf.DUMMYFUNCTION("""COMPUTED_VALUE"""),44249.66666666667)</f>
        <v>44249.66667</v>
      </c>
      <c r="C826" s="9">
        <f>IFERROR(__xludf.DUMMYFUNCTION("""COMPUTED_VALUE"""),762.64)</f>
        <v>762.64</v>
      </c>
      <c r="D826" s="11">
        <f>IFERROR(__xludf.DUMMYFUNCTION("""COMPUTED_VALUE"""),44249.66666666667)</f>
        <v>44249.66667</v>
      </c>
      <c r="E826" s="9">
        <f>IFERROR(__xludf.DUMMYFUNCTION("""COMPUTED_VALUE"""),714.5)</f>
        <v>714.5</v>
      </c>
      <c r="G826" s="11">
        <f>IFERROR(__xludf.DUMMYFUNCTION("""COMPUTED_VALUE"""),44249.66666666667)</f>
        <v>44249.66667</v>
      </c>
      <c r="H826" s="9">
        <f>IFERROR(__xludf.DUMMYFUNCTION("""COMPUTED_VALUE"""),2067.0)</f>
        <v>2067</v>
      </c>
      <c r="I826" s="11">
        <f>IFERROR(__xludf.DUMMYFUNCTION("""COMPUTED_VALUE"""),44249.66666666667)</f>
        <v>44249.66667</v>
      </c>
      <c r="J826" s="9">
        <f>IFERROR(__xludf.DUMMYFUNCTION("""COMPUTED_VALUE"""),2064.88)</f>
        <v>2064.88</v>
      </c>
      <c r="L826" s="11">
        <f>IFERROR(__xludf.DUMMYFUNCTION("""COMPUTED_VALUE"""),44249.66666666667)</f>
        <v>44249.66667</v>
      </c>
      <c r="M826" s="9">
        <f>IFERROR(__xludf.DUMMYFUNCTION("""COMPUTED_VALUE"""),128.01)</f>
        <v>128.01</v>
      </c>
      <c r="N826" s="11">
        <f>IFERROR(__xludf.DUMMYFUNCTION("""COMPUTED_VALUE"""),44249.66666666667)</f>
        <v>44249.66667</v>
      </c>
      <c r="O826" s="9">
        <f>IFERROR(__xludf.DUMMYFUNCTION("""COMPUTED_VALUE"""),126.0)</f>
        <v>126</v>
      </c>
      <c r="Q826" s="11">
        <f>IFERROR(__xludf.DUMMYFUNCTION("""COMPUTED_VALUE"""),44249.66666666667)</f>
        <v>44249.66667</v>
      </c>
      <c r="R826" s="9">
        <f>IFERROR(__xludf.DUMMYFUNCTION("""COMPUTED_VALUE"""),257.95)</f>
        <v>257.95</v>
      </c>
      <c r="S826" s="11">
        <f>IFERROR(__xludf.DUMMYFUNCTION("""COMPUTED_VALUE"""),44249.66666666667)</f>
        <v>44249.66667</v>
      </c>
      <c r="T826" s="9">
        <f>IFERROR(__xludf.DUMMYFUNCTION("""COMPUTED_VALUE"""),260.33)</f>
        <v>260.33</v>
      </c>
      <c r="V826" s="11">
        <f>IFERROR(__xludf.DUMMYFUNCTION("""COMPUTED_VALUE"""),44249.66666666667)</f>
        <v>44249.66667</v>
      </c>
      <c r="W826" s="9">
        <f>IFERROR(__xludf.DUMMYFUNCTION("""COMPUTED_VALUE"""),534.99)</f>
        <v>534.99</v>
      </c>
      <c r="X826" s="11">
        <f>IFERROR(__xludf.DUMMYFUNCTION("""COMPUTED_VALUE"""),44249.66666666667)</f>
        <v>44249.66667</v>
      </c>
      <c r="Y826" s="9">
        <f>IFERROR(__xludf.DUMMYFUNCTION("""COMPUTED_VALUE"""),533.78)</f>
        <v>533.78</v>
      </c>
      <c r="AA826" s="11">
        <f>IFERROR(__xludf.DUMMYFUNCTION("""COMPUTED_VALUE"""),44249.66666666667)</f>
        <v>44249.66667</v>
      </c>
      <c r="AB826" s="9">
        <f>IFERROR(__xludf.DUMMYFUNCTION("""COMPUTED_VALUE"""),3208.13)</f>
        <v>3208.13</v>
      </c>
      <c r="AC826" s="11">
        <f>IFERROR(__xludf.DUMMYFUNCTION("""COMPUTED_VALUE"""),44249.66666666667)</f>
        <v>44249.66667</v>
      </c>
      <c r="AD826" s="9">
        <f>IFERROR(__xludf.DUMMYFUNCTION("""COMPUTED_VALUE"""),3180.74)</f>
        <v>3180.74</v>
      </c>
    </row>
    <row r="827">
      <c r="B827" s="11">
        <f>IFERROR(__xludf.DUMMYFUNCTION("""COMPUTED_VALUE"""),44250.66666666667)</f>
        <v>44250.66667</v>
      </c>
      <c r="C827" s="9">
        <f>IFERROR(__xludf.DUMMYFUNCTION("""COMPUTED_VALUE"""),662.13)</f>
        <v>662.13</v>
      </c>
      <c r="D827" s="11">
        <f>IFERROR(__xludf.DUMMYFUNCTION("""COMPUTED_VALUE"""),44250.66666666667)</f>
        <v>44250.66667</v>
      </c>
      <c r="E827" s="9">
        <f>IFERROR(__xludf.DUMMYFUNCTION("""COMPUTED_VALUE"""),698.84)</f>
        <v>698.84</v>
      </c>
      <c r="G827" s="11">
        <f>IFERROR(__xludf.DUMMYFUNCTION("""COMPUTED_VALUE"""),44250.66666666667)</f>
        <v>44250.66667</v>
      </c>
      <c r="H827" s="9">
        <f>IFERROR(__xludf.DUMMYFUNCTION("""COMPUTED_VALUE"""),2025.01)</f>
        <v>2025.01</v>
      </c>
      <c r="I827" s="11">
        <f>IFERROR(__xludf.DUMMYFUNCTION("""COMPUTED_VALUE"""),44250.66666666667)</f>
        <v>44250.66667</v>
      </c>
      <c r="J827" s="9">
        <f>IFERROR(__xludf.DUMMYFUNCTION("""COMPUTED_VALUE"""),2070.86)</f>
        <v>2070.86</v>
      </c>
      <c r="L827" s="11">
        <f>IFERROR(__xludf.DUMMYFUNCTION("""COMPUTED_VALUE"""),44250.66666666667)</f>
        <v>44250.66667</v>
      </c>
      <c r="M827" s="9">
        <f>IFERROR(__xludf.DUMMYFUNCTION("""COMPUTED_VALUE"""),123.76)</f>
        <v>123.76</v>
      </c>
      <c r="N827" s="11">
        <f>IFERROR(__xludf.DUMMYFUNCTION("""COMPUTED_VALUE"""),44250.66666666667)</f>
        <v>44250.66667</v>
      </c>
      <c r="O827" s="9">
        <f>IFERROR(__xludf.DUMMYFUNCTION("""COMPUTED_VALUE"""),125.86)</f>
        <v>125.86</v>
      </c>
      <c r="Q827" s="11">
        <f>IFERROR(__xludf.DUMMYFUNCTION("""COMPUTED_VALUE"""),44250.66666666667)</f>
        <v>44250.66667</v>
      </c>
      <c r="R827" s="9">
        <f>IFERROR(__xludf.DUMMYFUNCTION("""COMPUTED_VALUE"""),259.5)</f>
        <v>259.5</v>
      </c>
      <c r="S827" s="11">
        <f>IFERROR(__xludf.DUMMYFUNCTION("""COMPUTED_VALUE"""),44250.66666666667)</f>
        <v>44250.66667</v>
      </c>
      <c r="T827" s="9">
        <f>IFERROR(__xludf.DUMMYFUNCTION("""COMPUTED_VALUE"""),265.86)</f>
        <v>265.86</v>
      </c>
      <c r="V827" s="11">
        <f>IFERROR(__xludf.DUMMYFUNCTION("""COMPUTED_VALUE"""),44250.66666666667)</f>
        <v>44250.66667</v>
      </c>
      <c r="W827" s="9">
        <f>IFERROR(__xludf.DUMMYFUNCTION("""COMPUTED_VALUE"""),525.0)</f>
        <v>525</v>
      </c>
      <c r="X827" s="11">
        <f>IFERROR(__xludf.DUMMYFUNCTION("""COMPUTED_VALUE"""),44250.66666666667)</f>
        <v>44250.66667</v>
      </c>
      <c r="Y827" s="9">
        <f>IFERROR(__xludf.DUMMYFUNCTION("""COMPUTED_VALUE"""),546.15)</f>
        <v>546.15</v>
      </c>
      <c r="AA827" s="11">
        <f>IFERROR(__xludf.DUMMYFUNCTION("""COMPUTED_VALUE"""),44250.66666666667)</f>
        <v>44250.66667</v>
      </c>
      <c r="AB827" s="9">
        <f>IFERROR(__xludf.DUMMYFUNCTION("""COMPUTED_VALUE"""),3127.03)</f>
        <v>3127.03</v>
      </c>
      <c r="AC827" s="11">
        <f>IFERROR(__xludf.DUMMYFUNCTION("""COMPUTED_VALUE"""),44250.66666666667)</f>
        <v>44250.66667</v>
      </c>
      <c r="AD827" s="9">
        <f>IFERROR(__xludf.DUMMYFUNCTION("""COMPUTED_VALUE"""),3194.5)</f>
        <v>3194.5</v>
      </c>
    </row>
    <row r="828">
      <c r="B828" s="11">
        <f>IFERROR(__xludf.DUMMYFUNCTION("""COMPUTED_VALUE"""),44251.66666666667)</f>
        <v>44251.66667</v>
      </c>
      <c r="C828" s="9">
        <f>IFERROR(__xludf.DUMMYFUNCTION("""COMPUTED_VALUE"""),711.85)</f>
        <v>711.85</v>
      </c>
      <c r="D828" s="11">
        <f>IFERROR(__xludf.DUMMYFUNCTION("""COMPUTED_VALUE"""),44251.66666666667)</f>
        <v>44251.66667</v>
      </c>
      <c r="E828" s="9">
        <f>IFERROR(__xludf.DUMMYFUNCTION("""COMPUTED_VALUE"""),742.02)</f>
        <v>742.02</v>
      </c>
      <c r="G828" s="11">
        <f>IFERROR(__xludf.DUMMYFUNCTION("""COMPUTED_VALUE"""),44251.66666666667)</f>
        <v>44251.66667</v>
      </c>
      <c r="H828" s="9">
        <f>IFERROR(__xludf.DUMMYFUNCTION("""COMPUTED_VALUE"""),2041.83)</f>
        <v>2041.83</v>
      </c>
      <c r="I828" s="11">
        <f>IFERROR(__xludf.DUMMYFUNCTION("""COMPUTED_VALUE"""),44251.66666666667)</f>
        <v>44251.66667</v>
      </c>
      <c r="J828" s="9">
        <f>IFERROR(__xludf.DUMMYFUNCTION("""COMPUTED_VALUE"""),2095.17)</f>
        <v>2095.17</v>
      </c>
      <c r="L828" s="11">
        <f>IFERROR(__xludf.DUMMYFUNCTION("""COMPUTED_VALUE"""),44251.66666666667)</f>
        <v>44251.66667</v>
      </c>
      <c r="M828" s="9">
        <f>IFERROR(__xludf.DUMMYFUNCTION("""COMPUTED_VALUE"""),124.94)</f>
        <v>124.94</v>
      </c>
      <c r="N828" s="11">
        <f>IFERROR(__xludf.DUMMYFUNCTION("""COMPUTED_VALUE"""),44251.66666666667)</f>
        <v>44251.66667</v>
      </c>
      <c r="O828" s="9">
        <f>IFERROR(__xludf.DUMMYFUNCTION("""COMPUTED_VALUE"""),125.35)</f>
        <v>125.35</v>
      </c>
      <c r="Q828" s="11">
        <f>IFERROR(__xludf.DUMMYFUNCTION("""COMPUTED_VALUE"""),44251.66666666667)</f>
        <v>44251.66667</v>
      </c>
      <c r="R828" s="9">
        <f>IFERROR(__xludf.DUMMYFUNCTION("""COMPUTED_VALUE"""),262.33)</f>
        <v>262.33</v>
      </c>
      <c r="S828" s="11">
        <f>IFERROR(__xludf.DUMMYFUNCTION("""COMPUTED_VALUE"""),44251.66666666667)</f>
        <v>44251.66667</v>
      </c>
      <c r="T828" s="9">
        <f>IFERROR(__xludf.DUMMYFUNCTION("""COMPUTED_VALUE"""),264.31)</f>
        <v>264.31</v>
      </c>
      <c r="V828" s="11">
        <f>IFERROR(__xludf.DUMMYFUNCTION("""COMPUTED_VALUE"""),44251.66666666667)</f>
        <v>44251.66667</v>
      </c>
      <c r="W828" s="9">
        <f>IFERROR(__xludf.DUMMYFUNCTION("""COMPUTED_VALUE"""),539.8)</f>
        <v>539.8</v>
      </c>
      <c r="X828" s="11">
        <f>IFERROR(__xludf.DUMMYFUNCTION("""COMPUTED_VALUE"""),44251.66666666667)</f>
        <v>44251.66667</v>
      </c>
      <c r="Y828" s="9">
        <f>IFERROR(__xludf.DUMMYFUNCTION("""COMPUTED_VALUE"""),553.41)</f>
        <v>553.41</v>
      </c>
      <c r="AA828" s="11">
        <f>IFERROR(__xludf.DUMMYFUNCTION("""COMPUTED_VALUE"""),44251.66666666667)</f>
        <v>44251.66667</v>
      </c>
      <c r="AB828" s="9">
        <f>IFERROR(__xludf.DUMMYFUNCTION("""COMPUTED_VALUE"""),3166.75)</f>
        <v>3166.75</v>
      </c>
      <c r="AC828" s="11">
        <f>IFERROR(__xludf.DUMMYFUNCTION("""COMPUTED_VALUE"""),44251.66666666667)</f>
        <v>44251.66667</v>
      </c>
      <c r="AD828" s="9">
        <f>IFERROR(__xludf.DUMMYFUNCTION("""COMPUTED_VALUE"""),3159.53)</f>
        <v>3159.53</v>
      </c>
    </row>
    <row r="829">
      <c r="B829" s="11">
        <f>IFERROR(__xludf.DUMMYFUNCTION("""COMPUTED_VALUE"""),44252.66666666667)</f>
        <v>44252.66667</v>
      </c>
      <c r="C829" s="9">
        <f>IFERROR(__xludf.DUMMYFUNCTION("""COMPUTED_VALUE"""),726.15)</f>
        <v>726.15</v>
      </c>
      <c r="D829" s="11">
        <f>IFERROR(__xludf.DUMMYFUNCTION("""COMPUTED_VALUE"""),44252.66666666667)</f>
        <v>44252.66667</v>
      </c>
      <c r="E829" s="9">
        <f>IFERROR(__xludf.DUMMYFUNCTION("""COMPUTED_VALUE"""),682.22)</f>
        <v>682.22</v>
      </c>
      <c r="G829" s="11">
        <f>IFERROR(__xludf.DUMMYFUNCTION("""COMPUTED_VALUE"""),44252.66666666667)</f>
        <v>44252.66667</v>
      </c>
      <c r="H829" s="9">
        <f>IFERROR(__xludf.DUMMYFUNCTION("""COMPUTED_VALUE"""),2067.45)</f>
        <v>2067.45</v>
      </c>
      <c r="I829" s="11">
        <f>IFERROR(__xludf.DUMMYFUNCTION("""COMPUTED_VALUE"""),44252.66666666667)</f>
        <v>44252.66667</v>
      </c>
      <c r="J829" s="9">
        <f>IFERROR(__xludf.DUMMYFUNCTION("""COMPUTED_VALUE"""),2031.36)</f>
        <v>2031.36</v>
      </c>
      <c r="L829" s="11">
        <f>IFERROR(__xludf.DUMMYFUNCTION("""COMPUTED_VALUE"""),44252.66666666667)</f>
        <v>44252.66667</v>
      </c>
      <c r="M829" s="9">
        <f>IFERROR(__xludf.DUMMYFUNCTION("""COMPUTED_VALUE"""),124.68)</f>
        <v>124.68</v>
      </c>
      <c r="N829" s="11">
        <f>IFERROR(__xludf.DUMMYFUNCTION("""COMPUTED_VALUE"""),44252.66666666667)</f>
        <v>44252.66667</v>
      </c>
      <c r="O829" s="9">
        <f>IFERROR(__xludf.DUMMYFUNCTION("""COMPUTED_VALUE"""),120.99)</f>
        <v>120.99</v>
      </c>
      <c r="Q829" s="11">
        <f>IFERROR(__xludf.DUMMYFUNCTION("""COMPUTED_VALUE"""),44252.66666666667)</f>
        <v>44252.66667</v>
      </c>
      <c r="R829" s="9">
        <f>IFERROR(__xludf.DUMMYFUNCTION("""COMPUTED_VALUE"""),262.3)</f>
        <v>262.3</v>
      </c>
      <c r="S829" s="11">
        <f>IFERROR(__xludf.DUMMYFUNCTION("""COMPUTED_VALUE"""),44252.66666666667)</f>
        <v>44252.66667</v>
      </c>
      <c r="T829" s="9">
        <f>IFERROR(__xludf.DUMMYFUNCTION("""COMPUTED_VALUE"""),254.69)</f>
        <v>254.69</v>
      </c>
      <c r="V829" s="11">
        <f>IFERROR(__xludf.DUMMYFUNCTION("""COMPUTED_VALUE"""),44252.66666666667)</f>
        <v>44252.66667</v>
      </c>
      <c r="W829" s="9">
        <f>IFERROR(__xludf.DUMMYFUNCTION("""COMPUTED_VALUE"""),550.27)</f>
        <v>550.27</v>
      </c>
      <c r="X829" s="11">
        <f>IFERROR(__xludf.DUMMYFUNCTION("""COMPUTED_VALUE"""),44252.66666666667)</f>
        <v>44252.66667</v>
      </c>
      <c r="Y829" s="9">
        <f>IFERROR(__xludf.DUMMYFUNCTION("""COMPUTED_VALUE"""),546.7)</f>
        <v>546.7</v>
      </c>
      <c r="AA829" s="11">
        <f>IFERROR(__xludf.DUMMYFUNCTION("""COMPUTED_VALUE"""),44252.66666666667)</f>
        <v>44252.66667</v>
      </c>
      <c r="AB829" s="9">
        <f>IFERROR(__xludf.DUMMYFUNCTION("""COMPUTED_VALUE"""),3136.74)</f>
        <v>3136.74</v>
      </c>
      <c r="AC829" s="11">
        <f>IFERROR(__xludf.DUMMYFUNCTION("""COMPUTED_VALUE"""),44252.66666666667)</f>
        <v>44252.66667</v>
      </c>
      <c r="AD829" s="9">
        <f>IFERROR(__xludf.DUMMYFUNCTION("""COMPUTED_VALUE"""),3057.16)</f>
        <v>3057.16</v>
      </c>
    </row>
    <row r="830">
      <c r="B830" s="11">
        <f>IFERROR(__xludf.DUMMYFUNCTION("""COMPUTED_VALUE"""),44253.66666666667)</f>
        <v>44253.66667</v>
      </c>
      <c r="C830" s="9">
        <f>IFERROR(__xludf.DUMMYFUNCTION("""COMPUTED_VALUE"""),700.0)</f>
        <v>700</v>
      </c>
      <c r="D830" s="11">
        <f>IFERROR(__xludf.DUMMYFUNCTION("""COMPUTED_VALUE"""),44253.66666666667)</f>
        <v>44253.66667</v>
      </c>
      <c r="E830" s="9">
        <f>IFERROR(__xludf.DUMMYFUNCTION("""COMPUTED_VALUE"""),675.5)</f>
        <v>675.5</v>
      </c>
      <c r="G830" s="11">
        <f>IFERROR(__xludf.DUMMYFUNCTION("""COMPUTED_VALUE"""),44253.66666666667)</f>
        <v>44253.66667</v>
      </c>
      <c r="H830" s="9">
        <f>IFERROR(__xludf.DUMMYFUNCTION("""COMPUTED_VALUE"""),2050.52)</f>
        <v>2050.52</v>
      </c>
      <c r="I830" s="11">
        <f>IFERROR(__xludf.DUMMYFUNCTION("""COMPUTED_VALUE"""),44253.66666666667)</f>
        <v>44253.66667</v>
      </c>
      <c r="J830" s="9">
        <f>IFERROR(__xludf.DUMMYFUNCTION("""COMPUTED_VALUE"""),2036.86)</f>
        <v>2036.86</v>
      </c>
      <c r="L830" s="11">
        <f>IFERROR(__xludf.DUMMYFUNCTION("""COMPUTED_VALUE"""),44253.66666666667)</f>
        <v>44253.66667</v>
      </c>
      <c r="M830" s="9">
        <f>IFERROR(__xludf.DUMMYFUNCTION("""COMPUTED_VALUE"""),122.59)</f>
        <v>122.59</v>
      </c>
      <c r="N830" s="11">
        <f>IFERROR(__xludf.DUMMYFUNCTION("""COMPUTED_VALUE"""),44253.66666666667)</f>
        <v>44253.66667</v>
      </c>
      <c r="O830" s="9">
        <f>IFERROR(__xludf.DUMMYFUNCTION("""COMPUTED_VALUE"""),121.26)</f>
        <v>121.26</v>
      </c>
      <c r="Q830" s="11">
        <f>IFERROR(__xludf.DUMMYFUNCTION("""COMPUTED_VALUE"""),44253.66666666667)</f>
        <v>44253.66667</v>
      </c>
      <c r="R830" s="9">
        <f>IFERROR(__xludf.DUMMYFUNCTION("""COMPUTED_VALUE"""),256.47)</f>
        <v>256.47</v>
      </c>
      <c r="S830" s="11">
        <f>IFERROR(__xludf.DUMMYFUNCTION("""COMPUTED_VALUE"""),44253.66666666667)</f>
        <v>44253.66667</v>
      </c>
      <c r="T830" s="9">
        <f>IFERROR(__xludf.DUMMYFUNCTION("""COMPUTED_VALUE"""),257.62)</f>
        <v>257.62</v>
      </c>
      <c r="V830" s="11">
        <f>IFERROR(__xludf.DUMMYFUNCTION("""COMPUTED_VALUE"""),44253.66666666667)</f>
        <v>44253.66667</v>
      </c>
      <c r="W830" s="9">
        <f>IFERROR(__xludf.DUMMYFUNCTION("""COMPUTED_VALUE"""),546.51)</f>
        <v>546.51</v>
      </c>
      <c r="X830" s="11">
        <f>IFERROR(__xludf.DUMMYFUNCTION("""COMPUTED_VALUE"""),44253.66666666667)</f>
        <v>44253.66667</v>
      </c>
      <c r="Y830" s="9">
        <f>IFERROR(__xludf.DUMMYFUNCTION("""COMPUTED_VALUE"""),538.85)</f>
        <v>538.85</v>
      </c>
      <c r="AA830" s="11">
        <f>IFERROR(__xludf.DUMMYFUNCTION("""COMPUTED_VALUE"""),44253.66666666667)</f>
        <v>44253.66667</v>
      </c>
      <c r="AB830" s="9">
        <f>IFERROR(__xludf.DUMMYFUNCTION("""COMPUTED_VALUE"""),3095.2)</f>
        <v>3095.2</v>
      </c>
      <c r="AC830" s="11">
        <f>IFERROR(__xludf.DUMMYFUNCTION("""COMPUTED_VALUE"""),44253.66666666667)</f>
        <v>44253.66667</v>
      </c>
      <c r="AD830" s="9">
        <f>IFERROR(__xludf.DUMMYFUNCTION("""COMPUTED_VALUE"""),3092.93)</f>
        <v>3092.93</v>
      </c>
    </row>
    <row r="831">
      <c r="B831" s="11">
        <f>IFERROR(__xludf.DUMMYFUNCTION("""COMPUTED_VALUE"""),44256.66666666667)</f>
        <v>44256.66667</v>
      </c>
      <c r="C831" s="9">
        <f>IFERROR(__xludf.DUMMYFUNCTION("""COMPUTED_VALUE"""),690.11)</f>
        <v>690.11</v>
      </c>
      <c r="D831" s="11">
        <f>IFERROR(__xludf.DUMMYFUNCTION("""COMPUTED_VALUE"""),44256.66666666667)</f>
        <v>44256.66667</v>
      </c>
      <c r="E831" s="9">
        <f>IFERROR(__xludf.DUMMYFUNCTION("""COMPUTED_VALUE"""),718.43)</f>
        <v>718.43</v>
      </c>
      <c r="G831" s="11">
        <f>IFERROR(__xludf.DUMMYFUNCTION("""COMPUTED_VALUE"""),44256.66666666667)</f>
        <v>44256.66667</v>
      </c>
      <c r="H831" s="9">
        <f>IFERROR(__xludf.DUMMYFUNCTION("""COMPUTED_VALUE"""),2056.52)</f>
        <v>2056.52</v>
      </c>
      <c r="I831" s="11">
        <f>IFERROR(__xludf.DUMMYFUNCTION("""COMPUTED_VALUE"""),44256.66666666667)</f>
        <v>44256.66667</v>
      </c>
      <c r="J831" s="9">
        <f>IFERROR(__xludf.DUMMYFUNCTION("""COMPUTED_VALUE"""),2081.51)</f>
        <v>2081.51</v>
      </c>
      <c r="L831" s="11">
        <f>IFERROR(__xludf.DUMMYFUNCTION("""COMPUTED_VALUE"""),44256.66666666667)</f>
        <v>44256.66667</v>
      </c>
      <c r="M831" s="9">
        <f>IFERROR(__xludf.DUMMYFUNCTION("""COMPUTED_VALUE"""),123.75)</f>
        <v>123.75</v>
      </c>
      <c r="N831" s="11">
        <f>IFERROR(__xludf.DUMMYFUNCTION("""COMPUTED_VALUE"""),44256.66666666667)</f>
        <v>44256.66667</v>
      </c>
      <c r="O831" s="9">
        <f>IFERROR(__xludf.DUMMYFUNCTION("""COMPUTED_VALUE"""),127.79)</f>
        <v>127.79</v>
      </c>
      <c r="Q831" s="11">
        <f>IFERROR(__xludf.DUMMYFUNCTION("""COMPUTED_VALUE"""),44256.66666666667)</f>
        <v>44256.66667</v>
      </c>
      <c r="R831" s="9">
        <f>IFERROR(__xludf.DUMMYFUNCTION("""COMPUTED_VALUE"""),260.82)</f>
        <v>260.82</v>
      </c>
      <c r="S831" s="11">
        <f>IFERROR(__xludf.DUMMYFUNCTION("""COMPUTED_VALUE"""),44256.66666666667)</f>
        <v>44256.66667</v>
      </c>
      <c r="T831" s="9">
        <f>IFERROR(__xludf.DUMMYFUNCTION("""COMPUTED_VALUE"""),264.91)</f>
        <v>264.91</v>
      </c>
      <c r="V831" s="11">
        <f>IFERROR(__xludf.DUMMYFUNCTION("""COMPUTED_VALUE"""),44256.66666666667)</f>
        <v>44256.66667</v>
      </c>
      <c r="W831" s="9">
        <f>IFERROR(__xludf.DUMMYFUNCTION("""COMPUTED_VALUE"""),545.57)</f>
        <v>545.57</v>
      </c>
      <c r="X831" s="11">
        <f>IFERROR(__xludf.DUMMYFUNCTION("""COMPUTED_VALUE"""),44256.66666666667)</f>
        <v>44256.66667</v>
      </c>
      <c r="Y831" s="9">
        <f>IFERROR(__xludf.DUMMYFUNCTION("""COMPUTED_VALUE"""),550.64)</f>
        <v>550.64</v>
      </c>
      <c r="AA831" s="11">
        <f>IFERROR(__xludf.DUMMYFUNCTION("""COMPUTED_VALUE"""),44256.66666666667)</f>
        <v>44256.66667</v>
      </c>
      <c r="AB831" s="9">
        <f>IFERROR(__xludf.DUMMYFUNCTION("""COMPUTED_VALUE"""),3127.89)</f>
        <v>3127.89</v>
      </c>
      <c r="AC831" s="11">
        <f>IFERROR(__xludf.DUMMYFUNCTION("""COMPUTED_VALUE"""),44256.66666666667)</f>
        <v>44256.66667</v>
      </c>
      <c r="AD831" s="9">
        <f>IFERROR(__xludf.DUMMYFUNCTION("""COMPUTED_VALUE"""),3146.14)</f>
        <v>3146.14</v>
      </c>
    </row>
    <row r="832">
      <c r="B832" s="11">
        <f>IFERROR(__xludf.DUMMYFUNCTION("""COMPUTED_VALUE"""),44257.66666666667)</f>
        <v>44257.66667</v>
      </c>
      <c r="C832" s="9">
        <f>IFERROR(__xludf.DUMMYFUNCTION("""COMPUTED_VALUE"""),718.28)</f>
        <v>718.28</v>
      </c>
      <c r="D832" s="11">
        <f>IFERROR(__xludf.DUMMYFUNCTION("""COMPUTED_VALUE"""),44257.66666666667)</f>
        <v>44257.66667</v>
      </c>
      <c r="E832" s="9">
        <f>IFERROR(__xludf.DUMMYFUNCTION("""COMPUTED_VALUE"""),686.44)</f>
        <v>686.44</v>
      </c>
      <c r="G832" s="11">
        <f>IFERROR(__xludf.DUMMYFUNCTION("""COMPUTED_VALUE"""),44257.66666666667)</f>
        <v>44257.66667</v>
      </c>
      <c r="H832" s="9">
        <f>IFERROR(__xludf.DUMMYFUNCTION("""COMPUTED_VALUE"""),2076.19)</f>
        <v>2076.19</v>
      </c>
      <c r="I832" s="11">
        <f>IFERROR(__xludf.DUMMYFUNCTION("""COMPUTED_VALUE"""),44257.66666666667)</f>
        <v>44257.66667</v>
      </c>
      <c r="J832" s="9">
        <f>IFERROR(__xludf.DUMMYFUNCTION("""COMPUTED_VALUE"""),2075.84)</f>
        <v>2075.84</v>
      </c>
      <c r="L832" s="11">
        <f>IFERROR(__xludf.DUMMYFUNCTION("""COMPUTED_VALUE"""),44257.66666666667)</f>
        <v>44257.66667</v>
      </c>
      <c r="M832" s="9">
        <f>IFERROR(__xludf.DUMMYFUNCTION("""COMPUTED_VALUE"""),128.41)</f>
        <v>128.41</v>
      </c>
      <c r="N832" s="11">
        <f>IFERROR(__xludf.DUMMYFUNCTION("""COMPUTED_VALUE"""),44257.66666666667)</f>
        <v>44257.66667</v>
      </c>
      <c r="O832" s="9">
        <f>IFERROR(__xludf.DUMMYFUNCTION("""COMPUTED_VALUE"""),125.12)</f>
        <v>125.12</v>
      </c>
      <c r="Q832" s="11">
        <f>IFERROR(__xludf.DUMMYFUNCTION("""COMPUTED_VALUE"""),44257.66666666667)</f>
        <v>44257.66667</v>
      </c>
      <c r="R832" s="9">
        <f>IFERROR(__xludf.DUMMYFUNCTION("""COMPUTED_VALUE"""),265.78)</f>
        <v>265.78</v>
      </c>
      <c r="S832" s="11">
        <f>IFERROR(__xludf.DUMMYFUNCTION("""COMPUTED_VALUE"""),44257.66666666667)</f>
        <v>44257.66667</v>
      </c>
      <c r="T832" s="9">
        <f>IFERROR(__xludf.DUMMYFUNCTION("""COMPUTED_VALUE"""),259.0)</f>
        <v>259</v>
      </c>
      <c r="V832" s="11">
        <f>IFERROR(__xludf.DUMMYFUNCTION("""COMPUTED_VALUE"""),44257.66666666667)</f>
        <v>44257.66667</v>
      </c>
      <c r="W832" s="9">
        <f>IFERROR(__xludf.DUMMYFUNCTION("""COMPUTED_VALUE"""),553.34)</f>
        <v>553.34</v>
      </c>
      <c r="X832" s="11">
        <f>IFERROR(__xludf.DUMMYFUNCTION("""COMPUTED_VALUE"""),44257.66666666667)</f>
        <v>44257.66667</v>
      </c>
      <c r="Y832" s="9">
        <f>IFERROR(__xludf.DUMMYFUNCTION("""COMPUTED_VALUE"""),547.82)</f>
        <v>547.82</v>
      </c>
      <c r="AA832" s="11">
        <f>IFERROR(__xludf.DUMMYFUNCTION("""COMPUTED_VALUE"""),44257.66666666667)</f>
        <v>44257.66667</v>
      </c>
      <c r="AB832" s="9">
        <f>IFERROR(__xludf.DUMMYFUNCTION("""COMPUTED_VALUE"""),3143.47)</f>
        <v>3143.47</v>
      </c>
      <c r="AC832" s="11">
        <f>IFERROR(__xludf.DUMMYFUNCTION("""COMPUTED_VALUE"""),44257.66666666667)</f>
        <v>44257.66667</v>
      </c>
      <c r="AD832" s="9">
        <f>IFERROR(__xludf.DUMMYFUNCTION("""COMPUTED_VALUE"""),3094.53)</f>
        <v>3094.53</v>
      </c>
    </row>
    <row r="833">
      <c r="B833" s="11">
        <f>IFERROR(__xludf.DUMMYFUNCTION("""COMPUTED_VALUE"""),44258.66666666667)</f>
        <v>44258.66667</v>
      </c>
      <c r="C833" s="9">
        <f>IFERROR(__xludf.DUMMYFUNCTION("""COMPUTED_VALUE"""),687.99)</f>
        <v>687.99</v>
      </c>
      <c r="D833" s="11">
        <f>IFERROR(__xludf.DUMMYFUNCTION("""COMPUTED_VALUE"""),44258.66666666667)</f>
        <v>44258.66667</v>
      </c>
      <c r="E833" s="9">
        <f>IFERROR(__xludf.DUMMYFUNCTION("""COMPUTED_VALUE"""),653.2)</f>
        <v>653.2</v>
      </c>
      <c r="G833" s="11">
        <f>IFERROR(__xludf.DUMMYFUNCTION("""COMPUTED_VALUE"""),44258.66666666667)</f>
        <v>44258.66667</v>
      </c>
      <c r="H833" s="9">
        <f>IFERROR(__xludf.DUMMYFUNCTION("""COMPUTED_VALUE"""),2067.21)</f>
        <v>2067.21</v>
      </c>
      <c r="I833" s="11">
        <f>IFERROR(__xludf.DUMMYFUNCTION("""COMPUTED_VALUE"""),44258.66666666667)</f>
        <v>44258.66667</v>
      </c>
      <c r="J833" s="9">
        <f>IFERROR(__xludf.DUMMYFUNCTION("""COMPUTED_VALUE"""),2026.71)</f>
        <v>2026.71</v>
      </c>
      <c r="L833" s="11">
        <f>IFERROR(__xludf.DUMMYFUNCTION("""COMPUTED_VALUE"""),44258.66666666667)</f>
        <v>44258.66667</v>
      </c>
      <c r="M833" s="9">
        <f>IFERROR(__xludf.DUMMYFUNCTION("""COMPUTED_VALUE"""),124.81)</f>
        <v>124.81</v>
      </c>
      <c r="N833" s="11">
        <f>IFERROR(__xludf.DUMMYFUNCTION("""COMPUTED_VALUE"""),44258.66666666667)</f>
        <v>44258.66667</v>
      </c>
      <c r="O833" s="9">
        <f>IFERROR(__xludf.DUMMYFUNCTION("""COMPUTED_VALUE"""),122.06)</f>
        <v>122.06</v>
      </c>
      <c r="Q833" s="11">
        <f>IFERROR(__xludf.DUMMYFUNCTION("""COMPUTED_VALUE"""),44258.66666666667)</f>
        <v>44258.66667</v>
      </c>
      <c r="R833" s="9">
        <f>IFERROR(__xludf.DUMMYFUNCTION("""COMPUTED_VALUE"""),260.29)</f>
        <v>260.29</v>
      </c>
      <c r="S833" s="11">
        <f>IFERROR(__xludf.DUMMYFUNCTION("""COMPUTED_VALUE"""),44258.66666666667)</f>
        <v>44258.66667</v>
      </c>
      <c r="T833" s="9">
        <f>IFERROR(__xludf.DUMMYFUNCTION("""COMPUTED_VALUE"""),255.41)</f>
        <v>255.41</v>
      </c>
      <c r="V833" s="11">
        <f>IFERROR(__xludf.DUMMYFUNCTION("""COMPUTED_VALUE"""),44258.66666666667)</f>
        <v>44258.66667</v>
      </c>
      <c r="W833" s="9">
        <f>IFERROR(__xludf.DUMMYFUNCTION("""COMPUTED_VALUE"""),545.93)</f>
        <v>545.93</v>
      </c>
      <c r="X833" s="11">
        <f>IFERROR(__xludf.DUMMYFUNCTION("""COMPUTED_VALUE"""),44258.66666666667)</f>
        <v>44258.66667</v>
      </c>
      <c r="Y833" s="9">
        <f>IFERROR(__xludf.DUMMYFUNCTION("""COMPUTED_VALUE"""),520.7)</f>
        <v>520.7</v>
      </c>
      <c r="AA833" s="11">
        <f>IFERROR(__xludf.DUMMYFUNCTION("""COMPUTED_VALUE"""),44258.66666666667)</f>
        <v>44258.66667</v>
      </c>
      <c r="AB833" s="9">
        <f>IFERROR(__xludf.DUMMYFUNCTION("""COMPUTED_VALUE"""),3081.18)</f>
        <v>3081.18</v>
      </c>
      <c r="AC833" s="11">
        <f>IFERROR(__xludf.DUMMYFUNCTION("""COMPUTED_VALUE"""),44258.66666666667)</f>
        <v>44258.66667</v>
      </c>
      <c r="AD833" s="9">
        <f>IFERROR(__xludf.DUMMYFUNCTION("""COMPUTED_VALUE"""),3005.0)</f>
        <v>3005</v>
      </c>
    </row>
    <row r="834">
      <c r="B834" s="11">
        <f>IFERROR(__xludf.DUMMYFUNCTION("""COMPUTED_VALUE"""),44259.66666666667)</f>
        <v>44259.66667</v>
      </c>
      <c r="C834" s="9">
        <f>IFERROR(__xludf.DUMMYFUNCTION("""COMPUTED_VALUE"""),655.8)</f>
        <v>655.8</v>
      </c>
      <c r="D834" s="11">
        <f>IFERROR(__xludf.DUMMYFUNCTION("""COMPUTED_VALUE"""),44259.66666666667)</f>
        <v>44259.66667</v>
      </c>
      <c r="E834" s="9">
        <f>IFERROR(__xludf.DUMMYFUNCTION("""COMPUTED_VALUE"""),621.44)</f>
        <v>621.44</v>
      </c>
      <c r="G834" s="11">
        <f>IFERROR(__xludf.DUMMYFUNCTION("""COMPUTED_VALUE"""),44259.66666666667)</f>
        <v>44259.66667</v>
      </c>
      <c r="H834" s="9">
        <f>IFERROR(__xludf.DUMMYFUNCTION("""COMPUTED_VALUE"""),2023.37)</f>
        <v>2023.37</v>
      </c>
      <c r="I834" s="11">
        <f>IFERROR(__xludf.DUMMYFUNCTION("""COMPUTED_VALUE"""),44259.66666666667)</f>
        <v>44259.66667</v>
      </c>
      <c r="J834" s="9">
        <f>IFERROR(__xludf.DUMMYFUNCTION("""COMPUTED_VALUE"""),2049.09)</f>
        <v>2049.09</v>
      </c>
      <c r="L834" s="11">
        <f>IFERROR(__xludf.DUMMYFUNCTION("""COMPUTED_VALUE"""),44259.66666666667)</f>
        <v>44259.66667</v>
      </c>
      <c r="M834" s="9">
        <f>IFERROR(__xludf.DUMMYFUNCTION("""COMPUTED_VALUE"""),121.75)</f>
        <v>121.75</v>
      </c>
      <c r="N834" s="11">
        <f>IFERROR(__xludf.DUMMYFUNCTION("""COMPUTED_VALUE"""),44259.66666666667)</f>
        <v>44259.66667</v>
      </c>
      <c r="O834" s="9">
        <f>IFERROR(__xludf.DUMMYFUNCTION("""COMPUTED_VALUE"""),120.13)</f>
        <v>120.13</v>
      </c>
      <c r="Q834" s="11">
        <f>IFERROR(__xludf.DUMMYFUNCTION("""COMPUTED_VALUE"""),44259.66666666667)</f>
        <v>44259.66667</v>
      </c>
      <c r="R834" s="9">
        <f>IFERROR(__xludf.DUMMYFUNCTION("""COMPUTED_VALUE"""),256.47)</f>
        <v>256.47</v>
      </c>
      <c r="S834" s="11">
        <f>IFERROR(__xludf.DUMMYFUNCTION("""COMPUTED_VALUE"""),44259.66666666667)</f>
        <v>44259.66667</v>
      </c>
      <c r="T834" s="9">
        <f>IFERROR(__xludf.DUMMYFUNCTION("""COMPUTED_VALUE"""),257.64)</f>
        <v>257.64</v>
      </c>
      <c r="V834" s="11">
        <f>IFERROR(__xludf.DUMMYFUNCTION("""COMPUTED_VALUE"""),44259.66666666667)</f>
        <v>44259.66667</v>
      </c>
      <c r="W834" s="9">
        <f>IFERROR(__xludf.DUMMYFUNCTION("""COMPUTED_VALUE"""),521.5)</f>
        <v>521.5</v>
      </c>
      <c r="X834" s="11">
        <f>IFERROR(__xludf.DUMMYFUNCTION("""COMPUTED_VALUE"""),44259.66666666667)</f>
        <v>44259.66667</v>
      </c>
      <c r="Y834" s="9">
        <f>IFERROR(__xludf.DUMMYFUNCTION("""COMPUTED_VALUE"""),511.29)</f>
        <v>511.29</v>
      </c>
      <c r="AA834" s="11">
        <f>IFERROR(__xludf.DUMMYFUNCTION("""COMPUTED_VALUE"""),44259.66666666667)</f>
        <v>44259.66667</v>
      </c>
      <c r="AB834" s="9">
        <f>IFERROR(__xludf.DUMMYFUNCTION("""COMPUTED_VALUE"""),3012.0)</f>
        <v>3012</v>
      </c>
      <c r="AC834" s="11">
        <f>IFERROR(__xludf.DUMMYFUNCTION("""COMPUTED_VALUE"""),44259.66666666667)</f>
        <v>44259.66667</v>
      </c>
      <c r="AD834" s="9">
        <f>IFERROR(__xludf.DUMMYFUNCTION("""COMPUTED_VALUE"""),2977.57)</f>
        <v>2977.57</v>
      </c>
    </row>
    <row r="835">
      <c r="B835" s="11">
        <f>IFERROR(__xludf.DUMMYFUNCTION("""COMPUTED_VALUE"""),44260.66666666667)</f>
        <v>44260.66667</v>
      </c>
      <c r="C835" s="9">
        <f>IFERROR(__xludf.DUMMYFUNCTION("""COMPUTED_VALUE"""),626.06)</f>
        <v>626.06</v>
      </c>
      <c r="D835" s="11">
        <f>IFERROR(__xludf.DUMMYFUNCTION("""COMPUTED_VALUE"""),44260.66666666667)</f>
        <v>44260.66667</v>
      </c>
      <c r="E835" s="9">
        <f>IFERROR(__xludf.DUMMYFUNCTION("""COMPUTED_VALUE"""),597.95)</f>
        <v>597.95</v>
      </c>
      <c r="G835" s="11">
        <f>IFERROR(__xludf.DUMMYFUNCTION("""COMPUTED_VALUE"""),44260.66666666667)</f>
        <v>44260.66667</v>
      </c>
      <c r="H835" s="9">
        <f>IFERROR(__xludf.DUMMYFUNCTION("""COMPUTED_VALUE"""),2073.12)</f>
        <v>2073.12</v>
      </c>
      <c r="I835" s="11">
        <f>IFERROR(__xludf.DUMMYFUNCTION("""COMPUTED_VALUE"""),44260.66666666667)</f>
        <v>44260.66667</v>
      </c>
      <c r="J835" s="9">
        <f>IFERROR(__xludf.DUMMYFUNCTION("""COMPUTED_VALUE"""),2108.54)</f>
        <v>2108.54</v>
      </c>
      <c r="L835" s="11">
        <f>IFERROR(__xludf.DUMMYFUNCTION("""COMPUTED_VALUE"""),44260.66666666667)</f>
        <v>44260.66667</v>
      </c>
      <c r="M835" s="9">
        <f>IFERROR(__xludf.DUMMYFUNCTION("""COMPUTED_VALUE"""),120.98)</f>
        <v>120.98</v>
      </c>
      <c r="N835" s="11">
        <f>IFERROR(__xludf.DUMMYFUNCTION("""COMPUTED_VALUE"""),44260.66666666667)</f>
        <v>44260.66667</v>
      </c>
      <c r="O835" s="9">
        <f>IFERROR(__xludf.DUMMYFUNCTION("""COMPUTED_VALUE"""),121.42)</f>
        <v>121.42</v>
      </c>
      <c r="Q835" s="11">
        <f>IFERROR(__xludf.DUMMYFUNCTION("""COMPUTED_VALUE"""),44260.66666666667)</f>
        <v>44260.66667</v>
      </c>
      <c r="R835" s="9">
        <f>IFERROR(__xludf.DUMMYFUNCTION("""COMPUTED_VALUE"""),260.67)</f>
        <v>260.67</v>
      </c>
      <c r="S835" s="11">
        <f>IFERROR(__xludf.DUMMYFUNCTION("""COMPUTED_VALUE"""),44260.66666666667)</f>
        <v>44260.66667</v>
      </c>
      <c r="T835" s="9">
        <f>IFERROR(__xludf.DUMMYFUNCTION("""COMPUTED_VALUE"""),264.28)</f>
        <v>264.28</v>
      </c>
      <c r="V835" s="11">
        <f>IFERROR(__xludf.DUMMYFUNCTION("""COMPUTED_VALUE"""),44260.66666666667)</f>
        <v>44260.66667</v>
      </c>
      <c r="W835" s="9">
        <f>IFERROR(__xludf.DUMMYFUNCTION("""COMPUTED_VALUE"""),511.98)</f>
        <v>511.98</v>
      </c>
      <c r="X835" s="11">
        <f>IFERROR(__xludf.DUMMYFUNCTION("""COMPUTED_VALUE"""),44260.66666666667)</f>
        <v>44260.66667</v>
      </c>
      <c r="Y835" s="9">
        <f>IFERROR(__xludf.DUMMYFUNCTION("""COMPUTED_VALUE"""),516.39)</f>
        <v>516.39</v>
      </c>
      <c r="AA835" s="11">
        <f>IFERROR(__xludf.DUMMYFUNCTION("""COMPUTED_VALUE"""),44260.66666666667)</f>
        <v>44260.66667</v>
      </c>
      <c r="AB835" s="9">
        <f>IFERROR(__xludf.DUMMYFUNCTION("""COMPUTED_VALUE"""),3005.0)</f>
        <v>3005</v>
      </c>
      <c r="AC835" s="11">
        <f>IFERROR(__xludf.DUMMYFUNCTION("""COMPUTED_VALUE"""),44260.66666666667)</f>
        <v>44260.66667</v>
      </c>
      <c r="AD835" s="9">
        <f>IFERROR(__xludf.DUMMYFUNCTION("""COMPUTED_VALUE"""),3000.46)</f>
        <v>3000.46</v>
      </c>
    </row>
    <row r="836">
      <c r="B836" s="11">
        <f>IFERROR(__xludf.DUMMYFUNCTION("""COMPUTED_VALUE"""),44263.66666666667)</f>
        <v>44263.66667</v>
      </c>
      <c r="C836" s="9">
        <f>IFERROR(__xludf.DUMMYFUNCTION("""COMPUTED_VALUE"""),600.55)</f>
        <v>600.55</v>
      </c>
      <c r="D836" s="11">
        <f>IFERROR(__xludf.DUMMYFUNCTION("""COMPUTED_VALUE"""),44263.66666666667)</f>
        <v>44263.66667</v>
      </c>
      <c r="E836" s="9">
        <f>IFERROR(__xludf.DUMMYFUNCTION("""COMPUTED_VALUE"""),563.0)</f>
        <v>563</v>
      </c>
      <c r="G836" s="11">
        <f>IFERROR(__xludf.DUMMYFUNCTION("""COMPUTED_VALUE"""),44263.66666666667)</f>
        <v>44263.66667</v>
      </c>
      <c r="H836" s="9">
        <f>IFERROR(__xludf.DUMMYFUNCTION("""COMPUTED_VALUE"""),2101.13)</f>
        <v>2101.13</v>
      </c>
      <c r="I836" s="11">
        <f>IFERROR(__xludf.DUMMYFUNCTION("""COMPUTED_VALUE"""),44263.66666666667)</f>
        <v>44263.66667</v>
      </c>
      <c r="J836" s="9">
        <f>IFERROR(__xludf.DUMMYFUNCTION("""COMPUTED_VALUE"""),2024.17)</f>
        <v>2024.17</v>
      </c>
      <c r="L836" s="11">
        <f>IFERROR(__xludf.DUMMYFUNCTION("""COMPUTED_VALUE"""),44263.66666666667)</f>
        <v>44263.66667</v>
      </c>
      <c r="M836" s="9">
        <f>IFERROR(__xludf.DUMMYFUNCTION("""COMPUTED_VALUE"""),120.93)</f>
        <v>120.93</v>
      </c>
      <c r="N836" s="11">
        <f>IFERROR(__xludf.DUMMYFUNCTION("""COMPUTED_VALUE"""),44263.66666666667)</f>
        <v>44263.66667</v>
      </c>
      <c r="O836" s="9">
        <f>IFERROR(__xludf.DUMMYFUNCTION("""COMPUTED_VALUE"""),116.36)</f>
        <v>116.36</v>
      </c>
      <c r="Q836" s="11">
        <f>IFERROR(__xludf.DUMMYFUNCTION("""COMPUTED_VALUE"""),44263.66666666667)</f>
        <v>44263.66667</v>
      </c>
      <c r="R836" s="9">
        <f>IFERROR(__xludf.DUMMYFUNCTION("""COMPUTED_VALUE"""),265.55)</f>
        <v>265.55</v>
      </c>
      <c r="S836" s="11">
        <f>IFERROR(__xludf.DUMMYFUNCTION("""COMPUTED_VALUE"""),44263.66666666667)</f>
        <v>44263.66667</v>
      </c>
      <c r="T836" s="9">
        <f>IFERROR(__xludf.DUMMYFUNCTION("""COMPUTED_VALUE"""),255.31)</f>
        <v>255.31</v>
      </c>
      <c r="V836" s="11">
        <f>IFERROR(__xludf.DUMMYFUNCTION("""COMPUTED_VALUE"""),44263.66666666667)</f>
        <v>44263.66667</v>
      </c>
      <c r="W836" s="9">
        <f>IFERROR(__xludf.DUMMYFUNCTION("""COMPUTED_VALUE"""),514.46)</f>
        <v>514.46</v>
      </c>
      <c r="X836" s="11">
        <f>IFERROR(__xludf.DUMMYFUNCTION("""COMPUTED_VALUE"""),44263.66666666667)</f>
        <v>44263.66667</v>
      </c>
      <c r="Y836" s="9">
        <f>IFERROR(__xludf.DUMMYFUNCTION("""COMPUTED_VALUE"""),493.33)</f>
        <v>493.33</v>
      </c>
      <c r="AA836" s="11">
        <f>IFERROR(__xludf.DUMMYFUNCTION("""COMPUTED_VALUE"""),44263.66666666667)</f>
        <v>44263.66667</v>
      </c>
      <c r="AB836" s="9">
        <f>IFERROR(__xludf.DUMMYFUNCTION("""COMPUTED_VALUE"""),3015.0)</f>
        <v>3015</v>
      </c>
      <c r="AC836" s="11">
        <f>IFERROR(__xludf.DUMMYFUNCTION("""COMPUTED_VALUE"""),44263.66666666667)</f>
        <v>44263.66667</v>
      </c>
      <c r="AD836" s="9">
        <f>IFERROR(__xludf.DUMMYFUNCTION("""COMPUTED_VALUE"""),2951.95)</f>
        <v>2951.95</v>
      </c>
    </row>
    <row r="837">
      <c r="B837" s="11">
        <f>IFERROR(__xludf.DUMMYFUNCTION("""COMPUTED_VALUE"""),44264.66666666667)</f>
        <v>44264.66667</v>
      </c>
      <c r="C837" s="9">
        <f>IFERROR(__xludf.DUMMYFUNCTION("""COMPUTED_VALUE"""),608.18)</f>
        <v>608.18</v>
      </c>
      <c r="D837" s="11">
        <f>IFERROR(__xludf.DUMMYFUNCTION("""COMPUTED_VALUE"""),44264.66666666667)</f>
        <v>44264.66667</v>
      </c>
      <c r="E837" s="9">
        <f>IFERROR(__xludf.DUMMYFUNCTION("""COMPUTED_VALUE"""),673.58)</f>
        <v>673.58</v>
      </c>
      <c r="G837" s="11">
        <f>IFERROR(__xludf.DUMMYFUNCTION("""COMPUTED_VALUE"""),44264.66666666667)</f>
        <v>44264.66667</v>
      </c>
      <c r="H837" s="9">
        <f>IFERROR(__xludf.DUMMYFUNCTION("""COMPUTED_VALUE"""),2070.0)</f>
        <v>2070</v>
      </c>
      <c r="I837" s="11">
        <f>IFERROR(__xludf.DUMMYFUNCTION("""COMPUTED_VALUE"""),44264.66666666667)</f>
        <v>44264.66667</v>
      </c>
      <c r="J837" s="9">
        <f>IFERROR(__xludf.DUMMYFUNCTION("""COMPUTED_VALUE"""),2052.7)</f>
        <v>2052.7</v>
      </c>
      <c r="L837" s="11">
        <f>IFERROR(__xludf.DUMMYFUNCTION("""COMPUTED_VALUE"""),44264.66666666667)</f>
        <v>44264.66667</v>
      </c>
      <c r="M837" s="9">
        <f>IFERROR(__xludf.DUMMYFUNCTION("""COMPUTED_VALUE"""),119.03)</f>
        <v>119.03</v>
      </c>
      <c r="N837" s="11">
        <f>IFERROR(__xludf.DUMMYFUNCTION("""COMPUTED_VALUE"""),44264.66666666667)</f>
        <v>44264.66667</v>
      </c>
      <c r="O837" s="9">
        <f>IFERROR(__xludf.DUMMYFUNCTION("""COMPUTED_VALUE"""),121.09)</f>
        <v>121.09</v>
      </c>
      <c r="Q837" s="11">
        <f>IFERROR(__xludf.DUMMYFUNCTION("""COMPUTED_VALUE"""),44264.66666666667)</f>
        <v>44264.66667</v>
      </c>
      <c r="R837" s="9">
        <f>IFERROR(__xludf.DUMMYFUNCTION("""COMPUTED_VALUE"""),261.18)</f>
        <v>261.18</v>
      </c>
      <c r="S837" s="11">
        <f>IFERROR(__xludf.DUMMYFUNCTION("""COMPUTED_VALUE"""),44264.66666666667)</f>
        <v>44264.66667</v>
      </c>
      <c r="T837" s="9">
        <f>IFERROR(__xludf.DUMMYFUNCTION("""COMPUTED_VALUE"""),265.74)</f>
        <v>265.74</v>
      </c>
      <c r="V837" s="11">
        <f>IFERROR(__xludf.DUMMYFUNCTION("""COMPUTED_VALUE"""),44264.66666666667)</f>
        <v>44264.66667</v>
      </c>
      <c r="W837" s="9">
        <f>IFERROR(__xludf.DUMMYFUNCTION("""COMPUTED_VALUE"""),507.31)</f>
        <v>507.31</v>
      </c>
      <c r="X837" s="11">
        <f>IFERROR(__xludf.DUMMYFUNCTION("""COMPUTED_VALUE"""),44264.66666666667)</f>
        <v>44264.66667</v>
      </c>
      <c r="Y837" s="9">
        <f>IFERROR(__xludf.DUMMYFUNCTION("""COMPUTED_VALUE"""),506.44)</f>
        <v>506.44</v>
      </c>
      <c r="AA837" s="11">
        <f>IFERROR(__xludf.DUMMYFUNCTION("""COMPUTED_VALUE"""),44264.66666666667)</f>
        <v>44264.66667</v>
      </c>
      <c r="AB837" s="9">
        <f>IFERROR(__xludf.DUMMYFUNCTION("""COMPUTED_VALUE"""),3017.99)</f>
        <v>3017.99</v>
      </c>
      <c r="AC837" s="11">
        <f>IFERROR(__xludf.DUMMYFUNCTION("""COMPUTED_VALUE"""),44264.66666666667)</f>
        <v>44264.66667</v>
      </c>
      <c r="AD837" s="9">
        <f>IFERROR(__xludf.DUMMYFUNCTION("""COMPUTED_VALUE"""),3062.85)</f>
        <v>3062.85</v>
      </c>
    </row>
    <row r="838">
      <c r="B838" s="11">
        <f>IFERROR(__xludf.DUMMYFUNCTION("""COMPUTED_VALUE"""),44265.66666666667)</f>
        <v>44265.66667</v>
      </c>
      <c r="C838" s="9">
        <f>IFERROR(__xludf.DUMMYFUNCTION("""COMPUTED_VALUE"""),700.3)</f>
        <v>700.3</v>
      </c>
      <c r="D838" s="11">
        <f>IFERROR(__xludf.DUMMYFUNCTION("""COMPUTED_VALUE"""),44265.66666666667)</f>
        <v>44265.66667</v>
      </c>
      <c r="E838" s="9">
        <f>IFERROR(__xludf.DUMMYFUNCTION("""COMPUTED_VALUE"""),668.06)</f>
        <v>668.06</v>
      </c>
      <c r="G838" s="11">
        <f>IFERROR(__xludf.DUMMYFUNCTION("""COMPUTED_VALUE"""),44265.66666666667)</f>
        <v>44265.66667</v>
      </c>
      <c r="H838" s="9">
        <f>IFERROR(__xludf.DUMMYFUNCTION("""COMPUTED_VALUE"""),2071.76)</f>
        <v>2071.76</v>
      </c>
      <c r="I838" s="11">
        <f>IFERROR(__xludf.DUMMYFUNCTION("""COMPUTED_VALUE"""),44265.66666666667)</f>
        <v>44265.66667</v>
      </c>
      <c r="J838" s="9">
        <f>IFERROR(__xludf.DUMMYFUNCTION("""COMPUTED_VALUE"""),2055.03)</f>
        <v>2055.03</v>
      </c>
      <c r="L838" s="11">
        <f>IFERROR(__xludf.DUMMYFUNCTION("""COMPUTED_VALUE"""),44265.66666666667)</f>
        <v>44265.66667</v>
      </c>
      <c r="M838" s="9">
        <f>IFERROR(__xludf.DUMMYFUNCTION("""COMPUTED_VALUE"""),121.69)</f>
        <v>121.69</v>
      </c>
      <c r="N838" s="11">
        <f>IFERROR(__xludf.DUMMYFUNCTION("""COMPUTED_VALUE"""),44265.66666666667)</f>
        <v>44265.66667</v>
      </c>
      <c r="O838" s="9">
        <f>IFERROR(__xludf.DUMMYFUNCTION("""COMPUTED_VALUE"""),119.98)</f>
        <v>119.98</v>
      </c>
      <c r="Q838" s="11">
        <f>IFERROR(__xludf.DUMMYFUNCTION("""COMPUTED_VALUE"""),44265.66666666667)</f>
        <v>44265.66667</v>
      </c>
      <c r="R838" s="9">
        <f>IFERROR(__xludf.DUMMYFUNCTION("""COMPUTED_VALUE"""),268.64)</f>
        <v>268.64</v>
      </c>
      <c r="S838" s="11">
        <f>IFERROR(__xludf.DUMMYFUNCTION("""COMPUTED_VALUE"""),44265.66666666667)</f>
        <v>44265.66667</v>
      </c>
      <c r="T838" s="9">
        <f>IFERROR(__xludf.DUMMYFUNCTION("""COMPUTED_VALUE"""),264.9)</f>
        <v>264.9</v>
      </c>
      <c r="V838" s="11">
        <f>IFERROR(__xludf.DUMMYFUNCTION("""COMPUTED_VALUE"""),44265.66666666667)</f>
        <v>44265.66667</v>
      </c>
      <c r="W838" s="9">
        <f>IFERROR(__xludf.DUMMYFUNCTION("""COMPUTED_VALUE"""),513.5)</f>
        <v>513.5</v>
      </c>
      <c r="X838" s="11">
        <f>IFERROR(__xludf.DUMMYFUNCTION("""COMPUTED_VALUE"""),44265.66666666667)</f>
        <v>44265.66667</v>
      </c>
      <c r="Y838" s="9">
        <f>IFERROR(__xludf.DUMMYFUNCTION("""COMPUTED_VALUE"""),504.54)</f>
        <v>504.54</v>
      </c>
      <c r="AA838" s="11">
        <f>IFERROR(__xludf.DUMMYFUNCTION("""COMPUTED_VALUE"""),44265.66666666667)</f>
        <v>44265.66667</v>
      </c>
      <c r="AB838" s="9">
        <f>IFERROR(__xludf.DUMMYFUNCTION("""COMPUTED_VALUE"""),3098.45)</f>
        <v>3098.45</v>
      </c>
      <c r="AC838" s="11">
        <f>IFERROR(__xludf.DUMMYFUNCTION("""COMPUTED_VALUE"""),44265.66666666667)</f>
        <v>44265.66667</v>
      </c>
      <c r="AD838" s="9">
        <f>IFERROR(__xludf.DUMMYFUNCTION("""COMPUTED_VALUE"""),3057.64)</f>
        <v>3057.64</v>
      </c>
    </row>
    <row r="839">
      <c r="B839" s="11">
        <f>IFERROR(__xludf.DUMMYFUNCTION("""COMPUTED_VALUE"""),44266.66666666667)</f>
        <v>44266.66667</v>
      </c>
      <c r="C839" s="9">
        <f>IFERROR(__xludf.DUMMYFUNCTION("""COMPUTED_VALUE"""),699.4)</f>
        <v>699.4</v>
      </c>
      <c r="D839" s="11">
        <f>IFERROR(__xludf.DUMMYFUNCTION("""COMPUTED_VALUE"""),44266.66666666667)</f>
        <v>44266.66667</v>
      </c>
      <c r="E839" s="9">
        <f>IFERROR(__xludf.DUMMYFUNCTION("""COMPUTED_VALUE"""),699.6)</f>
        <v>699.6</v>
      </c>
      <c r="G839" s="11">
        <f>IFERROR(__xludf.DUMMYFUNCTION("""COMPUTED_VALUE"""),44266.66666666667)</f>
        <v>44266.66667</v>
      </c>
      <c r="H839" s="9">
        <f>IFERROR(__xludf.DUMMYFUNCTION("""COMPUTED_VALUE"""),2074.06)</f>
        <v>2074.06</v>
      </c>
      <c r="I839" s="11">
        <f>IFERROR(__xludf.DUMMYFUNCTION("""COMPUTED_VALUE"""),44266.66666666667)</f>
        <v>44266.66667</v>
      </c>
      <c r="J839" s="9">
        <f>IFERROR(__xludf.DUMMYFUNCTION("""COMPUTED_VALUE"""),2114.77)</f>
        <v>2114.77</v>
      </c>
      <c r="L839" s="11">
        <f>IFERROR(__xludf.DUMMYFUNCTION("""COMPUTED_VALUE"""),44266.66666666667)</f>
        <v>44266.66667</v>
      </c>
      <c r="M839" s="9">
        <f>IFERROR(__xludf.DUMMYFUNCTION("""COMPUTED_VALUE"""),122.54)</f>
        <v>122.54</v>
      </c>
      <c r="N839" s="11">
        <f>IFERROR(__xludf.DUMMYFUNCTION("""COMPUTED_VALUE"""),44266.66666666667)</f>
        <v>44266.66667</v>
      </c>
      <c r="O839" s="9">
        <f>IFERROR(__xludf.DUMMYFUNCTION("""COMPUTED_VALUE"""),121.96)</f>
        <v>121.96</v>
      </c>
      <c r="Q839" s="11">
        <f>IFERROR(__xludf.DUMMYFUNCTION("""COMPUTED_VALUE"""),44266.66666666667)</f>
        <v>44266.66667</v>
      </c>
      <c r="R839" s="9">
        <f>IFERROR(__xludf.DUMMYFUNCTION("""COMPUTED_VALUE"""),268.11)</f>
        <v>268.11</v>
      </c>
      <c r="S839" s="11">
        <f>IFERROR(__xludf.DUMMYFUNCTION("""COMPUTED_VALUE"""),44266.66666666667)</f>
        <v>44266.66667</v>
      </c>
      <c r="T839" s="9">
        <f>IFERROR(__xludf.DUMMYFUNCTION("""COMPUTED_VALUE"""),273.88)</f>
        <v>273.88</v>
      </c>
      <c r="V839" s="11">
        <f>IFERROR(__xludf.DUMMYFUNCTION("""COMPUTED_VALUE"""),44266.66666666667)</f>
        <v>44266.66667</v>
      </c>
      <c r="W839" s="9">
        <f>IFERROR(__xludf.DUMMYFUNCTION("""COMPUTED_VALUE"""),512.2)</f>
        <v>512.2</v>
      </c>
      <c r="X839" s="11">
        <f>IFERROR(__xludf.DUMMYFUNCTION("""COMPUTED_VALUE"""),44266.66666666667)</f>
        <v>44266.66667</v>
      </c>
      <c r="Y839" s="9">
        <f>IFERROR(__xludf.DUMMYFUNCTION("""COMPUTED_VALUE"""),523.06)</f>
        <v>523.06</v>
      </c>
      <c r="AA839" s="11">
        <f>IFERROR(__xludf.DUMMYFUNCTION("""COMPUTED_VALUE"""),44266.66666666667)</f>
        <v>44266.66667</v>
      </c>
      <c r="AB839" s="9">
        <f>IFERROR(__xludf.DUMMYFUNCTION("""COMPUTED_VALUE"""),3104.01)</f>
        <v>3104.01</v>
      </c>
      <c r="AC839" s="11">
        <f>IFERROR(__xludf.DUMMYFUNCTION("""COMPUTED_VALUE"""),44266.66666666667)</f>
        <v>44266.66667</v>
      </c>
      <c r="AD839" s="9">
        <f>IFERROR(__xludf.DUMMYFUNCTION("""COMPUTED_VALUE"""),3113.59)</f>
        <v>3113.59</v>
      </c>
    </row>
    <row r="840">
      <c r="B840" s="11">
        <f>IFERROR(__xludf.DUMMYFUNCTION("""COMPUTED_VALUE"""),44267.66666666667)</f>
        <v>44267.66667</v>
      </c>
      <c r="C840" s="9">
        <f>IFERROR(__xludf.DUMMYFUNCTION("""COMPUTED_VALUE"""),670.0)</f>
        <v>670</v>
      </c>
      <c r="D840" s="11">
        <f>IFERROR(__xludf.DUMMYFUNCTION("""COMPUTED_VALUE"""),44267.66666666667)</f>
        <v>44267.66667</v>
      </c>
      <c r="E840" s="9">
        <f>IFERROR(__xludf.DUMMYFUNCTION("""COMPUTED_VALUE"""),693.73)</f>
        <v>693.73</v>
      </c>
      <c r="G840" s="11">
        <f>IFERROR(__xludf.DUMMYFUNCTION("""COMPUTED_VALUE"""),44267.66666666667)</f>
        <v>44267.66667</v>
      </c>
      <c r="H840" s="9">
        <f>IFERROR(__xludf.DUMMYFUNCTION("""COMPUTED_VALUE"""),2085.0)</f>
        <v>2085</v>
      </c>
      <c r="I840" s="11">
        <f>IFERROR(__xludf.DUMMYFUNCTION("""COMPUTED_VALUE"""),44267.66666666667)</f>
        <v>44267.66667</v>
      </c>
      <c r="J840" s="9">
        <f>IFERROR(__xludf.DUMMYFUNCTION("""COMPUTED_VALUE"""),2061.92)</f>
        <v>2061.92</v>
      </c>
      <c r="L840" s="11">
        <f>IFERROR(__xludf.DUMMYFUNCTION("""COMPUTED_VALUE"""),44267.66666666667)</f>
        <v>44267.66667</v>
      </c>
      <c r="M840" s="9">
        <f>IFERROR(__xludf.DUMMYFUNCTION("""COMPUTED_VALUE"""),120.4)</f>
        <v>120.4</v>
      </c>
      <c r="N840" s="11">
        <f>IFERROR(__xludf.DUMMYFUNCTION("""COMPUTED_VALUE"""),44267.66666666667)</f>
        <v>44267.66667</v>
      </c>
      <c r="O840" s="9">
        <f>IFERROR(__xludf.DUMMYFUNCTION("""COMPUTED_VALUE"""),121.03)</f>
        <v>121.03</v>
      </c>
      <c r="Q840" s="11">
        <f>IFERROR(__xludf.DUMMYFUNCTION("""COMPUTED_VALUE"""),44267.66666666667)</f>
        <v>44267.66667</v>
      </c>
      <c r="R840" s="9">
        <f>IFERROR(__xludf.DUMMYFUNCTION("""COMPUTED_VALUE"""),269.14)</f>
        <v>269.14</v>
      </c>
      <c r="S840" s="11">
        <f>IFERROR(__xludf.DUMMYFUNCTION("""COMPUTED_VALUE"""),44267.66666666667)</f>
        <v>44267.66667</v>
      </c>
      <c r="T840" s="9">
        <f>IFERROR(__xludf.DUMMYFUNCTION("""COMPUTED_VALUE"""),268.4)</f>
        <v>268.4</v>
      </c>
      <c r="V840" s="11">
        <f>IFERROR(__xludf.DUMMYFUNCTION("""COMPUTED_VALUE"""),44267.66666666667)</f>
        <v>44267.66667</v>
      </c>
      <c r="W840" s="9">
        <f>IFERROR(__xludf.DUMMYFUNCTION("""COMPUTED_VALUE"""),512.5)</f>
        <v>512.5</v>
      </c>
      <c r="X840" s="11">
        <f>IFERROR(__xludf.DUMMYFUNCTION("""COMPUTED_VALUE"""),44267.66666666667)</f>
        <v>44267.66667</v>
      </c>
      <c r="Y840" s="9">
        <f>IFERROR(__xludf.DUMMYFUNCTION("""COMPUTED_VALUE"""),518.02)</f>
        <v>518.02</v>
      </c>
      <c r="AA840" s="11">
        <f>IFERROR(__xludf.DUMMYFUNCTION("""COMPUTED_VALUE"""),44267.66666666667)</f>
        <v>44267.66667</v>
      </c>
      <c r="AB840" s="9">
        <f>IFERROR(__xludf.DUMMYFUNCTION("""COMPUTED_VALUE"""),3075.0)</f>
        <v>3075</v>
      </c>
      <c r="AC840" s="11">
        <f>IFERROR(__xludf.DUMMYFUNCTION("""COMPUTED_VALUE"""),44267.66666666667)</f>
        <v>44267.66667</v>
      </c>
      <c r="AD840" s="9">
        <f>IFERROR(__xludf.DUMMYFUNCTION("""COMPUTED_VALUE"""),3089.49)</f>
        <v>3089.49</v>
      </c>
    </row>
    <row r="841">
      <c r="B841" s="11">
        <f>IFERROR(__xludf.DUMMYFUNCTION("""COMPUTED_VALUE"""),44270.66666666667)</f>
        <v>44270.66667</v>
      </c>
      <c r="C841" s="9">
        <f>IFERROR(__xludf.DUMMYFUNCTION("""COMPUTED_VALUE"""),694.09)</f>
        <v>694.09</v>
      </c>
      <c r="D841" s="11">
        <f>IFERROR(__xludf.DUMMYFUNCTION("""COMPUTED_VALUE"""),44270.66666666667)</f>
        <v>44270.66667</v>
      </c>
      <c r="E841" s="9">
        <f>IFERROR(__xludf.DUMMYFUNCTION("""COMPUTED_VALUE"""),707.94)</f>
        <v>707.94</v>
      </c>
      <c r="G841" s="11">
        <f>IFERROR(__xludf.DUMMYFUNCTION("""COMPUTED_VALUE"""),44270.66666666667)</f>
        <v>44270.66667</v>
      </c>
      <c r="H841" s="9">
        <f>IFERROR(__xludf.DUMMYFUNCTION("""COMPUTED_VALUE"""),2062.3)</f>
        <v>2062.3</v>
      </c>
      <c r="I841" s="11">
        <f>IFERROR(__xludf.DUMMYFUNCTION("""COMPUTED_VALUE"""),44270.66666666667)</f>
        <v>44270.66667</v>
      </c>
      <c r="J841" s="9">
        <f>IFERROR(__xludf.DUMMYFUNCTION("""COMPUTED_VALUE"""),2066.49)</f>
        <v>2066.49</v>
      </c>
      <c r="L841" s="11">
        <f>IFERROR(__xludf.DUMMYFUNCTION("""COMPUTED_VALUE"""),44270.66666666667)</f>
        <v>44270.66667</v>
      </c>
      <c r="M841" s="9">
        <f>IFERROR(__xludf.DUMMYFUNCTION("""COMPUTED_VALUE"""),121.41)</f>
        <v>121.41</v>
      </c>
      <c r="N841" s="11">
        <f>IFERROR(__xludf.DUMMYFUNCTION("""COMPUTED_VALUE"""),44270.66666666667)</f>
        <v>44270.66667</v>
      </c>
      <c r="O841" s="9">
        <f>IFERROR(__xludf.DUMMYFUNCTION("""COMPUTED_VALUE"""),123.99)</f>
        <v>123.99</v>
      </c>
      <c r="Q841" s="11">
        <f>IFERROR(__xludf.DUMMYFUNCTION("""COMPUTED_VALUE"""),44270.66666666667)</f>
        <v>44270.66667</v>
      </c>
      <c r="R841" s="9">
        <f>IFERROR(__xludf.DUMMYFUNCTION("""COMPUTED_VALUE"""),269.08)</f>
        <v>269.08</v>
      </c>
      <c r="S841" s="11">
        <f>IFERROR(__xludf.DUMMYFUNCTION("""COMPUTED_VALUE"""),44270.66666666667)</f>
        <v>44270.66667</v>
      </c>
      <c r="T841" s="9">
        <f>IFERROR(__xludf.DUMMYFUNCTION("""COMPUTED_VALUE"""),273.75)</f>
        <v>273.75</v>
      </c>
      <c r="V841" s="11">
        <f>IFERROR(__xludf.DUMMYFUNCTION("""COMPUTED_VALUE"""),44270.66666666667)</f>
        <v>44270.66667</v>
      </c>
      <c r="W841" s="9">
        <f>IFERROR(__xludf.DUMMYFUNCTION("""COMPUTED_VALUE"""),516.32)</f>
        <v>516.32</v>
      </c>
      <c r="X841" s="11">
        <f>IFERROR(__xludf.DUMMYFUNCTION("""COMPUTED_VALUE"""),44270.66666666667)</f>
        <v>44270.66667</v>
      </c>
      <c r="Y841" s="9">
        <f>IFERROR(__xludf.DUMMYFUNCTION("""COMPUTED_VALUE"""),520.25)</f>
        <v>520.25</v>
      </c>
      <c r="AA841" s="11">
        <f>IFERROR(__xludf.DUMMYFUNCTION("""COMPUTED_VALUE"""),44270.66666666667)</f>
        <v>44270.66667</v>
      </c>
      <c r="AB841" s="9">
        <f>IFERROR(__xludf.DUMMYFUNCTION("""COMPUTED_VALUE"""),3074.57)</f>
        <v>3074.57</v>
      </c>
      <c r="AC841" s="11">
        <f>IFERROR(__xludf.DUMMYFUNCTION("""COMPUTED_VALUE"""),44270.66666666667)</f>
        <v>44270.66667</v>
      </c>
      <c r="AD841" s="9">
        <f>IFERROR(__xludf.DUMMYFUNCTION("""COMPUTED_VALUE"""),3081.68)</f>
        <v>3081.68</v>
      </c>
    </row>
    <row r="842">
      <c r="B842" s="11">
        <f>IFERROR(__xludf.DUMMYFUNCTION("""COMPUTED_VALUE"""),44271.66666666667)</f>
        <v>44271.66667</v>
      </c>
      <c r="C842" s="9">
        <f>IFERROR(__xludf.DUMMYFUNCTION("""COMPUTED_VALUE"""),703.35)</f>
        <v>703.35</v>
      </c>
      <c r="D842" s="11">
        <f>IFERROR(__xludf.DUMMYFUNCTION("""COMPUTED_VALUE"""),44271.66666666667)</f>
        <v>44271.66667</v>
      </c>
      <c r="E842" s="9">
        <f>IFERROR(__xludf.DUMMYFUNCTION("""COMPUTED_VALUE"""),676.88)</f>
        <v>676.88</v>
      </c>
      <c r="G842" s="11">
        <f>IFERROR(__xludf.DUMMYFUNCTION("""COMPUTED_VALUE"""),44271.66666666667)</f>
        <v>44271.66667</v>
      </c>
      <c r="H842" s="9">
        <f>IFERROR(__xludf.DUMMYFUNCTION("""COMPUTED_VALUE"""),2078.99)</f>
        <v>2078.99</v>
      </c>
      <c r="I842" s="11">
        <f>IFERROR(__xludf.DUMMYFUNCTION("""COMPUTED_VALUE"""),44271.66666666667)</f>
        <v>44271.66667</v>
      </c>
      <c r="J842" s="9">
        <f>IFERROR(__xludf.DUMMYFUNCTION("""COMPUTED_VALUE"""),2092.52)</f>
        <v>2092.52</v>
      </c>
      <c r="L842" s="11">
        <f>IFERROR(__xludf.DUMMYFUNCTION("""COMPUTED_VALUE"""),44271.66666666667)</f>
        <v>44271.66667</v>
      </c>
      <c r="M842" s="9">
        <f>IFERROR(__xludf.DUMMYFUNCTION("""COMPUTED_VALUE"""),125.7)</f>
        <v>125.7</v>
      </c>
      <c r="N842" s="11">
        <f>IFERROR(__xludf.DUMMYFUNCTION("""COMPUTED_VALUE"""),44271.66666666667)</f>
        <v>44271.66667</v>
      </c>
      <c r="O842" s="9">
        <f>IFERROR(__xludf.DUMMYFUNCTION("""COMPUTED_VALUE"""),125.57)</f>
        <v>125.57</v>
      </c>
      <c r="Q842" s="11">
        <f>IFERROR(__xludf.DUMMYFUNCTION("""COMPUTED_VALUE"""),44271.66666666667)</f>
        <v>44271.66667</v>
      </c>
      <c r="R842" s="9">
        <f>IFERROR(__xludf.DUMMYFUNCTION("""COMPUTED_VALUE"""),276.08)</f>
        <v>276.08</v>
      </c>
      <c r="S842" s="11">
        <f>IFERROR(__xludf.DUMMYFUNCTION("""COMPUTED_VALUE"""),44271.66666666667)</f>
        <v>44271.66667</v>
      </c>
      <c r="T842" s="9">
        <f>IFERROR(__xludf.DUMMYFUNCTION("""COMPUTED_VALUE"""),279.28)</f>
        <v>279.28</v>
      </c>
      <c r="V842" s="11">
        <f>IFERROR(__xludf.DUMMYFUNCTION("""COMPUTED_VALUE"""),44271.66666666667)</f>
        <v>44271.66667</v>
      </c>
      <c r="W842" s="9">
        <f>IFERROR(__xludf.DUMMYFUNCTION("""COMPUTED_VALUE"""),524.47)</f>
        <v>524.47</v>
      </c>
      <c r="X842" s="11">
        <f>IFERROR(__xludf.DUMMYFUNCTION("""COMPUTED_VALUE"""),44271.66666666667)</f>
        <v>44271.66667</v>
      </c>
      <c r="Y842" s="9">
        <f>IFERROR(__xludf.DUMMYFUNCTION("""COMPUTED_VALUE"""),524.03)</f>
        <v>524.03</v>
      </c>
      <c r="AA842" s="11">
        <f>IFERROR(__xludf.DUMMYFUNCTION("""COMPUTED_VALUE"""),44271.66666666667)</f>
        <v>44271.66667</v>
      </c>
      <c r="AB842" s="9">
        <f>IFERROR(__xludf.DUMMYFUNCTION("""COMPUTED_VALUE"""),3104.97)</f>
        <v>3104.97</v>
      </c>
      <c r="AC842" s="11">
        <f>IFERROR(__xludf.DUMMYFUNCTION("""COMPUTED_VALUE"""),44271.66666666667)</f>
        <v>44271.66667</v>
      </c>
      <c r="AD842" s="9">
        <f>IFERROR(__xludf.DUMMYFUNCTION("""COMPUTED_VALUE"""),3091.86)</f>
        <v>3091.86</v>
      </c>
    </row>
    <row r="843">
      <c r="B843" s="11">
        <f>IFERROR(__xludf.DUMMYFUNCTION("""COMPUTED_VALUE"""),44272.66666666667)</f>
        <v>44272.66667</v>
      </c>
      <c r="C843" s="9">
        <f>IFERROR(__xludf.DUMMYFUNCTION("""COMPUTED_VALUE"""),656.87)</f>
        <v>656.87</v>
      </c>
      <c r="D843" s="11">
        <f>IFERROR(__xludf.DUMMYFUNCTION("""COMPUTED_VALUE"""),44272.66666666667)</f>
        <v>44272.66667</v>
      </c>
      <c r="E843" s="9">
        <f>IFERROR(__xludf.DUMMYFUNCTION("""COMPUTED_VALUE"""),701.81)</f>
        <v>701.81</v>
      </c>
      <c r="G843" s="11">
        <f>IFERROR(__xludf.DUMMYFUNCTION("""COMPUTED_VALUE"""),44272.66666666667)</f>
        <v>44272.66667</v>
      </c>
      <c r="H843" s="9">
        <f>IFERROR(__xludf.DUMMYFUNCTION("""COMPUTED_VALUE"""),2076.03)</f>
        <v>2076.03</v>
      </c>
      <c r="I843" s="11">
        <f>IFERROR(__xludf.DUMMYFUNCTION("""COMPUTED_VALUE"""),44272.66666666667)</f>
        <v>44272.66667</v>
      </c>
      <c r="J843" s="9">
        <f>IFERROR(__xludf.DUMMYFUNCTION("""COMPUTED_VALUE"""),2091.08)</f>
        <v>2091.08</v>
      </c>
      <c r="L843" s="11">
        <f>IFERROR(__xludf.DUMMYFUNCTION("""COMPUTED_VALUE"""),44272.66666666667)</f>
        <v>44272.66667</v>
      </c>
      <c r="M843" s="9">
        <f>IFERROR(__xludf.DUMMYFUNCTION("""COMPUTED_VALUE"""),124.05)</f>
        <v>124.05</v>
      </c>
      <c r="N843" s="11">
        <f>IFERROR(__xludf.DUMMYFUNCTION("""COMPUTED_VALUE"""),44272.66666666667)</f>
        <v>44272.66667</v>
      </c>
      <c r="O843" s="9">
        <f>IFERROR(__xludf.DUMMYFUNCTION("""COMPUTED_VALUE"""),124.76)</f>
        <v>124.76</v>
      </c>
      <c r="Q843" s="11">
        <f>IFERROR(__xludf.DUMMYFUNCTION("""COMPUTED_VALUE"""),44272.66666666667)</f>
        <v>44272.66667</v>
      </c>
      <c r="R843" s="9">
        <f>IFERROR(__xludf.DUMMYFUNCTION("""COMPUTED_VALUE"""),275.71)</f>
        <v>275.71</v>
      </c>
      <c r="S843" s="11">
        <f>IFERROR(__xludf.DUMMYFUNCTION("""COMPUTED_VALUE"""),44272.66666666667)</f>
        <v>44272.66667</v>
      </c>
      <c r="T843" s="9">
        <f>IFERROR(__xludf.DUMMYFUNCTION("""COMPUTED_VALUE"""),284.01)</f>
        <v>284.01</v>
      </c>
      <c r="V843" s="11">
        <f>IFERROR(__xludf.DUMMYFUNCTION("""COMPUTED_VALUE"""),44272.66666666667)</f>
        <v>44272.66667</v>
      </c>
      <c r="W843" s="9">
        <f>IFERROR(__xludf.DUMMYFUNCTION("""COMPUTED_VALUE"""),522.0)</f>
        <v>522</v>
      </c>
      <c r="X843" s="11">
        <f>IFERROR(__xludf.DUMMYFUNCTION("""COMPUTED_VALUE"""),44272.66666666667)</f>
        <v>44272.66667</v>
      </c>
      <c r="Y843" s="9">
        <f>IFERROR(__xludf.DUMMYFUNCTION("""COMPUTED_VALUE"""),524.44)</f>
        <v>524.44</v>
      </c>
      <c r="AA843" s="11">
        <f>IFERROR(__xludf.DUMMYFUNCTION("""COMPUTED_VALUE"""),44272.66666666667)</f>
        <v>44272.66667</v>
      </c>
      <c r="AB843" s="9">
        <f>IFERROR(__xludf.DUMMYFUNCTION("""COMPUTED_VALUE"""),3073.22)</f>
        <v>3073.22</v>
      </c>
      <c r="AC843" s="11">
        <f>IFERROR(__xludf.DUMMYFUNCTION("""COMPUTED_VALUE"""),44272.66666666667)</f>
        <v>44272.66667</v>
      </c>
      <c r="AD843" s="9">
        <f>IFERROR(__xludf.DUMMYFUNCTION("""COMPUTED_VALUE"""),3135.73)</f>
        <v>3135.73</v>
      </c>
    </row>
    <row r="844">
      <c r="B844" s="11">
        <f>IFERROR(__xludf.DUMMYFUNCTION("""COMPUTED_VALUE"""),44273.66666666667)</f>
        <v>44273.66667</v>
      </c>
      <c r="C844" s="9">
        <f>IFERROR(__xludf.DUMMYFUNCTION("""COMPUTED_VALUE"""),684.29)</f>
        <v>684.29</v>
      </c>
      <c r="D844" s="11">
        <f>IFERROR(__xludf.DUMMYFUNCTION("""COMPUTED_VALUE"""),44273.66666666667)</f>
        <v>44273.66667</v>
      </c>
      <c r="E844" s="9">
        <f>IFERROR(__xludf.DUMMYFUNCTION("""COMPUTED_VALUE"""),653.16)</f>
        <v>653.16</v>
      </c>
      <c r="G844" s="11">
        <f>IFERROR(__xludf.DUMMYFUNCTION("""COMPUTED_VALUE"""),44273.66666666667)</f>
        <v>44273.66667</v>
      </c>
      <c r="H844" s="9">
        <f>IFERROR(__xludf.DUMMYFUNCTION("""COMPUTED_VALUE"""),2061.0)</f>
        <v>2061</v>
      </c>
      <c r="I844" s="11">
        <f>IFERROR(__xludf.DUMMYFUNCTION("""COMPUTED_VALUE"""),44273.66666666667)</f>
        <v>44273.66667</v>
      </c>
      <c r="J844" s="9">
        <f>IFERROR(__xludf.DUMMYFUNCTION("""COMPUTED_VALUE"""),2036.22)</f>
        <v>2036.22</v>
      </c>
      <c r="L844" s="11">
        <f>IFERROR(__xludf.DUMMYFUNCTION("""COMPUTED_VALUE"""),44273.66666666667)</f>
        <v>44273.66667</v>
      </c>
      <c r="M844" s="9">
        <f>IFERROR(__xludf.DUMMYFUNCTION("""COMPUTED_VALUE"""),122.88)</f>
        <v>122.88</v>
      </c>
      <c r="N844" s="11">
        <f>IFERROR(__xludf.DUMMYFUNCTION("""COMPUTED_VALUE"""),44273.66666666667)</f>
        <v>44273.66667</v>
      </c>
      <c r="O844" s="9">
        <f>IFERROR(__xludf.DUMMYFUNCTION("""COMPUTED_VALUE"""),120.53)</f>
        <v>120.53</v>
      </c>
      <c r="Q844" s="11">
        <f>IFERROR(__xludf.DUMMYFUNCTION("""COMPUTED_VALUE"""),44273.66666666667)</f>
        <v>44273.66667</v>
      </c>
      <c r="R844" s="9">
        <f>IFERROR(__xludf.DUMMYFUNCTION("""COMPUTED_VALUE"""),279.87)</f>
        <v>279.87</v>
      </c>
      <c r="S844" s="11">
        <f>IFERROR(__xludf.DUMMYFUNCTION("""COMPUTED_VALUE"""),44273.66666666667)</f>
        <v>44273.66667</v>
      </c>
      <c r="T844" s="9">
        <f>IFERROR(__xludf.DUMMYFUNCTION("""COMPUTED_VALUE"""),278.62)</f>
        <v>278.62</v>
      </c>
      <c r="V844" s="11">
        <f>IFERROR(__xludf.DUMMYFUNCTION("""COMPUTED_VALUE"""),44273.66666666667)</f>
        <v>44273.66667</v>
      </c>
      <c r="W844" s="9">
        <f>IFERROR(__xludf.DUMMYFUNCTION("""COMPUTED_VALUE"""),516.4)</f>
        <v>516.4</v>
      </c>
      <c r="X844" s="11">
        <f>IFERROR(__xludf.DUMMYFUNCTION("""COMPUTED_VALUE"""),44273.66666666667)</f>
        <v>44273.66667</v>
      </c>
      <c r="Y844" s="9">
        <f>IFERROR(__xludf.DUMMYFUNCTION("""COMPUTED_VALUE"""),504.79)</f>
        <v>504.79</v>
      </c>
      <c r="AA844" s="11">
        <f>IFERROR(__xludf.DUMMYFUNCTION("""COMPUTED_VALUE"""),44273.66666666667)</f>
        <v>44273.66667</v>
      </c>
      <c r="AB844" s="9">
        <f>IFERROR(__xludf.DUMMYFUNCTION("""COMPUTED_VALUE"""),3101.0)</f>
        <v>3101</v>
      </c>
      <c r="AC844" s="11">
        <f>IFERROR(__xludf.DUMMYFUNCTION("""COMPUTED_VALUE"""),44273.66666666667)</f>
        <v>44273.66667</v>
      </c>
      <c r="AD844" s="9">
        <f>IFERROR(__xludf.DUMMYFUNCTION("""COMPUTED_VALUE"""),3027.99)</f>
        <v>3027.99</v>
      </c>
    </row>
    <row r="845">
      <c r="B845" s="11">
        <f>IFERROR(__xludf.DUMMYFUNCTION("""COMPUTED_VALUE"""),44274.66666666667)</f>
        <v>44274.66667</v>
      </c>
      <c r="C845" s="9">
        <f>IFERROR(__xludf.DUMMYFUNCTION("""COMPUTED_VALUE"""),646.6)</f>
        <v>646.6</v>
      </c>
      <c r="D845" s="11">
        <f>IFERROR(__xludf.DUMMYFUNCTION("""COMPUTED_VALUE"""),44274.66666666667)</f>
        <v>44274.66667</v>
      </c>
      <c r="E845" s="9">
        <f>IFERROR(__xludf.DUMMYFUNCTION("""COMPUTED_VALUE"""),654.87)</f>
        <v>654.87</v>
      </c>
      <c r="G845" s="11">
        <f>IFERROR(__xludf.DUMMYFUNCTION("""COMPUTED_VALUE"""),44274.66666666667)</f>
        <v>44274.66667</v>
      </c>
      <c r="H845" s="9">
        <f>IFERROR(__xludf.DUMMYFUNCTION("""COMPUTED_VALUE"""),2042.05)</f>
        <v>2042.05</v>
      </c>
      <c r="I845" s="11">
        <f>IFERROR(__xludf.DUMMYFUNCTION("""COMPUTED_VALUE"""),44274.66666666667)</f>
        <v>44274.66667</v>
      </c>
      <c r="J845" s="9">
        <f>IFERROR(__xludf.DUMMYFUNCTION("""COMPUTED_VALUE"""),2043.2)</f>
        <v>2043.2</v>
      </c>
      <c r="L845" s="11">
        <f>IFERROR(__xludf.DUMMYFUNCTION("""COMPUTED_VALUE"""),44274.66666666667)</f>
        <v>44274.66667</v>
      </c>
      <c r="M845" s="9">
        <f>IFERROR(__xludf.DUMMYFUNCTION("""COMPUTED_VALUE"""),119.9)</f>
        <v>119.9</v>
      </c>
      <c r="N845" s="11">
        <f>IFERROR(__xludf.DUMMYFUNCTION("""COMPUTED_VALUE"""),44274.66666666667)</f>
        <v>44274.66667</v>
      </c>
      <c r="O845" s="9">
        <f>IFERROR(__xludf.DUMMYFUNCTION("""COMPUTED_VALUE"""),119.99)</f>
        <v>119.99</v>
      </c>
      <c r="Q845" s="11">
        <f>IFERROR(__xludf.DUMMYFUNCTION("""COMPUTED_VALUE"""),44274.66666666667)</f>
        <v>44274.66667</v>
      </c>
      <c r="R845" s="9">
        <f>IFERROR(__xludf.DUMMYFUNCTION("""COMPUTED_VALUE"""),281.22)</f>
        <v>281.22</v>
      </c>
      <c r="S845" s="11">
        <f>IFERROR(__xludf.DUMMYFUNCTION("""COMPUTED_VALUE"""),44274.66666666667)</f>
        <v>44274.66667</v>
      </c>
      <c r="T845" s="9">
        <f>IFERROR(__xludf.DUMMYFUNCTION("""COMPUTED_VALUE"""),290.11)</f>
        <v>290.11</v>
      </c>
      <c r="V845" s="11">
        <f>IFERROR(__xludf.DUMMYFUNCTION("""COMPUTED_VALUE"""),44274.66666666667)</f>
        <v>44274.66667</v>
      </c>
      <c r="W845" s="9">
        <f>IFERROR(__xludf.DUMMYFUNCTION("""COMPUTED_VALUE"""),504.96)</f>
        <v>504.96</v>
      </c>
      <c r="X845" s="11">
        <f>IFERROR(__xludf.DUMMYFUNCTION("""COMPUTED_VALUE"""),44274.66666666667)</f>
        <v>44274.66667</v>
      </c>
      <c r="Y845" s="9">
        <f>IFERROR(__xludf.DUMMYFUNCTION("""COMPUTED_VALUE"""),512.18)</f>
        <v>512.18</v>
      </c>
      <c r="AA845" s="11">
        <f>IFERROR(__xludf.DUMMYFUNCTION("""COMPUTED_VALUE"""),44274.66666666667)</f>
        <v>44274.66667</v>
      </c>
      <c r="AB845" s="9">
        <f>IFERROR(__xludf.DUMMYFUNCTION("""COMPUTED_VALUE"""),3029.23)</f>
        <v>3029.23</v>
      </c>
      <c r="AC845" s="11">
        <f>IFERROR(__xludf.DUMMYFUNCTION("""COMPUTED_VALUE"""),44274.66666666667)</f>
        <v>44274.66667</v>
      </c>
      <c r="AD845" s="9">
        <f>IFERROR(__xludf.DUMMYFUNCTION("""COMPUTED_VALUE"""),3074.96)</f>
        <v>3074.96</v>
      </c>
    </row>
    <row r="846">
      <c r="B846" s="11">
        <f>IFERROR(__xludf.DUMMYFUNCTION("""COMPUTED_VALUE"""),44277.66666666667)</f>
        <v>44277.66667</v>
      </c>
      <c r="C846" s="9">
        <f>IFERROR(__xludf.DUMMYFUNCTION("""COMPUTED_VALUE"""),684.59)</f>
        <v>684.59</v>
      </c>
      <c r="D846" s="11">
        <f>IFERROR(__xludf.DUMMYFUNCTION("""COMPUTED_VALUE"""),44277.66666666667)</f>
        <v>44277.66667</v>
      </c>
      <c r="E846" s="9">
        <f>IFERROR(__xludf.DUMMYFUNCTION("""COMPUTED_VALUE"""),670.0)</f>
        <v>670</v>
      </c>
      <c r="G846" s="11">
        <f>IFERROR(__xludf.DUMMYFUNCTION("""COMPUTED_VALUE"""),44277.66666666667)</f>
        <v>44277.66667</v>
      </c>
      <c r="H846" s="9">
        <f>IFERROR(__xludf.DUMMYFUNCTION("""COMPUTED_VALUE"""),2041.84)</f>
        <v>2041.84</v>
      </c>
      <c r="I846" s="11">
        <f>IFERROR(__xludf.DUMMYFUNCTION("""COMPUTED_VALUE"""),44277.66666666667)</f>
        <v>44277.66667</v>
      </c>
      <c r="J846" s="9">
        <f>IFERROR(__xludf.DUMMYFUNCTION("""COMPUTED_VALUE"""),2038.59)</f>
        <v>2038.59</v>
      </c>
      <c r="L846" s="11">
        <f>IFERROR(__xludf.DUMMYFUNCTION("""COMPUTED_VALUE"""),44277.66666666667)</f>
        <v>44277.66667</v>
      </c>
      <c r="M846" s="9">
        <f>IFERROR(__xludf.DUMMYFUNCTION("""COMPUTED_VALUE"""),120.33)</f>
        <v>120.33</v>
      </c>
      <c r="N846" s="11">
        <f>IFERROR(__xludf.DUMMYFUNCTION("""COMPUTED_VALUE"""),44277.66666666667)</f>
        <v>44277.66667</v>
      </c>
      <c r="O846" s="9">
        <f>IFERROR(__xludf.DUMMYFUNCTION("""COMPUTED_VALUE"""),123.39)</f>
        <v>123.39</v>
      </c>
      <c r="Q846" s="11">
        <f>IFERROR(__xludf.DUMMYFUNCTION("""COMPUTED_VALUE"""),44277.66666666667)</f>
        <v>44277.66667</v>
      </c>
      <c r="R846" s="9">
        <f>IFERROR(__xludf.DUMMYFUNCTION("""COMPUTED_VALUE"""),290.45)</f>
        <v>290.45</v>
      </c>
      <c r="S846" s="11">
        <f>IFERROR(__xludf.DUMMYFUNCTION("""COMPUTED_VALUE"""),44277.66666666667)</f>
        <v>44277.66667</v>
      </c>
      <c r="T846" s="9">
        <f>IFERROR(__xludf.DUMMYFUNCTION("""COMPUTED_VALUE"""),293.54)</f>
        <v>293.54</v>
      </c>
      <c r="V846" s="11">
        <f>IFERROR(__xludf.DUMMYFUNCTION("""COMPUTED_VALUE"""),44277.66666666667)</f>
        <v>44277.66667</v>
      </c>
      <c r="W846" s="9">
        <f>IFERROR(__xludf.DUMMYFUNCTION("""COMPUTED_VALUE"""),509.13)</f>
        <v>509.13</v>
      </c>
      <c r="X846" s="11">
        <f>IFERROR(__xludf.DUMMYFUNCTION("""COMPUTED_VALUE"""),44277.66666666667)</f>
        <v>44277.66667</v>
      </c>
      <c r="Y846" s="9">
        <f>IFERROR(__xludf.DUMMYFUNCTION("""COMPUTED_VALUE"""),523.11)</f>
        <v>523.11</v>
      </c>
      <c r="AA846" s="11">
        <f>IFERROR(__xludf.DUMMYFUNCTION("""COMPUTED_VALUE"""),44277.66666666667)</f>
        <v>44277.66667</v>
      </c>
      <c r="AB846" s="9">
        <f>IFERROR(__xludf.DUMMYFUNCTION("""COMPUTED_VALUE"""),3067.85)</f>
        <v>3067.85</v>
      </c>
      <c r="AC846" s="11">
        <f>IFERROR(__xludf.DUMMYFUNCTION("""COMPUTED_VALUE"""),44277.66666666667)</f>
        <v>44277.66667</v>
      </c>
      <c r="AD846" s="9">
        <f>IFERROR(__xludf.DUMMYFUNCTION("""COMPUTED_VALUE"""),3110.87)</f>
        <v>3110.87</v>
      </c>
    </row>
    <row r="847">
      <c r="B847" s="11">
        <f>IFERROR(__xludf.DUMMYFUNCTION("""COMPUTED_VALUE"""),44278.66666666667)</f>
        <v>44278.66667</v>
      </c>
      <c r="C847" s="9">
        <f>IFERROR(__xludf.DUMMYFUNCTION("""COMPUTED_VALUE"""),675.77)</f>
        <v>675.77</v>
      </c>
      <c r="D847" s="11">
        <f>IFERROR(__xludf.DUMMYFUNCTION("""COMPUTED_VALUE"""),44278.66666666667)</f>
        <v>44278.66667</v>
      </c>
      <c r="E847" s="9">
        <f>IFERROR(__xludf.DUMMYFUNCTION("""COMPUTED_VALUE"""),662.16)</f>
        <v>662.16</v>
      </c>
      <c r="G847" s="11">
        <f>IFERROR(__xludf.DUMMYFUNCTION("""COMPUTED_VALUE"""),44278.66666666667)</f>
        <v>44278.66667</v>
      </c>
      <c r="H847" s="9">
        <f>IFERROR(__xludf.DUMMYFUNCTION("""COMPUTED_VALUE"""),2051.7)</f>
        <v>2051.7</v>
      </c>
      <c r="I847" s="11">
        <f>IFERROR(__xludf.DUMMYFUNCTION("""COMPUTED_VALUE"""),44278.66666666667)</f>
        <v>44278.66667</v>
      </c>
      <c r="J847" s="9">
        <f>IFERROR(__xludf.DUMMYFUNCTION("""COMPUTED_VALUE"""),2052.96)</f>
        <v>2052.96</v>
      </c>
      <c r="L847" s="11">
        <f>IFERROR(__xludf.DUMMYFUNCTION("""COMPUTED_VALUE"""),44278.66666666667)</f>
        <v>44278.66667</v>
      </c>
      <c r="M847" s="9">
        <f>IFERROR(__xludf.DUMMYFUNCTION("""COMPUTED_VALUE"""),123.33)</f>
        <v>123.33</v>
      </c>
      <c r="N847" s="11">
        <f>IFERROR(__xludf.DUMMYFUNCTION("""COMPUTED_VALUE"""),44278.66666666667)</f>
        <v>44278.66667</v>
      </c>
      <c r="O847" s="9">
        <f>IFERROR(__xludf.DUMMYFUNCTION("""COMPUTED_VALUE"""),122.54)</f>
        <v>122.54</v>
      </c>
      <c r="Q847" s="11">
        <f>IFERROR(__xludf.DUMMYFUNCTION("""COMPUTED_VALUE"""),44278.66666666667)</f>
        <v>44278.66667</v>
      </c>
      <c r="R847" s="9">
        <f>IFERROR(__xludf.DUMMYFUNCTION("""COMPUTED_VALUE"""),293.15)</f>
        <v>293.15</v>
      </c>
      <c r="S847" s="11">
        <f>IFERROR(__xludf.DUMMYFUNCTION("""COMPUTED_VALUE"""),44278.66666666667)</f>
        <v>44278.66667</v>
      </c>
      <c r="T847" s="9">
        <f>IFERROR(__xludf.DUMMYFUNCTION("""COMPUTED_VALUE"""),290.63)</f>
        <v>290.63</v>
      </c>
      <c r="V847" s="11">
        <f>IFERROR(__xludf.DUMMYFUNCTION("""COMPUTED_VALUE"""),44278.66666666667)</f>
        <v>44278.66667</v>
      </c>
      <c r="W847" s="9">
        <f>IFERROR(__xludf.DUMMYFUNCTION("""COMPUTED_VALUE"""),529.87)</f>
        <v>529.87</v>
      </c>
      <c r="X847" s="11">
        <f>IFERROR(__xludf.DUMMYFUNCTION("""COMPUTED_VALUE"""),44278.66666666667)</f>
        <v>44278.66667</v>
      </c>
      <c r="Y847" s="9">
        <f>IFERROR(__xludf.DUMMYFUNCTION("""COMPUTED_VALUE"""),535.09)</f>
        <v>535.09</v>
      </c>
      <c r="AA847" s="11">
        <f>IFERROR(__xludf.DUMMYFUNCTION("""COMPUTED_VALUE"""),44278.66666666667)</f>
        <v>44278.66667</v>
      </c>
      <c r="AB847" s="9">
        <f>IFERROR(__xludf.DUMMYFUNCTION("""COMPUTED_VALUE"""),3127.0)</f>
        <v>3127</v>
      </c>
      <c r="AC847" s="11">
        <f>IFERROR(__xludf.DUMMYFUNCTION("""COMPUTED_VALUE"""),44278.66666666667)</f>
        <v>44278.66667</v>
      </c>
      <c r="AD847" s="9">
        <f>IFERROR(__xludf.DUMMYFUNCTION("""COMPUTED_VALUE"""),3137.5)</f>
        <v>3137.5</v>
      </c>
    </row>
    <row r="848">
      <c r="B848" s="11">
        <f>IFERROR(__xludf.DUMMYFUNCTION("""COMPUTED_VALUE"""),44279.66666666667)</f>
        <v>44279.66667</v>
      </c>
      <c r="C848" s="9">
        <f>IFERROR(__xludf.DUMMYFUNCTION("""COMPUTED_VALUE"""),667.91)</f>
        <v>667.91</v>
      </c>
      <c r="D848" s="11">
        <f>IFERROR(__xludf.DUMMYFUNCTION("""COMPUTED_VALUE"""),44279.66666666667)</f>
        <v>44279.66667</v>
      </c>
      <c r="E848" s="9">
        <f>IFERROR(__xludf.DUMMYFUNCTION("""COMPUTED_VALUE"""),630.27)</f>
        <v>630.27</v>
      </c>
      <c r="G848" s="11">
        <f>IFERROR(__xludf.DUMMYFUNCTION("""COMPUTED_VALUE"""),44279.66666666667)</f>
        <v>44279.66667</v>
      </c>
      <c r="H848" s="9">
        <f>IFERROR(__xludf.DUMMYFUNCTION("""COMPUTED_VALUE"""),2065.37)</f>
        <v>2065.37</v>
      </c>
      <c r="I848" s="11">
        <f>IFERROR(__xludf.DUMMYFUNCTION("""COMPUTED_VALUE"""),44279.66666666667)</f>
        <v>44279.66667</v>
      </c>
      <c r="J848" s="9">
        <f>IFERROR(__xludf.DUMMYFUNCTION("""COMPUTED_VALUE"""),2045.06)</f>
        <v>2045.06</v>
      </c>
      <c r="L848" s="11">
        <f>IFERROR(__xludf.DUMMYFUNCTION("""COMPUTED_VALUE"""),44279.66666666667)</f>
        <v>44279.66667</v>
      </c>
      <c r="M848" s="9">
        <f>IFERROR(__xludf.DUMMYFUNCTION("""COMPUTED_VALUE"""),122.82)</f>
        <v>122.82</v>
      </c>
      <c r="N848" s="11">
        <f>IFERROR(__xludf.DUMMYFUNCTION("""COMPUTED_VALUE"""),44279.66666666667)</f>
        <v>44279.66667</v>
      </c>
      <c r="O848" s="9">
        <f>IFERROR(__xludf.DUMMYFUNCTION("""COMPUTED_VALUE"""),120.09)</f>
        <v>120.09</v>
      </c>
      <c r="Q848" s="11">
        <f>IFERROR(__xludf.DUMMYFUNCTION("""COMPUTED_VALUE"""),44279.66666666667)</f>
        <v>44279.66667</v>
      </c>
      <c r="R848" s="9">
        <f>IFERROR(__xludf.DUMMYFUNCTION("""COMPUTED_VALUE"""),291.0)</f>
        <v>291</v>
      </c>
      <c r="S848" s="11">
        <f>IFERROR(__xludf.DUMMYFUNCTION("""COMPUTED_VALUE"""),44279.66666666667)</f>
        <v>44279.66667</v>
      </c>
      <c r="T848" s="9">
        <f>IFERROR(__xludf.DUMMYFUNCTION("""COMPUTED_VALUE"""),282.14)</f>
        <v>282.14</v>
      </c>
      <c r="V848" s="11">
        <f>IFERROR(__xludf.DUMMYFUNCTION("""COMPUTED_VALUE"""),44279.66666666667)</f>
        <v>44279.66667</v>
      </c>
      <c r="W848" s="9">
        <f>IFERROR(__xludf.DUMMYFUNCTION("""COMPUTED_VALUE"""),533.78)</f>
        <v>533.78</v>
      </c>
      <c r="X848" s="11">
        <f>IFERROR(__xludf.DUMMYFUNCTION("""COMPUTED_VALUE"""),44279.66666666667)</f>
        <v>44279.66667</v>
      </c>
      <c r="Y848" s="9">
        <f>IFERROR(__xludf.DUMMYFUNCTION("""COMPUTED_VALUE"""),520.81)</f>
        <v>520.81</v>
      </c>
      <c r="AA848" s="11">
        <f>IFERROR(__xludf.DUMMYFUNCTION("""COMPUTED_VALUE"""),44279.66666666667)</f>
        <v>44279.66667</v>
      </c>
      <c r="AB848" s="9">
        <f>IFERROR(__xludf.DUMMYFUNCTION("""COMPUTED_VALUE"""),3151.04)</f>
        <v>3151.04</v>
      </c>
      <c r="AC848" s="11">
        <f>IFERROR(__xludf.DUMMYFUNCTION("""COMPUTED_VALUE"""),44279.66666666667)</f>
        <v>44279.66667</v>
      </c>
      <c r="AD848" s="9">
        <f>IFERROR(__xludf.DUMMYFUNCTION("""COMPUTED_VALUE"""),3087.07)</f>
        <v>3087.07</v>
      </c>
    </row>
    <row r="849">
      <c r="B849" s="11">
        <f>IFERROR(__xludf.DUMMYFUNCTION("""COMPUTED_VALUE"""),44280.66666666667)</f>
        <v>44280.66667</v>
      </c>
      <c r="C849" s="9">
        <f>IFERROR(__xludf.DUMMYFUNCTION("""COMPUTED_VALUE"""),613.0)</f>
        <v>613</v>
      </c>
      <c r="D849" s="11">
        <f>IFERROR(__xludf.DUMMYFUNCTION("""COMPUTED_VALUE"""),44280.66666666667)</f>
        <v>44280.66667</v>
      </c>
      <c r="E849" s="9">
        <f>IFERROR(__xludf.DUMMYFUNCTION("""COMPUTED_VALUE"""),640.39)</f>
        <v>640.39</v>
      </c>
      <c r="G849" s="11">
        <f>IFERROR(__xludf.DUMMYFUNCTION("""COMPUTED_VALUE"""),44280.66666666667)</f>
        <v>44280.66667</v>
      </c>
      <c r="H849" s="9">
        <f>IFERROR(__xludf.DUMMYFUNCTION("""COMPUTED_VALUE"""),2044.81)</f>
        <v>2044.81</v>
      </c>
      <c r="I849" s="11">
        <f>IFERROR(__xludf.DUMMYFUNCTION("""COMPUTED_VALUE"""),44280.66666666667)</f>
        <v>44280.66667</v>
      </c>
      <c r="J849" s="9">
        <f>IFERROR(__xludf.DUMMYFUNCTION("""COMPUTED_VALUE"""),2044.36)</f>
        <v>2044.36</v>
      </c>
      <c r="L849" s="11">
        <f>IFERROR(__xludf.DUMMYFUNCTION("""COMPUTED_VALUE"""),44280.66666666667)</f>
        <v>44280.66667</v>
      </c>
      <c r="M849" s="9">
        <f>IFERROR(__xludf.DUMMYFUNCTION("""COMPUTED_VALUE"""),119.54)</f>
        <v>119.54</v>
      </c>
      <c r="N849" s="11">
        <f>IFERROR(__xludf.DUMMYFUNCTION("""COMPUTED_VALUE"""),44280.66666666667)</f>
        <v>44280.66667</v>
      </c>
      <c r="O849" s="9">
        <f>IFERROR(__xludf.DUMMYFUNCTION("""COMPUTED_VALUE"""),120.59)</f>
        <v>120.59</v>
      </c>
      <c r="Q849" s="11">
        <f>IFERROR(__xludf.DUMMYFUNCTION("""COMPUTED_VALUE"""),44280.66666666667)</f>
        <v>44280.66667</v>
      </c>
      <c r="R849" s="9">
        <f>IFERROR(__xludf.DUMMYFUNCTION("""COMPUTED_VALUE"""),280.98)</f>
        <v>280.98</v>
      </c>
      <c r="S849" s="11">
        <f>IFERROR(__xludf.DUMMYFUNCTION("""COMPUTED_VALUE"""),44280.66666666667)</f>
        <v>44280.66667</v>
      </c>
      <c r="T849" s="9">
        <f>IFERROR(__xludf.DUMMYFUNCTION("""COMPUTED_VALUE"""),278.74)</f>
        <v>278.74</v>
      </c>
      <c r="V849" s="11">
        <f>IFERROR(__xludf.DUMMYFUNCTION("""COMPUTED_VALUE"""),44280.66666666667)</f>
        <v>44280.66667</v>
      </c>
      <c r="W849" s="9">
        <f>IFERROR(__xludf.DUMMYFUNCTION("""COMPUTED_VALUE"""),516.99)</f>
        <v>516.99</v>
      </c>
      <c r="X849" s="11">
        <f>IFERROR(__xludf.DUMMYFUNCTION("""COMPUTED_VALUE"""),44280.66666666667)</f>
        <v>44280.66667</v>
      </c>
      <c r="Y849" s="9">
        <f>IFERROR(__xludf.DUMMYFUNCTION("""COMPUTED_VALUE"""),502.86)</f>
        <v>502.86</v>
      </c>
      <c r="AA849" s="11">
        <f>IFERROR(__xludf.DUMMYFUNCTION("""COMPUTED_VALUE"""),44280.66666666667)</f>
        <v>44280.66667</v>
      </c>
      <c r="AB849" s="9">
        <f>IFERROR(__xludf.DUMMYFUNCTION("""COMPUTED_VALUE"""),3072.99)</f>
        <v>3072.99</v>
      </c>
      <c r="AC849" s="11">
        <f>IFERROR(__xludf.DUMMYFUNCTION("""COMPUTED_VALUE"""),44280.66666666667)</f>
        <v>44280.66667</v>
      </c>
      <c r="AD849" s="9">
        <f>IFERROR(__xludf.DUMMYFUNCTION("""COMPUTED_VALUE"""),3046.26)</f>
        <v>3046.26</v>
      </c>
    </row>
    <row r="850">
      <c r="B850" s="11">
        <f>IFERROR(__xludf.DUMMYFUNCTION("""COMPUTED_VALUE"""),44281.66666666667)</f>
        <v>44281.66667</v>
      </c>
      <c r="C850" s="9">
        <f>IFERROR(__xludf.DUMMYFUNCTION("""COMPUTED_VALUE"""),641.87)</f>
        <v>641.87</v>
      </c>
      <c r="D850" s="11">
        <f>IFERROR(__xludf.DUMMYFUNCTION("""COMPUTED_VALUE"""),44281.66666666667)</f>
        <v>44281.66667</v>
      </c>
      <c r="E850" s="9">
        <f>IFERROR(__xludf.DUMMYFUNCTION("""COMPUTED_VALUE"""),618.71)</f>
        <v>618.71</v>
      </c>
      <c r="G850" s="11">
        <f>IFERROR(__xludf.DUMMYFUNCTION("""COMPUTED_VALUE"""),44281.66666666667)</f>
        <v>44281.66667</v>
      </c>
      <c r="H850" s="9">
        <f>IFERROR(__xludf.DUMMYFUNCTION("""COMPUTED_VALUE"""),2038.86)</f>
        <v>2038.86</v>
      </c>
      <c r="I850" s="11">
        <f>IFERROR(__xludf.DUMMYFUNCTION("""COMPUTED_VALUE"""),44281.66666666667)</f>
        <v>44281.66667</v>
      </c>
      <c r="J850" s="9">
        <f>IFERROR(__xludf.DUMMYFUNCTION("""COMPUTED_VALUE"""),2035.55)</f>
        <v>2035.55</v>
      </c>
      <c r="L850" s="11">
        <f>IFERROR(__xludf.DUMMYFUNCTION("""COMPUTED_VALUE"""),44281.66666666667)</f>
        <v>44281.66667</v>
      </c>
      <c r="M850" s="9">
        <f>IFERROR(__xludf.DUMMYFUNCTION("""COMPUTED_VALUE"""),120.35)</f>
        <v>120.35</v>
      </c>
      <c r="N850" s="11">
        <f>IFERROR(__xludf.DUMMYFUNCTION("""COMPUTED_VALUE"""),44281.66666666667)</f>
        <v>44281.66667</v>
      </c>
      <c r="O850" s="9">
        <f>IFERROR(__xludf.DUMMYFUNCTION("""COMPUTED_VALUE"""),121.21)</f>
        <v>121.21</v>
      </c>
      <c r="Q850" s="11">
        <f>IFERROR(__xludf.DUMMYFUNCTION("""COMPUTED_VALUE"""),44281.66666666667)</f>
        <v>44281.66667</v>
      </c>
      <c r="R850" s="9">
        <f>IFERROR(__xludf.DUMMYFUNCTION("""COMPUTED_VALUE"""),278.3)</f>
        <v>278.3</v>
      </c>
      <c r="S850" s="11">
        <f>IFERROR(__xludf.DUMMYFUNCTION("""COMPUTED_VALUE"""),44281.66666666667)</f>
        <v>44281.66667</v>
      </c>
      <c r="T850" s="9">
        <f>IFERROR(__xludf.DUMMYFUNCTION("""COMPUTED_VALUE"""),283.02)</f>
        <v>283.02</v>
      </c>
      <c r="V850" s="11">
        <f>IFERROR(__xludf.DUMMYFUNCTION("""COMPUTED_VALUE"""),44281.66666666667)</f>
        <v>44281.66667</v>
      </c>
      <c r="W850" s="9">
        <f>IFERROR(__xludf.DUMMYFUNCTION("""COMPUTED_VALUE"""),502.82)</f>
        <v>502.82</v>
      </c>
      <c r="X850" s="11">
        <f>IFERROR(__xludf.DUMMYFUNCTION("""COMPUTED_VALUE"""),44281.66666666667)</f>
        <v>44281.66667</v>
      </c>
      <c r="Y850" s="9">
        <f>IFERROR(__xludf.DUMMYFUNCTION("""COMPUTED_VALUE"""),508.05)</f>
        <v>508.05</v>
      </c>
      <c r="AA850" s="11">
        <f>IFERROR(__xludf.DUMMYFUNCTION("""COMPUTED_VALUE"""),44281.66666666667)</f>
        <v>44281.66667</v>
      </c>
      <c r="AB850" s="9">
        <f>IFERROR(__xludf.DUMMYFUNCTION("""COMPUTED_VALUE"""),3044.06)</f>
        <v>3044.06</v>
      </c>
      <c r="AC850" s="11">
        <f>IFERROR(__xludf.DUMMYFUNCTION("""COMPUTED_VALUE"""),44281.66666666667)</f>
        <v>44281.66667</v>
      </c>
      <c r="AD850" s="9">
        <f>IFERROR(__xludf.DUMMYFUNCTION("""COMPUTED_VALUE"""),3052.03)</f>
        <v>3052.03</v>
      </c>
    </row>
    <row r="851">
      <c r="B851" s="11">
        <f>IFERROR(__xludf.DUMMYFUNCTION("""COMPUTED_VALUE"""),44284.66666666667)</f>
        <v>44284.66667</v>
      </c>
      <c r="C851" s="9">
        <f>IFERROR(__xludf.DUMMYFUNCTION("""COMPUTED_VALUE"""),615.64)</f>
        <v>615.64</v>
      </c>
      <c r="D851" s="11">
        <f>IFERROR(__xludf.DUMMYFUNCTION("""COMPUTED_VALUE"""),44284.66666666667)</f>
        <v>44284.66667</v>
      </c>
      <c r="E851" s="9">
        <f>IFERROR(__xludf.DUMMYFUNCTION("""COMPUTED_VALUE"""),611.29)</f>
        <v>611.29</v>
      </c>
      <c r="G851" s="11">
        <f>IFERROR(__xludf.DUMMYFUNCTION("""COMPUTED_VALUE"""),44284.66666666667)</f>
        <v>44284.66667</v>
      </c>
      <c r="H851" s="9">
        <f>IFERROR(__xludf.DUMMYFUNCTION("""COMPUTED_VALUE"""),2027.88)</f>
        <v>2027.88</v>
      </c>
      <c r="I851" s="11">
        <f>IFERROR(__xludf.DUMMYFUNCTION("""COMPUTED_VALUE"""),44284.66666666667)</f>
        <v>44284.66667</v>
      </c>
      <c r="J851" s="9">
        <f>IFERROR(__xludf.DUMMYFUNCTION("""COMPUTED_VALUE"""),2055.95)</f>
        <v>2055.95</v>
      </c>
      <c r="L851" s="11">
        <f>IFERROR(__xludf.DUMMYFUNCTION("""COMPUTED_VALUE"""),44284.66666666667)</f>
        <v>44284.66667</v>
      </c>
      <c r="M851" s="9">
        <f>IFERROR(__xludf.DUMMYFUNCTION("""COMPUTED_VALUE"""),121.65)</f>
        <v>121.65</v>
      </c>
      <c r="N851" s="11">
        <f>IFERROR(__xludf.DUMMYFUNCTION("""COMPUTED_VALUE"""),44284.66666666667)</f>
        <v>44284.66667</v>
      </c>
      <c r="O851" s="9">
        <f>IFERROR(__xludf.DUMMYFUNCTION("""COMPUTED_VALUE"""),121.39)</f>
        <v>121.39</v>
      </c>
      <c r="Q851" s="11">
        <f>IFERROR(__xludf.DUMMYFUNCTION("""COMPUTED_VALUE"""),44284.66666666667)</f>
        <v>44284.66667</v>
      </c>
      <c r="R851" s="9">
        <f>IFERROR(__xludf.DUMMYFUNCTION("""COMPUTED_VALUE"""),285.77)</f>
        <v>285.77</v>
      </c>
      <c r="S851" s="11">
        <f>IFERROR(__xludf.DUMMYFUNCTION("""COMPUTED_VALUE"""),44284.66666666667)</f>
        <v>44284.66667</v>
      </c>
      <c r="T851" s="9">
        <f>IFERROR(__xludf.DUMMYFUNCTION("""COMPUTED_VALUE"""),290.82)</f>
        <v>290.82</v>
      </c>
      <c r="V851" s="11">
        <f>IFERROR(__xludf.DUMMYFUNCTION("""COMPUTED_VALUE"""),44284.66666666667)</f>
        <v>44284.66667</v>
      </c>
      <c r="W851" s="9">
        <f>IFERROR(__xludf.DUMMYFUNCTION("""COMPUTED_VALUE"""),505.66)</f>
        <v>505.66</v>
      </c>
      <c r="X851" s="11">
        <f>IFERROR(__xludf.DUMMYFUNCTION("""COMPUTED_VALUE"""),44284.66666666667)</f>
        <v>44284.66667</v>
      </c>
      <c r="Y851" s="9">
        <f>IFERROR(__xludf.DUMMYFUNCTION("""COMPUTED_VALUE"""),513.95)</f>
        <v>513.95</v>
      </c>
      <c r="AA851" s="11">
        <f>IFERROR(__xludf.DUMMYFUNCTION("""COMPUTED_VALUE"""),44284.66666666667)</f>
        <v>44284.66667</v>
      </c>
      <c r="AB851" s="9">
        <f>IFERROR(__xludf.DUMMYFUNCTION("""COMPUTED_VALUE"""),3055.44)</f>
        <v>3055.44</v>
      </c>
      <c r="AC851" s="11">
        <f>IFERROR(__xludf.DUMMYFUNCTION("""COMPUTED_VALUE"""),44284.66666666667)</f>
        <v>44284.66667</v>
      </c>
      <c r="AD851" s="9">
        <f>IFERROR(__xludf.DUMMYFUNCTION("""COMPUTED_VALUE"""),3075.73)</f>
        <v>3075.73</v>
      </c>
    </row>
    <row r="852">
      <c r="B852" s="11">
        <f>IFERROR(__xludf.DUMMYFUNCTION("""COMPUTED_VALUE"""),44285.66666666667)</f>
        <v>44285.66667</v>
      </c>
      <c r="C852" s="9">
        <f>IFERROR(__xludf.DUMMYFUNCTION("""COMPUTED_VALUE"""),601.75)</f>
        <v>601.75</v>
      </c>
      <c r="D852" s="11">
        <f>IFERROR(__xludf.DUMMYFUNCTION("""COMPUTED_VALUE"""),44285.66666666667)</f>
        <v>44285.66667</v>
      </c>
      <c r="E852" s="9">
        <f>IFERROR(__xludf.DUMMYFUNCTION("""COMPUTED_VALUE"""),635.62)</f>
        <v>635.62</v>
      </c>
      <c r="G852" s="11">
        <f>IFERROR(__xludf.DUMMYFUNCTION("""COMPUTED_VALUE"""),44285.66666666667)</f>
        <v>44285.66667</v>
      </c>
      <c r="H852" s="9">
        <f>IFERROR(__xludf.DUMMYFUNCTION("""COMPUTED_VALUE"""),2057.63)</f>
        <v>2057.63</v>
      </c>
      <c r="I852" s="11">
        <f>IFERROR(__xludf.DUMMYFUNCTION("""COMPUTED_VALUE"""),44285.66666666667)</f>
        <v>44285.66667</v>
      </c>
      <c r="J852" s="9">
        <f>IFERROR(__xludf.DUMMYFUNCTION("""COMPUTED_VALUE"""),2055.54)</f>
        <v>2055.54</v>
      </c>
      <c r="L852" s="11">
        <f>IFERROR(__xludf.DUMMYFUNCTION("""COMPUTED_VALUE"""),44285.66666666667)</f>
        <v>44285.66667</v>
      </c>
      <c r="M852" s="9">
        <f>IFERROR(__xludf.DUMMYFUNCTION("""COMPUTED_VALUE"""),120.11)</f>
        <v>120.11</v>
      </c>
      <c r="N852" s="11">
        <f>IFERROR(__xludf.DUMMYFUNCTION("""COMPUTED_VALUE"""),44285.66666666667)</f>
        <v>44285.66667</v>
      </c>
      <c r="O852" s="9">
        <f>IFERROR(__xludf.DUMMYFUNCTION("""COMPUTED_VALUE"""),119.9)</f>
        <v>119.9</v>
      </c>
      <c r="Q852" s="11">
        <f>IFERROR(__xludf.DUMMYFUNCTION("""COMPUTED_VALUE"""),44285.66666666667)</f>
        <v>44285.66667</v>
      </c>
      <c r="R852" s="9">
        <f>IFERROR(__xludf.DUMMYFUNCTION("""COMPUTED_VALUE"""),289.83)</f>
        <v>289.83</v>
      </c>
      <c r="S852" s="11">
        <f>IFERROR(__xludf.DUMMYFUNCTION("""COMPUTED_VALUE"""),44285.66666666667)</f>
        <v>44285.66667</v>
      </c>
      <c r="T852" s="9">
        <f>IFERROR(__xludf.DUMMYFUNCTION("""COMPUTED_VALUE"""),288.0)</f>
        <v>288</v>
      </c>
      <c r="V852" s="11">
        <f>IFERROR(__xludf.DUMMYFUNCTION("""COMPUTED_VALUE"""),44285.66666666667)</f>
        <v>44285.66667</v>
      </c>
      <c r="W852" s="9">
        <f>IFERROR(__xludf.DUMMYFUNCTION("""COMPUTED_VALUE"""),510.51)</f>
        <v>510.51</v>
      </c>
      <c r="X852" s="11">
        <f>IFERROR(__xludf.DUMMYFUNCTION("""COMPUTED_VALUE"""),44285.66666666667)</f>
        <v>44285.66667</v>
      </c>
      <c r="Y852" s="9">
        <f>IFERROR(__xludf.DUMMYFUNCTION("""COMPUTED_VALUE"""),513.39)</f>
        <v>513.39</v>
      </c>
      <c r="AA852" s="11">
        <f>IFERROR(__xludf.DUMMYFUNCTION("""COMPUTED_VALUE"""),44285.66666666667)</f>
        <v>44285.66667</v>
      </c>
      <c r="AB852" s="9">
        <f>IFERROR(__xludf.DUMMYFUNCTION("""COMPUTED_VALUE"""),3070.01)</f>
        <v>3070.01</v>
      </c>
      <c r="AC852" s="11">
        <f>IFERROR(__xludf.DUMMYFUNCTION("""COMPUTED_VALUE"""),44285.66666666667)</f>
        <v>44285.66667</v>
      </c>
      <c r="AD852" s="9">
        <f>IFERROR(__xludf.DUMMYFUNCTION("""COMPUTED_VALUE"""),3055.29)</f>
        <v>3055.29</v>
      </c>
    </row>
    <row r="853">
      <c r="B853" s="11">
        <f>IFERROR(__xludf.DUMMYFUNCTION("""COMPUTED_VALUE"""),44286.66666666667)</f>
        <v>44286.66667</v>
      </c>
      <c r="C853" s="9">
        <f>IFERROR(__xludf.DUMMYFUNCTION("""COMPUTED_VALUE"""),646.62)</f>
        <v>646.62</v>
      </c>
      <c r="D853" s="11">
        <f>IFERROR(__xludf.DUMMYFUNCTION("""COMPUTED_VALUE"""),44286.66666666667)</f>
        <v>44286.66667</v>
      </c>
      <c r="E853" s="9">
        <f>IFERROR(__xludf.DUMMYFUNCTION("""COMPUTED_VALUE"""),667.93)</f>
        <v>667.93</v>
      </c>
      <c r="G853" s="11">
        <f>IFERROR(__xludf.DUMMYFUNCTION("""COMPUTED_VALUE"""),44286.66666666667)</f>
        <v>44286.66667</v>
      </c>
      <c r="H853" s="9">
        <f>IFERROR(__xludf.DUMMYFUNCTION("""COMPUTED_VALUE"""),2059.12)</f>
        <v>2059.12</v>
      </c>
      <c r="I853" s="11">
        <f>IFERROR(__xludf.DUMMYFUNCTION("""COMPUTED_VALUE"""),44286.66666666667)</f>
        <v>44286.66667</v>
      </c>
      <c r="J853" s="9">
        <f>IFERROR(__xludf.DUMMYFUNCTION("""COMPUTED_VALUE"""),2068.63)</f>
        <v>2068.63</v>
      </c>
      <c r="L853" s="11">
        <f>IFERROR(__xludf.DUMMYFUNCTION("""COMPUTED_VALUE"""),44286.66666666667)</f>
        <v>44286.66667</v>
      </c>
      <c r="M853" s="9">
        <f>IFERROR(__xludf.DUMMYFUNCTION("""COMPUTED_VALUE"""),121.65)</f>
        <v>121.65</v>
      </c>
      <c r="N853" s="11">
        <f>IFERROR(__xludf.DUMMYFUNCTION("""COMPUTED_VALUE"""),44286.66666666667)</f>
        <v>44286.66667</v>
      </c>
      <c r="O853" s="9">
        <f>IFERROR(__xludf.DUMMYFUNCTION("""COMPUTED_VALUE"""),122.15)</f>
        <v>122.15</v>
      </c>
      <c r="Q853" s="11">
        <f>IFERROR(__xludf.DUMMYFUNCTION("""COMPUTED_VALUE"""),44286.66666666667)</f>
        <v>44286.66667</v>
      </c>
      <c r="R853" s="9">
        <f>IFERROR(__xludf.DUMMYFUNCTION("""COMPUTED_VALUE"""),289.99)</f>
        <v>289.99</v>
      </c>
      <c r="S853" s="11">
        <f>IFERROR(__xludf.DUMMYFUNCTION("""COMPUTED_VALUE"""),44286.66666666667)</f>
        <v>44286.66667</v>
      </c>
      <c r="T853" s="9">
        <f>IFERROR(__xludf.DUMMYFUNCTION("""COMPUTED_VALUE"""),294.53)</f>
        <v>294.53</v>
      </c>
      <c r="V853" s="11">
        <f>IFERROR(__xludf.DUMMYFUNCTION("""COMPUTED_VALUE"""),44286.66666666667)</f>
        <v>44286.66667</v>
      </c>
      <c r="W853" s="9">
        <f>IFERROR(__xludf.DUMMYFUNCTION("""COMPUTED_VALUE"""),515.67)</f>
        <v>515.67</v>
      </c>
      <c r="X853" s="11">
        <f>IFERROR(__xludf.DUMMYFUNCTION("""COMPUTED_VALUE"""),44286.66666666667)</f>
        <v>44286.66667</v>
      </c>
      <c r="Y853" s="9">
        <f>IFERROR(__xludf.DUMMYFUNCTION("""COMPUTED_VALUE"""),521.66)</f>
        <v>521.66</v>
      </c>
      <c r="AA853" s="11">
        <f>IFERROR(__xludf.DUMMYFUNCTION("""COMPUTED_VALUE"""),44286.66666666667)</f>
        <v>44286.66667</v>
      </c>
      <c r="AB853" s="9">
        <f>IFERROR(__xludf.DUMMYFUNCTION("""COMPUTED_VALUE"""),3064.06)</f>
        <v>3064.06</v>
      </c>
      <c r="AC853" s="11">
        <f>IFERROR(__xludf.DUMMYFUNCTION("""COMPUTED_VALUE"""),44286.66666666667)</f>
        <v>44286.66667</v>
      </c>
      <c r="AD853" s="9">
        <f>IFERROR(__xludf.DUMMYFUNCTION("""COMPUTED_VALUE"""),3094.08)</f>
        <v>3094.08</v>
      </c>
    </row>
    <row r="854">
      <c r="B854" s="11">
        <f>IFERROR(__xludf.DUMMYFUNCTION("""COMPUTED_VALUE"""),44287.66666666667)</f>
        <v>44287.66667</v>
      </c>
      <c r="C854" s="9">
        <f>IFERROR(__xludf.DUMMYFUNCTION("""COMPUTED_VALUE"""),688.37)</f>
        <v>688.37</v>
      </c>
      <c r="D854" s="11">
        <f>IFERROR(__xludf.DUMMYFUNCTION("""COMPUTED_VALUE"""),44287.66666666667)</f>
        <v>44287.66667</v>
      </c>
      <c r="E854" s="9">
        <f>IFERROR(__xludf.DUMMYFUNCTION("""COMPUTED_VALUE"""),661.75)</f>
        <v>661.75</v>
      </c>
      <c r="G854" s="11">
        <f>IFERROR(__xludf.DUMMYFUNCTION("""COMPUTED_VALUE"""),44287.66666666667)</f>
        <v>44287.66667</v>
      </c>
      <c r="H854" s="9">
        <f>IFERROR(__xludf.DUMMYFUNCTION("""COMPUTED_VALUE"""),2097.95)</f>
        <v>2097.95</v>
      </c>
      <c r="I854" s="11">
        <f>IFERROR(__xludf.DUMMYFUNCTION("""COMPUTED_VALUE"""),44287.66666666667)</f>
        <v>44287.66667</v>
      </c>
      <c r="J854" s="9">
        <f>IFERROR(__xludf.DUMMYFUNCTION("""COMPUTED_VALUE"""),2137.75)</f>
        <v>2137.75</v>
      </c>
      <c r="L854" s="11">
        <f>IFERROR(__xludf.DUMMYFUNCTION("""COMPUTED_VALUE"""),44287.66666666667)</f>
        <v>44287.66667</v>
      </c>
      <c r="M854" s="9">
        <f>IFERROR(__xludf.DUMMYFUNCTION("""COMPUTED_VALUE"""),123.66)</f>
        <v>123.66</v>
      </c>
      <c r="N854" s="11">
        <f>IFERROR(__xludf.DUMMYFUNCTION("""COMPUTED_VALUE"""),44287.66666666667)</f>
        <v>44287.66667</v>
      </c>
      <c r="O854" s="9">
        <f>IFERROR(__xludf.DUMMYFUNCTION("""COMPUTED_VALUE"""),123.0)</f>
        <v>123</v>
      </c>
      <c r="Q854" s="11">
        <f>IFERROR(__xludf.DUMMYFUNCTION("""COMPUTED_VALUE"""),44287.66666666667)</f>
        <v>44287.66667</v>
      </c>
      <c r="R854" s="9">
        <f>IFERROR(__xludf.DUMMYFUNCTION("""COMPUTED_VALUE"""),298.4)</f>
        <v>298.4</v>
      </c>
      <c r="S854" s="11">
        <f>IFERROR(__xludf.DUMMYFUNCTION("""COMPUTED_VALUE"""),44287.66666666667)</f>
        <v>44287.66667</v>
      </c>
      <c r="T854" s="9">
        <f>IFERROR(__xludf.DUMMYFUNCTION("""COMPUTED_VALUE"""),298.66)</f>
        <v>298.66</v>
      </c>
      <c r="V854" s="11">
        <f>IFERROR(__xludf.DUMMYFUNCTION("""COMPUTED_VALUE"""),44287.66666666667)</f>
        <v>44287.66667</v>
      </c>
      <c r="W854" s="9">
        <f>IFERROR(__xludf.DUMMYFUNCTION("""COMPUTED_VALUE"""),529.93)</f>
        <v>529.93</v>
      </c>
      <c r="X854" s="11">
        <f>IFERROR(__xludf.DUMMYFUNCTION("""COMPUTED_VALUE"""),44287.66666666667)</f>
        <v>44287.66667</v>
      </c>
      <c r="Y854" s="9">
        <f>IFERROR(__xludf.DUMMYFUNCTION("""COMPUTED_VALUE"""),539.42)</f>
        <v>539.42</v>
      </c>
      <c r="AA854" s="11">
        <f>IFERROR(__xludf.DUMMYFUNCTION("""COMPUTED_VALUE"""),44287.66666666667)</f>
        <v>44287.66667</v>
      </c>
      <c r="AB854" s="9">
        <f>IFERROR(__xludf.DUMMYFUNCTION("""COMPUTED_VALUE"""),3117.94)</f>
        <v>3117.94</v>
      </c>
      <c r="AC854" s="11">
        <f>IFERROR(__xludf.DUMMYFUNCTION("""COMPUTED_VALUE"""),44287.66666666667)</f>
        <v>44287.66667</v>
      </c>
      <c r="AD854" s="9">
        <f>IFERROR(__xludf.DUMMYFUNCTION("""COMPUTED_VALUE"""),3161.0)</f>
        <v>3161</v>
      </c>
    </row>
    <row r="855">
      <c r="B855" s="11">
        <f>IFERROR(__xludf.DUMMYFUNCTION("""COMPUTED_VALUE"""),44291.66666666667)</f>
        <v>44291.66667</v>
      </c>
      <c r="C855" s="9">
        <f>IFERROR(__xludf.DUMMYFUNCTION("""COMPUTED_VALUE"""),707.71)</f>
        <v>707.71</v>
      </c>
      <c r="D855" s="11">
        <f>IFERROR(__xludf.DUMMYFUNCTION("""COMPUTED_VALUE"""),44291.66666666667)</f>
        <v>44291.66667</v>
      </c>
      <c r="E855" s="9">
        <f>IFERROR(__xludf.DUMMYFUNCTION("""COMPUTED_VALUE"""),691.05)</f>
        <v>691.05</v>
      </c>
      <c r="G855" s="11">
        <f>IFERROR(__xludf.DUMMYFUNCTION("""COMPUTED_VALUE"""),44291.66666666667)</f>
        <v>44291.66667</v>
      </c>
      <c r="H855" s="9">
        <f>IFERROR(__xludf.DUMMYFUNCTION("""COMPUTED_VALUE"""),2152.94)</f>
        <v>2152.94</v>
      </c>
      <c r="I855" s="11">
        <f>IFERROR(__xludf.DUMMYFUNCTION("""COMPUTED_VALUE"""),44291.66666666667)</f>
        <v>44291.66667</v>
      </c>
      <c r="J855" s="9">
        <f>IFERROR(__xludf.DUMMYFUNCTION("""COMPUTED_VALUE"""),2225.55)</f>
        <v>2225.55</v>
      </c>
      <c r="L855" s="11">
        <f>IFERROR(__xludf.DUMMYFUNCTION("""COMPUTED_VALUE"""),44291.66666666667)</f>
        <v>44291.66667</v>
      </c>
      <c r="M855" s="9">
        <f>IFERROR(__xludf.DUMMYFUNCTION("""COMPUTED_VALUE"""),123.87)</f>
        <v>123.87</v>
      </c>
      <c r="N855" s="11">
        <f>IFERROR(__xludf.DUMMYFUNCTION("""COMPUTED_VALUE"""),44291.66666666667)</f>
        <v>44291.66667</v>
      </c>
      <c r="O855" s="9">
        <f>IFERROR(__xludf.DUMMYFUNCTION("""COMPUTED_VALUE"""),125.9)</f>
        <v>125.9</v>
      </c>
      <c r="Q855" s="11">
        <f>IFERROR(__xludf.DUMMYFUNCTION("""COMPUTED_VALUE"""),44291.66666666667)</f>
        <v>44291.66667</v>
      </c>
      <c r="R855" s="9">
        <f>IFERROR(__xludf.DUMMYFUNCTION("""COMPUTED_VALUE"""),300.89)</f>
        <v>300.89</v>
      </c>
      <c r="S855" s="11">
        <f>IFERROR(__xludf.DUMMYFUNCTION("""COMPUTED_VALUE"""),44291.66666666667)</f>
        <v>44291.66667</v>
      </c>
      <c r="T855" s="9">
        <f>IFERROR(__xludf.DUMMYFUNCTION("""COMPUTED_VALUE"""),308.91)</f>
        <v>308.91</v>
      </c>
      <c r="V855" s="11">
        <f>IFERROR(__xludf.DUMMYFUNCTION("""COMPUTED_VALUE"""),44291.66666666667)</f>
        <v>44291.66667</v>
      </c>
      <c r="W855" s="9">
        <f>IFERROR(__xludf.DUMMYFUNCTION("""COMPUTED_VALUE"""),540.01)</f>
        <v>540.01</v>
      </c>
      <c r="X855" s="11">
        <f>IFERROR(__xludf.DUMMYFUNCTION("""COMPUTED_VALUE"""),44291.66666666667)</f>
        <v>44291.66667</v>
      </c>
      <c r="Y855" s="9">
        <f>IFERROR(__xludf.DUMMYFUNCTION("""COMPUTED_VALUE"""),540.67)</f>
        <v>540.67</v>
      </c>
      <c r="AA855" s="11">
        <f>IFERROR(__xludf.DUMMYFUNCTION("""COMPUTED_VALUE"""),44291.66666666667)</f>
        <v>44291.66667</v>
      </c>
      <c r="AB855" s="9">
        <f>IFERROR(__xludf.DUMMYFUNCTION("""COMPUTED_VALUE"""),3173.0)</f>
        <v>3173</v>
      </c>
      <c r="AC855" s="11">
        <f>IFERROR(__xludf.DUMMYFUNCTION("""COMPUTED_VALUE"""),44291.66666666667)</f>
        <v>44291.66667</v>
      </c>
      <c r="AD855" s="9">
        <f>IFERROR(__xludf.DUMMYFUNCTION("""COMPUTED_VALUE"""),3226.73)</f>
        <v>3226.73</v>
      </c>
    </row>
    <row r="856">
      <c r="B856" s="11">
        <f>IFERROR(__xludf.DUMMYFUNCTION("""COMPUTED_VALUE"""),44292.66666666667)</f>
        <v>44292.66667</v>
      </c>
      <c r="C856" s="9">
        <f>IFERROR(__xludf.DUMMYFUNCTION("""COMPUTED_VALUE"""),690.3)</f>
        <v>690.3</v>
      </c>
      <c r="D856" s="11">
        <f>IFERROR(__xludf.DUMMYFUNCTION("""COMPUTED_VALUE"""),44292.66666666667)</f>
        <v>44292.66667</v>
      </c>
      <c r="E856" s="9">
        <f>IFERROR(__xludf.DUMMYFUNCTION("""COMPUTED_VALUE"""),691.62)</f>
        <v>691.62</v>
      </c>
      <c r="G856" s="11">
        <f>IFERROR(__xludf.DUMMYFUNCTION("""COMPUTED_VALUE"""),44292.66666666667)</f>
        <v>44292.66667</v>
      </c>
      <c r="H856" s="9">
        <f>IFERROR(__xludf.DUMMYFUNCTION("""COMPUTED_VALUE"""),2222.5)</f>
        <v>2222.5</v>
      </c>
      <c r="I856" s="11">
        <f>IFERROR(__xludf.DUMMYFUNCTION("""COMPUTED_VALUE"""),44292.66666666667)</f>
        <v>44292.66667</v>
      </c>
      <c r="J856" s="9">
        <f>IFERROR(__xludf.DUMMYFUNCTION("""COMPUTED_VALUE"""),2224.75)</f>
        <v>2224.75</v>
      </c>
      <c r="L856" s="11">
        <f>IFERROR(__xludf.DUMMYFUNCTION("""COMPUTED_VALUE"""),44292.66666666667)</f>
        <v>44292.66667</v>
      </c>
      <c r="M856" s="9">
        <f>IFERROR(__xludf.DUMMYFUNCTION("""COMPUTED_VALUE"""),126.5)</f>
        <v>126.5</v>
      </c>
      <c r="N856" s="11">
        <f>IFERROR(__xludf.DUMMYFUNCTION("""COMPUTED_VALUE"""),44292.66666666667)</f>
        <v>44292.66667</v>
      </c>
      <c r="O856" s="9">
        <f>IFERROR(__xludf.DUMMYFUNCTION("""COMPUTED_VALUE"""),126.21)</f>
        <v>126.21</v>
      </c>
      <c r="Q856" s="11">
        <f>IFERROR(__xludf.DUMMYFUNCTION("""COMPUTED_VALUE"""),44292.66666666667)</f>
        <v>44292.66667</v>
      </c>
      <c r="R856" s="9">
        <f>IFERROR(__xludf.DUMMYFUNCTION("""COMPUTED_VALUE"""),308.84)</f>
        <v>308.84</v>
      </c>
      <c r="S856" s="11">
        <f>IFERROR(__xludf.DUMMYFUNCTION("""COMPUTED_VALUE"""),44292.66666666667)</f>
        <v>44292.66667</v>
      </c>
      <c r="T856" s="9">
        <f>IFERROR(__xludf.DUMMYFUNCTION("""COMPUTED_VALUE"""),306.26)</f>
        <v>306.26</v>
      </c>
      <c r="V856" s="11">
        <f>IFERROR(__xludf.DUMMYFUNCTION("""COMPUTED_VALUE"""),44292.66666666667)</f>
        <v>44292.66667</v>
      </c>
      <c r="W856" s="9">
        <f>IFERROR(__xludf.DUMMYFUNCTION("""COMPUTED_VALUE"""),544.81)</f>
        <v>544.81</v>
      </c>
      <c r="X856" s="11">
        <f>IFERROR(__xludf.DUMMYFUNCTION("""COMPUTED_VALUE"""),44292.66666666667)</f>
        <v>44292.66667</v>
      </c>
      <c r="Y856" s="9">
        <f>IFERROR(__xludf.DUMMYFUNCTION("""COMPUTED_VALUE"""),544.53)</f>
        <v>544.53</v>
      </c>
      <c r="AA856" s="11">
        <f>IFERROR(__xludf.DUMMYFUNCTION("""COMPUTED_VALUE"""),44292.66666666667)</f>
        <v>44292.66667</v>
      </c>
      <c r="AB856" s="9">
        <f>IFERROR(__xludf.DUMMYFUNCTION("""COMPUTED_VALUE"""),3223.75)</f>
        <v>3223.75</v>
      </c>
      <c r="AC856" s="11">
        <f>IFERROR(__xludf.DUMMYFUNCTION("""COMPUTED_VALUE"""),44292.66666666667)</f>
        <v>44292.66667</v>
      </c>
      <c r="AD856" s="9">
        <f>IFERROR(__xludf.DUMMYFUNCTION("""COMPUTED_VALUE"""),3223.82)</f>
        <v>3223.82</v>
      </c>
    </row>
    <row r="857">
      <c r="B857" s="11">
        <f>IFERROR(__xludf.DUMMYFUNCTION("""COMPUTED_VALUE"""),44293.66666666667)</f>
        <v>44293.66667</v>
      </c>
      <c r="C857" s="9">
        <f>IFERROR(__xludf.DUMMYFUNCTION("""COMPUTED_VALUE"""),687.0)</f>
        <v>687</v>
      </c>
      <c r="D857" s="11">
        <f>IFERROR(__xludf.DUMMYFUNCTION("""COMPUTED_VALUE"""),44293.66666666667)</f>
        <v>44293.66667</v>
      </c>
      <c r="E857" s="9">
        <f>IFERROR(__xludf.DUMMYFUNCTION("""COMPUTED_VALUE"""),670.97)</f>
        <v>670.97</v>
      </c>
      <c r="G857" s="11">
        <f>IFERROR(__xludf.DUMMYFUNCTION("""COMPUTED_VALUE"""),44293.66666666667)</f>
        <v>44293.66667</v>
      </c>
      <c r="H857" s="9">
        <f>IFERROR(__xludf.DUMMYFUNCTION("""COMPUTED_VALUE"""),2226.13)</f>
        <v>2226.13</v>
      </c>
      <c r="I857" s="11">
        <f>IFERROR(__xludf.DUMMYFUNCTION("""COMPUTED_VALUE"""),44293.66666666667)</f>
        <v>44293.66667</v>
      </c>
      <c r="J857" s="9">
        <f>IFERROR(__xludf.DUMMYFUNCTION("""COMPUTED_VALUE"""),2249.68)</f>
        <v>2249.68</v>
      </c>
      <c r="L857" s="11">
        <f>IFERROR(__xludf.DUMMYFUNCTION("""COMPUTED_VALUE"""),44293.66666666667)</f>
        <v>44293.66667</v>
      </c>
      <c r="M857" s="9">
        <f>IFERROR(__xludf.DUMMYFUNCTION("""COMPUTED_VALUE"""),125.83)</f>
        <v>125.83</v>
      </c>
      <c r="N857" s="11">
        <f>IFERROR(__xludf.DUMMYFUNCTION("""COMPUTED_VALUE"""),44293.66666666667)</f>
        <v>44293.66667</v>
      </c>
      <c r="O857" s="9">
        <f>IFERROR(__xludf.DUMMYFUNCTION("""COMPUTED_VALUE"""),127.9)</f>
        <v>127.9</v>
      </c>
      <c r="Q857" s="11">
        <f>IFERROR(__xludf.DUMMYFUNCTION("""COMPUTED_VALUE"""),44293.66666666667)</f>
        <v>44293.66667</v>
      </c>
      <c r="R857" s="9">
        <f>IFERROR(__xludf.DUMMYFUNCTION("""COMPUTED_VALUE"""),306.34)</f>
        <v>306.34</v>
      </c>
      <c r="S857" s="11">
        <f>IFERROR(__xludf.DUMMYFUNCTION("""COMPUTED_VALUE"""),44293.66666666667)</f>
        <v>44293.66667</v>
      </c>
      <c r="T857" s="9">
        <f>IFERROR(__xludf.DUMMYFUNCTION("""COMPUTED_VALUE"""),313.09)</f>
        <v>313.09</v>
      </c>
      <c r="V857" s="11">
        <f>IFERROR(__xludf.DUMMYFUNCTION("""COMPUTED_VALUE"""),44293.66666666667)</f>
        <v>44293.66667</v>
      </c>
      <c r="W857" s="9">
        <f>IFERROR(__xludf.DUMMYFUNCTION("""COMPUTED_VALUE"""),543.5)</f>
        <v>543.5</v>
      </c>
      <c r="X857" s="11">
        <f>IFERROR(__xludf.DUMMYFUNCTION("""COMPUTED_VALUE"""),44293.66666666667)</f>
        <v>44293.66667</v>
      </c>
      <c r="Y857" s="9">
        <f>IFERROR(__xludf.DUMMYFUNCTION("""COMPUTED_VALUE"""),546.99)</f>
        <v>546.99</v>
      </c>
      <c r="AA857" s="11">
        <f>IFERROR(__xludf.DUMMYFUNCTION("""COMPUTED_VALUE"""),44293.66666666667)</f>
        <v>44293.66667</v>
      </c>
      <c r="AB857" s="9">
        <f>IFERROR(__xludf.DUMMYFUNCTION("""COMPUTED_VALUE"""),3233.8)</f>
        <v>3233.8</v>
      </c>
      <c r="AC857" s="11">
        <f>IFERROR(__xludf.DUMMYFUNCTION("""COMPUTED_VALUE"""),44293.66666666667)</f>
        <v>44293.66667</v>
      </c>
      <c r="AD857" s="9">
        <f>IFERROR(__xludf.DUMMYFUNCTION("""COMPUTED_VALUE"""),3279.39)</f>
        <v>3279.39</v>
      </c>
    </row>
    <row r="858">
      <c r="B858" s="11">
        <f>IFERROR(__xludf.DUMMYFUNCTION("""COMPUTED_VALUE"""),44294.66666666667)</f>
        <v>44294.66667</v>
      </c>
      <c r="C858" s="9">
        <f>IFERROR(__xludf.DUMMYFUNCTION("""COMPUTED_VALUE"""),677.38)</f>
        <v>677.38</v>
      </c>
      <c r="D858" s="11">
        <f>IFERROR(__xludf.DUMMYFUNCTION("""COMPUTED_VALUE"""),44294.66666666667)</f>
        <v>44294.66667</v>
      </c>
      <c r="E858" s="9">
        <f>IFERROR(__xludf.DUMMYFUNCTION("""COMPUTED_VALUE"""),683.8)</f>
        <v>683.8</v>
      </c>
      <c r="G858" s="11">
        <f>IFERROR(__xludf.DUMMYFUNCTION("""COMPUTED_VALUE"""),44294.66666666667)</f>
        <v>44294.66667</v>
      </c>
      <c r="H858" s="9">
        <f>IFERROR(__xludf.DUMMYFUNCTION("""COMPUTED_VALUE"""),2277.96)</f>
        <v>2277.96</v>
      </c>
      <c r="I858" s="11">
        <f>IFERROR(__xludf.DUMMYFUNCTION("""COMPUTED_VALUE"""),44294.66666666667)</f>
        <v>44294.66667</v>
      </c>
      <c r="J858" s="9">
        <f>IFERROR(__xludf.DUMMYFUNCTION("""COMPUTED_VALUE"""),2265.44)</f>
        <v>2265.44</v>
      </c>
      <c r="L858" s="11">
        <f>IFERROR(__xludf.DUMMYFUNCTION("""COMPUTED_VALUE"""),44294.66666666667)</f>
        <v>44294.66667</v>
      </c>
      <c r="M858" s="9">
        <f>IFERROR(__xludf.DUMMYFUNCTION("""COMPUTED_VALUE"""),128.95)</f>
        <v>128.95</v>
      </c>
      <c r="N858" s="11">
        <f>IFERROR(__xludf.DUMMYFUNCTION("""COMPUTED_VALUE"""),44294.66666666667)</f>
        <v>44294.66667</v>
      </c>
      <c r="O858" s="9">
        <f>IFERROR(__xludf.DUMMYFUNCTION("""COMPUTED_VALUE"""),130.36)</f>
        <v>130.36</v>
      </c>
      <c r="Q858" s="11">
        <f>IFERROR(__xludf.DUMMYFUNCTION("""COMPUTED_VALUE"""),44294.66666666667)</f>
        <v>44294.66667</v>
      </c>
      <c r="R858" s="9">
        <f>IFERROR(__xludf.DUMMYFUNCTION("""COMPUTED_VALUE"""),314.85)</f>
        <v>314.85</v>
      </c>
      <c r="S858" s="11">
        <f>IFERROR(__xludf.DUMMYFUNCTION("""COMPUTED_VALUE"""),44294.66666666667)</f>
        <v>44294.66667</v>
      </c>
      <c r="T858" s="9">
        <f>IFERROR(__xludf.DUMMYFUNCTION("""COMPUTED_VALUE"""),313.02)</f>
        <v>313.02</v>
      </c>
      <c r="V858" s="11">
        <f>IFERROR(__xludf.DUMMYFUNCTION("""COMPUTED_VALUE"""),44294.66666666667)</f>
        <v>44294.66667</v>
      </c>
      <c r="W858" s="9">
        <f>IFERROR(__xludf.DUMMYFUNCTION("""COMPUTED_VALUE"""),551.13)</f>
        <v>551.13</v>
      </c>
      <c r="X858" s="11">
        <f>IFERROR(__xludf.DUMMYFUNCTION("""COMPUTED_VALUE"""),44294.66666666667)</f>
        <v>44294.66667</v>
      </c>
      <c r="Y858" s="9">
        <f>IFERROR(__xludf.DUMMYFUNCTION("""COMPUTED_VALUE"""),554.58)</f>
        <v>554.58</v>
      </c>
      <c r="AA858" s="11">
        <f>IFERROR(__xludf.DUMMYFUNCTION("""COMPUTED_VALUE"""),44294.66666666667)</f>
        <v>44294.66667</v>
      </c>
      <c r="AB858" s="9">
        <f>IFERROR(__xludf.DUMMYFUNCTION("""COMPUTED_VALUE"""),3310.9)</f>
        <v>3310.9</v>
      </c>
      <c r="AC858" s="11">
        <f>IFERROR(__xludf.DUMMYFUNCTION("""COMPUTED_VALUE"""),44294.66666666667)</f>
        <v>44294.66667</v>
      </c>
      <c r="AD858" s="9">
        <f>IFERROR(__xludf.DUMMYFUNCTION("""COMPUTED_VALUE"""),3299.3)</f>
        <v>3299.3</v>
      </c>
    </row>
    <row r="859">
      <c r="B859" s="11">
        <f>IFERROR(__xludf.DUMMYFUNCTION("""COMPUTED_VALUE"""),44295.66666666667)</f>
        <v>44295.66667</v>
      </c>
      <c r="C859" s="9">
        <f>IFERROR(__xludf.DUMMYFUNCTION("""COMPUTED_VALUE"""),677.77)</f>
        <v>677.77</v>
      </c>
      <c r="D859" s="11">
        <f>IFERROR(__xludf.DUMMYFUNCTION("""COMPUTED_VALUE"""),44295.66666666667)</f>
        <v>44295.66667</v>
      </c>
      <c r="E859" s="9">
        <f>IFERROR(__xludf.DUMMYFUNCTION("""COMPUTED_VALUE"""),677.02)</f>
        <v>677.02</v>
      </c>
      <c r="G859" s="11">
        <f>IFERROR(__xludf.DUMMYFUNCTION("""COMPUTED_VALUE"""),44295.66666666667)</f>
        <v>44295.66667</v>
      </c>
      <c r="H859" s="9">
        <f>IFERROR(__xludf.DUMMYFUNCTION("""COMPUTED_VALUE"""),2256.7)</f>
        <v>2256.7</v>
      </c>
      <c r="I859" s="11">
        <f>IFERROR(__xludf.DUMMYFUNCTION("""COMPUTED_VALUE"""),44295.66666666667)</f>
        <v>44295.66667</v>
      </c>
      <c r="J859" s="9">
        <f>IFERROR(__xludf.DUMMYFUNCTION("""COMPUTED_VALUE"""),2285.88)</f>
        <v>2285.88</v>
      </c>
      <c r="L859" s="11">
        <f>IFERROR(__xludf.DUMMYFUNCTION("""COMPUTED_VALUE"""),44295.66666666667)</f>
        <v>44295.66667</v>
      </c>
      <c r="M859" s="9">
        <f>IFERROR(__xludf.DUMMYFUNCTION("""COMPUTED_VALUE"""),129.8)</f>
        <v>129.8</v>
      </c>
      <c r="N859" s="11">
        <f>IFERROR(__xludf.DUMMYFUNCTION("""COMPUTED_VALUE"""),44295.66666666667)</f>
        <v>44295.66667</v>
      </c>
      <c r="O859" s="9">
        <f>IFERROR(__xludf.DUMMYFUNCTION("""COMPUTED_VALUE"""),133.0)</f>
        <v>133</v>
      </c>
      <c r="Q859" s="11">
        <f>IFERROR(__xludf.DUMMYFUNCTION("""COMPUTED_VALUE"""),44295.66666666667)</f>
        <v>44295.66667</v>
      </c>
      <c r="R859" s="9">
        <f>IFERROR(__xludf.DUMMYFUNCTION("""COMPUTED_VALUE"""),311.4)</f>
        <v>311.4</v>
      </c>
      <c r="S859" s="11">
        <f>IFERROR(__xludf.DUMMYFUNCTION("""COMPUTED_VALUE"""),44295.66666666667)</f>
        <v>44295.66667</v>
      </c>
      <c r="T859" s="9">
        <f>IFERROR(__xludf.DUMMYFUNCTION("""COMPUTED_VALUE"""),312.46)</f>
        <v>312.46</v>
      </c>
      <c r="V859" s="11">
        <f>IFERROR(__xludf.DUMMYFUNCTION("""COMPUTED_VALUE"""),44295.66666666667)</f>
        <v>44295.66667</v>
      </c>
      <c r="W859" s="9">
        <f>IFERROR(__xludf.DUMMYFUNCTION("""COMPUTED_VALUE"""),552.69)</f>
        <v>552.69</v>
      </c>
      <c r="X859" s="11">
        <f>IFERROR(__xludf.DUMMYFUNCTION("""COMPUTED_VALUE"""),44295.66666666667)</f>
        <v>44295.66667</v>
      </c>
      <c r="Y859" s="9">
        <f>IFERROR(__xludf.DUMMYFUNCTION("""COMPUTED_VALUE"""),555.31)</f>
        <v>555.31</v>
      </c>
      <c r="AA859" s="11">
        <f>IFERROR(__xludf.DUMMYFUNCTION("""COMPUTED_VALUE"""),44295.66666666667)</f>
        <v>44295.66667</v>
      </c>
      <c r="AB859" s="9">
        <f>IFERROR(__xludf.DUMMYFUNCTION("""COMPUTED_VALUE"""),3304.7)</f>
        <v>3304.7</v>
      </c>
      <c r="AC859" s="11">
        <f>IFERROR(__xludf.DUMMYFUNCTION("""COMPUTED_VALUE"""),44295.66666666667)</f>
        <v>44295.66667</v>
      </c>
      <c r="AD859" s="9">
        <f>IFERROR(__xludf.DUMMYFUNCTION("""COMPUTED_VALUE"""),3372.2)</f>
        <v>3372.2</v>
      </c>
    </row>
    <row r="860">
      <c r="B860" s="11">
        <f>IFERROR(__xludf.DUMMYFUNCTION("""COMPUTED_VALUE"""),44298.66666666667)</f>
        <v>44298.66667</v>
      </c>
      <c r="C860" s="9">
        <f>IFERROR(__xludf.DUMMYFUNCTION("""COMPUTED_VALUE"""),685.7)</f>
        <v>685.7</v>
      </c>
      <c r="D860" s="11">
        <f>IFERROR(__xludf.DUMMYFUNCTION("""COMPUTED_VALUE"""),44298.66666666667)</f>
        <v>44298.66667</v>
      </c>
      <c r="E860" s="9">
        <f>IFERROR(__xludf.DUMMYFUNCTION("""COMPUTED_VALUE"""),701.98)</f>
        <v>701.98</v>
      </c>
      <c r="G860" s="11">
        <f>IFERROR(__xludf.DUMMYFUNCTION("""COMPUTED_VALUE"""),44298.66666666667)</f>
        <v>44298.66667</v>
      </c>
      <c r="H860" s="9">
        <f>IFERROR(__xludf.DUMMYFUNCTION("""COMPUTED_VALUE"""),2266.25)</f>
        <v>2266.25</v>
      </c>
      <c r="I860" s="11">
        <f>IFERROR(__xludf.DUMMYFUNCTION("""COMPUTED_VALUE"""),44298.66666666667)</f>
        <v>44298.66667</v>
      </c>
      <c r="J860" s="9">
        <f>IFERROR(__xludf.DUMMYFUNCTION("""COMPUTED_VALUE"""),2254.79)</f>
        <v>2254.79</v>
      </c>
      <c r="L860" s="11">
        <f>IFERROR(__xludf.DUMMYFUNCTION("""COMPUTED_VALUE"""),44298.66666666667)</f>
        <v>44298.66667</v>
      </c>
      <c r="M860" s="9">
        <f>IFERROR(__xludf.DUMMYFUNCTION("""COMPUTED_VALUE"""),132.52)</f>
        <v>132.52</v>
      </c>
      <c r="N860" s="11">
        <f>IFERROR(__xludf.DUMMYFUNCTION("""COMPUTED_VALUE"""),44298.66666666667)</f>
        <v>44298.66667</v>
      </c>
      <c r="O860" s="9">
        <f>IFERROR(__xludf.DUMMYFUNCTION("""COMPUTED_VALUE"""),131.24)</f>
        <v>131.24</v>
      </c>
      <c r="Q860" s="11">
        <f>IFERROR(__xludf.DUMMYFUNCTION("""COMPUTED_VALUE"""),44298.66666666667)</f>
        <v>44298.66667</v>
      </c>
      <c r="R860" s="9">
        <f>IFERROR(__xludf.DUMMYFUNCTION("""COMPUTED_VALUE"""),311.05)</f>
        <v>311.05</v>
      </c>
      <c r="S860" s="11">
        <f>IFERROR(__xludf.DUMMYFUNCTION("""COMPUTED_VALUE"""),44298.66666666667)</f>
        <v>44298.66667</v>
      </c>
      <c r="T860" s="9">
        <f>IFERROR(__xludf.DUMMYFUNCTION("""COMPUTED_VALUE"""),311.54)</f>
        <v>311.54</v>
      </c>
      <c r="V860" s="11">
        <f>IFERROR(__xludf.DUMMYFUNCTION("""COMPUTED_VALUE"""),44298.66666666667)</f>
        <v>44298.66667</v>
      </c>
      <c r="W860" s="9">
        <f>IFERROR(__xludf.DUMMYFUNCTION("""COMPUTED_VALUE"""),551.05)</f>
        <v>551.05</v>
      </c>
      <c r="X860" s="11">
        <f>IFERROR(__xludf.DUMMYFUNCTION("""COMPUTED_VALUE"""),44298.66666666667)</f>
        <v>44298.66667</v>
      </c>
      <c r="Y860" s="9">
        <f>IFERROR(__xludf.DUMMYFUNCTION("""COMPUTED_VALUE"""),552.78)</f>
        <v>552.78</v>
      </c>
      <c r="AA860" s="11">
        <f>IFERROR(__xludf.DUMMYFUNCTION("""COMPUTED_VALUE"""),44298.66666666667)</f>
        <v>44298.66667</v>
      </c>
      <c r="AB860" s="9">
        <f>IFERROR(__xludf.DUMMYFUNCTION("""COMPUTED_VALUE"""),3355.21)</f>
        <v>3355.21</v>
      </c>
      <c r="AC860" s="11">
        <f>IFERROR(__xludf.DUMMYFUNCTION("""COMPUTED_VALUE"""),44298.66666666667)</f>
        <v>44298.66667</v>
      </c>
      <c r="AD860" s="9">
        <f>IFERROR(__xludf.DUMMYFUNCTION("""COMPUTED_VALUE"""),3379.39)</f>
        <v>3379.39</v>
      </c>
    </row>
    <row r="861">
      <c r="B861" s="11">
        <f>IFERROR(__xludf.DUMMYFUNCTION("""COMPUTED_VALUE"""),44299.66666666667)</f>
        <v>44299.66667</v>
      </c>
      <c r="C861" s="9">
        <f>IFERROR(__xludf.DUMMYFUNCTION("""COMPUTED_VALUE"""),712.7)</f>
        <v>712.7</v>
      </c>
      <c r="D861" s="11">
        <f>IFERROR(__xludf.DUMMYFUNCTION("""COMPUTED_VALUE"""),44299.66666666667)</f>
        <v>44299.66667</v>
      </c>
      <c r="E861" s="9">
        <f>IFERROR(__xludf.DUMMYFUNCTION("""COMPUTED_VALUE"""),762.32)</f>
        <v>762.32</v>
      </c>
      <c r="G861" s="11">
        <f>IFERROR(__xludf.DUMMYFUNCTION("""COMPUTED_VALUE"""),44299.66666666667)</f>
        <v>44299.66667</v>
      </c>
      <c r="H861" s="9">
        <f>IFERROR(__xludf.DUMMYFUNCTION("""COMPUTED_VALUE"""),2261.47)</f>
        <v>2261.47</v>
      </c>
      <c r="I861" s="11">
        <f>IFERROR(__xludf.DUMMYFUNCTION("""COMPUTED_VALUE"""),44299.66666666667)</f>
        <v>44299.66667</v>
      </c>
      <c r="J861" s="9">
        <f>IFERROR(__xludf.DUMMYFUNCTION("""COMPUTED_VALUE"""),2267.27)</f>
        <v>2267.27</v>
      </c>
      <c r="L861" s="11">
        <f>IFERROR(__xludf.DUMMYFUNCTION("""COMPUTED_VALUE"""),44299.66666666667)</f>
        <v>44299.66667</v>
      </c>
      <c r="M861" s="9">
        <f>IFERROR(__xludf.DUMMYFUNCTION("""COMPUTED_VALUE"""),132.44)</f>
        <v>132.44</v>
      </c>
      <c r="N861" s="11">
        <f>IFERROR(__xludf.DUMMYFUNCTION("""COMPUTED_VALUE"""),44299.66666666667)</f>
        <v>44299.66667</v>
      </c>
      <c r="O861" s="9">
        <f>IFERROR(__xludf.DUMMYFUNCTION("""COMPUTED_VALUE"""),134.43)</f>
        <v>134.43</v>
      </c>
      <c r="Q861" s="11">
        <f>IFERROR(__xludf.DUMMYFUNCTION("""COMPUTED_VALUE"""),44299.66666666667)</f>
        <v>44299.66667</v>
      </c>
      <c r="R861" s="9">
        <f>IFERROR(__xludf.DUMMYFUNCTION("""COMPUTED_VALUE"""),312.21)</f>
        <v>312.21</v>
      </c>
      <c r="S861" s="11">
        <f>IFERROR(__xludf.DUMMYFUNCTION("""COMPUTED_VALUE"""),44299.66666666667)</f>
        <v>44299.66667</v>
      </c>
      <c r="T861" s="9">
        <f>IFERROR(__xludf.DUMMYFUNCTION("""COMPUTED_VALUE"""),309.76)</f>
        <v>309.76</v>
      </c>
      <c r="V861" s="11">
        <f>IFERROR(__xludf.DUMMYFUNCTION("""COMPUTED_VALUE"""),44299.66666666667)</f>
        <v>44299.66667</v>
      </c>
      <c r="W861" s="9">
        <f>IFERROR(__xludf.DUMMYFUNCTION("""COMPUTED_VALUE"""),557.0)</f>
        <v>557</v>
      </c>
      <c r="X861" s="11">
        <f>IFERROR(__xludf.DUMMYFUNCTION("""COMPUTED_VALUE"""),44299.66666666667)</f>
        <v>44299.66667</v>
      </c>
      <c r="Y861" s="9">
        <f>IFERROR(__xludf.DUMMYFUNCTION("""COMPUTED_VALUE"""),553.73)</f>
        <v>553.73</v>
      </c>
      <c r="AA861" s="11">
        <f>IFERROR(__xludf.DUMMYFUNCTION("""COMPUTED_VALUE"""),44299.66666666667)</f>
        <v>44299.66667</v>
      </c>
      <c r="AB861" s="9">
        <f>IFERROR(__xludf.DUMMYFUNCTION("""COMPUTED_VALUE"""),3400.85)</f>
        <v>3400.85</v>
      </c>
      <c r="AC861" s="11">
        <f>IFERROR(__xludf.DUMMYFUNCTION("""COMPUTED_VALUE"""),44299.66666666667)</f>
        <v>44299.66667</v>
      </c>
      <c r="AD861" s="9">
        <f>IFERROR(__xludf.DUMMYFUNCTION("""COMPUTED_VALUE"""),3400.0)</f>
        <v>3400</v>
      </c>
    </row>
    <row r="862">
      <c r="B862" s="11">
        <f>IFERROR(__xludf.DUMMYFUNCTION("""COMPUTED_VALUE"""),44300.66666666667)</f>
        <v>44300.66667</v>
      </c>
      <c r="C862" s="9">
        <f>IFERROR(__xludf.DUMMYFUNCTION("""COMPUTED_VALUE"""),770.7)</f>
        <v>770.7</v>
      </c>
      <c r="D862" s="11">
        <f>IFERROR(__xludf.DUMMYFUNCTION("""COMPUTED_VALUE"""),44300.66666666667)</f>
        <v>44300.66667</v>
      </c>
      <c r="E862" s="9">
        <f>IFERROR(__xludf.DUMMYFUNCTION("""COMPUTED_VALUE"""),732.23)</f>
        <v>732.23</v>
      </c>
      <c r="G862" s="11">
        <f>IFERROR(__xludf.DUMMYFUNCTION("""COMPUTED_VALUE"""),44300.66666666667)</f>
        <v>44300.66667</v>
      </c>
      <c r="H862" s="9">
        <f>IFERROR(__xludf.DUMMYFUNCTION("""COMPUTED_VALUE"""),2275.16)</f>
        <v>2275.16</v>
      </c>
      <c r="I862" s="11">
        <f>IFERROR(__xludf.DUMMYFUNCTION("""COMPUTED_VALUE"""),44300.66666666667)</f>
        <v>44300.66667</v>
      </c>
      <c r="J862" s="9">
        <f>IFERROR(__xludf.DUMMYFUNCTION("""COMPUTED_VALUE"""),2254.84)</f>
        <v>2254.84</v>
      </c>
      <c r="L862" s="11">
        <f>IFERROR(__xludf.DUMMYFUNCTION("""COMPUTED_VALUE"""),44300.66666666667)</f>
        <v>44300.66667</v>
      </c>
      <c r="M862" s="9">
        <f>IFERROR(__xludf.DUMMYFUNCTION("""COMPUTED_VALUE"""),134.94)</f>
        <v>134.94</v>
      </c>
      <c r="N862" s="11">
        <f>IFERROR(__xludf.DUMMYFUNCTION("""COMPUTED_VALUE"""),44300.66666666667)</f>
        <v>44300.66667</v>
      </c>
      <c r="O862" s="9">
        <f>IFERROR(__xludf.DUMMYFUNCTION("""COMPUTED_VALUE"""),132.03)</f>
        <v>132.03</v>
      </c>
      <c r="Q862" s="11">
        <f>IFERROR(__xludf.DUMMYFUNCTION("""COMPUTED_VALUE"""),44300.66666666667)</f>
        <v>44300.66667</v>
      </c>
      <c r="R862" s="9">
        <f>IFERROR(__xludf.DUMMYFUNCTION("""COMPUTED_VALUE"""),307.3)</f>
        <v>307.3</v>
      </c>
      <c r="S862" s="11">
        <f>IFERROR(__xludf.DUMMYFUNCTION("""COMPUTED_VALUE"""),44300.66666666667)</f>
        <v>44300.66667</v>
      </c>
      <c r="T862" s="9">
        <f>IFERROR(__xludf.DUMMYFUNCTION("""COMPUTED_VALUE"""),302.82)</f>
        <v>302.82</v>
      </c>
      <c r="V862" s="11">
        <f>IFERROR(__xludf.DUMMYFUNCTION("""COMPUTED_VALUE"""),44300.66666666667)</f>
        <v>44300.66667</v>
      </c>
      <c r="W862" s="9">
        <f>IFERROR(__xludf.DUMMYFUNCTION("""COMPUTED_VALUE"""),554.87)</f>
        <v>554.87</v>
      </c>
      <c r="X862" s="11">
        <f>IFERROR(__xludf.DUMMYFUNCTION("""COMPUTED_VALUE"""),44300.66666666667)</f>
        <v>44300.66667</v>
      </c>
      <c r="Y862" s="9">
        <f>IFERROR(__xludf.DUMMYFUNCTION("""COMPUTED_VALUE"""),540.02)</f>
        <v>540.02</v>
      </c>
      <c r="AA862" s="11">
        <f>IFERROR(__xludf.DUMMYFUNCTION("""COMPUTED_VALUE"""),44300.66666666667)</f>
        <v>44300.66667</v>
      </c>
      <c r="AB862" s="9">
        <f>IFERROR(__xludf.DUMMYFUNCTION("""COMPUTED_VALUE"""),3404.04)</f>
        <v>3404.04</v>
      </c>
      <c r="AC862" s="11">
        <f>IFERROR(__xludf.DUMMYFUNCTION("""COMPUTED_VALUE"""),44300.66666666667)</f>
        <v>44300.66667</v>
      </c>
      <c r="AD862" s="9">
        <f>IFERROR(__xludf.DUMMYFUNCTION("""COMPUTED_VALUE"""),3333.0)</f>
        <v>3333</v>
      </c>
    </row>
    <row r="863">
      <c r="B863" s="11">
        <f>IFERROR(__xludf.DUMMYFUNCTION("""COMPUTED_VALUE"""),44301.66666666667)</f>
        <v>44301.66667</v>
      </c>
      <c r="C863" s="9">
        <f>IFERROR(__xludf.DUMMYFUNCTION("""COMPUTED_VALUE"""),743.1)</f>
        <v>743.1</v>
      </c>
      <c r="D863" s="11">
        <f>IFERROR(__xludf.DUMMYFUNCTION("""COMPUTED_VALUE"""),44301.66666666667)</f>
        <v>44301.66667</v>
      </c>
      <c r="E863" s="9">
        <f>IFERROR(__xludf.DUMMYFUNCTION("""COMPUTED_VALUE"""),738.85)</f>
        <v>738.85</v>
      </c>
      <c r="G863" s="11">
        <f>IFERROR(__xludf.DUMMYFUNCTION("""COMPUTED_VALUE"""),44301.66666666667)</f>
        <v>44301.66667</v>
      </c>
      <c r="H863" s="9">
        <f>IFERROR(__xludf.DUMMYFUNCTION("""COMPUTED_VALUE"""),2276.98)</f>
        <v>2276.98</v>
      </c>
      <c r="I863" s="11">
        <f>IFERROR(__xludf.DUMMYFUNCTION("""COMPUTED_VALUE"""),44301.66666666667)</f>
        <v>44301.66667</v>
      </c>
      <c r="J863" s="9">
        <f>IFERROR(__xludf.DUMMYFUNCTION("""COMPUTED_VALUE"""),2296.66)</f>
        <v>2296.66</v>
      </c>
      <c r="L863" s="11">
        <f>IFERROR(__xludf.DUMMYFUNCTION("""COMPUTED_VALUE"""),44301.66666666667)</f>
        <v>44301.66667</v>
      </c>
      <c r="M863" s="9">
        <f>IFERROR(__xludf.DUMMYFUNCTION("""COMPUTED_VALUE"""),133.82)</f>
        <v>133.82</v>
      </c>
      <c r="N863" s="11">
        <f>IFERROR(__xludf.DUMMYFUNCTION("""COMPUTED_VALUE"""),44301.66666666667)</f>
        <v>44301.66667</v>
      </c>
      <c r="O863" s="9">
        <f>IFERROR(__xludf.DUMMYFUNCTION("""COMPUTED_VALUE"""),134.5)</f>
        <v>134.5</v>
      </c>
      <c r="Q863" s="11">
        <f>IFERROR(__xludf.DUMMYFUNCTION("""COMPUTED_VALUE"""),44301.66666666667)</f>
        <v>44301.66667</v>
      </c>
      <c r="R863" s="9">
        <f>IFERROR(__xludf.DUMMYFUNCTION("""COMPUTED_VALUE"""),306.34)</f>
        <v>306.34</v>
      </c>
      <c r="S863" s="11">
        <f>IFERROR(__xludf.DUMMYFUNCTION("""COMPUTED_VALUE"""),44301.66666666667)</f>
        <v>44301.66667</v>
      </c>
      <c r="T863" s="9">
        <f>IFERROR(__xludf.DUMMYFUNCTION("""COMPUTED_VALUE"""),307.82)</f>
        <v>307.82</v>
      </c>
      <c r="V863" s="11">
        <f>IFERROR(__xludf.DUMMYFUNCTION("""COMPUTED_VALUE"""),44301.66666666667)</f>
        <v>44301.66667</v>
      </c>
      <c r="W863" s="9">
        <f>IFERROR(__xludf.DUMMYFUNCTION("""COMPUTED_VALUE"""),544.17)</f>
        <v>544.17</v>
      </c>
      <c r="X863" s="11">
        <f>IFERROR(__xludf.DUMMYFUNCTION("""COMPUTED_VALUE"""),44301.66666666667)</f>
        <v>44301.66667</v>
      </c>
      <c r="Y863" s="9">
        <f>IFERROR(__xludf.DUMMYFUNCTION("""COMPUTED_VALUE"""),549.22)</f>
        <v>549.22</v>
      </c>
      <c r="AA863" s="11">
        <f>IFERROR(__xludf.DUMMYFUNCTION("""COMPUTED_VALUE"""),44301.66666666667)</f>
        <v>44301.66667</v>
      </c>
      <c r="AB863" s="9">
        <f>IFERROR(__xludf.DUMMYFUNCTION("""COMPUTED_VALUE"""),3371.0)</f>
        <v>3371</v>
      </c>
      <c r="AC863" s="11">
        <f>IFERROR(__xludf.DUMMYFUNCTION("""COMPUTED_VALUE"""),44301.66666666667)</f>
        <v>44301.66667</v>
      </c>
      <c r="AD863" s="9">
        <f>IFERROR(__xludf.DUMMYFUNCTION("""COMPUTED_VALUE"""),3379.09)</f>
        <v>3379.09</v>
      </c>
    </row>
    <row r="864">
      <c r="B864" s="11">
        <f>IFERROR(__xludf.DUMMYFUNCTION("""COMPUTED_VALUE"""),44302.66666666667)</f>
        <v>44302.66667</v>
      </c>
      <c r="C864" s="9">
        <f>IFERROR(__xludf.DUMMYFUNCTION("""COMPUTED_VALUE"""),728.65)</f>
        <v>728.65</v>
      </c>
      <c r="D864" s="11">
        <f>IFERROR(__xludf.DUMMYFUNCTION("""COMPUTED_VALUE"""),44302.66666666667)</f>
        <v>44302.66667</v>
      </c>
      <c r="E864" s="9">
        <f>IFERROR(__xludf.DUMMYFUNCTION("""COMPUTED_VALUE"""),739.78)</f>
        <v>739.78</v>
      </c>
      <c r="G864" s="11">
        <f>IFERROR(__xludf.DUMMYFUNCTION("""COMPUTED_VALUE"""),44302.66666666667)</f>
        <v>44302.66667</v>
      </c>
      <c r="H864" s="9">
        <f>IFERROR(__xludf.DUMMYFUNCTION("""COMPUTED_VALUE"""),2303.0)</f>
        <v>2303</v>
      </c>
      <c r="I864" s="11">
        <f>IFERROR(__xludf.DUMMYFUNCTION("""COMPUTED_VALUE"""),44302.66666666667)</f>
        <v>44302.66667</v>
      </c>
      <c r="J864" s="9">
        <f>IFERROR(__xludf.DUMMYFUNCTION("""COMPUTED_VALUE"""),2297.76)</f>
        <v>2297.76</v>
      </c>
      <c r="L864" s="11">
        <f>IFERROR(__xludf.DUMMYFUNCTION("""COMPUTED_VALUE"""),44302.66666666667)</f>
        <v>44302.66667</v>
      </c>
      <c r="M864" s="9">
        <f>IFERROR(__xludf.DUMMYFUNCTION("""COMPUTED_VALUE"""),134.3)</f>
        <v>134.3</v>
      </c>
      <c r="N864" s="11">
        <f>IFERROR(__xludf.DUMMYFUNCTION("""COMPUTED_VALUE"""),44302.66666666667)</f>
        <v>44302.66667</v>
      </c>
      <c r="O864" s="9">
        <f>IFERROR(__xludf.DUMMYFUNCTION("""COMPUTED_VALUE"""),134.16)</f>
        <v>134.16</v>
      </c>
      <c r="Q864" s="11">
        <f>IFERROR(__xludf.DUMMYFUNCTION("""COMPUTED_VALUE"""),44302.66666666667)</f>
        <v>44302.66667</v>
      </c>
      <c r="R864" s="9">
        <f>IFERROR(__xludf.DUMMYFUNCTION("""COMPUTED_VALUE"""),308.17)</f>
        <v>308.17</v>
      </c>
      <c r="S864" s="11">
        <f>IFERROR(__xludf.DUMMYFUNCTION("""COMPUTED_VALUE"""),44302.66666666667)</f>
        <v>44302.66667</v>
      </c>
      <c r="T864" s="9">
        <f>IFERROR(__xludf.DUMMYFUNCTION("""COMPUTED_VALUE"""),306.18)</f>
        <v>306.18</v>
      </c>
      <c r="V864" s="11">
        <f>IFERROR(__xludf.DUMMYFUNCTION("""COMPUTED_VALUE"""),44302.66666666667)</f>
        <v>44302.66667</v>
      </c>
      <c r="W864" s="9">
        <f>IFERROR(__xludf.DUMMYFUNCTION("""COMPUTED_VALUE"""),550.54)</f>
        <v>550.54</v>
      </c>
      <c r="X864" s="11">
        <f>IFERROR(__xludf.DUMMYFUNCTION("""COMPUTED_VALUE"""),44302.66666666667)</f>
        <v>44302.66667</v>
      </c>
      <c r="Y864" s="9">
        <f>IFERROR(__xludf.DUMMYFUNCTION("""COMPUTED_VALUE"""),546.54)</f>
        <v>546.54</v>
      </c>
      <c r="AA864" s="11">
        <f>IFERROR(__xludf.DUMMYFUNCTION("""COMPUTED_VALUE"""),44302.66666666667)</f>
        <v>44302.66667</v>
      </c>
      <c r="AB864" s="9">
        <f>IFERROR(__xludf.DUMMYFUNCTION("""COMPUTED_VALUE"""),3380.0)</f>
        <v>3380</v>
      </c>
      <c r="AC864" s="11">
        <f>IFERROR(__xludf.DUMMYFUNCTION("""COMPUTED_VALUE"""),44302.66666666667)</f>
        <v>44302.66667</v>
      </c>
      <c r="AD864" s="9">
        <f>IFERROR(__xludf.DUMMYFUNCTION("""COMPUTED_VALUE"""),3399.44)</f>
        <v>3399.44</v>
      </c>
    </row>
    <row r="865">
      <c r="B865" s="11">
        <f>IFERROR(__xludf.DUMMYFUNCTION("""COMPUTED_VALUE"""),44305.66666666667)</f>
        <v>44305.66667</v>
      </c>
      <c r="C865" s="9">
        <f>IFERROR(__xludf.DUMMYFUNCTION("""COMPUTED_VALUE"""),719.6)</f>
        <v>719.6</v>
      </c>
      <c r="D865" s="11">
        <f>IFERROR(__xludf.DUMMYFUNCTION("""COMPUTED_VALUE"""),44305.66666666667)</f>
        <v>44305.66667</v>
      </c>
      <c r="E865" s="9">
        <f>IFERROR(__xludf.DUMMYFUNCTION("""COMPUTED_VALUE"""),714.63)</f>
        <v>714.63</v>
      </c>
      <c r="G865" s="11">
        <f>IFERROR(__xludf.DUMMYFUNCTION("""COMPUTED_VALUE"""),44305.66666666667)</f>
        <v>44305.66667</v>
      </c>
      <c r="H865" s="9">
        <f>IFERROR(__xludf.DUMMYFUNCTION("""COMPUTED_VALUE"""),2291.98)</f>
        <v>2291.98</v>
      </c>
      <c r="I865" s="11">
        <f>IFERROR(__xludf.DUMMYFUNCTION("""COMPUTED_VALUE"""),44305.66666666667)</f>
        <v>44305.66667</v>
      </c>
      <c r="J865" s="9">
        <f>IFERROR(__xludf.DUMMYFUNCTION("""COMPUTED_VALUE"""),2302.4)</f>
        <v>2302.4</v>
      </c>
      <c r="L865" s="11">
        <f>IFERROR(__xludf.DUMMYFUNCTION("""COMPUTED_VALUE"""),44305.66666666667)</f>
        <v>44305.66667</v>
      </c>
      <c r="M865" s="9">
        <f>IFERROR(__xludf.DUMMYFUNCTION("""COMPUTED_VALUE"""),133.51)</f>
        <v>133.51</v>
      </c>
      <c r="N865" s="11">
        <f>IFERROR(__xludf.DUMMYFUNCTION("""COMPUTED_VALUE"""),44305.66666666667)</f>
        <v>44305.66667</v>
      </c>
      <c r="O865" s="9">
        <f>IFERROR(__xludf.DUMMYFUNCTION("""COMPUTED_VALUE"""),134.84)</f>
        <v>134.84</v>
      </c>
      <c r="Q865" s="11">
        <f>IFERROR(__xludf.DUMMYFUNCTION("""COMPUTED_VALUE"""),44305.66666666667)</f>
        <v>44305.66667</v>
      </c>
      <c r="R865" s="9">
        <f>IFERROR(__xludf.DUMMYFUNCTION("""COMPUTED_VALUE"""),305.01)</f>
        <v>305.01</v>
      </c>
      <c r="S865" s="11">
        <f>IFERROR(__xludf.DUMMYFUNCTION("""COMPUTED_VALUE"""),44305.66666666667)</f>
        <v>44305.66667</v>
      </c>
      <c r="T865" s="9">
        <f>IFERROR(__xludf.DUMMYFUNCTION("""COMPUTED_VALUE"""),302.24)</f>
        <v>302.24</v>
      </c>
      <c r="V865" s="11">
        <f>IFERROR(__xludf.DUMMYFUNCTION("""COMPUTED_VALUE"""),44305.66666666667)</f>
        <v>44305.66667</v>
      </c>
      <c r="W865" s="9">
        <f>IFERROR(__xludf.DUMMYFUNCTION("""COMPUTED_VALUE"""),546.9)</f>
        <v>546.9</v>
      </c>
      <c r="X865" s="11">
        <f>IFERROR(__xludf.DUMMYFUNCTION("""COMPUTED_VALUE"""),44305.66666666667)</f>
        <v>44305.66667</v>
      </c>
      <c r="Y865" s="9">
        <f>IFERROR(__xludf.DUMMYFUNCTION("""COMPUTED_VALUE"""),554.44)</f>
        <v>554.44</v>
      </c>
      <c r="AA865" s="11">
        <f>IFERROR(__xludf.DUMMYFUNCTION("""COMPUTED_VALUE"""),44305.66666666667)</f>
        <v>44305.66667</v>
      </c>
      <c r="AB865" s="9">
        <f>IFERROR(__xludf.DUMMYFUNCTION("""COMPUTED_VALUE"""),3390.33)</f>
        <v>3390.33</v>
      </c>
      <c r="AC865" s="11">
        <f>IFERROR(__xludf.DUMMYFUNCTION("""COMPUTED_VALUE"""),44305.66666666667)</f>
        <v>44305.66667</v>
      </c>
      <c r="AD865" s="9">
        <f>IFERROR(__xludf.DUMMYFUNCTION("""COMPUTED_VALUE"""),3372.01)</f>
        <v>3372.01</v>
      </c>
    </row>
    <row r="866">
      <c r="B866" s="11">
        <f>IFERROR(__xludf.DUMMYFUNCTION("""COMPUTED_VALUE"""),44306.66666666667)</f>
        <v>44306.66667</v>
      </c>
      <c r="C866" s="9">
        <f>IFERROR(__xludf.DUMMYFUNCTION("""COMPUTED_VALUE"""),717.42)</f>
        <v>717.42</v>
      </c>
      <c r="D866" s="11">
        <f>IFERROR(__xludf.DUMMYFUNCTION("""COMPUTED_VALUE"""),44306.66666666667)</f>
        <v>44306.66667</v>
      </c>
      <c r="E866" s="9">
        <f>IFERROR(__xludf.DUMMYFUNCTION("""COMPUTED_VALUE"""),718.99)</f>
        <v>718.99</v>
      </c>
      <c r="G866" s="11">
        <f>IFERROR(__xludf.DUMMYFUNCTION("""COMPUTED_VALUE"""),44306.66666666667)</f>
        <v>44306.66667</v>
      </c>
      <c r="H866" s="9">
        <f>IFERROR(__xludf.DUMMYFUNCTION("""COMPUTED_VALUE"""),2307.89)</f>
        <v>2307.89</v>
      </c>
      <c r="I866" s="11">
        <f>IFERROR(__xludf.DUMMYFUNCTION("""COMPUTED_VALUE"""),44306.66666666667)</f>
        <v>44306.66667</v>
      </c>
      <c r="J866" s="9">
        <f>IFERROR(__xludf.DUMMYFUNCTION("""COMPUTED_VALUE"""),2293.63)</f>
        <v>2293.63</v>
      </c>
      <c r="L866" s="11">
        <f>IFERROR(__xludf.DUMMYFUNCTION("""COMPUTED_VALUE"""),44306.66666666667)</f>
        <v>44306.66667</v>
      </c>
      <c r="M866" s="9">
        <f>IFERROR(__xludf.DUMMYFUNCTION("""COMPUTED_VALUE"""),135.02)</f>
        <v>135.02</v>
      </c>
      <c r="N866" s="11">
        <f>IFERROR(__xludf.DUMMYFUNCTION("""COMPUTED_VALUE"""),44306.66666666667)</f>
        <v>44306.66667</v>
      </c>
      <c r="O866" s="9">
        <f>IFERROR(__xludf.DUMMYFUNCTION("""COMPUTED_VALUE"""),133.11)</f>
        <v>133.11</v>
      </c>
      <c r="Q866" s="11">
        <f>IFERROR(__xludf.DUMMYFUNCTION("""COMPUTED_VALUE"""),44306.66666666667)</f>
        <v>44306.66667</v>
      </c>
      <c r="R866" s="9">
        <f>IFERROR(__xludf.DUMMYFUNCTION("""COMPUTED_VALUE"""),301.99)</f>
        <v>301.99</v>
      </c>
      <c r="S866" s="11">
        <f>IFERROR(__xludf.DUMMYFUNCTION("""COMPUTED_VALUE"""),44306.66666666667)</f>
        <v>44306.66667</v>
      </c>
      <c r="T866" s="9">
        <f>IFERROR(__xludf.DUMMYFUNCTION("""COMPUTED_VALUE"""),302.65)</f>
        <v>302.65</v>
      </c>
      <c r="V866" s="11">
        <f>IFERROR(__xludf.DUMMYFUNCTION("""COMPUTED_VALUE"""),44306.66666666667)</f>
        <v>44306.66667</v>
      </c>
      <c r="W866" s="9">
        <f>IFERROR(__xludf.DUMMYFUNCTION("""COMPUTED_VALUE"""),554.42)</f>
        <v>554.42</v>
      </c>
      <c r="X866" s="11">
        <f>IFERROR(__xludf.DUMMYFUNCTION("""COMPUTED_VALUE"""),44306.66666666667)</f>
        <v>44306.66667</v>
      </c>
      <c r="Y866" s="9">
        <f>IFERROR(__xludf.DUMMYFUNCTION("""COMPUTED_VALUE"""),549.57)</f>
        <v>549.57</v>
      </c>
      <c r="AA866" s="11">
        <f>IFERROR(__xludf.DUMMYFUNCTION("""COMPUTED_VALUE"""),44306.66666666667)</f>
        <v>44306.66667</v>
      </c>
      <c r="AB866" s="9">
        <f>IFERROR(__xludf.DUMMYFUNCTION("""COMPUTED_VALUE"""),3373.6)</f>
        <v>3373.6</v>
      </c>
      <c r="AC866" s="11">
        <f>IFERROR(__xludf.DUMMYFUNCTION("""COMPUTED_VALUE"""),44306.66666666667)</f>
        <v>44306.66667</v>
      </c>
      <c r="AD866" s="9">
        <f>IFERROR(__xludf.DUMMYFUNCTION("""COMPUTED_VALUE"""),3334.69)</f>
        <v>3334.69</v>
      </c>
    </row>
    <row r="867">
      <c r="B867" s="11">
        <f>IFERROR(__xludf.DUMMYFUNCTION("""COMPUTED_VALUE"""),44307.66666666667)</f>
        <v>44307.66667</v>
      </c>
      <c r="C867" s="9">
        <f>IFERROR(__xludf.DUMMYFUNCTION("""COMPUTED_VALUE"""),704.77)</f>
        <v>704.77</v>
      </c>
      <c r="D867" s="11">
        <f>IFERROR(__xludf.DUMMYFUNCTION("""COMPUTED_VALUE"""),44307.66666666667)</f>
        <v>44307.66667</v>
      </c>
      <c r="E867" s="9">
        <f>IFERROR(__xludf.DUMMYFUNCTION("""COMPUTED_VALUE"""),744.12)</f>
        <v>744.12</v>
      </c>
      <c r="G867" s="11">
        <f>IFERROR(__xludf.DUMMYFUNCTION("""COMPUTED_VALUE"""),44307.66666666667)</f>
        <v>44307.66667</v>
      </c>
      <c r="H867" s="9">
        <f>IFERROR(__xludf.DUMMYFUNCTION("""COMPUTED_VALUE"""),2285.25)</f>
        <v>2285.25</v>
      </c>
      <c r="I867" s="11">
        <f>IFERROR(__xludf.DUMMYFUNCTION("""COMPUTED_VALUE"""),44307.66666666667)</f>
        <v>44307.66667</v>
      </c>
      <c r="J867" s="9">
        <f>IFERROR(__xludf.DUMMYFUNCTION("""COMPUTED_VALUE"""),2293.29)</f>
        <v>2293.29</v>
      </c>
      <c r="L867" s="11">
        <f>IFERROR(__xludf.DUMMYFUNCTION("""COMPUTED_VALUE"""),44307.66666666667)</f>
        <v>44307.66667</v>
      </c>
      <c r="M867" s="9">
        <f>IFERROR(__xludf.DUMMYFUNCTION("""COMPUTED_VALUE"""),132.36)</f>
        <v>132.36</v>
      </c>
      <c r="N867" s="11">
        <f>IFERROR(__xludf.DUMMYFUNCTION("""COMPUTED_VALUE"""),44307.66666666667)</f>
        <v>44307.66667</v>
      </c>
      <c r="O867" s="9">
        <f>IFERROR(__xludf.DUMMYFUNCTION("""COMPUTED_VALUE"""),133.5)</f>
        <v>133.5</v>
      </c>
      <c r="Q867" s="11">
        <f>IFERROR(__xludf.DUMMYFUNCTION("""COMPUTED_VALUE"""),44307.66666666667)</f>
        <v>44307.66667</v>
      </c>
      <c r="R867" s="9">
        <f>IFERROR(__xludf.DUMMYFUNCTION("""COMPUTED_VALUE"""),301.95)</f>
        <v>301.95</v>
      </c>
      <c r="S867" s="11">
        <f>IFERROR(__xludf.DUMMYFUNCTION("""COMPUTED_VALUE"""),44307.66666666667)</f>
        <v>44307.66667</v>
      </c>
      <c r="T867" s="9">
        <f>IFERROR(__xludf.DUMMYFUNCTION("""COMPUTED_VALUE"""),301.47)</f>
        <v>301.47</v>
      </c>
      <c r="V867" s="11">
        <f>IFERROR(__xludf.DUMMYFUNCTION("""COMPUTED_VALUE"""),44307.66666666667)</f>
        <v>44307.66667</v>
      </c>
      <c r="W867" s="9">
        <f>IFERROR(__xludf.DUMMYFUNCTION("""COMPUTED_VALUE"""),508.0)</f>
        <v>508</v>
      </c>
      <c r="X867" s="11">
        <f>IFERROR(__xludf.DUMMYFUNCTION("""COMPUTED_VALUE"""),44307.66666666667)</f>
        <v>44307.66667</v>
      </c>
      <c r="Y867" s="9">
        <f>IFERROR(__xludf.DUMMYFUNCTION("""COMPUTED_VALUE"""),508.9)</f>
        <v>508.9</v>
      </c>
      <c r="AA867" s="11">
        <f>IFERROR(__xludf.DUMMYFUNCTION("""COMPUTED_VALUE"""),44307.66666666667)</f>
        <v>44307.66667</v>
      </c>
      <c r="AB867" s="9">
        <f>IFERROR(__xludf.DUMMYFUNCTION("""COMPUTED_VALUE"""),3316.0)</f>
        <v>3316</v>
      </c>
      <c r="AC867" s="11">
        <f>IFERROR(__xludf.DUMMYFUNCTION("""COMPUTED_VALUE"""),44307.66666666667)</f>
        <v>44307.66667</v>
      </c>
      <c r="AD867" s="9">
        <f>IFERROR(__xludf.DUMMYFUNCTION("""COMPUTED_VALUE"""),3362.02)</f>
        <v>3362.02</v>
      </c>
    </row>
    <row r="868">
      <c r="B868" s="11">
        <f>IFERROR(__xludf.DUMMYFUNCTION("""COMPUTED_VALUE"""),44308.66666666667)</f>
        <v>44308.66667</v>
      </c>
      <c r="C868" s="9">
        <f>IFERROR(__xludf.DUMMYFUNCTION("""COMPUTED_VALUE"""),741.5)</f>
        <v>741.5</v>
      </c>
      <c r="D868" s="11">
        <f>IFERROR(__xludf.DUMMYFUNCTION("""COMPUTED_VALUE"""),44308.66666666667)</f>
        <v>44308.66667</v>
      </c>
      <c r="E868" s="9">
        <f>IFERROR(__xludf.DUMMYFUNCTION("""COMPUTED_VALUE"""),719.69)</f>
        <v>719.69</v>
      </c>
      <c r="G868" s="11">
        <f>IFERROR(__xludf.DUMMYFUNCTION("""COMPUTED_VALUE"""),44308.66666666667)</f>
        <v>44308.66667</v>
      </c>
      <c r="H868" s="9">
        <f>IFERROR(__xludf.DUMMYFUNCTION("""COMPUTED_VALUE"""),2293.23)</f>
        <v>2293.23</v>
      </c>
      <c r="I868" s="11">
        <f>IFERROR(__xludf.DUMMYFUNCTION("""COMPUTED_VALUE"""),44308.66666666667)</f>
        <v>44308.66667</v>
      </c>
      <c r="J868" s="9">
        <f>IFERROR(__xludf.DUMMYFUNCTION("""COMPUTED_VALUE"""),2267.92)</f>
        <v>2267.92</v>
      </c>
      <c r="L868" s="11">
        <f>IFERROR(__xludf.DUMMYFUNCTION("""COMPUTED_VALUE"""),44308.66666666667)</f>
        <v>44308.66667</v>
      </c>
      <c r="M868" s="9">
        <f>IFERROR(__xludf.DUMMYFUNCTION("""COMPUTED_VALUE"""),133.04)</f>
        <v>133.04</v>
      </c>
      <c r="N868" s="11">
        <f>IFERROR(__xludf.DUMMYFUNCTION("""COMPUTED_VALUE"""),44308.66666666667)</f>
        <v>44308.66667</v>
      </c>
      <c r="O868" s="9">
        <f>IFERROR(__xludf.DUMMYFUNCTION("""COMPUTED_VALUE"""),131.94)</f>
        <v>131.94</v>
      </c>
      <c r="Q868" s="11">
        <f>IFERROR(__xludf.DUMMYFUNCTION("""COMPUTED_VALUE"""),44308.66666666667)</f>
        <v>44308.66667</v>
      </c>
      <c r="R868" s="9">
        <f>IFERROR(__xludf.DUMMYFUNCTION("""COMPUTED_VALUE"""),301.33)</f>
        <v>301.33</v>
      </c>
      <c r="S868" s="11">
        <f>IFERROR(__xludf.DUMMYFUNCTION("""COMPUTED_VALUE"""),44308.66666666667)</f>
        <v>44308.66667</v>
      </c>
      <c r="T868" s="9">
        <f>IFERROR(__xludf.DUMMYFUNCTION("""COMPUTED_VALUE"""),296.52)</f>
        <v>296.52</v>
      </c>
      <c r="V868" s="11">
        <f>IFERROR(__xludf.DUMMYFUNCTION("""COMPUTED_VALUE"""),44308.66666666667)</f>
        <v>44308.66667</v>
      </c>
      <c r="W868" s="9">
        <f>IFERROR(__xludf.DUMMYFUNCTION("""COMPUTED_VALUE"""),513.82)</f>
        <v>513.82</v>
      </c>
      <c r="X868" s="11">
        <f>IFERROR(__xludf.DUMMYFUNCTION("""COMPUTED_VALUE"""),44308.66666666667)</f>
        <v>44308.66667</v>
      </c>
      <c r="Y868" s="9">
        <f>IFERROR(__xludf.DUMMYFUNCTION("""COMPUTED_VALUE"""),508.78)</f>
        <v>508.78</v>
      </c>
      <c r="AA868" s="11">
        <f>IFERROR(__xludf.DUMMYFUNCTION("""COMPUTED_VALUE"""),44308.66666666667)</f>
        <v>44308.66667</v>
      </c>
      <c r="AB868" s="9">
        <f>IFERROR(__xludf.DUMMYFUNCTION("""COMPUTED_VALUE"""),3371.68)</f>
        <v>3371.68</v>
      </c>
      <c r="AC868" s="11">
        <f>IFERROR(__xludf.DUMMYFUNCTION("""COMPUTED_VALUE"""),44308.66666666667)</f>
        <v>44308.66667</v>
      </c>
      <c r="AD868" s="9">
        <f>IFERROR(__xludf.DUMMYFUNCTION("""COMPUTED_VALUE"""),3309.04)</f>
        <v>3309.04</v>
      </c>
    </row>
    <row r="869">
      <c r="B869" s="11">
        <f>IFERROR(__xludf.DUMMYFUNCTION("""COMPUTED_VALUE"""),44309.66666666667)</f>
        <v>44309.66667</v>
      </c>
      <c r="C869" s="9">
        <f>IFERROR(__xludf.DUMMYFUNCTION("""COMPUTED_VALUE"""),719.8)</f>
        <v>719.8</v>
      </c>
      <c r="D869" s="11">
        <f>IFERROR(__xludf.DUMMYFUNCTION("""COMPUTED_VALUE"""),44309.66666666667)</f>
        <v>44309.66667</v>
      </c>
      <c r="E869" s="9">
        <f>IFERROR(__xludf.DUMMYFUNCTION("""COMPUTED_VALUE"""),729.4)</f>
        <v>729.4</v>
      </c>
      <c r="G869" s="11">
        <f>IFERROR(__xludf.DUMMYFUNCTION("""COMPUTED_VALUE"""),44309.66666666667)</f>
        <v>44309.66667</v>
      </c>
      <c r="H869" s="9">
        <f>IFERROR(__xludf.DUMMYFUNCTION("""COMPUTED_VALUE"""),2283.47)</f>
        <v>2283.47</v>
      </c>
      <c r="I869" s="11">
        <f>IFERROR(__xludf.DUMMYFUNCTION("""COMPUTED_VALUE"""),44309.66666666667)</f>
        <v>44309.66667</v>
      </c>
      <c r="J869" s="9">
        <f>IFERROR(__xludf.DUMMYFUNCTION("""COMPUTED_VALUE"""),2315.3)</f>
        <v>2315.3</v>
      </c>
      <c r="L869" s="11">
        <f>IFERROR(__xludf.DUMMYFUNCTION("""COMPUTED_VALUE"""),44309.66666666667)</f>
        <v>44309.66667</v>
      </c>
      <c r="M869" s="9">
        <f>IFERROR(__xludf.DUMMYFUNCTION("""COMPUTED_VALUE"""),132.16)</f>
        <v>132.16</v>
      </c>
      <c r="N869" s="11">
        <f>IFERROR(__xludf.DUMMYFUNCTION("""COMPUTED_VALUE"""),44309.66666666667)</f>
        <v>44309.66667</v>
      </c>
      <c r="O869" s="9">
        <f>IFERROR(__xludf.DUMMYFUNCTION("""COMPUTED_VALUE"""),134.32)</f>
        <v>134.32</v>
      </c>
      <c r="Q869" s="11">
        <f>IFERROR(__xludf.DUMMYFUNCTION("""COMPUTED_VALUE"""),44309.66666666667)</f>
        <v>44309.66667</v>
      </c>
      <c r="R869" s="9">
        <f>IFERROR(__xludf.DUMMYFUNCTION("""COMPUTED_VALUE"""),298.76)</f>
        <v>298.76</v>
      </c>
      <c r="S869" s="11">
        <f>IFERROR(__xludf.DUMMYFUNCTION("""COMPUTED_VALUE"""),44309.66666666667)</f>
        <v>44309.66667</v>
      </c>
      <c r="T869" s="9">
        <f>IFERROR(__xludf.DUMMYFUNCTION("""COMPUTED_VALUE"""),301.13)</f>
        <v>301.13</v>
      </c>
      <c r="V869" s="11">
        <f>IFERROR(__xludf.DUMMYFUNCTION("""COMPUTED_VALUE"""),44309.66666666667)</f>
        <v>44309.66667</v>
      </c>
      <c r="W869" s="9">
        <f>IFERROR(__xludf.DUMMYFUNCTION("""COMPUTED_VALUE"""),509.01)</f>
        <v>509.01</v>
      </c>
      <c r="X869" s="11">
        <f>IFERROR(__xludf.DUMMYFUNCTION("""COMPUTED_VALUE"""),44309.66666666667)</f>
        <v>44309.66667</v>
      </c>
      <c r="Y869" s="9">
        <f>IFERROR(__xludf.DUMMYFUNCTION("""COMPUTED_VALUE"""),505.55)</f>
        <v>505.55</v>
      </c>
      <c r="AA869" s="11">
        <f>IFERROR(__xludf.DUMMYFUNCTION("""COMPUTED_VALUE"""),44309.66666666667)</f>
        <v>44309.66667</v>
      </c>
      <c r="AB869" s="9">
        <f>IFERROR(__xludf.DUMMYFUNCTION("""COMPUTED_VALUE"""),3319.1)</f>
        <v>3319.1</v>
      </c>
      <c r="AC869" s="11">
        <f>IFERROR(__xludf.DUMMYFUNCTION("""COMPUTED_VALUE"""),44309.66666666667)</f>
        <v>44309.66667</v>
      </c>
      <c r="AD869" s="9">
        <f>IFERROR(__xludf.DUMMYFUNCTION("""COMPUTED_VALUE"""),3340.88)</f>
        <v>3340.88</v>
      </c>
    </row>
    <row r="870">
      <c r="B870" s="11">
        <f>IFERROR(__xludf.DUMMYFUNCTION("""COMPUTED_VALUE"""),44312.66666666667)</f>
        <v>44312.66667</v>
      </c>
      <c r="C870" s="9">
        <f>IFERROR(__xludf.DUMMYFUNCTION("""COMPUTED_VALUE"""),741.0)</f>
        <v>741</v>
      </c>
      <c r="D870" s="11">
        <f>IFERROR(__xludf.DUMMYFUNCTION("""COMPUTED_VALUE"""),44312.66666666667)</f>
        <v>44312.66667</v>
      </c>
      <c r="E870" s="9">
        <f>IFERROR(__xludf.DUMMYFUNCTION("""COMPUTED_VALUE"""),738.2)</f>
        <v>738.2</v>
      </c>
      <c r="G870" s="11">
        <f>IFERROR(__xludf.DUMMYFUNCTION("""COMPUTED_VALUE"""),44312.66666666667)</f>
        <v>44312.66667</v>
      </c>
      <c r="H870" s="9">
        <f>IFERROR(__xludf.DUMMYFUNCTION("""COMPUTED_VALUE"""),2319.93)</f>
        <v>2319.93</v>
      </c>
      <c r="I870" s="11">
        <f>IFERROR(__xludf.DUMMYFUNCTION("""COMPUTED_VALUE"""),44312.66666666667)</f>
        <v>44312.66667</v>
      </c>
      <c r="J870" s="9">
        <f>IFERROR(__xludf.DUMMYFUNCTION("""COMPUTED_VALUE"""),2326.74)</f>
        <v>2326.74</v>
      </c>
      <c r="L870" s="11">
        <f>IFERROR(__xludf.DUMMYFUNCTION("""COMPUTED_VALUE"""),44312.66666666667)</f>
        <v>44312.66667</v>
      </c>
      <c r="M870" s="9">
        <f>IFERROR(__xludf.DUMMYFUNCTION("""COMPUTED_VALUE"""),134.83)</f>
        <v>134.83</v>
      </c>
      <c r="N870" s="11">
        <f>IFERROR(__xludf.DUMMYFUNCTION("""COMPUTED_VALUE"""),44312.66666666667)</f>
        <v>44312.66667</v>
      </c>
      <c r="O870" s="9">
        <f>IFERROR(__xludf.DUMMYFUNCTION("""COMPUTED_VALUE"""),134.72)</f>
        <v>134.72</v>
      </c>
      <c r="Q870" s="11">
        <f>IFERROR(__xludf.DUMMYFUNCTION("""COMPUTED_VALUE"""),44312.66666666667)</f>
        <v>44312.66667</v>
      </c>
      <c r="R870" s="9">
        <f>IFERROR(__xludf.DUMMYFUNCTION("""COMPUTED_VALUE"""),303.34)</f>
        <v>303.34</v>
      </c>
      <c r="S870" s="11">
        <f>IFERROR(__xludf.DUMMYFUNCTION("""COMPUTED_VALUE"""),44312.66666666667)</f>
        <v>44312.66667</v>
      </c>
      <c r="T870" s="9">
        <f>IFERROR(__xludf.DUMMYFUNCTION("""COMPUTED_VALUE"""),303.04)</f>
        <v>303.04</v>
      </c>
      <c r="V870" s="11">
        <f>IFERROR(__xludf.DUMMYFUNCTION("""COMPUTED_VALUE"""),44312.66666666667)</f>
        <v>44312.66667</v>
      </c>
      <c r="W870" s="9">
        <f>IFERROR(__xludf.DUMMYFUNCTION("""COMPUTED_VALUE"""),506.76)</f>
        <v>506.76</v>
      </c>
      <c r="X870" s="11">
        <f>IFERROR(__xludf.DUMMYFUNCTION("""COMPUTED_VALUE"""),44312.66666666667)</f>
        <v>44312.66667</v>
      </c>
      <c r="Y870" s="9">
        <f>IFERROR(__xludf.DUMMYFUNCTION("""COMPUTED_VALUE"""),510.3)</f>
        <v>510.3</v>
      </c>
      <c r="AA870" s="11">
        <f>IFERROR(__xludf.DUMMYFUNCTION("""COMPUTED_VALUE"""),44312.66666666667)</f>
        <v>44312.66667</v>
      </c>
      <c r="AB870" s="9">
        <f>IFERROR(__xludf.DUMMYFUNCTION("""COMPUTED_VALUE"""),3348.0)</f>
        <v>3348</v>
      </c>
      <c r="AC870" s="11">
        <f>IFERROR(__xludf.DUMMYFUNCTION("""COMPUTED_VALUE"""),44312.66666666667)</f>
        <v>44312.66667</v>
      </c>
      <c r="AD870" s="9">
        <f>IFERROR(__xludf.DUMMYFUNCTION("""COMPUTED_VALUE"""),3409.0)</f>
        <v>3409</v>
      </c>
    </row>
    <row r="871">
      <c r="B871" s="11">
        <f>IFERROR(__xludf.DUMMYFUNCTION("""COMPUTED_VALUE"""),44313.66666666667)</f>
        <v>44313.66667</v>
      </c>
      <c r="C871" s="9">
        <f>IFERROR(__xludf.DUMMYFUNCTION("""COMPUTED_VALUE"""),717.96)</f>
        <v>717.96</v>
      </c>
      <c r="D871" s="11">
        <f>IFERROR(__xludf.DUMMYFUNCTION("""COMPUTED_VALUE"""),44313.66666666667)</f>
        <v>44313.66667</v>
      </c>
      <c r="E871" s="9">
        <f>IFERROR(__xludf.DUMMYFUNCTION("""COMPUTED_VALUE"""),704.74)</f>
        <v>704.74</v>
      </c>
      <c r="G871" s="11">
        <f>IFERROR(__xludf.DUMMYFUNCTION("""COMPUTED_VALUE"""),44313.66666666667)</f>
        <v>44313.66667</v>
      </c>
      <c r="H871" s="9">
        <f>IFERROR(__xludf.DUMMYFUNCTION("""COMPUTED_VALUE"""),2336.0)</f>
        <v>2336</v>
      </c>
      <c r="I871" s="11">
        <f>IFERROR(__xludf.DUMMYFUNCTION("""COMPUTED_VALUE"""),44313.66666666667)</f>
        <v>44313.66667</v>
      </c>
      <c r="J871" s="9">
        <f>IFERROR(__xludf.DUMMYFUNCTION("""COMPUTED_VALUE"""),2307.12)</f>
        <v>2307.12</v>
      </c>
      <c r="L871" s="11">
        <f>IFERROR(__xludf.DUMMYFUNCTION("""COMPUTED_VALUE"""),44313.66666666667)</f>
        <v>44313.66667</v>
      </c>
      <c r="M871" s="9">
        <f>IFERROR(__xludf.DUMMYFUNCTION("""COMPUTED_VALUE"""),135.01)</f>
        <v>135.01</v>
      </c>
      <c r="N871" s="11">
        <f>IFERROR(__xludf.DUMMYFUNCTION("""COMPUTED_VALUE"""),44313.66666666667)</f>
        <v>44313.66667</v>
      </c>
      <c r="O871" s="9">
        <f>IFERROR(__xludf.DUMMYFUNCTION("""COMPUTED_VALUE"""),134.39)</f>
        <v>134.39</v>
      </c>
      <c r="Q871" s="11">
        <f>IFERROR(__xludf.DUMMYFUNCTION("""COMPUTED_VALUE"""),44313.66666666667)</f>
        <v>44313.66667</v>
      </c>
      <c r="R871" s="9">
        <f>IFERROR(__xludf.DUMMYFUNCTION("""COMPUTED_VALUE"""),304.28)</f>
        <v>304.28</v>
      </c>
      <c r="S871" s="11">
        <f>IFERROR(__xludf.DUMMYFUNCTION("""COMPUTED_VALUE"""),44313.66666666667)</f>
        <v>44313.66667</v>
      </c>
      <c r="T871" s="9">
        <f>IFERROR(__xludf.DUMMYFUNCTION("""COMPUTED_VALUE"""),303.57)</f>
        <v>303.57</v>
      </c>
      <c r="V871" s="11">
        <f>IFERROR(__xludf.DUMMYFUNCTION("""COMPUTED_VALUE"""),44313.66666666667)</f>
        <v>44313.66667</v>
      </c>
      <c r="W871" s="9">
        <f>IFERROR(__xludf.DUMMYFUNCTION("""COMPUTED_VALUE"""),512.62)</f>
        <v>512.62</v>
      </c>
      <c r="X871" s="11">
        <f>IFERROR(__xludf.DUMMYFUNCTION("""COMPUTED_VALUE"""),44313.66666666667)</f>
        <v>44313.66667</v>
      </c>
      <c r="Y871" s="9">
        <f>IFERROR(__xludf.DUMMYFUNCTION("""COMPUTED_VALUE"""),505.55)</f>
        <v>505.55</v>
      </c>
      <c r="AA871" s="11">
        <f>IFERROR(__xludf.DUMMYFUNCTION("""COMPUTED_VALUE"""),44313.66666666667)</f>
        <v>44313.66667</v>
      </c>
      <c r="AB871" s="9">
        <f>IFERROR(__xludf.DUMMYFUNCTION("""COMPUTED_VALUE"""),3443.47)</f>
        <v>3443.47</v>
      </c>
      <c r="AC871" s="11">
        <f>IFERROR(__xludf.DUMMYFUNCTION("""COMPUTED_VALUE"""),44313.66666666667)</f>
        <v>44313.66667</v>
      </c>
      <c r="AD871" s="9">
        <f>IFERROR(__xludf.DUMMYFUNCTION("""COMPUTED_VALUE"""),3417.43)</f>
        <v>3417.43</v>
      </c>
    </row>
    <row r="872">
      <c r="B872" s="11">
        <f>IFERROR(__xludf.DUMMYFUNCTION("""COMPUTED_VALUE"""),44314.66666666667)</f>
        <v>44314.66667</v>
      </c>
      <c r="C872" s="9">
        <f>IFERROR(__xludf.DUMMYFUNCTION("""COMPUTED_VALUE"""),696.41)</f>
        <v>696.41</v>
      </c>
      <c r="D872" s="11">
        <f>IFERROR(__xludf.DUMMYFUNCTION("""COMPUTED_VALUE"""),44314.66666666667)</f>
        <v>44314.66667</v>
      </c>
      <c r="E872" s="9">
        <f>IFERROR(__xludf.DUMMYFUNCTION("""COMPUTED_VALUE"""),694.4)</f>
        <v>694.4</v>
      </c>
      <c r="G872" s="11">
        <f>IFERROR(__xludf.DUMMYFUNCTION("""COMPUTED_VALUE"""),44314.66666666667)</f>
        <v>44314.66667</v>
      </c>
      <c r="H872" s="9">
        <f>IFERROR(__xludf.DUMMYFUNCTION("""COMPUTED_VALUE"""),2407.15)</f>
        <v>2407.15</v>
      </c>
      <c r="I872" s="11">
        <f>IFERROR(__xludf.DUMMYFUNCTION("""COMPUTED_VALUE"""),44314.66666666667)</f>
        <v>44314.66667</v>
      </c>
      <c r="J872" s="9">
        <f>IFERROR(__xludf.DUMMYFUNCTION("""COMPUTED_VALUE"""),2379.91)</f>
        <v>2379.91</v>
      </c>
      <c r="L872" s="11">
        <f>IFERROR(__xludf.DUMMYFUNCTION("""COMPUTED_VALUE"""),44314.66666666667)</f>
        <v>44314.66667</v>
      </c>
      <c r="M872" s="9">
        <f>IFERROR(__xludf.DUMMYFUNCTION("""COMPUTED_VALUE"""),134.31)</f>
        <v>134.31</v>
      </c>
      <c r="N872" s="11">
        <f>IFERROR(__xludf.DUMMYFUNCTION("""COMPUTED_VALUE"""),44314.66666666667)</f>
        <v>44314.66667</v>
      </c>
      <c r="O872" s="9">
        <f>IFERROR(__xludf.DUMMYFUNCTION("""COMPUTED_VALUE"""),133.58)</f>
        <v>133.58</v>
      </c>
      <c r="Q872" s="11">
        <f>IFERROR(__xludf.DUMMYFUNCTION("""COMPUTED_VALUE"""),44314.66666666667)</f>
        <v>44314.66667</v>
      </c>
      <c r="R872" s="9">
        <f>IFERROR(__xludf.DUMMYFUNCTION("""COMPUTED_VALUE"""),307.36)</f>
        <v>307.36</v>
      </c>
      <c r="S872" s="11">
        <f>IFERROR(__xludf.DUMMYFUNCTION("""COMPUTED_VALUE"""),44314.66666666667)</f>
        <v>44314.66667</v>
      </c>
      <c r="T872" s="9">
        <f>IFERROR(__xludf.DUMMYFUNCTION("""COMPUTED_VALUE"""),307.1)</f>
        <v>307.1</v>
      </c>
      <c r="V872" s="11">
        <f>IFERROR(__xludf.DUMMYFUNCTION("""COMPUTED_VALUE"""),44314.66666666667)</f>
        <v>44314.66667</v>
      </c>
      <c r="W872" s="9">
        <f>IFERROR(__xludf.DUMMYFUNCTION("""COMPUTED_VALUE"""),505.2)</f>
        <v>505.2</v>
      </c>
      <c r="X872" s="11">
        <f>IFERROR(__xludf.DUMMYFUNCTION("""COMPUTED_VALUE"""),44314.66666666667)</f>
        <v>44314.66667</v>
      </c>
      <c r="Y872" s="9">
        <f>IFERROR(__xludf.DUMMYFUNCTION("""COMPUTED_VALUE"""),506.52)</f>
        <v>506.52</v>
      </c>
      <c r="AA872" s="11">
        <f>IFERROR(__xludf.DUMMYFUNCTION("""COMPUTED_VALUE"""),44314.66666666667)</f>
        <v>44314.66667</v>
      </c>
      <c r="AB872" s="9">
        <f>IFERROR(__xludf.DUMMYFUNCTION("""COMPUTED_VALUE"""),3434.8)</f>
        <v>3434.8</v>
      </c>
      <c r="AC872" s="11">
        <f>IFERROR(__xludf.DUMMYFUNCTION("""COMPUTED_VALUE"""),44314.66666666667)</f>
        <v>44314.66667</v>
      </c>
      <c r="AD872" s="9">
        <f>IFERROR(__xludf.DUMMYFUNCTION("""COMPUTED_VALUE"""),3458.5)</f>
        <v>3458.5</v>
      </c>
    </row>
    <row r="873">
      <c r="B873" s="11">
        <f>IFERROR(__xludf.DUMMYFUNCTION("""COMPUTED_VALUE"""),44315.66666666667)</f>
        <v>44315.66667</v>
      </c>
      <c r="C873" s="9">
        <f>IFERROR(__xludf.DUMMYFUNCTION("""COMPUTED_VALUE"""),699.51)</f>
        <v>699.51</v>
      </c>
      <c r="D873" s="11">
        <f>IFERROR(__xludf.DUMMYFUNCTION("""COMPUTED_VALUE"""),44315.66666666667)</f>
        <v>44315.66667</v>
      </c>
      <c r="E873" s="9">
        <f>IFERROR(__xludf.DUMMYFUNCTION("""COMPUTED_VALUE"""),677.0)</f>
        <v>677</v>
      </c>
      <c r="G873" s="11">
        <f>IFERROR(__xludf.DUMMYFUNCTION("""COMPUTED_VALUE"""),44315.66666666667)</f>
        <v>44315.66667</v>
      </c>
      <c r="H873" s="9">
        <f>IFERROR(__xludf.DUMMYFUNCTION("""COMPUTED_VALUE"""),2410.33)</f>
        <v>2410.33</v>
      </c>
      <c r="I873" s="11">
        <f>IFERROR(__xludf.DUMMYFUNCTION("""COMPUTED_VALUE"""),44315.66666666667)</f>
        <v>44315.66667</v>
      </c>
      <c r="J873" s="9">
        <f>IFERROR(__xludf.DUMMYFUNCTION("""COMPUTED_VALUE"""),2429.89)</f>
        <v>2429.89</v>
      </c>
      <c r="L873" s="11">
        <f>IFERROR(__xludf.DUMMYFUNCTION("""COMPUTED_VALUE"""),44315.66666666667)</f>
        <v>44315.66667</v>
      </c>
      <c r="M873" s="9">
        <f>IFERROR(__xludf.DUMMYFUNCTION("""COMPUTED_VALUE"""),136.47)</f>
        <v>136.47</v>
      </c>
      <c r="N873" s="11">
        <f>IFERROR(__xludf.DUMMYFUNCTION("""COMPUTED_VALUE"""),44315.66666666667)</f>
        <v>44315.66667</v>
      </c>
      <c r="O873" s="9">
        <f>IFERROR(__xludf.DUMMYFUNCTION("""COMPUTED_VALUE"""),133.48)</f>
        <v>133.48</v>
      </c>
      <c r="Q873" s="11">
        <f>IFERROR(__xludf.DUMMYFUNCTION("""COMPUTED_VALUE"""),44315.66666666667)</f>
        <v>44315.66667</v>
      </c>
      <c r="R873" s="9">
        <f>IFERROR(__xludf.DUMMYFUNCTION("""COMPUTED_VALUE"""),330.12)</f>
        <v>330.12</v>
      </c>
      <c r="S873" s="11">
        <f>IFERROR(__xludf.DUMMYFUNCTION("""COMPUTED_VALUE"""),44315.66666666667)</f>
        <v>44315.66667</v>
      </c>
      <c r="T873" s="9">
        <f>IFERROR(__xludf.DUMMYFUNCTION("""COMPUTED_VALUE"""),329.51)</f>
        <v>329.51</v>
      </c>
      <c r="V873" s="11">
        <f>IFERROR(__xludf.DUMMYFUNCTION("""COMPUTED_VALUE"""),44315.66666666667)</f>
        <v>44315.66667</v>
      </c>
      <c r="W873" s="9">
        <f>IFERROR(__xludf.DUMMYFUNCTION("""COMPUTED_VALUE"""),507.6)</f>
        <v>507.6</v>
      </c>
      <c r="X873" s="11">
        <f>IFERROR(__xludf.DUMMYFUNCTION("""COMPUTED_VALUE"""),44315.66666666667)</f>
        <v>44315.66667</v>
      </c>
      <c r="Y873" s="9">
        <f>IFERROR(__xludf.DUMMYFUNCTION("""COMPUTED_VALUE"""),509.0)</f>
        <v>509</v>
      </c>
      <c r="AA873" s="11">
        <f>IFERROR(__xludf.DUMMYFUNCTION("""COMPUTED_VALUE"""),44315.66666666667)</f>
        <v>44315.66667</v>
      </c>
      <c r="AB873" s="9">
        <f>IFERROR(__xludf.DUMMYFUNCTION("""COMPUTED_VALUE"""),3505.1)</f>
        <v>3505.1</v>
      </c>
      <c r="AC873" s="11">
        <f>IFERROR(__xludf.DUMMYFUNCTION("""COMPUTED_VALUE"""),44315.66666666667)</f>
        <v>44315.66667</v>
      </c>
      <c r="AD873" s="9">
        <f>IFERROR(__xludf.DUMMYFUNCTION("""COMPUTED_VALUE"""),3471.31)</f>
        <v>3471.31</v>
      </c>
    </row>
    <row r="874">
      <c r="B874" s="11">
        <f>IFERROR(__xludf.DUMMYFUNCTION("""COMPUTED_VALUE"""),44316.66666666667)</f>
        <v>44316.66667</v>
      </c>
      <c r="C874" s="9">
        <f>IFERROR(__xludf.DUMMYFUNCTION("""COMPUTED_VALUE"""),667.59)</f>
        <v>667.59</v>
      </c>
      <c r="D874" s="11">
        <f>IFERROR(__xludf.DUMMYFUNCTION("""COMPUTED_VALUE"""),44316.66666666667)</f>
        <v>44316.66667</v>
      </c>
      <c r="E874" s="9">
        <f>IFERROR(__xludf.DUMMYFUNCTION("""COMPUTED_VALUE"""),709.44)</f>
        <v>709.44</v>
      </c>
      <c r="G874" s="11">
        <f>IFERROR(__xludf.DUMMYFUNCTION("""COMPUTED_VALUE"""),44316.66666666667)</f>
        <v>44316.66667</v>
      </c>
      <c r="H874" s="9">
        <f>IFERROR(__xludf.DUMMYFUNCTION("""COMPUTED_VALUE"""),2404.49)</f>
        <v>2404.49</v>
      </c>
      <c r="I874" s="11">
        <f>IFERROR(__xludf.DUMMYFUNCTION("""COMPUTED_VALUE"""),44316.66666666667)</f>
        <v>44316.66667</v>
      </c>
      <c r="J874" s="9">
        <f>IFERROR(__xludf.DUMMYFUNCTION("""COMPUTED_VALUE"""),2410.12)</f>
        <v>2410.12</v>
      </c>
      <c r="L874" s="11">
        <f>IFERROR(__xludf.DUMMYFUNCTION("""COMPUTED_VALUE"""),44316.66666666667)</f>
        <v>44316.66667</v>
      </c>
      <c r="M874" s="9">
        <f>IFERROR(__xludf.DUMMYFUNCTION("""COMPUTED_VALUE"""),131.78)</f>
        <v>131.78</v>
      </c>
      <c r="N874" s="11">
        <f>IFERROR(__xludf.DUMMYFUNCTION("""COMPUTED_VALUE"""),44316.66666666667)</f>
        <v>44316.66667</v>
      </c>
      <c r="O874" s="9">
        <f>IFERROR(__xludf.DUMMYFUNCTION("""COMPUTED_VALUE"""),131.46)</f>
        <v>131.46</v>
      </c>
      <c r="Q874" s="11">
        <f>IFERROR(__xludf.DUMMYFUNCTION("""COMPUTED_VALUE"""),44316.66666666667)</f>
        <v>44316.66667</v>
      </c>
      <c r="R874" s="9">
        <f>IFERROR(__xludf.DUMMYFUNCTION("""COMPUTED_VALUE"""),326.14)</f>
        <v>326.14</v>
      </c>
      <c r="S874" s="11">
        <f>IFERROR(__xludf.DUMMYFUNCTION("""COMPUTED_VALUE"""),44316.66666666667)</f>
        <v>44316.66667</v>
      </c>
      <c r="T874" s="9">
        <f>IFERROR(__xludf.DUMMYFUNCTION("""COMPUTED_VALUE"""),325.08)</f>
        <v>325.08</v>
      </c>
      <c r="V874" s="11">
        <f>IFERROR(__xludf.DUMMYFUNCTION("""COMPUTED_VALUE"""),44316.66666666667)</f>
        <v>44316.66667</v>
      </c>
      <c r="W874" s="9">
        <f>IFERROR(__xludf.DUMMYFUNCTION("""COMPUTED_VALUE"""),505.0)</f>
        <v>505</v>
      </c>
      <c r="X874" s="11">
        <f>IFERROR(__xludf.DUMMYFUNCTION("""COMPUTED_VALUE"""),44316.66666666667)</f>
        <v>44316.66667</v>
      </c>
      <c r="Y874" s="9">
        <f>IFERROR(__xludf.DUMMYFUNCTION("""COMPUTED_VALUE"""),513.47)</f>
        <v>513.47</v>
      </c>
      <c r="AA874" s="11">
        <f>IFERROR(__xludf.DUMMYFUNCTION("""COMPUTED_VALUE"""),44316.66666666667)</f>
        <v>44316.66667</v>
      </c>
      <c r="AB874" s="9">
        <f>IFERROR(__xludf.DUMMYFUNCTION("""COMPUTED_VALUE"""),3525.12)</f>
        <v>3525.12</v>
      </c>
      <c r="AC874" s="11">
        <f>IFERROR(__xludf.DUMMYFUNCTION("""COMPUTED_VALUE"""),44316.66666666667)</f>
        <v>44316.66667</v>
      </c>
      <c r="AD874" s="9">
        <f>IFERROR(__xludf.DUMMYFUNCTION("""COMPUTED_VALUE"""),3467.42)</f>
        <v>3467.42</v>
      </c>
    </row>
    <row r="875">
      <c r="B875" s="11">
        <f>IFERROR(__xludf.DUMMYFUNCTION("""COMPUTED_VALUE"""),44319.66666666667)</f>
        <v>44319.66667</v>
      </c>
      <c r="C875" s="9">
        <f>IFERROR(__xludf.DUMMYFUNCTION("""COMPUTED_VALUE"""),703.8)</f>
        <v>703.8</v>
      </c>
      <c r="D875" s="11">
        <f>IFERROR(__xludf.DUMMYFUNCTION("""COMPUTED_VALUE"""),44319.66666666667)</f>
        <v>44319.66667</v>
      </c>
      <c r="E875" s="9">
        <f>IFERROR(__xludf.DUMMYFUNCTION("""COMPUTED_VALUE"""),684.9)</f>
        <v>684.9</v>
      </c>
      <c r="G875" s="11">
        <f>IFERROR(__xludf.DUMMYFUNCTION("""COMPUTED_VALUE"""),44319.66666666667)</f>
        <v>44319.66667</v>
      </c>
      <c r="H875" s="9">
        <f>IFERROR(__xludf.DUMMYFUNCTION("""COMPUTED_VALUE"""),2402.72)</f>
        <v>2402.72</v>
      </c>
      <c r="I875" s="11">
        <f>IFERROR(__xludf.DUMMYFUNCTION("""COMPUTED_VALUE"""),44319.66666666667)</f>
        <v>44319.66667</v>
      </c>
      <c r="J875" s="9">
        <f>IFERROR(__xludf.DUMMYFUNCTION("""COMPUTED_VALUE"""),2395.17)</f>
        <v>2395.17</v>
      </c>
      <c r="L875" s="11">
        <f>IFERROR(__xludf.DUMMYFUNCTION("""COMPUTED_VALUE"""),44319.66666666667)</f>
        <v>44319.66667</v>
      </c>
      <c r="M875" s="9">
        <f>IFERROR(__xludf.DUMMYFUNCTION("""COMPUTED_VALUE"""),132.04)</f>
        <v>132.04</v>
      </c>
      <c r="N875" s="11">
        <f>IFERROR(__xludf.DUMMYFUNCTION("""COMPUTED_VALUE"""),44319.66666666667)</f>
        <v>44319.66667</v>
      </c>
      <c r="O875" s="9">
        <f>IFERROR(__xludf.DUMMYFUNCTION("""COMPUTED_VALUE"""),132.54)</f>
        <v>132.54</v>
      </c>
      <c r="Q875" s="11">
        <f>IFERROR(__xludf.DUMMYFUNCTION("""COMPUTED_VALUE"""),44319.66666666667)</f>
        <v>44319.66667</v>
      </c>
      <c r="R875" s="9">
        <f>IFERROR(__xludf.DUMMYFUNCTION("""COMPUTED_VALUE"""),326.17)</f>
        <v>326.17</v>
      </c>
      <c r="S875" s="11">
        <f>IFERROR(__xludf.DUMMYFUNCTION("""COMPUTED_VALUE"""),44319.66666666667)</f>
        <v>44319.66667</v>
      </c>
      <c r="T875" s="9">
        <f>IFERROR(__xludf.DUMMYFUNCTION("""COMPUTED_VALUE"""),322.58)</f>
        <v>322.58</v>
      </c>
      <c r="V875" s="11">
        <f>IFERROR(__xludf.DUMMYFUNCTION("""COMPUTED_VALUE"""),44319.66666666667)</f>
        <v>44319.66667</v>
      </c>
      <c r="W875" s="9">
        <f>IFERROR(__xludf.DUMMYFUNCTION("""COMPUTED_VALUE"""),512.65)</f>
        <v>512.65</v>
      </c>
      <c r="X875" s="11">
        <f>IFERROR(__xludf.DUMMYFUNCTION("""COMPUTED_VALUE"""),44319.66666666667)</f>
        <v>44319.66667</v>
      </c>
      <c r="Y875" s="9">
        <f>IFERROR(__xludf.DUMMYFUNCTION("""COMPUTED_VALUE"""),509.11)</f>
        <v>509.11</v>
      </c>
      <c r="AA875" s="11">
        <f>IFERROR(__xludf.DUMMYFUNCTION("""COMPUTED_VALUE"""),44319.66666666667)</f>
        <v>44319.66667</v>
      </c>
      <c r="AB875" s="9">
        <f>IFERROR(__xludf.DUMMYFUNCTION("""COMPUTED_VALUE"""),3484.73)</f>
        <v>3484.73</v>
      </c>
      <c r="AC875" s="11">
        <f>IFERROR(__xludf.DUMMYFUNCTION("""COMPUTED_VALUE"""),44319.66666666667)</f>
        <v>44319.66667</v>
      </c>
      <c r="AD875" s="9">
        <f>IFERROR(__xludf.DUMMYFUNCTION("""COMPUTED_VALUE"""),3386.49)</f>
        <v>3386.49</v>
      </c>
    </row>
    <row r="876">
      <c r="B876" s="11">
        <f>IFERROR(__xludf.DUMMYFUNCTION("""COMPUTED_VALUE"""),44320.66666666667)</f>
        <v>44320.66667</v>
      </c>
      <c r="C876" s="9">
        <f>IFERROR(__xludf.DUMMYFUNCTION("""COMPUTED_VALUE"""),678.94)</f>
        <v>678.94</v>
      </c>
      <c r="D876" s="11">
        <f>IFERROR(__xludf.DUMMYFUNCTION("""COMPUTED_VALUE"""),44320.66666666667)</f>
        <v>44320.66667</v>
      </c>
      <c r="E876" s="9">
        <f>IFERROR(__xludf.DUMMYFUNCTION("""COMPUTED_VALUE"""),673.6)</f>
        <v>673.6</v>
      </c>
      <c r="G876" s="11">
        <f>IFERROR(__xludf.DUMMYFUNCTION("""COMPUTED_VALUE"""),44320.66666666667)</f>
        <v>44320.66667</v>
      </c>
      <c r="H876" s="9">
        <f>IFERROR(__xludf.DUMMYFUNCTION("""COMPUTED_VALUE"""),2369.74)</f>
        <v>2369.74</v>
      </c>
      <c r="I876" s="11">
        <f>IFERROR(__xludf.DUMMYFUNCTION("""COMPUTED_VALUE"""),44320.66666666667)</f>
        <v>44320.66667</v>
      </c>
      <c r="J876" s="9">
        <f>IFERROR(__xludf.DUMMYFUNCTION("""COMPUTED_VALUE"""),2354.25)</f>
        <v>2354.25</v>
      </c>
      <c r="L876" s="11">
        <f>IFERROR(__xludf.DUMMYFUNCTION("""COMPUTED_VALUE"""),44320.66666666667)</f>
        <v>44320.66667</v>
      </c>
      <c r="M876" s="9">
        <f>IFERROR(__xludf.DUMMYFUNCTION("""COMPUTED_VALUE"""),131.19)</f>
        <v>131.19</v>
      </c>
      <c r="N876" s="11">
        <f>IFERROR(__xludf.DUMMYFUNCTION("""COMPUTED_VALUE"""),44320.66666666667)</f>
        <v>44320.66667</v>
      </c>
      <c r="O876" s="9">
        <f>IFERROR(__xludf.DUMMYFUNCTION("""COMPUTED_VALUE"""),127.85)</f>
        <v>127.85</v>
      </c>
      <c r="Q876" s="11">
        <f>IFERROR(__xludf.DUMMYFUNCTION("""COMPUTED_VALUE"""),44320.66666666667)</f>
        <v>44320.66667</v>
      </c>
      <c r="R876" s="9">
        <f>IFERROR(__xludf.DUMMYFUNCTION("""COMPUTED_VALUE"""),320.02)</f>
        <v>320.02</v>
      </c>
      <c r="S876" s="11">
        <f>IFERROR(__xludf.DUMMYFUNCTION("""COMPUTED_VALUE"""),44320.66666666667)</f>
        <v>44320.66667</v>
      </c>
      <c r="T876" s="9">
        <f>IFERROR(__xludf.DUMMYFUNCTION("""COMPUTED_VALUE"""),318.36)</f>
        <v>318.36</v>
      </c>
      <c r="V876" s="11">
        <f>IFERROR(__xludf.DUMMYFUNCTION("""COMPUTED_VALUE"""),44320.66666666667)</f>
        <v>44320.66667</v>
      </c>
      <c r="W876" s="9">
        <f>IFERROR(__xludf.DUMMYFUNCTION("""COMPUTED_VALUE"""),510.78)</f>
        <v>510.78</v>
      </c>
      <c r="X876" s="11">
        <f>IFERROR(__xludf.DUMMYFUNCTION("""COMPUTED_VALUE"""),44320.66666666667)</f>
        <v>44320.66667</v>
      </c>
      <c r="Y876" s="9">
        <f>IFERROR(__xludf.DUMMYFUNCTION("""COMPUTED_VALUE"""),503.18)</f>
        <v>503.18</v>
      </c>
      <c r="AA876" s="11">
        <f>IFERROR(__xludf.DUMMYFUNCTION("""COMPUTED_VALUE"""),44320.66666666667)</f>
        <v>44320.66667</v>
      </c>
      <c r="AB876" s="9">
        <f>IFERROR(__xludf.DUMMYFUNCTION("""COMPUTED_VALUE"""),3356.19)</f>
        <v>3356.19</v>
      </c>
      <c r="AC876" s="11">
        <f>IFERROR(__xludf.DUMMYFUNCTION("""COMPUTED_VALUE"""),44320.66666666667)</f>
        <v>44320.66667</v>
      </c>
      <c r="AD876" s="9">
        <f>IFERROR(__xludf.DUMMYFUNCTION("""COMPUTED_VALUE"""),3311.87)</f>
        <v>3311.87</v>
      </c>
    </row>
    <row r="877">
      <c r="B877" s="11">
        <f>IFERROR(__xludf.DUMMYFUNCTION("""COMPUTED_VALUE"""),44321.66666666667)</f>
        <v>44321.66667</v>
      </c>
      <c r="C877" s="9">
        <f>IFERROR(__xludf.DUMMYFUNCTION("""COMPUTED_VALUE"""),681.06)</f>
        <v>681.06</v>
      </c>
      <c r="D877" s="11">
        <f>IFERROR(__xludf.DUMMYFUNCTION("""COMPUTED_VALUE"""),44321.66666666667)</f>
        <v>44321.66667</v>
      </c>
      <c r="E877" s="9">
        <f>IFERROR(__xludf.DUMMYFUNCTION("""COMPUTED_VALUE"""),670.94)</f>
        <v>670.94</v>
      </c>
      <c r="G877" s="11">
        <f>IFERROR(__xludf.DUMMYFUNCTION("""COMPUTED_VALUE"""),44321.66666666667)</f>
        <v>44321.66667</v>
      </c>
      <c r="H877" s="9">
        <f>IFERROR(__xludf.DUMMYFUNCTION("""COMPUTED_VALUE"""),2368.42)</f>
        <v>2368.42</v>
      </c>
      <c r="I877" s="11">
        <f>IFERROR(__xludf.DUMMYFUNCTION("""COMPUTED_VALUE"""),44321.66666666667)</f>
        <v>44321.66667</v>
      </c>
      <c r="J877" s="9">
        <f>IFERROR(__xludf.DUMMYFUNCTION("""COMPUTED_VALUE"""),2356.74)</f>
        <v>2356.74</v>
      </c>
      <c r="L877" s="11">
        <f>IFERROR(__xludf.DUMMYFUNCTION("""COMPUTED_VALUE"""),44321.66666666667)</f>
        <v>44321.66667</v>
      </c>
      <c r="M877" s="9">
        <f>IFERROR(__xludf.DUMMYFUNCTION("""COMPUTED_VALUE"""),129.2)</f>
        <v>129.2</v>
      </c>
      <c r="N877" s="11">
        <f>IFERROR(__xludf.DUMMYFUNCTION("""COMPUTED_VALUE"""),44321.66666666667)</f>
        <v>44321.66667</v>
      </c>
      <c r="O877" s="9">
        <f>IFERROR(__xludf.DUMMYFUNCTION("""COMPUTED_VALUE"""),128.1)</f>
        <v>128.1</v>
      </c>
      <c r="Q877" s="11">
        <f>IFERROR(__xludf.DUMMYFUNCTION("""COMPUTED_VALUE"""),44321.66666666667)</f>
        <v>44321.66667</v>
      </c>
      <c r="R877" s="9">
        <f>IFERROR(__xludf.DUMMYFUNCTION("""COMPUTED_VALUE"""),318.19)</f>
        <v>318.19</v>
      </c>
      <c r="S877" s="11">
        <f>IFERROR(__xludf.DUMMYFUNCTION("""COMPUTED_VALUE"""),44321.66666666667)</f>
        <v>44321.66667</v>
      </c>
      <c r="T877" s="9">
        <f>IFERROR(__xludf.DUMMYFUNCTION("""COMPUTED_VALUE"""),315.02)</f>
        <v>315.02</v>
      </c>
      <c r="V877" s="11">
        <f>IFERROR(__xludf.DUMMYFUNCTION("""COMPUTED_VALUE"""),44321.66666666667)</f>
        <v>44321.66667</v>
      </c>
      <c r="W877" s="9">
        <f>IFERROR(__xludf.DUMMYFUNCTION("""COMPUTED_VALUE"""),504.99)</f>
        <v>504.99</v>
      </c>
      <c r="X877" s="11">
        <f>IFERROR(__xludf.DUMMYFUNCTION("""COMPUTED_VALUE"""),44321.66666666667)</f>
        <v>44321.66667</v>
      </c>
      <c r="Y877" s="9">
        <f>IFERROR(__xludf.DUMMYFUNCTION("""COMPUTED_VALUE"""),496.08)</f>
        <v>496.08</v>
      </c>
      <c r="AA877" s="11">
        <f>IFERROR(__xludf.DUMMYFUNCTION("""COMPUTED_VALUE"""),44321.66666666667)</f>
        <v>44321.66667</v>
      </c>
      <c r="AB877" s="9">
        <f>IFERROR(__xludf.DUMMYFUNCTION("""COMPUTED_VALUE"""),3338.86)</f>
        <v>3338.86</v>
      </c>
      <c r="AC877" s="11">
        <f>IFERROR(__xludf.DUMMYFUNCTION("""COMPUTED_VALUE"""),44321.66666666667)</f>
        <v>44321.66667</v>
      </c>
      <c r="AD877" s="9">
        <f>IFERROR(__xludf.DUMMYFUNCTION("""COMPUTED_VALUE"""),3270.54)</f>
        <v>3270.54</v>
      </c>
    </row>
    <row r="878">
      <c r="B878" s="11">
        <f>IFERROR(__xludf.DUMMYFUNCTION("""COMPUTED_VALUE"""),44322.66666666667)</f>
        <v>44322.66667</v>
      </c>
      <c r="C878" s="9">
        <f>IFERROR(__xludf.DUMMYFUNCTION("""COMPUTED_VALUE"""),680.76)</f>
        <v>680.76</v>
      </c>
      <c r="D878" s="11">
        <f>IFERROR(__xludf.DUMMYFUNCTION("""COMPUTED_VALUE"""),44322.66666666667)</f>
        <v>44322.66667</v>
      </c>
      <c r="E878" s="9">
        <f>IFERROR(__xludf.DUMMYFUNCTION("""COMPUTED_VALUE"""),663.54)</f>
        <v>663.54</v>
      </c>
      <c r="G878" s="11">
        <f>IFERROR(__xludf.DUMMYFUNCTION("""COMPUTED_VALUE"""),44322.66666666667)</f>
        <v>44322.66667</v>
      </c>
      <c r="H878" s="9">
        <f>IFERROR(__xludf.DUMMYFUNCTION("""COMPUTED_VALUE"""),2350.64)</f>
        <v>2350.64</v>
      </c>
      <c r="I878" s="11">
        <f>IFERROR(__xludf.DUMMYFUNCTION("""COMPUTED_VALUE"""),44322.66666666667)</f>
        <v>44322.66667</v>
      </c>
      <c r="J878" s="9">
        <f>IFERROR(__xludf.DUMMYFUNCTION("""COMPUTED_VALUE"""),2381.35)</f>
        <v>2381.35</v>
      </c>
      <c r="L878" s="11">
        <f>IFERROR(__xludf.DUMMYFUNCTION("""COMPUTED_VALUE"""),44322.66666666667)</f>
        <v>44322.66667</v>
      </c>
      <c r="M878" s="9">
        <f>IFERROR(__xludf.DUMMYFUNCTION("""COMPUTED_VALUE"""),127.89)</f>
        <v>127.89</v>
      </c>
      <c r="N878" s="11">
        <f>IFERROR(__xludf.DUMMYFUNCTION("""COMPUTED_VALUE"""),44322.66666666667)</f>
        <v>44322.66667</v>
      </c>
      <c r="O878" s="9">
        <f>IFERROR(__xludf.DUMMYFUNCTION("""COMPUTED_VALUE"""),129.74)</f>
        <v>129.74</v>
      </c>
      <c r="Q878" s="11">
        <f>IFERROR(__xludf.DUMMYFUNCTION("""COMPUTED_VALUE"""),44322.66666666667)</f>
        <v>44322.66667</v>
      </c>
      <c r="R878" s="9">
        <f>IFERROR(__xludf.DUMMYFUNCTION("""COMPUTED_VALUE"""),314.52)</f>
        <v>314.52</v>
      </c>
      <c r="S878" s="11">
        <f>IFERROR(__xludf.DUMMYFUNCTION("""COMPUTED_VALUE"""),44322.66666666667)</f>
        <v>44322.66667</v>
      </c>
      <c r="T878" s="9">
        <f>IFERROR(__xludf.DUMMYFUNCTION("""COMPUTED_VALUE"""),320.02)</f>
        <v>320.02</v>
      </c>
      <c r="V878" s="11">
        <f>IFERROR(__xludf.DUMMYFUNCTION("""COMPUTED_VALUE"""),44322.66666666667)</f>
        <v>44322.66667</v>
      </c>
      <c r="W878" s="9">
        <f>IFERROR(__xludf.DUMMYFUNCTION("""COMPUTED_VALUE"""),495.99)</f>
        <v>495.99</v>
      </c>
      <c r="X878" s="11">
        <f>IFERROR(__xludf.DUMMYFUNCTION("""COMPUTED_VALUE"""),44322.66666666667)</f>
        <v>44322.66667</v>
      </c>
      <c r="Y878" s="9">
        <f>IFERROR(__xludf.DUMMYFUNCTION("""COMPUTED_VALUE"""),499.55)</f>
        <v>499.55</v>
      </c>
      <c r="AA878" s="11">
        <f>IFERROR(__xludf.DUMMYFUNCTION("""COMPUTED_VALUE"""),44322.66666666667)</f>
        <v>44322.66667</v>
      </c>
      <c r="AB878" s="9">
        <f>IFERROR(__xludf.DUMMYFUNCTION("""COMPUTED_VALUE"""),3270.0)</f>
        <v>3270</v>
      </c>
      <c r="AC878" s="11">
        <f>IFERROR(__xludf.DUMMYFUNCTION("""COMPUTED_VALUE"""),44322.66666666667)</f>
        <v>44322.66667</v>
      </c>
      <c r="AD878" s="9">
        <f>IFERROR(__xludf.DUMMYFUNCTION("""COMPUTED_VALUE"""),3306.37)</f>
        <v>3306.37</v>
      </c>
    </row>
    <row r="879">
      <c r="B879" s="11">
        <f>IFERROR(__xludf.DUMMYFUNCTION("""COMPUTED_VALUE"""),44323.66666666667)</f>
        <v>44323.66667</v>
      </c>
      <c r="C879" s="9">
        <f>IFERROR(__xludf.DUMMYFUNCTION("""COMPUTED_VALUE"""),665.8)</f>
        <v>665.8</v>
      </c>
      <c r="D879" s="11">
        <f>IFERROR(__xludf.DUMMYFUNCTION("""COMPUTED_VALUE"""),44323.66666666667)</f>
        <v>44323.66667</v>
      </c>
      <c r="E879" s="9">
        <f>IFERROR(__xludf.DUMMYFUNCTION("""COMPUTED_VALUE"""),672.37)</f>
        <v>672.37</v>
      </c>
      <c r="G879" s="11">
        <f>IFERROR(__xludf.DUMMYFUNCTION("""COMPUTED_VALUE"""),44323.66666666667)</f>
        <v>44323.66667</v>
      </c>
      <c r="H879" s="9">
        <f>IFERROR(__xludf.DUMMYFUNCTION("""COMPUTED_VALUE"""),2400.0)</f>
        <v>2400</v>
      </c>
      <c r="I879" s="11">
        <f>IFERROR(__xludf.DUMMYFUNCTION("""COMPUTED_VALUE"""),44323.66666666667)</f>
        <v>44323.66667</v>
      </c>
      <c r="J879" s="9">
        <f>IFERROR(__xludf.DUMMYFUNCTION("""COMPUTED_VALUE"""),2398.69)</f>
        <v>2398.69</v>
      </c>
      <c r="L879" s="11">
        <f>IFERROR(__xludf.DUMMYFUNCTION("""COMPUTED_VALUE"""),44323.66666666667)</f>
        <v>44323.66667</v>
      </c>
      <c r="M879" s="9">
        <f>IFERROR(__xludf.DUMMYFUNCTION("""COMPUTED_VALUE"""),130.85)</f>
        <v>130.85</v>
      </c>
      <c r="N879" s="11">
        <f>IFERROR(__xludf.DUMMYFUNCTION("""COMPUTED_VALUE"""),44323.66666666667)</f>
        <v>44323.66667</v>
      </c>
      <c r="O879" s="9">
        <f>IFERROR(__xludf.DUMMYFUNCTION("""COMPUTED_VALUE"""),130.21)</f>
        <v>130.21</v>
      </c>
      <c r="Q879" s="11">
        <f>IFERROR(__xludf.DUMMYFUNCTION("""COMPUTED_VALUE"""),44323.66666666667)</f>
        <v>44323.66667</v>
      </c>
      <c r="R879" s="9">
        <f>IFERROR(__xludf.DUMMYFUNCTION("""COMPUTED_VALUE"""),322.38)</f>
        <v>322.38</v>
      </c>
      <c r="S879" s="11">
        <f>IFERROR(__xludf.DUMMYFUNCTION("""COMPUTED_VALUE"""),44323.66666666667)</f>
        <v>44323.66667</v>
      </c>
      <c r="T879" s="9">
        <f>IFERROR(__xludf.DUMMYFUNCTION("""COMPUTED_VALUE"""),319.08)</f>
        <v>319.08</v>
      </c>
      <c r="V879" s="11">
        <f>IFERROR(__xludf.DUMMYFUNCTION("""COMPUTED_VALUE"""),44323.66666666667)</f>
        <v>44323.66667</v>
      </c>
      <c r="W879" s="9">
        <f>IFERROR(__xludf.DUMMYFUNCTION("""COMPUTED_VALUE"""),504.62)</f>
        <v>504.62</v>
      </c>
      <c r="X879" s="11">
        <f>IFERROR(__xludf.DUMMYFUNCTION("""COMPUTED_VALUE"""),44323.66666666667)</f>
        <v>44323.66667</v>
      </c>
      <c r="Y879" s="9">
        <f>IFERROR(__xludf.DUMMYFUNCTION("""COMPUTED_VALUE"""),503.84)</f>
        <v>503.84</v>
      </c>
      <c r="AA879" s="11">
        <f>IFERROR(__xludf.DUMMYFUNCTION("""COMPUTED_VALUE"""),44323.66666666667)</f>
        <v>44323.66667</v>
      </c>
      <c r="AB879" s="9">
        <f>IFERROR(__xludf.DUMMYFUNCTION("""COMPUTED_VALUE"""),3319.09)</f>
        <v>3319.09</v>
      </c>
      <c r="AC879" s="11">
        <f>IFERROR(__xludf.DUMMYFUNCTION("""COMPUTED_VALUE"""),44323.66666666667)</f>
        <v>44323.66667</v>
      </c>
      <c r="AD879" s="9">
        <f>IFERROR(__xludf.DUMMYFUNCTION("""COMPUTED_VALUE"""),3291.61)</f>
        <v>3291.61</v>
      </c>
    </row>
    <row r="880">
      <c r="B880" s="11">
        <f>IFERROR(__xludf.DUMMYFUNCTION("""COMPUTED_VALUE"""),44326.66666666667)</f>
        <v>44326.66667</v>
      </c>
      <c r="C880" s="9">
        <f>IFERROR(__xludf.DUMMYFUNCTION("""COMPUTED_VALUE"""),664.9)</f>
        <v>664.9</v>
      </c>
      <c r="D880" s="11">
        <f>IFERROR(__xludf.DUMMYFUNCTION("""COMPUTED_VALUE"""),44326.66666666667)</f>
        <v>44326.66667</v>
      </c>
      <c r="E880" s="9">
        <f>IFERROR(__xludf.DUMMYFUNCTION("""COMPUTED_VALUE"""),629.04)</f>
        <v>629.04</v>
      </c>
      <c r="G880" s="11">
        <f>IFERROR(__xludf.DUMMYFUNCTION("""COMPUTED_VALUE"""),44326.66666666667)</f>
        <v>44326.66667</v>
      </c>
      <c r="H880" s="9">
        <f>IFERROR(__xludf.DUMMYFUNCTION("""COMPUTED_VALUE"""),2374.89)</f>
        <v>2374.89</v>
      </c>
      <c r="I880" s="11">
        <f>IFERROR(__xludf.DUMMYFUNCTION("""COMPUTED_VALUE"""),44326.66666666667)</f>
        <v>44326.66667</v>
      </c>
      <c r="J880" s="9">
        <f>IFERROR(__xludf.DUMMYFUNCTION("""COMPUTED_VALUE"""),2341.66)</f>
        <v>2341.66</v>
      </c>
      <c r="L880" s="11">
        <f>IFERROR(__xludf.DUMMYFUNCTION("""COMPUTED_VALUE"""),44326.66666666667)</f>
        <v>44326.66667</v>
      </c>
      <c r="M880" s="9">
        <f>IFERROR(__xludf.DUMMYFUNCTION("""COMPUTED_VALUE"""),129.41)</f>
        <v>129.41</v>
      </c>
      <c r="N880" s="11">
        <f>IFERROR(__xludf.DUMMYFUNCTION("""COMPUTED_VALUE"""),44326.66666666667)</f>
        <v>44326.66667</v>
      </c>
      <c r="O880" s="9">
        <f>IFERROR(__xludf.DUMMYFUNCTION("""COMPUTED_VALUE"""),126.85)</f>
        <v>126.85</v>
      </c>
      <c r="Q880" s="11">
        <f>IFERROR(__xludf.DUMMYFUNCTION("""COMPUTED_VALUE"""),44326.66666666667)</f>
        <v>44326.66667</v>
      </c>
      <c r="R880" s="9">
        <f>IFERROR(__xludf.DUMMYFUNCTION("""COMPUTED_VALUE"""),314.35)</f>
        <v>314.35</v>
      </c>
      <c r="S880" s="11">
        <f>IFERROR(__xludf.DUMMYFUNCTION("""COMPUTED_VALUE"""),44326.66666666667)</f>
        <v>44326.66667</v>
      </c>
      <c r="T880" s="9">
        <f>IFERROR(__xludf.DUMMYFUNCTION("""COMPUTED_VALUE"""),305.97)</f>
        <v>305.97</v>
      </c>
      <c r="V880" s="11">
        <f>IFERROR(__xludf.DUMMYFUNCTION("""COMPUTED_VALUE"""),44326.66666666667)</f>
        <v>44326.66667</v>
      </c>
      <c r="W880" s="9">
        <f>IFERROR(__xludf.DUMMYFUNCTION("""COMPUTED_VALUE"""),502.0)</f>
        <v>502</v>
      </c>
      <c r="X880" s="11">
        <f>IFERROR(__xludf.DUMMYFUNCTION("""COMPUTED_VALUE"""),44326.66666666667)</f>
        <v>44326.66667</v>
      </c>
      <c r="Y880" s="9">
        <f>IFERROR(__xludf.DUMMYFUNCTION("""COMPUTED_VALUE"""),486.69)</f>
        <v>486.69</v>
      </c>
      <c r="AA880" s="11">
        <f>IFERROR(__xludf.DUMMYFUNCTION("""COMPUTED_VALUE"""),44326.66666666667)</f>
        <v>44326.66667</v>
      </c>
      <c r="AB880" s="9">
        <f>IFERROR(__xludf.DUMMYFUNCTION("""COMPUTED_VALUE"""),3282.32)</f>
        <v>3282.32</v>
      </c>
      <c r="AC880" s="11">
        <f>IFERROR(__xludf.DUMMYFUNCTION("""COMPUTED_VALUE"""),44326.66666666667)</f>
        <v>44326.66667</v>
      </c>
      <c r="AD880" s="9">
        <f>IFERROR(__xludf.DUMMYFUNCTION("""COMPUTED_VALUE"""),3190.49)</f>
        <v>3190.49</v>
      </c>
    </row>
    <row r="881">
      <c r="B881" s="11">
        <f>IFERROR(__xludf.DUMMYFUNCTION("""COMPUTED_VALUE"""),44327.66666666667)</f>
        <v>44327.66667</v>
      </c>
      <c r="C881" s="9">
        <f>IFERROR(__xludf.DUMMYFUNCTION("""COMPUTED_VALUE"""),599.24)</f>
        <v>599.24</v>
      </c>
      <c r="D881" s="11">
        <f>IFERROR(__xludf.DUMMYFUNCTION("""COMPUTED_VALUE"""),44327.66666666667)</f>
        <v>44327.66667</v>
      </c>
      <c r="E881" s="9">
        <f>IFERROR(__xludf.DUMMYFUNCTION("""COMPUTED_VALUE"""),617.2)</f>
        <v>617.2</v>
      </c>
      <c r="G881" s="11">
        <f>IFERROR(__xludf.DUMMYFUNCTION("""COMPUTED_VALUE"""),44327.66666666667)</f>
        <v>44327.66667</v>
      </c>
      <c r="H881" s="9">
        <f>IFERROR(__xludf.DUMMYFUNCTION("""COMPUTED_VALUE"""),2291.86)</f>
        <v>2291.86</v>
      </c>
      <c r="I881" s="11">
        <f>IFERROR(__xludf.DUMMYFUNCTION("""COMPUTED_VALUE"""),44327.66666666667)</f>
        <v>44327.66667</v>
      </c>
      <c r="J881" s="9">
        <f>IFERROR(__xludf.DUMMYFUNCTION("""COMPUTED_VALUE"""),2308.76)</f>
        <v>2308.76</v>
      </c>
      <c r="L881" s="11">
        <f>IFERROR(__xludf.DUMMYFUNCTION("""COMPUTED_VALUE"""),44327.66666666667)</f>
        <v>44327.66667</v>
      </c>
      <c r="M881" s="9">
        <f>IFERROR(__xludf.DUMMYFUNCTION("""COMPUTED_VALUE"""),123.5)</f>
        <v>123.5</v>
      </c>
      <c r="N881" s="11">
        <f>IFERROR(__xludf.DUMMYFUNCTION("""COMPUTED_VALUE"""),44327.66666666667)</f>
        <v>44327.66667</v>
      </c>
      <c r="O881" s="9">
        <f>IFERROR(__xludf.DUMMYFUNCTION("""COMPUTED_VALUE"""),125.91)</f>
        <v>125.91</v>
      </c>
      <c r="Q881" s="11">
        <f>IFERROR(__xludf.DUMMYFUNCTION("""COMPUTED_VALUE"""),44327.66666666667)</f>
        <v>44327.66667</v>
      </c>
      <c r="R881" s="9">
        <f>IFERROR(__xludf.DUMMYFUNCTION("""COMPUTED_VALUE"""),300.75)</f>
        <v>300.75</v>
      </c>
      <c r="S881" s="11">
        <f>IFERROR(__xludf.DUMMYFUNCTION("""COMPUTED_VALUE"""),44327.66666666667)</f>
        <v>44327.66667</v>
      </c>
      <c r="T881" s="9">
        <f>IFERROR(__xludf.DUMMYFUNCTION("""COMPUTED_VALUE"""),306.53)</f>
        <v>306.53</v>
      </c>
      <c r="V881" s="11">
        <f>IFERROR(__xludf.DUMMYFUNCTION("""COMPUTED_VALUE"""),44327.66666666667)</f>
        <v>44327.66667</v>
      </c>
      <c r="W881" s="9">
        <f>IFERROR(__xludf.DUMMYFUNCTION("""COMPUTED_VALUE"""),479.75)</f>
        <v>479.75</v>
      </c>
      <c r="X881" s="11">
        <f>IFERROR(__xludf.DUMMYFUNCTION("""COMPUTED_VALUE"""),44327.66666666667)</f>
        <v>44327.66667</v>
      </c>
      <c r="Y881" s="9">
        <f>IFERROR(__xludf.DUMMYFUNCTION("""COMPUTED_VALUE"""),495.08)</f>
        <v>495.08</v>
      </c>
      <c r="AA881" s="11">
        <f>IFERROR(__xludf.DUMMYFUNCTION("""COMPUTED_VALUE"""),44327.66666666667)</f>
        <v>44327.66667</v>
      </c>
      <c r="AB881" s="9">
        <f>IFERROR(__xludf.DUMMYFUNCTION("""COMPUTED_VALUE"""),3136.28)</f>
        <v>3136.28</v>
      </c>
      <c r="AC881" s="11">
        <f>IFERROR(__xludf.DUMMYFUNCTION("""COMPUTED_VALUE"""),44327.66666666667)</f>
        <v>44327.66667</v>
      </c>
      <c r="AD881" s="9">
        <f>IFERROR(__xludf.DUMMYFUNCTION("""COMPUTED_VALUE"""),3223.91)</f>
        <v>3223.91</v>
      </c>
    </row>
    <row r="882">
      <c r="B882" s="11">
        <f>IFERROR(__xludf.DUMMYFUNCTION("""COMPUTED_VALUE"""),44328.66666666667)</f>
        <v>44328.66667</v>
      </c>
      <c r="C882" s="9">
        <f>IFERROR(__xludf.DUMMYFUNCTION("""COMPUTED_VALUE"""),602.49)</f>
        <v>602.49</v>
      </c>
      <c r="D882" s="11">
        <f>IFERROR(__xludf.DUMMYFUNCTION("""COMPUTED_VALUE"""),44328.66666666667)</f>
        <v>44328.66667</v>
      </c>
      <c r="E882" s="9">
        <f>IFERROR(__xludf.DUMMYFUNCTION("""COMPUTED_VALUE"""),589.89)</f>
        <v>589.89</v>
      </c>
      <c r="G882" s="11">
        <f>IFERROR(__xludf.DUMMYFUNCTION("""COMPUTED_VALUE"""),44328.66666666667)</f>
        <v>44328.66667</v>
      </c>
      <c r="H882" s="9">
        <f>IFERROR(__xludf.DUMMYFUNCTION("""COMPUTED_VALUE"""),2261.71)</f>
        <v>2261.71</v>
      </c>
      <c r="I882" s="11">
        <f>IFERROR(__xludf.DUMMYFUNCTION("""COMPUTED_VALUE"""),44328.66666666667)</f>
        <v>44328.66667</v>
      </c>
      <c r="J882" s="9">
        <f>IFERROR(__xludf.DUMMYFUNCTION("""COMPUTED_VALUE"""),2239.08)</f>
        <v>2239.08</v>
      </c>
      <c r="L882" s="11">
        <f>IFERROR(__xludf.DUMMYFUNCTION("""COMPUTED_VALUE"""),44328.66666666667)</f>
        <v>44328.66667</v>
      </c>
      <c r="M882" s="9">
        <f>IFERROR(__xludf.DUMMYFUNCTION("""COMPUTED_VALUE"""),123.4)</f>
        <v>123.4</v>
      </c>
      <c r="N882" s="11">
        <f>IFERROR(__xludf.DUMMYFUNCTION("""COMPUTED_VALUE"""),44328.66666666667)</f>
        <v>44328.66667</v>
      </c>
      <c r="O882" s="9">
        <f>IFERROR(__xludf.DUMMYFUNCTION("""COMPUTED_VALUE"""),122.77)</f>
        <v>122.77</v>
      </c>
      <c r="Q882" s="11">
        <f>IFERROR(__xludf.DUMMYFUNCTION("""COMPUTED_VALUE"""),44328.66666666667)</f>
        <v>44328.66667</v>
      </c>
      <c r="R882" s="9">
        <f>IFERROR(__xludf.DUMMYFUNCTION("""COMPUTED_VALUE"""),301.13)</f>
        <v>301.13</v>
      </c>
      <c r="S882" s="11">
        <f>IFERROR(__xludf.DUMMYFUNCTION("""COMPUTED_VALUE"""),44328.66666666667)</f>
        <v>44328.66667</v>
      </c>
      <c r="T882" s="9">
        <f>IFERROR(__xludf.DUMMYFUNCTION("""COMPUTED_VALUE"""),302.55)</f>
        <v>302.55</v>
      </c>
      <c r="V882" s="11">
        <f>IFERROR(__xludf.DUMMYFUNCTION("""COMPUTED_VALUE"""),44328.66666666667)</f>
        <v>44328.66667</v>
      </c>
      <c r="W882" s="9">
        <f>IFERROR(__xludf.DUMMYFUNCTION("""COMPUTED_VALUE"""),486.83)</f>
        <v>486.83</v>
      </c>
      <c r="X882" s="11">
        <f>IFERROR(__xludf.DUMMYFUNCTION("""COMPUTED_VALUE"""),44328.66666666667)</f>
        <v>44328.66667</v>
      </c>
      <c r="Y882" s="9">
        <f>IFERROR(__xludf.DUMMYFUNCTION("""COMPUTED_VALUE"""),484.98)</f>
        <v>484.98</v>
      </c>
      <c r="AA882" s="11">
        <f>IFERROR(__xludf.DUMMYFUNCTION("""COMPUTED_VALUE"""),44328.66666666667)</f>
        <v>44328.66667</v>
      </c>
      <c r="AB882" s="9">
        <f>IFERROR(__xludf.DUMMYFUNCTION("""COMPUTED_VALUE"""),3185.0)</f>
        <v>3185</v>
      </c>
      <c r="AC882" s="11">
        <f>IFERROR(__xludf.DUMMYFUNCTION("""COMPUTED_VALUE"""),44328.66666666667)</f>
        <v>44328.66667</v>
      </c>
      <c r="AD882" s="9">
        <f>IFERROR(__xludf.DUMMYFUNCTION("""COMPUTED_VALUE"""),3151.94)</f>
        <v>3151.94</v>
      </c>
    </row>
    <row r="883">
      <c r="B883" s="11">
        <f>IFERROR(__xludf.DUMMYFUNCTION("""COMPUTED_VALUE"""),44329.66666666667)</f>
        <v>44329.66667</v>
      </c>
      <c r="C883" s="9">
        <f>IFERROR(__xludf.DUMMYFUNCTION("""COMPUTED_VALUE"""),601.54)</f>
        <v>601.54</v>
      </c>
      <c r="D883" s="11">
        <f>IFERROR(__xludf.DUMMYFUNCTION("""COMPUTED_VALUE"""),44329.66666666667)</f>
        <v>44329.66667</v>
      </c>
      <c r="E883" s="9">
        <f>IFERROR(__xludf.DUMMYFUNCTION("""COMPUTED_VALUE"""),571.69)</f>
        <v>571.69</v>
      </c>
      <c r="G883" s="11">
        <f>IFERROR(__xludf.DUMMYFUNCTION("""COMPUTED_VALUE"""),44329.66666666667)</f>
        <v>44329.66667</v>
      </c>
      <c r="H883" s="9">
        <f>IFERROR(__xludf.DUMMYFUNCTION("""COMPUTED_VALUE"""),2261.09)</f>
        <v>2261.09</v>
      </c>
      <c r="I883" s="11">
        <f>IFERROR(__xludf.DUMMYFUNCTION("""COMPUTED_VALUE"""),44329.66666666667)</f>
        <v>44329.66667</v>
      </c>
      <c r="J883" s="9">
        <f>IFERROR(__xludf.DUMMYFUNCTION("""COMPUTED_VALUE"""),2261.97)</f>
        <v>2261.97</v>
      </c>
      <c r="L883" s="11">
        <f>IFERROR(__xludf.DUMMYFUNCTION("""COMPUTED_VALUE"""),44329.66666666667)</f>
        <v>44329.66667</v>
      </c>
      <c r="M883" s="9">
        <f>IFERROR(__xludf.DUMMYFUNCTION("""COMPUTED_VALUE"""),124.58)</f>
        <v>124.58</v>
      </c>
      <c r="N883" s="11">
        <f>IFERROR(__xludf.DUMMYFUNCTION("""COMPUTED_VALUE"""),44329.66666666667)</f>
        <v>44329.66667</v>
      </c>
      <c r="O883" s="9">
        <f>IFERROR(__xludf.DUMMYFUNCTION("""COMPUTED_VALUE"""),124.97)</f>
        <v>124.97</v>
      </c>
      <c r="Q883" s="11">
        <f>IFERROR(__xludf.DUMMYFUNCTION("""COMPUTED_VALUE"""),44329.66666666667)</f>
        <v>44329.66667</v>
      </c>
      <c r="R883" s="9">
        <f>IFERROR(__xludf.DUMMYFUNCTION("""COMPUTED_VALUE"""),306.08)</f>
        <v>306.08</v>
      </c>
      <c r="S883" s="11">
        <f>IFERROR(__xludf.DUMMYFUNCTION("""COMPUTED_VALUE"""),44329.66666666667)</f>
        <v>44329.66667</v>
      </c>
      <c r="T883" s="9">
        <f>IFERROR(__xludf.DUMMYFUNCTION("""COMPUTED_VALUE"""),305.26)</f>
        <v>305.26</v>
      </c>
      <c r="V883" s="11">
        <f>IFERROR(__xludf.DUMMYFUNCTION("""COMPUTED_VALUE"""),44329.66666666667)</f>
        <v>44329.66667</v>
      </c>
      <c r="W883" s="9">
        <f>IFERROR(__xludf.DUMMYFUNCTION("""COMPUTED_VALUE"""),489.13)</f>
        <v>489.13</v>
      </c>
      <c r="X883" s="11">
        <f>IFERROR(__xludf.DUMMYFUNCTION("""COMPUTED_VALUE"""),44329.66666666667)</f>
        <v>44329.66667</v>
      </c>
      <c r="Y883" s="9">
        <f>IFERROR(__xludf.DUMMYFUNCTION("""COMPUTED_VALUE"""),486.66)</f>
        <v>486.66</v>
      </c>
      <c r="AA883" s="11">
        <f>IFERROR(__xludf.DUMMYFUNCTION("""COMPUTED_VALUE"""),44329.66666666667)</f>
        <v>44329.66667</v>
      </c>
      <c r="AB883" s="9">
        <f>IFERROR(__xludf.DUMMYFUNCTION("""COMPUTED_VALUE"""),3185.47)</f>
        <v>3185.47</v>
      </c>
      <c r="AC883" s="11">
        <f>IFERROR(__xludf.DUMMYFUNCTION("""COMPUTED_VALUE"""),44329.66666666667)</f>
        <v>44329.66667</v>
      </c>
      <c r="AD883" s="9">
        <f>IFERROR(__xludf.DUMMYFUNCTION("""COMPUTED_VALUE"""),3161.47)</f>
        <v>3161.47</v>
      </c>
    </row>
    <row r="884">
      <c r="B884" s="11">
        <f>IFERROR(__xludf.DUMMYFUNCTION("""COMPUTED_VALUE"""),44330.66666666667)</f>
        <v>44330.66667</v>
      </c>
      <c r="C884" s="9">
        <f>IFERROR(__xludf.DUMMYFUNCTION("""COMPUTED_VALUE"""),583.41)</f>
        <v>583.41</v>
      </c>
      <c r="D884" s="11">
        <f>IFERROR(__xludf.DUMMYFUNCTION("""COMPUTED_VALUE"""),44330.66666666667)</f>
        <v>44330.66667</v>
      </c>
      <c r="E884" s="9">
        <f>IFERROR(__xludf.DUMMYFUNCTION("""COMPUTED_VALUE"""),589.74)</f>
        <v>589.74</v>
      </c>
      <c r="G884" s="11">
        <f>IFERROR(__xludf.DUMMYFUNCTION("""COMPUTED_VALUE"""),44330.66666666667)</f>
        <v>44330.66667</v>
      </c>
      <c r="H884" s="9">
        <f>IFERROR(__xludf.DUMMYFUNCTION("""COMPUTED_VALUE"""),2291.83)</f>
        <v>2291.83</v>
      </c>
      <c r="I884" s="11">
        <f>IFERROR(__xludf.DUMMYFUNCTION("""COMPUTED_VALUE"""),44330.66666666667)</f>
        <v>44330.66667</v>
      </c>
      <c r="J884" s="9">
        <f>IFERROR(__xludf.DUMMYFUNCTION("""COMPUTED_VALUE"""),2316.16)</f>
        <v>2316.16</v>
      </c>
      <c r="L884" s="11">
        <f>IFERROR(__xludf.DUMMYFUNCTION("""COMPUTED_VALUE"""),44330.66666666667)</f>
        <v>44330.66667</v>
      </c>
      <c r="M884" s="9">
        <f>IFERROR(__xludf.DUMMYFUNCTION("""COMPUTED_VALUE"""),126.25)</f>
        <v>126.25</v>
      </c>
      <c r="N884" s="11">
        <f>IFERROR(__xludf.DUMMYFUNCTION("""COMPUTED_VALUE"""),44330.66666666667)</f>
        <v>44330.66667</v>
      </c>
      <c r="O884" s="9">
        <f>IFERROR(__xludf.DUMMYFUNCTION("""COMPUTED_VALUE"""),127.45)</f>
        <v>127.45</v>
      </c>
      <c r="Q884" s="11">
        <f>IFERROR(__xludf.DUMMYFUNCTION("""COMPUTED_VALUE"""),44330.66666666667)</f>
        <v>44330.66667</v>
      </c>
      <c r="R884" s="9">
        <f>IFERROR(__xludf.DUMMYFUNCTION("""COMPUTED_VALUE"""),309.54)</f>
        <v>309.54</v>
      </c>
      <c r="S884" s="11">
        <f>IFERROR(__xludf.DUMMYFUNCTION("""COMPUTED_VALUE"""),44330.66666666667)</f>
        <v>44330.66667</v>
      </c>
      <c r="T884" s="9">
        <f>IFERROR(__xludf.DUMMYFUNCTION("""COMPUTED_VALUE"""),315.94)</f>
        <v>315.94</v>
      </c>
      <c r="V884" s="11">
        <f>IFERROR(__xludf.DUMMYFUNCTION("""COMPUTED_VALUE"""),44330.66666666667)</f>
        <v>44330.66667</v>
      </c>
      <c r="W884" s="9">
        <f>IFERROR(__xludf.DUMMYFUNCTION("""COMPUTED_VALUE"""),487.86)</f>
        <v>487.86</v>
      </c>
      <c r="X884" s="11">
        <f>IFERROR(__xludf.DUMMYFUNCTION("""COMPUTED_VALUE"""),44330.66666666667)</f>
        <v>44330.66667</v>
      </c>
      <c r="Y884" s="9">
        <f>IFERROR(__xludf.DUMMYFUNCTION("""COMPUTED_VALUE"""),493.37)</f>
        <v>493.37</v>
      </c>
      <c r="AA884" s="11">
        <f>IFERROR(__xludf.DUMMYFUNCTION("""COMPUTED_VALUE"""),44330.66666666667)</f>
        <v>44330.66667</v>
      </c>
      <c r="AB884" s="9">
        <f>IFERROR(__xludf.DUMMYFUNCTION("""COMPUTED_VALUE"""),3185.56)</f>
        <v>3185.56</v>
      </c>
      <c r="AC884" s="11">
        <f>IFERROR(__xludf.DUMMYFUNCTION("""COMPUTED_VALUE"""),44330.66666666667)</f>
        <v>44330.66667</v>
      </c>
      <c r="AD884" s="9">
        <f>IFERROR(__xludf.DUMMYFUNCTION("""COMPUTED_VALUE"""),3222.9)</f>
        <v>3222.9</v>
      </c>
    </row>
    <row r="885">
      <c r="B885" s="11">
        <f>IFERROR(__xludf.DUMMYFUNCTION("""COMPUTED_VALUE"""),44333.66666666667)</f>
        <v>44333.66667</v>
      </c>
      <c r="C885" s="9">
        <f>IFERROR(__xludf.DUMMYFUNCTION("""COMPUTED_VALUE"""),575.55)</f>
        <v>575.55</v>
      </c>
      <c r="D885" s="11">
        <f>IFERROR(__xludf.DUMMYFUNCTION("""COMPUTED_VALUE"""),44333.66666666667)</f>
        <v>44333.66667</v>
      </c>
      <c r="E885" s="9">
        <f>IFERROR(__xludf.DUMMYFUNCTION("""COMPUTED_VALUE"""),576.83)</f>
        <v>576.83</v>
      </c>
      <c r="G885" s="11">
        <f>IFERROR(__xludf.DUMMYFUNCTION("""COMPUTED_VALUE"""),44333.66666666667)</f>
        <v>44333.66667</v>
      </c>
      <c r="H885" s="9">
        <f>IFERROR(__xludf.DUMMYFUNCTION("""COMPUTED_VALUE"""),2309.32)</f>
        <v>2309.32</v>
      </c>
      <c r="I885" s="11">
        <f>IFERROR(__xludf.DUMMYFUNCTION("""COMPUTED_VALUE"""),44333.66666666667)</f>
        <v>44333.66667</v>
      </c>
      <c r="J885" s="9">
        <f>IFERROR(__xludf.DUMMYFUNCTION("""COMPUTED_VALUE"""),2321.41)</f>
        <v>2321.41</v>
      </c>
      <c r="L885" s="11">
        <f>IFERROR(__xludf.DUMMYFUNCTION("""COMPUTED_VALUE"""),44333.66666666667)</f>
        <v>44333.66667</v>
      </c>
      <c r="M885" s="9">
        <f>IFERROR(__xludf.DUMMYFUNCTION("""COMPUTED_VALUE"""),126.82)</f>
        <v>126.82</v>
      </c>
      <c r="N885" s="11">
        <f>IFERROR(__xludf.DUMMYFUNCTION("""COMPUTED_VALUE"""),44333.66666666667)</f>
        <v>44333.66667</v>
      </c>
      <c r="O885" s="9">
        <f>IFERROR(__xludf.DUMMYFUNCTION("""COMPUTED_VALUE"""),126.27)</f>
        <v>126.27</v>
      </c>
      <c r="Q885" s="11">
        <f>IFERROR(__xludf.DUMMYFUNCTION("""COMPUTED_VALUE"""),44333.66666666667)</f>
        <v>44333.66667</v>
      </c>
      <c r="R885" s="9">
        <f>IFERROR(__xludf.DUMMYFUNCTION("""COMPUTED_VALUE"""),313.55)</f>
        <v>313.55</v>
      </c>
      <c r="S885" s="11">
        <f>IFERROR(__xludf.DUMMYFUNCTION("""COMPUTED_VALUE"""),44333.66666666667)</f>
        <v>44333.66667</v>
      </c>
      <c r="T885" s="9">
        <f>IFERROR(__xludf.DUMMYFUNCTION("""COMPUTED_VALUE"""),315.46)</f>
        <v>315.46</v>
      </c>
      <c r="V885" s="11">
        <f>IFERROR(__xludf.DUMMYFUNCTION("""COMPUTED_VALUE"""),44333.66666666667)</f>
        <v>44333.66667</v>
      </c>
      <c r="W885" s="9">
        <f>IFERROR(__xludf.DUMMYFUNCTION("""COMPUTED_VALUE"""),485.59)</f>
        <v>485.59</v>
      </c>
      <c r="X885" s="11">
        <f>IFERROR(__xludf.DUMMYFUNCTION("""COMPUTED_VALUE"""),44333.66666666667)</f>
        <v>44333.66667</v>
      </c>
      <c r="Y885" s="9">
        <f>IFERROR(__xludf.DUMMYFUNCTION("""COMPUTED_VALUE"""),488.94)</f>
        <v>488.94</v>
      </c>
      <c r="AA885" s="11">
        <f>IFERROR(__xludf.DUMMYFUNCTION("""COMPUTED_VALUE"""),44333.66666666667)</f>
        <v>44333.66667</v>
      </c>
      <c r="AB885" s="9">
        <f>IFERROR(__xludf.DUMMYFUNCTION("""COMPUTED_VALUE"""),3245.93)</f>
        <v>3245.93</v>
      </c>
      <c r="AC885" s="11">
        <f>IFERROR(__xludf.DUMMYFUNCTION("""COMPUTED_VALUE"""),44333.66666666667)</f>
        <v>44333.66667</v>
      </c>
      <c r="AD885" s="9">
        <f>IFERROR(__xludf.DUMMYFUNCTION("""COMPUTED_VALUE"""),3270.39)</f>
        <v>3270.39</v>
      </c>
    </row>
    <row r="886">
      <c r="B886" s="11">
        <f>IFERROR(__xludf.DUMMYFUNCTION("""COMPUTED_VALUE"""),44334.66666666667)</f>
        <v>44334.66667</v>
      </c>
      <c r="C886" s="9">
        <f>IFERROR(__xludf.DUMMYFUNCTION("""COMPUTED_VALUE"""),568.0)</f>
        <v>568</v>
      </c>
      <c r="D886" s="11">
        <f>IFERROR(__xludf.DUMMYFUNCTION("""COMPUTED_VALUE"""),44334.66666666667)</f>
        <v>44334.66667</v>
      </c>
      <c r="E886" s="9">
        <f>IFERROR(__xludf.DUMMYFUNCTION("""COMPUTED_VALUE"""),577.87)</f>
        <v>577.87</v>
      </c>
      <c r="G886" s="11">
        <f>IFERROR(__xludf.DUMMYFUNCTION("""COMPUTED_VALUE"""),44334.66666666667)</f>
        <v>44334.66667</v>
      </c>
      <c r="H886" s="9">
        <f>IFERROR(__xludf.DUMMYFUNCTION("""COMPUTED_VALUE"""),2336.91)</f>
        <v>2336.91</v>
      </c>
      <c r="I886" s="11">
        <f>IFERROR(__xludf.DUMMYFUNCTION("""COMPUTED_VALUE"""),44334.66666666667)</f>
        <v>44334.66667</v>
      </c>
      <c r="J886" s="9">
        <f>IFERROR(__xludf.DUMMYFUNCTION("""COMPUTED_VALUE"""),2303.43)</f>
        <v>2303.43</v>
      </c>
      <c r="L886" s="11">
        <f>IFERROR(__xludf.DUMMYFUNCTION("""COMPUTED_VALUE"""),44334.66666666667)</f>
        <v>44334.66667</v>
      </c>
      <c r="M886" s="9">
        <f>IFERROR(__xludf.DUMMYFUNCTION("""COMPUTED_VALUE"""),126.56)</f>
        <v>126.56</v>
      </c>
      <c r="N886" s="11">
        <f>IFERROR(__xludf.DUMMYFUNCTION("""COMPUTED_VALUE"""),44334.66666666667)</f>
        <v>44334.66667</v>
      </c>
      <c r="O886" s="9">
        <f>IFERROR(__xludf.DUMMYFUNCTION("""COMPUTED_VALUE"""),124.85)</f>
        <v>124.85</v>
      </c>
      <c r="Q886" s="11">
        <f>IFERROR(__xludf.DUMMYFUNCTION("""COMPUTED_VALUE"""),44334.66666666667)</f>
        <v>44334.66667</v>
      </c>
      <c r="R886" s="9">
        <f>IFERROR(__xludf.DUMMYFUNCTION("""COMPUTED_VALUE"""),315.59)</f>
        <v>315.59</v>
      </c>
      <c r="S886" s="11">
        <f>IFERROR(__xludf.DUMMYFUNCTION("""COMPUTED_VALUE"""),44334.66666666667)</f>
        <v>44334.66667</v>
      </c>
      <c r="T886" s="9">
        <f>IFERROR(__xludf.DUMMYFUNCTION("""COMPUTED_VALUE"""),309.96)</f>
        <v>309.96</v>
      </c>
      <c r="V886" s="11">
        <f>IFERROR(__xludf.DUMMYFUNCTION("""COMPUTED_VALUE"""),44334.66666666667)</f>
        <v>44334.66667</v>
      </c>
      <c r="W886" s="9">
        <f>IFERROR(__xludf.DUMMYFUNCTION("""COMPUTED_VALUE"""),488.4)</f>
        <v>488.4</v>
      </c>
      <c r="X886" s="11">
        <f>IFERROR(__xludf.DUMMYFUNCTION("""COMPUTED_VALUE"""),44334.66666666667)</f>
        <v>44334.66667</v>
      </c>
      <c r="Y886" s="9">
        <f>IFERROR(__xludf.DUMMYFUNCTION("""COMPUTED_VALUE"""),486.28)</f>
        <v>486.28</v>
      </c>
      <c r="AA886" s="11">
        <f>IFERROR(__xludf.DUMMYFUNCTION("""COMPUTED_VALUE"""),44334.66666666667)</f>
        <v>44334.66667</v>
      </c>
      <c r="AB886" s="9">
        <f>IFERROR(__xludf.DUMMYFUNCTION("""COMPUTED_VALUE"""),3292.58)</f>
        <v>3292.58</v>
      </c>
      <c r="AC886" s="11">
        <f>IFERROR(__xludf.DUMMYFUNCTION("""COMPUTED_VALUE"""),44334.66666666667)</f>
        <v>44334.66667</v>
      </c>
      <c r="AD886" s="9">
        <f>IFERROR(__xludf.DUMMYFUNCTION("""COMPUTED_VALUE"""),3232.28)</f>
        <v>3232.28</v>
      </c>
    </row>
    <row r="887">
      <c r="B887" s="11">
        <f>IFERROR(__xludf.DUMMYFUNCTION("""COMPUTED_VALUE"""),44335.66666666667)</f>
        <v>44335.66667</v>
      </c>
      <c r="C887" s="9">
        <f>IFERROR(__xludf.DUMMYFUNCTION("""COMPUTED_VALUE"""),552.55)</f>
        <v>552.55</v>
      </c>
      <c r="D887" s="11">
        <f>IFERROR(__xludf.DUMMYFUNCTION("""COMPUTED_VALUE"""),44335.66666666667)</f>
        <v>44335.66667</v>
      </c>
      <c r="E887" s="9">
        <f>IFERROR(__xludf.DUMMYFUNCTION("""COMPUTED_VALUE"""),563.46)</f>
        <v>563.46</v>
      </c>
      <c r="G887" s="11">
        <f>IFERROR(__xludf.DUMMYFUNCTION("""COMPUTED_VALUE"""),44335.66666666667)</f>
        <v>44335.66667</v>
      </c>
      <c r="H887" s="9">
        <f>IFERROR(__xludf.DUMMYFUNCTION("""COMPUTED_VALUE"""),2264.4)</f>
        <v>2264.4</v>
      </c>
      <c r="I887" s="11">
        <f>IFERROR(__xludf.DUMMYFUNCTION("""COMPUTED_VALUE"""),44335.66666666667)</f>
        <v>44335.66667</v>
      </c>
      <c r="J887" s="9">
        <f>IFERROR(__xludf.DUMMYFUNCTION("""COMPUTED_VALUE"""),2308.71)</f>
        <v>2308.71</v>
      </c>
      <c r="L887" s="11">
        <f>IFERROR(__xludf.DUMMYFUNCTION("""COMPUTED_VALUE"""),44335.66666666667)</f>
        <v>44335.66667</v>
      </c>
      <c r="M887" s="9">
        <f>IFERROR(__xludf.DUMMYFUNCTION("""COMPUTED_VALUE"""),123.16)</f>
        <v>123.16</v>
      </c>
      <c r="N887" s="11">
        <f>IFERROR(__xludf.DUMMYFUNCTION("""COMPUTED_VALUE"""),44335.66666666667)</f>
        <v>44335.66667</v>
      </c>
      <c r="O887" s="9">
        <f>IFERROR(__xludf.DUMMYFUNCTION("""COMPUTED_VALUE"""),124.69)</f>
        <v>124.69</v>
      </c>
      <c r="Q887" s="11">
        <f>IFERROR(__xludf.DUMMYFUNCTION("""COMPUTED_VALUE"""),44335.66666666667)</f>
        <v>44335.66667</v>
      </c>
      <c r="R887" s="9">
        <f>IFERROR(__xludf.DUMMYFUNCTION("""COMPUTED_VALUE"""),304.19)</f>
        <v>304.19</v>
      </c>
      <c r="S887" s="11">
        <f>IFERROR(__xludf.DUMMYFUNCTION("""COMPUTED_VALUE"""),44335.66666666667)</f>
        <v>44335.66667</v>
      </c>
      <c r="T887" s="9">
        <f>IFERROR(__xludf.DUMMYFUNCTION("""COMPUTED_VALUE"""),313.59)</f>
        <v>313.59</v>
      </c>
      <c r="V887" s="11">
        <f>IFERROR(__xludf.DUMMYFUNCTION("""COMPUTED_VALUE"""),44335.66666666667)</f>
        <v>44335.66667</v>
      </c>
      <c r="W887" s="9">
        <f>IFERROR(__xludf.DUMMYFUNCTION("""COMPUTED_VALUE"""),481.63)</f>
        <v>481.63</v>
      </c>
      <c r="X887" s="11">
        <f>IFERROR(__xludf.DUMMYFUNCTION("""COMPUTED_VALUE"""),44335.66666666667)</f>
        <v>44335.66667</v>
      </c>
      <c r="Y887" s="9">
        <f>IFERROR(__xludf.DUMMYFUNCTION("""COMPUTED_VALUE"""),487.7)</f>
        <v>487.7</v>
      </c>
      <c r="AA887" s="11">
        <f>IFERROR(__xludf.DUMMYFUNCTION("""COMPUTED_VALUE"""),44335.66666666667)</f>
        <v>44335.66667</v>
      </c>
      <c r="AB887" s="9">
        <f>IFERROR(__xludf.DUMMYFUNCTION("""COMPUTED_VALUE"""),3195.0)</f>
        <v>3195</v>
      </c>
      <c r="AC887" s="11">
        <f>IFERROR(__xludf.DUMMYFUNCTION("""COMPUTED_VALUE"""),44335.66666666667)</f>
        <v>44335.66667</v>
      </c>
      <c r="AD887" s="9">
        <f>IFERROR(__xludf.DUMMYFUNCTION("""COMPUTED_VALUE"""),3231.8)</f>
        <v>3231.8</v>
      </c>
    </row>
    <row r="888">
      <c r="B888" s="11">
        <f>IFERROR(__xludf.DUMMYFUNCTION("""COMPUTED_VALUE"""),44336.66666666667)</f>
        <v>44336.66667</v>
      </c>
      <c r="C888" s="9">
        <f>IFERROR(__xludf.DUMMYFUNCTION("""COMPUTED_VALUE"""),575.0)</f>
        <v>575</v>
      </c>
      <c r="D888" s="11">
        <f>IFERROR(__xludf.DUMMYFUNCTION("""COMPUTED_VALUE"""),44336.66666666667)</f>
        <v>44336.66667</v>
      </c>
      <c r="E888" s="9">
        <f>IFERROR(__xludf.DUMMYFUNCTION("""COMPUTED_VALUE"""),586.78)</f>
        <v>586.78</v>
      </c>
      <c r="G888" s="11">
        <f>IFERROR(__xludf.DUMMYFUNCTION("""COMPUTED_VALUE"""),44336.66666666667)</f>
        <v>44336.66667</v>
      </c>
      <c r="H888" s="9">
        <f>IFERROR(__xludf.DUMMYFUNCTION("""COMPUTED_VALUE"""),2328.04)</f>
        <v>2328.04</v>
      </c>
      <c r="I888" s="11">
        <f>IFERROR(__xludf.DUMMYFUNCTION("""COMPUTED_VALUE"""),44336.66666666667)</f>
        <v>44336.66667</v>
      </c>
      <c r="J888" s="9">
        <f>IFERROR(__xludf.DUMMYFUNCTION("""COMPUTED_VALUE"""),2356.09)</f>
        <v>2356.09</v>
      </c>
      <c r="L888" s="11">
        <f>IFERROR(__xludf.DUMMYFUNCTION("""COMPUTED_VALUE"""),44336.66666666667)</f>
        <v>44336.66667</v>
      </c>
      <c r="M888" s="9">
        <f>IFERROR(__xludf.DUMMYFUNCTION("""COMPUTED_VALUE"""),125.23)</f>
        <v>125.23</v>
      </c>
      <c r="N888" s="11">
        <f>IFERROR(__xludf.DUMMYFUNCTION("""COMPUTED_VALUE"""),44336.66666666667)</f>
        <v>44336.66667</v>
      </c>
      <c r="O888" s="9">
        <f>IFERROR(__xludf.DUMMYFUNCTION("""COMPUTED_VALUE"""),127.31)</f>
        <v>127.31</v>
      </c>
      <c r="Q888" s="11">
        <f>IFERROR(__xludf.DUMMYFUNCTION("""COMPUTED_VALUE"""),44336.66666666667)</f>
        <v>44336.66667</v>
      </c>
      <c r="R888" s="9">
        <f>IFERROR(__xludf.DUMMYFUNCTION("""COMPUTED_VALUE"""),313.58)</f>
        <v>313.58</v>
      </c>
      <c r="S888" s="11">
        <f>IFERROR(__xludf.DUMMYFUNCTION("""COMPUTED_VALUE"""),44336.66666666667)</f>
        <v>44336.66667</v>
      </c>
      <c r="T888" s="9">
        <f>IFERROR(__xludf.DUMMYFUNCTION("""COMPUTED_VALUE"""),318.61)</f>
        <v>318.61</v>
      </c>
      <c r="V888" s="11">
        <f>IFERROR(__xludf.DUMMYFUNCTION("""COMPUTED_VALUE"""),44336.66666666667)</f>
        <v>44336.66667</v>
      </c>
      <c r="W888" s="9">
        <f>IFERROR(__xludf.DUMMYFUNCTION("""COMPUTED_VALUE"""),489.55)</f>
        <v>489.55</v>
      </c>
      <c r="X888" s="11">
        <f>IFERROR(__xludf.DUMMYFUNCTION("""COMPUTED_VALUE"""),44336.66666666667)</f>
        <v>44336.66667</v>
      </c>
      <c r="Y888" s="9">
        <f>IFERROR(__xludf.DUMMYFUNCTION("""COMPUTED_VALUE"""),501.67)</f>
        <v>501.67</v>
      </c>
      <c r="AA888" s="11">
        <f>IFERROR(__xludf.DUMMYFUNCTION("""COMPUTED_VALUE"""),44336.66666666667)</f>
        <v>44336.66667</v>
      </c>
      <c r="AB888" s="9">
        <f>IFERROR(__xludf.DUMMYFUNCTION("""COMPUTED_VALUE"""),3244.4)</f>
        <v>3244.4</v>
      </c>
      <c r="AC888" s="11">
        <f>IFERROR(__xludf.DUMMYFUNCTION("""COMPUTED_VALUE"""),44336.66666666667)</f>
        <v>44336.66667</v>
      </c>
      <c r="AD888" s="9">
        <f>IFERROR(__xludf.DUMMYFUNCTION("""COMPUTED_VALUE"""),3247.68)</f>
        <v>3247.68</v>
      </c>
    </row>
    <row r="889">
      <c r="B889" s="11">
        <f>IFERROR(__xludf.DUMMYFUNCTION("""COMPUTED_VALUE"""),44337.66666666667)</f>
        <v>44337.66667</v>
      </c>
      <c r="C889" s="9">
        <f>IFERROR(__xludf.DUMMYFUNCTION("""COMPUTED_VALUE"""),596.11)</f>
        <v>596.11</v>
      </c>
      <c r="D889" s="11">
        <f>IFERROR(__xludf.DUMMYFUNCTION("""COMPUTED_VALUE"""),44337.66666666667)</f>
        <v>44337.66667</v>
      </c>
      <c r="E889" s="9">
        <f>IFERROR(__xludf.DUMMYFUNCTION("""COMPUTED_VALUE"""),580.88)</f>
        <v>580.88</v>
      </c>
      <c r="G889" s="11">
        <f>IFERROR(__xludf.DUMMYFUNCTION("""COMPUTED_VALUE"""),44337.66666666667)</f>
        <v>44337.66667</v>
      </c>
      <c r="H889" s="9">
        <f>IFERROR(__xludf.DUMMYFUNCTION("""COMPUTED_VALUE"""),2365.99)</f>
        <v>2365.99</v>
      </c>
      <c r="I889" s="11">
        <f>IFERROR(__xludf.DUMMYFUNCTION("""COMPUTED_VALUE"""),44337.66666666667)</f>
        <v>44337.66667</v>
      </c>
      <c r="J889" s="9">
        <f>IFERROR(__xludf.DUMMYFUNCTION("""COMPUTED_VALUE"""),2345.1)</f>
        <v>2345.1</v>
      </c>
      <c r="L889" s="11">
        <f>IFERROR(__xludf.DUMMYFUNCTION("""COMPUTED_VALUE"""),44337.66666666667)</f>
        <v>44337.66667</v>
      </c>
      <c r="M889" s="9">
        <f>IFERROR(__xludf.DUMMYFUNCTION("""COMPUTED_VALUE"""),127.82)</f>
        <v>127.82</v>
      </c>
      <c r="N889" s="11">
        <f>IFERROR(__xludf.DUMMYFUNCTION("""COMPUTED_VALUE"""),44337.66666666667)</f>
        <v>44337.66667</v>
      </c>
      <c r="O889" s="9">
        <f>IFERROR(__xludf.DUMMYFUNCTION("""COMPUTED_VALUE"""),125.43)</f>
        <v>125.43</v>
      </c>
      <c r="Q889" s="11">
        <f>IFERROR(__xludf.DUMMYFUNCTION("""COMPUTED_VALUE"""),44337.66666666667)</f>
        <v>44337.66667</v>
      </c>
      <c r="R889" s="9">
        <f>IFERROR(__xludf.DUMMYFUNCTION("""COMPUTED_VALUE"""),319.29)</f>
        <v>319.29</v>
      </c>
      <c r="S889" s="11">
        <f>IFERROR(__xludf.DUMMYFUNCTION("""COMPUTED_VALUE"""),44337.66666666667)</f>
        <v>44337.66667</v>
      </c>
      <c r="T889" s="9">
        <f>IFERROR(__xludf.DUMMYFUNCTION("""COMPUTED_VALUE"""),316.23)</f>
        <v>316.23</v>
      </c>
      <c r="V889" s="11">
        <f>IFERROR(__xludf.DUMMYFUNCTION("""COMPUTED_VALUE"""),44337.66666666667)</f>
        <v>44337.66667</v>
      </c>
      <c r="W889" s="9">
        <f>IFERROR(__xludf.DUMMYFUNCTION("""COMPUTED_VALUE"""),503.12)</f>
        <v>503.12</v>
      </c>
      <c r="X889" s="11">
        <f>IFERROR(__xludf.DUMMYFUNCTION("""COMPUTED_VALUE"""),44337.66666666667)</f>
        <v>44337.66667</v>
      </c>
      <c r="Y889" s="9">
        <f>IFERROR(__xludf.DUMMYFUNCTION("""COMPUTED_VALUE"""),497.89)</f>
        <v>497.89</v>
      </c>
      <c r="AA889" s="11">
        <f>IFERROR(__xludf.DUMMYFUNCTION("""COMPUTED_VALUE"""),44337.66666666667)</f>
        <v>44337.66667</v>
      </c>
      <c r="AB889" s="9">
        <f>IFERROR(__xludf.DUMMYFUNCTION("""COMPUTED_VALUE"""),3250.0)</f>
        <v>3250</v>
      </c>
      <c r="AC889" s="11">
        <f>IFERROR(__xludf.DUMMYFUNCTION("""COMPUTED_VALUE"""),44337.66666666667)</f>
        <v>44337.66667</v>
      </c>
      <c r="AD889" s="9">
        <f>IFERROR(__xludf.DUMMYFUNCTION("""COMPUTED_VALUE"""),3203.08)</f>
        <v>3203.08</v>
      </c>
    </row>
    <row r="890">
      <c r="B890" s="11">
        <f>IFERROR(__xludf.DUMMYFUNCTION("""COMPUTED_VALUE"""),44340.66666666667)</f>
        <v>44340.66667</v>
      </c>
      <c r="C890" s="9">
        <f>IFERROR(__xludf.DUMMYFUNCTION("""COMPUTED_VALUE"""),581.6)</f>
        <v>581.6</v>
      </c>
      <c r="D890" s="11">
        <f>IFERROR(__xludf.DUMMYFUNCTION("""COMPUTED_VALUE"""),44340.66666666667)</f>
        <v>44340.66667</v>
      </c>
      <c r="E890" s="9">
        <f>IFERROR(__xludf.DUMMYFUNCTION("""COMPUTED_VALUE"""),606.44)</f>
        <v>606.44</v>
      </c>
      <c r="G890" s="11">
        <f>IFERROR(__xludf.DUMMYFUNCTION("""COMPUTED_VALUE"""),44340.66666666667)</f>
        <v>44340.66667</v>
      </c>
      <c r="H890" s="9">
        <f>IFERROR(__xludf.DUMMYFUNCTION("""COMPUTED_VALUE"""),2367.0)</f>
        <v>2367</v>
      </c>
      <c r="I890" s="11">
        <f>IFERROR(__xludf.DUMMYFUNCTION("""COMPUTED_VALUE"""),44340.66666666667)</f>
        <v>44340.66667</v>
      </c>
      <c r="J890" s="9">
        <f>IFERROR(__xludf.DUMMYFUNCTION("""COMPUTED_VALUE"""),2406.67)</f>
        <v>2406.67</v>
      </c>
      <c r="L890" s="11">
        <f>IFERROR(__xludf.DUMMYFUNCTION("""COMPUTED_VALUE"""),44340.66666666667)</f>
        <v>44340.66667</v>
      </c>
      <c r="M890" s="9">
        <f>IFERROR(__xludf.DUMMYFUNCTION("""COMPUTED_VALUE"""),126.01)</f>
        <v>126.01</v>
      </c>
      <c r="N890" s="11">
        <f>IFERROR(__xludf.DUMMYFUNCTION("""COMPUTED_VALUE"""),44340.66666666667)</f>
        <v>44340.66667</v>
      </c>
      <c r="O890" s="9">
        <f>IFERROR(__xludf.DUMMYFUNCTION("""COMPUTED_VALUE"""),127.1)</f>
        <v>127.1</v>
      </c>
      <c r="Q890" s="11">
        <f>IFERROR(__xludf.DUMMYFUNCTION("""COMPUTED_VALUE"""),44340.66666666667)</f>
        <v>44340.66667</v>
      </c>
      <c r="R890" s="9">
        <f>IFERROR(__xludf.DUMMYFUNCTION("""COMPUTED_VALUE"""),318.21)</f>
        <v>318.21</v>
      </c>
      <c r="S890" s="11">
        <f>IFERROR(__xludf.DUMMYFUNCTION("""COMPUTED_VALUE"""),44340.66666666667)</f>
        <v>44340.66667</v>
      </c>
      <c r="T890" s="9">
        <f>IFERROR(__xludf.DUMMYFUNCTION("""COMPUTED_VALUE"""),324.63)</f>
        <v>324.63</v>
      </c>
      <c r="V890" s="11">
        <f>IFERROR(__xludf.DUMMYFUNCTION("""COMPUTED_VALUE"""),44340.66666666667)</f>
        <v>44340.66667</v>
      </c>
      <c r="W890" s="9">
        <f>IFERROR(__xludf.DUMMYFUNCTION("""COMPUTED_VALUE"""),501.05)</f>
        <v>501.05</v>
      </c>
      <c r="X890" s="11">
        <f>IFERROR(__xludf.DUMMYFUNCTION("""COMPUTED_VALUE"""),44340.66666666667)</f>
        <v>44340.66667</v>
      </c>
      <c r="Y890" s="9">
        <f>IFERROR(__xludf.DUMMYFUNCTION("""COMPUTED_VALUE"""),502.9)</f>
        <v>502.9</v>
      </c>
      <c r="AA890" s="11">
        <f>IFERROR(__xludf.DUMMYFUNCTION("""COMPUTED_VALUE"""),44340.66666666667)</f>
        <v>44340.66667</v>
      </c>
      <c r="AB890" s="9">
        <f>IFERROR(__xludf.DUMMYFUNCTION("""COMPUTED_VALUE"""),3215.5)</f>
        <v>3215.5</v>
      </c>
      <c r="AC890" s="11">
        <f>IFERROR(__xludf.DUMMYFUNCTION("""COMPUTED_VALUE"""),44340.66666666667)</f>
        <v>44340.66667</v>
      </c>
      <c r="AD890" s="9">
        <f>IFERROR(__xludf.DUMMYFUNCTION("""COMPUTED_VALUE"""),3244.99)</f>
        <v>3244.99</v>
      </c>
    </row>
    <row r="891">
      <c r="B891" s="11">
        <f>IFERROR(__xludf.DUMMYFUNCTION("""COMPUTED_VALUE"""),44341.66666666667)</f>
        <v>44341.66667</v>
      </c>
      <c r="C891" s="9">
        <f>IFERROR(__xludf.DUMMYFUNCTION("""COMPUTED_VALUE"""),607.31)</f>
        <v>607.31</v>
      </c>
      <c r="D891" s="11">
        <f>IFERROR(__xludf.DUMMYFUNCTION("""COMPUTED_VALUE"""),44341.66666666667)</f>
        <v>44341.66667</v>
      </c>
      <c r="E891" s="9">
        <f>IFERROR(__xludf.DUMMYFUNCTION("""COMPUTED_VALUE"""),604.69)</f>
        <v>604.69</v>
      </c>
      <c r="G891" s="11">
        <f>IFERROR(__xludf.DUMMYFUNCTION("""COMPUTED_VALUE"""),44341.66666666667)</f>
        <v>44341.66667</v>
      </c>
      <c r="H891" s="9">
        <f>IFERROR(__xludf.DUMMYFUNCTION("""COMPUTED_VALUE"""),2420.0)</f>
        <v>2420</v>
      </c>
      <c r="I891" s="11">
        <f>IFERROR(__xludf.DUMMYFUNCTION("""COMPUTED_VALUE"""),44341.66666666667)</f>
        <v>44341.66667</v>
      </c>
      <c r="J891" s="9">
        <f>IFERROR(__xludf.DUMMYFUNCTION("""COMPUTED_VALUE"""),2409.07)</f>
        <v>2409.07</v>
      </c>
      <c r="L891" s="11">
        <f>IFERROR(__xludf.DUMMYFUNCTION("""COMPUTED_VALUE"""),44341.66666666667)</f>
        <v>44341.66667</v>
      </c>
      <c r="M891" s="9">
        <f>IFERROR(__xludf.DUMMYFUNCTION("""COMPUTED_VALUE"""),127.82)</f>
        <v>127.82</v>
      </c>
      <c r="N891" s="11">
        <f>IFERROR(__xludf.DUMMYFUNCTION("""COMPUTED_VALUE"""),44341.66666666667)</f>
        <v>44341.66667</v>
      </c>
      <c r="O891" s="9">
        <f>IFERROR(__xludf.DUMMYFUNCTION("""COMPUTED_VALUE"""),126.9)</f>
        <v>126.9</v>
      </c>
      <c r="Q891" s="11">
        <f>IFERROR(__xludf.DUMMYFUNCTION("""COMPUTED_VALUE"""),44341.66666666667)</f>
        <v>44341.66667</v>
      </c>
      <c r="R891" s="9">
        <f>IFERROR(__xludf.DUMMYFUNCTION("""COMPUTED_VALUE"""),327.08)</f>
        <v>327.08</v>
      </c>
      <c r="S891" s="11">
        <f>IFERROR(__xludf.DUMMYFUNCTION("""COMPUTED_VALUE"""),44341.66666666667)</f>
        <v>44341.66667</v>
      </c>
      <c r="T891" s="9">
        <f>IFERROR(__xludf.DUMMYFUNCTION("""COMPUTED_VALUE"""),327.79)</f>
        <v>327.79</v>
      </c>
      <c r="V891" s="11">
        <f>IFERROR(__xludf.DUMMYFUNCTION("""COMPUTED_VALUE"""),44341.66666666667)</f>
        <v>44341.66667</v>
      </c>
      <c r="W891" s="9">
        <f>IFERROR(__xludf.DUMMYFUNCTION("""COMPUTED_VALUE"""),506.0)</f>
        <v>506</v>
      </c>
      <c r="X891" s="11">
        <f>IFERROR(__xludf.DUMMYFUNCTION("""COMPUTED_VALUE"""),44341.66666666667)</f>
        <v>44341.66667</v>
      </c>
      <c r="Y891" s="9">
        <f>IFERROR(__xludf.DUMMYFUNCTION("""COMPUTED_VALUE"""),501.34)</f>
        <v>501.34</v>
      </c>
      <c r="AA891" s="11">
        <f>IFERROR(__xludf.DUMMYFUNCTION("""COMPUTED_VALUE"""),44341.66666666667)</f>
        <v>44341.66667</v>
      </c>
      <c r="AB891" s="9">
        <f>IFERROR(__xludf.DUMMYFUNCTION("""COMPUTED_VALUE"""),3266.67)</f>
        <v>3266.67</v>
      </c>
      <c r="AC891" s="11">
        <f>IFERROR(__xludf.DUMMYFUNCTION("""COMPUTED_VALUE"""),44341.66666666667)</f>
        <v>44341.66667</v>
      </c>
      <c r="AD891" s="9">
        <f>IFERROR(__xludf.DUMMYFUNCTION("""COMPUTED_VALUE"""),3259.05)</f>
        <v>3259.05</v>
      </c>
    </row>
    <row r="892">
      <c r="B892" s="11">
        <f>IFERROR(__xludf.DUMMYFUNCTION("""COMPUTED_VALUE"""),44342.66666666667)</f>
        <v>44342.66667</v>
      </c>
      <c r="C892" s="9">
        <f>IFERROR(__xludf.DUMMYFUNCTION("""COMPUTED_VALUE"""),607.56)</f>
        <v>607.56</v>
      </c>
      <c r="D892" s="11">
        <f>IFERROR(__xludf.DUMMYFUNCTION("""COMPUTED_VALUE"""),44342.66666666667)</f>
        <v>44342.66667</v>
      </c>
      <c r="E892" s="9">
        <f>IFERROR(__xludf.DUMMYFUNCTION("""COMPUTED_VALUE"""),619.13)</f>
        <v>619.13</v>
      </c>
      <c r="G892" s="11">
        <f>IFERROR(__xludf.DUMMYFUNCTION("""COMPUTED_VALUE"""),44342.66666666667)</f>
        <v>44342.66667</v>
      </c>
      <c r="H892" s="9">
        <f>IFERROR(__xludf.DUMMYFUNCTION("""COMPUTED_VALUE"""),2412.84)</f>
        <v>2412.84</v>
      </c>
      <c r="I892" s="11">
        <f>IFERROR(__xludf.DUMMYFUNCTION("""COMPUTED_VALUE"""),44342.66666666667)</f>
        <v>44342.66667</v>
      </c>
      <c r="J892" s="9">
        <f>IFERROR(__xludf.DUMMYFUNCTION("""COMPUTED_VALUE"""),2433.53)</f>
        <v>2433.53</v>
      </c>
      <c r="L892" s="11">
        <f>IFERROR(__xludf.DUMMYFUNCTION("""COMPUTED_VALUE"""),44342.66666666667)</f>
        <v>44342.66667</v>
      </c>
      <c r="M892" s="9">
        <f>IFERROR(__xludf.DUMMYFUNCTION("""COMPUTED_VALUE"""),126.96)</f>
        <v>126.96</v>
      </c>
      <c r="N892" s="11">
        <f>IFERROR(__xludf.DUMMYFUNCTION("""COMPUTED_VALUE"""),44342.66666666667)</f>
        <v>44342.66667</v>
      </c>
      <c r="O892" s="9">
        <f>IFERROR(__xludf.DUMMYFUNCTION("""COMPUTED_VALUE"""),126.85)</f>
        <v>126.85</v>
      </c>
      <c r="Q892" s="11">
        <f>IFERROR(__xludf.DUMMYFUNCTION("""COMPUTED_VALUE"""),44342.66666666667)</f>
        <v>44342.66667</v>
      </c>
      <c r="R892" s="9">
        <f>IFERROR(__xludf.DUMMYFUNCTION("""COMPUTED_VALUE"""),328.35)</f>
        <v>328.35</v>
      </c>
      <c r="S892" s="11">
        <f>IFERROR(__xludf.DUMMYFUNCTION("""COMPUTED_VALUE"""),44342.66666666667)</f>
        <v>44342.66667</v>
      </c>
      <c r="T892" s="9">
        <f>IFERROR(__xludf.DUMMYFUNCTION("""COMPUTED_VALUE"""),327.66)</f>
        <v>327.66</v>
      </c>
      <c r="V892" s="11">
        <f>IFERROR(__xludf.DUMMYFUNCTION("""COMPUTED_VALUE"""),44342.66666666667)</f>
        <v>44342.66667</v>
      </c>
      <c r="W892" s="9">
        <f>IFERROR(__xludf.DUMMYFUNCTION("""COMPUTED_VALUE"""),502.34)</f>
        <v>502.34</v>
      </c>
      <c r="X892" s="11">
        <f>IFERROR(__xludf.DUMMYFUNCTION("""COMPUTED_VALUE"""),44342.66666666667)</f>
        <v>44342.66667</v>
      </c>
      <c r="Y892" s="9">
        <f>IFERROR(__xludf.DUMMYFUNCTION("""COMPUTED_VALUE"""),502.36)</f>
        <v>502.36</v>
      </c>
      <c r="AA892" s="11">
        <f>IFERROR(__xludf.DUMMYFUNCTION("""COMPUTED_VALUE"""),44342.66666666667)</f>
        <v>44342.66667</v>
      </c>
      <c r="AB892" s="9">
        <f>IFERROR(__xludf.DUMMYFUNCTION("""COMPUTED_VALUE"""),3274.59)</f>
        <v>3274.59</v>
      </c>
      <c r="AC892" s="11">
        <f>IFERROR(__xludf.DUMMYFUNCTION("""COMPUTED_VALUE"""),44342.66666666667)</f>
        <v>44342.66667</v>
      </c>
      <c r="AD892" s="9">
        <f>IFERROR(__xludf.DUMMYFUNCTION("""COMPUTED_VALUE"""),3265.16)</f>
        <v>3265.16</v>
      </c>
    </row>
    <row r="893">
      <c r="B893" s="11">
        <f>IFERROR(__xludf.DUMMYFUNCTION("""COMPUTED_VALUE"""),44343.66666666667)</f>
        <v>44343.66667</v>
      </c>
      <c r="C893" s="9">
        <f>IFERROR(__xludf.DUMMYFUNCTION("""COMPUTED_VALUE"""),620.24)</f>
        <v>620.24</v>
      </c>
      <c r="D893" s="11">
        <f>IFERROR(__xludf.DUMMYFUNCTION("""COMPUTED_VALUE"""),44343.66666666667)</f>
        <v>44343.66667</v>
      </c>
      <c r="E893" s="9">
        <f>IFERROR(__xludf.DUMMYFUNCTION("""COMPUTED_VALUE"""),630.85)</f>
        <v>630.85</v>
      </c>
      <c r="G893" s="11">
        <f>IFERROR(__xludf.DUMMYFUNCTION("""COMPUTED_VALUE"""),44343.66666666667)</f>
        <v>44343.66667</v>
      </c>
      <c r="H893" s="9">
        <f>IFERROR(__xludf.DUMMYFUNCTION("""COMPUTED_VALUE"""),2436.94)</f>
        <v>2436.94</v>
      </c>
      <c r="I893" s="11">
        <f>IFERROR(__xludf.DUMMYFUNCTION("""COMPUTED_VALUE"""),44343.66666666667)</f>
        <v>44343.66667</v>
      </c>
      <c r="J893" s="9">
        <f>IFERROR(__xludf.DUMMYFUNCTION("""COMPUTED_VALUE"""),2402.51)</f>
        <v>2402.51</v>
      </c>
      <c r="L893" s="11">
        <f>IFERROR(__xludf.DUMMYFUNCTION("""COMPUTED_VALUE"""),44343.66666666667)</f>
        <v>44343.66667</v>
      </c>
      <c r="M893" s="9">
        <f>IFERROR(__xludf.DUMMYFUNCTION("""COMPUTED_VALUE"""),126.44)</f>
        <v>126.44</v>
      </c>
      <c r="N893" s="11">
        <f>IFERROR(__xludf.DUMMYFUNCTION("""COMPUTED_VALUE"""),44343.66666666667)</f>
        <v>44343.66667</v>
      </c>
      <c r="O893" s="9">
        <f>IFERROR(__xludf.DUMMYFUNCTION("""COMPUTED_VALUE"""),125.28)</f>
        <v>125.28</v>
      </c>
      <c r="Q893" s="11">
        <f>IFERROR(__xludf.DUMMYFUNCTION("""COMPUTED_VALUE"""),44343.66666666667)</f>
        <v>44343.66667</v>
      </c>
      <c r="R893" s="9">
        <f>IFERROR(__xludf.DUMMYFUNCTION("""COMPUTED_VALUE"""),328.0)</f>
        <v>328</v>
      </c>
      <c r="S893" s="11">
        <f>IFERROR(__xludf.DUMMYFUNCTION("""COMPUTED_VALUE"""),44343.66666666667)</f>
        <v>44343.66667</v>
      </c>
      <c r="T893" s="9">
        <f>IFERROR(__xludf.DUMMYFUNCTION("""COMPUTED_VALUE"""),332.75)</f>
        <v>332.75</v>
      </c>
      <c r="V893" s="11">
        <f>IFERROR(__xludf.DUMMYFUNCTION("""COMPUTED_VALUE"""),44343.66666666667)</f>
        <v>44343.66667</v>
      </c>
      <c r="W893" s="9">
        <f>IFERROR(__xludf.DUMMYFUNCTION("""COMPUTED_VALUE"""),501.8)</f>
        <v>501.8</v>
      </c>
      <c r="X893" s="11">
        <f>IFERROR(__xludf.DUMMYFUNCTION("""COMPUTED_VALUE"""),44343.66666666667)</f>
        <v>44343.66667</v>
      </c>
      <c r="Y893" s="9">
        <f>IFERROR(__xludf.DUMMYFUNCTION("""COMPUTED_VALUE"""),503.86)</f>
        <v>503.86</v>
      </c>
      <c r="AA893" s="11">
        <f>IFERROR(__xludf.DUMMYFUNCTION("""COMPUTED_VALUE"""),44343.66666666667)</f>
        <v>44343.66667</v>
      </c>
      <c r="AB893" s="9">
        <f>IFERROR(__xludf.DUMMYFUNCTION("""COMPUTED_VALUE"""),3256.0)</f>
        <v>3256</v>
      </c>
      <c r="AC893" s="11">
        <f>IFERROR(__xludf.DUMMYFUNCTION("""COMPUTED_VALUE"""),44343.66666666667)</f>
        <v>44343.66667</v>
      </c>
      <c r="AD893" s="9">
        <f>IFERROR(__xludf.DUMMYFUNCTION("""COMPUTED_VALUE"""),3230.11)</f>
        <v>3230.11</v>
      </c>
    </row>
    <row r="894">
      <c r="B894" s="11">
        <f>IFERROR(__xludf.DUMMYFUNCTION("""COMPUTED_VALUE"""),44344.66666666667)</f>
        <v>44344.66667</v>
      </c>
      <c r="C894" s="9">
        <f>IFERROR(__xludf.DUMMYFUNCTION("""COMPUTED_VALUE"""),628.5)</f>
        <v>628.5</v>
      </c>
      <c r="D894" s="11">
        <f>IFERROR(__xludf.DUMMYFUNCTION("""COMPUTED_VALUE"""),44344.66666666667)</f>
        <v>44344.66667</v>
      </c>
      <c r="E894" s="9">
        <f>IFERROR(__xludf.DUMMYFUNCTION("""COMPUTED_VALUE"""),625.22)</f>
        <v>625.22</v>
      </c>
      <c r="G894" s="11">
        <f>IFERROR(__xludf.DUMMYFUNCTION("""COMPUTED_VALUE"""),44344.66666666667)</f>
        <v>44344.66667</v>
      </c>
      <c r="H894" s="9">
        <f>IFERROR(__xludf.DUMMYFUNCTION("""COMPUTED_VALUE"""),2421.96)</f>
        <v>2421.96</v>
      </c>
      <c r="I894" s="11">
        <f>IFERROR(__xludf.DUMMYFUNCTION("""COMPUTED_VALUE"""),44344.66666666667)</f>
        <v>44344.66667</v>
      </c>
      <c r="J894" s="9">
        <f>IFERROR(__xludf.DUMMYFUNCTION("""COMPUTED_VALUE"""),2411.56)</f>
        <v>2411.56</v>
      </c>
      <c r="L894" s="11">
        <f>IFERROR(__xludf.DUMMYFUNCTION("""COMPUTED_VALUE"""),44344.66666666667)</f>
        <v>44344.66667</v>
      </c>
      <c r="M894" s="9">
        <f>IFERROR(__xludf.DUMMYFUNCTION("""COMPUTED_VALUE"""),125.57)</f>
        <v>125.57</v>
      </c>
      <c r="N894" s="11">
        <f>IFERROR(__xludf.DUMMYFUNCTION("""COMPUTED_VALUE"""),44344.66666666667)</f>
        <v>44344.66667</v>
      </c>
      <c r="O894" s="9">
        <f>IFERROR(__xludf.DUMMYFUNCTION("""COMPUTED_VALUE"""),124.61)</f>
        <v>124.61</v>
      </c>
      <c r="Q894" s="11">
        <f>IFERROR(__xludf.DUMMYFUNCTION("""COMPUTED_VALUE"""),44344.66666666667)</f>
        <v>44344.66667</v>
      </c>
      <c r="R894" s="9">
        <f>IFERROR(__xludf.DUMMYFUNCTION("""COMPUTED_VALUE"""),331.0)</f>
        <v>331</v>
      </c>
      <c r="S894" s="11">
        <f>IFERROR(__xludf.DUMMYFUNCTION("""COMPUTED_VALUE"""),44344.66666666667)</f>
        <v>44344.66667</v>
      </c>
      <c r="T894" s="9">
        <f>IFERROR(__xludf.DUMMYFUNCTION("""COMPUTED_VALUE"""),328.73)</f>
        <v>328.73</v>
      </c>
      <c r="V894" s="11">
        <f>IFERROR(__xludf.DUMMYFUNCTION("""COMPUTED_VALUE"""),44344.66666666667)</f>
        <v>44344.66667</v>
      </c>
      <c r="W894" s="9">
        <f>IFERROR(__xludf.DUMMYFUNCTION("""COMPUTED_VALUE"""),504.4)</f>
        <v>504.4</v>
      </c>
      <c r="X894" s="11">
        <f>IFERROR(__xludf.DUMMYFUNCTION("""COMPUTED_VALUE"""),44344.66666666667)</f>
        <v>44344.66667</v>
      </c>
      <c r="Y894" s="9">
        <f>IFERROR(__xludf.DUMMYFUNCTION("""COMPUTED_VALUE"""),502.81)</f>
        <v>502.81</v>
      </c>
      <c r="AA894" s="11">
        <f>IFERROR(__xludf.DUMMYFUNCTION("""COMPUTED_VALUE"""),44344.66666666667)</f>
        <v>44344.66667</v>
      </c>
      <c r="AB894" s="9">
        <f>IFERROR(__xludf.DUMMYFUNCTION("""COMPUTED_VALUE"""),3242.0)</f>
        <v>3242</v>
      </c>
      <c r="AC894" s="11">
        <f>IFERROR(__xludf.DUMMYFUNCTION("""COMPUTED_VALUE"""),44344.66666666667)</f>
        <v>44344.66667</v>
      </c>
      <c r="AD894" s="9">
        <f>IFERROR(__xludf.DUMMYFUNCTION("""COMPUTED_VALUE"""),3223.07)</f>
        <v>3223.07</v>
      </c>
    </row>
    <row r="895">
      <c r="B895" s="11">
        <f>IFERROR(__xludf.DUMMYFUNCTION("""COMPUTED_VALUE"""),44348.66666666667)</f>
        <v>44348.66667</v>
      </c>
      <c r="C895" s="9">
        <f>IFERROR(__xludf.DUMMYFUNCTION("""COMPUTED_VALUE"""),627.8)</f>
        <v>627.8</v>
      </c>
      <c r="D895" s="11">
        <f>IFERROR(__xludf.DUMMYFUNCTION("""COMPUTED_VALUE"""),44348.66666666667)</f>
        <v>44348.66667</v>
      </c>
      <c r="E895" s="9">
        <f>IFERROR(__xludf.DUMMYFUNCTION("""COMPUTED_VALUE"""),623.9)</f>
        <v>623.9</v>
      </c>
      <c r="G895" s="11">
        <f>IFERROR(__xludf.DUMMYFUNCTION("""COMPUTED_VALUE"""),44348.66666666667)</f>
        <v>44348.66667</v>
      </c>
      <c r="H895" s="9">
        <f>IFERROR(__xludf.DUMMYFUNCTION("""COMPUTED_VALUE"""),2422.0)</f>
        <v>2422</v>
      </c>
      <c r="I895" s="11">
        <f>IFERROR(__xludf.DUMMYFUNCTION("""COMPUTED_VALUE"""),44348.66666666667)</f>
        <v>44348.66667</v>
      </c>
      <c r="J895" s="9">
        <f>IFERROR(__xludf.DUMMYFUNCTION("""COMPUTED_VALUE"""),2429.81)</f>
        <v>2429.81</v>
      </c>
      <c r="L895" s="11">
        <f>IFERROR(__xludf.DUMMYFUNCTION("""COMPUTED_VALUE"""),44348.66666666667)</f>
        <v>44348.66667</v>
      </c>
      <c r="M895" s="9">
        <f>IFERROR(__xludf.DUMMYFUNCTION("""COMPUTED_VALUE"""),125.08)</f>
        <v>125.08</v>
      </c>
      <c r="N895" s="11">
        <f>IFERROR(__xludf.DUMMYFUNCTION("""COMPUTED_VALUE"""),44348.66666666667)</f>
        <v>44348.66667</v>
      </c>
      <c r="O895" s="9">
        <f>IFERROR(__xludf.DUMMYFUNCTION("""COMPUTED_VALUE"""),124.28)</f>
        <v>124.28</v>
      </c>
      <c r="Q895" s="11">
        <f>IFERROR(__xludf.DUMMYFUNCTION("""COMPUTED_VALUE"""),44348.66666666667)</f>
        <v>44348.66667</v>
      </c>
      <c r="R895" s="9">
        <f>IFERROR(__xludf.DUMMYFUNCTION("""COMPUTED_VALUE"""),330.15)</f>
        <v>330.15</v>
      </c>
      <c r="S895" s="11">
        <f>IFERROR(__xludf.DUMMYFUNCTION("""COMPUTED_VALUE"""),44348.66666666667)</f>
        <v>44348.66667</v>
      </c>
      <c r="T895" s="9">
        <f>IFERROR(__xludf.DUMMYFUNCTION("""COMPUTED_VALUE"""),329.13)</f>
        <v>329.13</v>
      </c>
      <c r="V895" s="11">
        <f>IFERROR(__xludf.DUMMYFUNCTION("""COMPUTED_VALUE"""),44348.66666666667)</f>
        <v>44348.66667</v>
      </c>
      <c r="W895" s="9">
        <f>IFERROR(__xludf.DUMMYFUNCTION("""COMPUTED_VALUE"""),504.01)</f>
        <v>504.01</v>
      </c>
      <c r="X895" s="11">
        <f>IFERROR(__xludf.DUMMYFUNCTION("""COMPUTED_VALUE"""),44348.66666666667)</f>
        <v>44348.66667</v>
      </c>
      <c r="Y895" s="9">
        <f>IFERROR(__xludf.DUMMYFUNCTION("""COMPUTED_VALUE"""),499.08)</f>
        <v>499.08</v>
      </c>
      <c r="AA895" s="11">
        <f>IFERROR(__xludf.DUMMYFUNCTION("""COMPUTED_VALUE"""),44348.66666666667)</f>
        <v>44348.66667</v>
      </c>
      <c r="AB895" s="9">
        <f>IFERROR(__xludf.DUMMYFUNCTION("""COMPUTED_VALUE"""),3243.5)</f>
        <v>3243.5</v>
      </c>
      <c r="AC895" s="11">
        <f>IFERROR(__xludf.DUMMYFUNCTION("""COMPUTED_VALUE"""),44348.66666666667)</f>
        <v>44348.66667</v>
      </c>
      <c r="AD895" s="9">
        <f>IFERROR(__xludf.DUMMYFUNCTION("""COMPUTED_VALUE"""),3218.65)</f>
        <v>3218.65</v>
      </c>
    </row>
    <row r="896">
      <c r="B896" s="11">
        <f>IFERROR(__xludf.DUMMYFUNCTION("""COMPUTED_VALUE"""),44349.66666666667)</f>
        <v>44349.66667</v>
      </c>
      <c r="C896" s="9">
        <f>IFERROR(__xludf.DUMMYFUNCTION("""COMPUTED_VALUE"""),620.13)</f>
        <v>620.13</v>
      </c>
      <c r="D896" s="11">
        <f>IFERROR(__xludf.DUMMYFUNCTION("""COMPUTED_VALUE"""),44349.66666666667)</f>
        <v>44349.66667</v>
      </c>
      <c r="E896" s="9">
        <f>IFERROR(__xludf.DUMMYFUNCTION("""COMPUTED_VALUE"""),605.12)</f>
        <v>605.12</v>
      </c>
      <c r="G896" s="11">
        <f>IFERROR(__xludf.DUMMYFUNCTION("""COMPUTED_VALUE"""),44349.66666666667)</f>
        <v>44349.66667</v>
      </c>
      <c r="H896" s="9">
        <f>IFERROR(__xludf.DUMMYFUNCTION("""COMPUTED_VALUE"""),2435.31)</f>
        <v>2435.31</v>
      </c>
      <c r="I896" s="11">
        <f>IFERROR(__xludf.DUMMYFUNCTION("""COMPUTED_VALUE"""),44349.66666666667)</f>
        <v>44349.66667</v>
      </c>
      <c r="J896" s="9">
        <f>IFERROR(__xludf.DUMMYFUNCTION("""COMPUTED_VALUE"""),2421.28)</f>
        <v>2421.28</v>
      </c>
      <c r="L896" s="11">
        <f>IFERROR(__xludf.DUMMYFUNCTION("""COMPUTED_VALUE"""),44349.66666666667)</f>
        <v>44349.66667</v>
      </c>
      <c r="M896" s="9">
        <f>IFERROR(__xludf.DUMMYFUNCTION("""COMPUTED_VALUE"""),124.28)</f>
        <v>124.28</v>
      </c>
      <c r="N896" s="11">
        <f>IFERROR(__xludf.DUMMYFUNCTION("""COMPUTED_VALUE"""),44349.66666666667)</f>
        <v>44349.66667</v>
      </c>
      <c r="O896" s="9">
        <f>IFERROR(__xludf.DUMMYFUNCTION("""COMPUTED_VALUE"""),125.06)</f>
        <v>125.06</v>
      </c>
      <c r="Q896" s="11">
        <f>IFERROR(__xludf.DUMMYFUNCTION("""COMPUTED_VALUE"""),44349.66666666667)</f>
        <v>44349.66667</v>
      </c>
      <c r="R896" s="9">
        <f>IFERROR(__xludf.DUMMYFUNCTION("""COMPUTED_VALUE"""),330.38)</f>
        <v>330.38</v>
      </c>
      <c r="S896" s="11">
        <f>IFERROR(__xludf.DUMMYFUNCTION("""COMPUTED_VALUE"""),44349.66666666667)</f>
        <v>44349.66667</v>
      </c>
      <c r="T896" s="9">
        <f>IFERROR(__xludf.DUMMYFUNCTION("""COMPUTED_VALUE"""),329.15)</f>
        <v>329.15</v>
      </c>
      <c r="V896" s="11">
        <f>IFERROR(__xludf.DUMMYFUNCTION("""COMPUTED_VALUE"""),44349.66666666667)</f>
        <v>44349.66667</v>
      </c>
      <c r="W896" s="9">
        <f>IFERROR(__xludf.DUMMYFUNCTION("""COMPUTED_VALUE"""),499.82)</f>
        <v>499.82</v>
      </c>
      <c r="X896" s="11">
        <f>IFERROR(__xludf.DUMMYFUNCTION("""COMPUTED_VALUE"""),44349.66666666667)</f>
        <v>44349.66667</v>
      </c>
      <c r="Y896" s="9">
        <f>IFERROR(__xludf.DUMMYFUNCTION("""COMPUTED_VALUE"""),499.24)</f>
        <v>499.24</v>
      </c>
      <c r="AA896" s="11">
        <f>IFERROR(__xludf.DUMMYFUNCTION("""COMPUTED_VALUE"""),44349.66666666667)</f>
        <v>44349.66667</v>
      </c>
      <c r="AB896" s="9">
        <f>IFERROR(__xludf.DUMMYFUNCTION("""COMPUTED_VALUE"""),3223.1)</f>
        <v>3223.1</v>
      </c>
      <c r="AC896" s="11">
        <f>IFERROR(__xludf.DUMMYFUNCTION("""COMPUTED_VALUE"""),44349.66666666667)</f>
        <v>44349.66667</v>
      </c>
      <c r="AD896" s="9">
        <f>IFERROR(__xludf.DUMMYFUNCTION("""COMPUTED_VALUE"""),3233.99)</f>
        <v>3233.99</v>
      </c>
    </row>
    <row r="897">
      <c r="B897" s="11">
        <f>IFERROR(__xludf.DUMMYFUNCTION("""COMPUTED_VALUE"""),44350.66666666667)</f>
        <v>44350.66667</v>
      </c>
      <c r="C897" s="9">
        <f>IFERROR(__xludf.DUMMYFUNCTION("""COMPUTED_VALUE"""),601.8)</f>
        <v>601.8</v>
      </c>
      <c r="D897" s="11">
        <f>IFERROR(__xludf.DUMMYFUNCTION("""COMPUTED_VALUE"""),44350.66666666667)</f>
        <v>44350.66667</v>
      </c>
      <c r="E897" s="9">
        <f>IFERROR(__xludf.DUMMYFUNCTION("""COMPUTED_VALUE"""),572.84)</f>
        <v>572.84</v>
      </c>
      <c r="G897" s="11">
        <f>IFERROR(__xludf.DUMMYFUNCTION("""COMPUTED_VALUE"""),44350.66666666667)</f>
        <v>44350.66667</v>
      </c>
      <c r="H897" s="9">
        <f>IFERROR(__xludf.DUMMYFUNCTION("""COMPUTED_VALUE"""),2395.02)</f>
        <v>2395.02</v>
      </c>
      <c r="I897" s="11">
        <f>IFERROR(__xludf.DUMMYFUNCTION("""COMPUTED_VALUE"""),44350.66666666667)</f>
        <v>44350.66667</v>
      </c>
      <c r="J897" s="9">
        <f>IFERROR(__xludf.DUMMYFUNCTION("""COMPUTED_VALUE"""),2404.61)</f>
        <v>2404.61</v>
      </c>
      <c r="L897" s="11">
        <f>IFERROR(__xludf.DUMMYFUNCTION("""COMPUTED_VALUE"""),44350.66666666667)</f>
        <v>44350.66667</v>
      </c>
      <c r="M897" s="9">
        <f>IFERROR(__xludf.DUMMYFUNCTION("""COMPUTED_VALUE"""),124.68)</f>
        <v>124.68</v>
      </c>
      <c r="N897" s="11">
        <f>IFERROR(__xludf.DUMMYFUNCTION("""COMPUTED_VALUE"""),44350.66666666667)</f>
        <v>44350.66667</v>
      </c>
      <c r="O897" s="9">
        <f>IFERROR(__xludf.DUMMYFUNCTION("""COMPUTED_VALUE"""),123.54)</f>
        <v>123.54</v>
      </c>
      <c r="Q897" s="11">
        <f>IFERROR(__xludf.DUMMYFUNCTION("""COMPUTED_VALUE"""),44350.66666666667)</f>
        <v>44350.66667</v>
      </c>
      <c r="R897" s="9">
        <f>IFERROR(__xludf.DUMMYFUNCTION("""COMPUTED_VALUE"""),325.78)</f>
        <v>325.78</v>
      </c>
      <c r="S897" s="11">
        <f>IFERROR(__xludf.DUMMYFUNCTION("""COMPUTED_VALUE"""),44350.66666666667)</f>
        <v>44350.66667</v>
      </c>
      <c r="T897" s="9">
        <f>IFERROR(__xludf.DUMMYFUNCTION("""COMPUTED_VALUE"""),326.04)</f>
        <v>326.04</v>
      </c>
      <c r="V897" s="11">
        <f>IFERROR(__xludf.DUMMYFUNCTION("""COMPUTED_VALUE"""),44350.66666666667)</f>
        <v>44350.66667</v>
      </c>
      <c r="W897" s="9">
        <f>IFERROR(__xludf.DUMMYFUNCTION("""COMPUTED_VALUE"""),495.19)</f>
        <v>495.19</v>
      </c>
      <c r="X897" s="11">
        <f>IFERROR(__xludf.DUMMYFUNCTION("""COMPUTED_VALUE"""),44350.66666666667)</f>
        <v>44350.66667</v>
      </c>
      <c r="Y897" s="9">
        <f>IFERROR(__xludf.DUMMYFUNCTION("""COMPUTED_VALUE"""),489.43)</f>
        <v>489.43</v>
      </c>
      <c r="AA897" s="11">
        <f>IFERROR(__xludf.DUMMYFUNCTION("""COMPUTED_VALUE"""),44350.66666666667)</f>
        <v>44350.66667</v>
      </c>
      <c r="AB897" s="9">
        <f>IFERROR(__xludf.DUMMYFUNCTION("""COMPUTED_VALUE"""),3204.23)</f>
        <v>3204.23</v>
      </c>
      <c r="AC897" s="11">
        <f>IFERROR(__xludf.DUMMYFUNCTION("""COMPUTED_VALUE"""),44350.66666666667)</f>
        <v>44350.66667</v>
      </c>
      <c r="AD897" s="9">
        <f>IFERROR(__xludf.DUMMYFUNCTION("""COMPUTED_VALUE"""),3187.01)</f>
        <v>3187.01</v>
      </c>
    </row>
    <row r="898">
      <c r="B898" s="11">
        <f>IFERROR(__xludf.DUMMYFUNCTION("""COMPUTED_VALUE"""),44351.66666666667)</f>
        <v>44351.66667</v>
      </c>
      <c r="C898" s="9">
        <f>IFERROR(__xludf.DUMMYFUNCTION("""COMPUTED_VALUE"""),579.71)</f>
        <v>579.71</v>
      </c>
      <c r="D898" s="11">
        <f>IFERROR(__xludf.DUMMYFUNCTION("""COMPUTED_VALUE"""),44351.66666666667)</f>
        <v>44351.66667</v>
      </c>
      <c r="E898" s="9">
        <f>IFERROR(__xludf.DUMMYFUNCTION("""COMPUTED_VALUE"""),599.05)</f>
        <v>599.05</v>
      </c>
      <c r="G898" s="11">
        <f>IFERROR(__xludf.DUMMYFUNCTION("""COMPUTED_VALUE"""),44351.66666666667)</f>
        <v>44351.66667</v>
      </c>
      <c r="H898" s="9">
        <f>IFERROR(__xludf.DUMMYFUNCTION("""COMPUTED_VALUE"""),2422.52)</f>
        <v>2422.52</v>
      </c>
      <c r="I898" s="11">
        <f>IFERROR(__xludf.DUMMYFUNCTION("""COMPUTED_VALUE"""),44351.66666666667)</f>
        <v>44351.66667</v>
      </c>
      <c r="J898" s="9">
        <f>IFERROR(__xludf.DUMMYFUNCTION("""COMPUTED_VALUE"""),2451.76)</f>
        <v>2451.76</v>
      </c>
      <c r="L898" s="11">
        <f>IFERROR(__xludf.DUMMYFUNCTION("""COMPUTED_VALUE"""),44351.66666666667)</f>
        <v>44351.66667</v>
      </c>
      <c r="M898" s="9">
        <f>IFERROR(__xludf.DUMMYFUNCTION("""COMPUTED_VALUE"""),124.07)</f>
        <v>124.07</v>
      </c>
      <c r="N898" s="11">
        <f>IFERROR(__xludf.DUMMYFUNCTION("""COMPUTED_VALUE"""),44351.66666666667)</f>
        <v>44351.66667</v>
      </c>
      <c r="O898" s="9">
        <f>IFERROR(__xludf.DUMMYFUNCTION("""COMPUTED_VALUE"""),125.89)</f>
        <v>125.89</v>
      </c>
      <c r="Q898" s="11">
        <f>IFERROR(__xludf.DUMMYFUNCTION("""COMPUTED_VALUE"""),44351.66666666667)</f>
        <v>44351.66667</v>
      </c>
      <c r="R898" s="9">
        <f>IFERROR(__xludf.DUMMYFUNCTION("""COMPUTED_VALUE"""),325.9)</f>
        <v>325.9</v>
      </c>
      <c r="S898" s="11">
        <f>IFERROR(__xludf.DUMMYFUNCTION("""COMPUTED_VALUE"""),44351.66666666667)</f>
        <v>44351.66667</v>
      </c>
      <c r="T898" s="9">
        <f>IFERROR(__xludf.DUMMYFUNCTION("""COMPUTED_VALUE"""),330.35)</f>
        <v>330.35</v>
      </c>
      <c r="V898" s="11">
        <f>IFERROR(__xludf.DUMMYFUNCTION("""COMPUTED_VALUE"""),44351.66666666667)</f>
        <v>44351.66667</v>
      </c>
      <c r="W898" s="9">
        <f>IFERROR(__xludf.DUMMYFUNCTION("""COMPUTED_VALUE"""),492.0)</f>
        <v>492</v>
      </c>
      <c r="X898" s="11">
        <f>IFERROR(__xludf.DUMMYFUNCTION("""COMPUTED_VALUE"""),44351.66666666667)</f>
        <v>44351.66667</v>
      </c>
      <c r="Y898" s="9">
        <f>IFERROR(__xludf.DUMMYFUNCTION("""COMPUTED_VALUE"""),494.74)</f>
        <v>494.74</v>
      </c>
      <c r="AA898" s="11">
        <f>IFERROR(__xludf.DUMMYFUNCTION("""COMPUTED_VALUE"""),44351.66666666667)</f>
        <v>44351.66667</v>
      </c>
      <c r="AB898" s="9">
        <f>IFERROR(__xludf.DUMMYFUNCTION("""COMPUTED_VALUE"""),3212.0)</f>
        <v>3212</v>
      </c>
      <c r="AC898" s="11">
        <f>IFERROR(__xludf.DUMMYFUNCTION("""COMPUTED_VALUE"""),44351.66666666667)</f>
        <v>44351.66667</v>
      </c>
      <c r="AD898" s="9">
        <f>IFERROR(__xludf.DUMMYFUNCTION("""COMPUTED_VALUE"""),3206.22)</f>
        <v>3206.22</v>
      </c>
    </row>
    <row r="899">
      <c r="B899" s="11">
        <f>IFERROR(__xludf.DUMMYFUNCTION("""COMPUTED_VALUE"""),44354.66666666667)</f>
        <v>44354.66667</v>
      </c>
      <c r="C899" s="9">
        <f>IFERROR(__xludf.DUMMYFUNCTION("""COMPUTED_VALUE"""),591.83)</f>
        <v>591.83</v>
      </c>
      <c r="D899" s="11">
        <f>IFERROR(__xludf.DUMMYFUNCTION("""COMPUTED_VALUE"""),44354.66666666667)</f>
        <v>44354.66667</v>
      </c>
      <c r="E899" s="9">
        <f>IFERROR(__xludf.DUMMYFUNCTION("""COMPUTED_VALUE"""),605.13)</f>
        <v>605.13</v>
      </c>
      <c r="G899" s="11">
        <f>IFERROR(__xludf.DUMMYFUNCTION("""COMPUTED_VALUE"""),44354.66666666667)</f>
        <v>44354.66667</v>
      </c>
      <c r="H899" s="9">
        <f>IFERROR(__xludf.DUMMYFUNCTION("""COMPUTED_VALUE"""),2451.32)</f>
        <v>2451.32</v>
      </c>
      <c r="I899" s="11">
        <f>IFERROR(__xludf.DUMMYFUNCTION("""COMPUTED_VALUE"""),44354.66666666667)</f>
        <v>44354.66667</v>
      </c>
      <c r="J899" s="9">
        <f>IFERROR(__xludf.DUMMYFUNCTION("""COMPUTED_VALUE"""),2466.09)</f>
        <v>2466.09</v>
      </c>
      <c r="L899" s="11">
        <f>IFERROR(__xludf.DUMMYFUNCTION("""COMPUTED_VALUE"""),44354.66666666667)</f>
        <v>44354.66667</v>
      </c>
      <c r="M899" s="9">
        <f>IFERROR(__xludf.DUMMYFUNCTION("""COMPUTED_VALUE"""),126.17)</f>
        <v>126.17</v>
      </c>
      <c r="N899" s="11">
        <f>IFERROR(__xludf.DUMMYFUNCTION("""COMPUTED_VALUE"""),44354.66666666667)</f>
        <v>44354.66667</v>
      </c>
      <c r="O899" s="9">
        <f>IFERROR(__xludf.DUMMYFUNCTION("""COMPUTED_VALUE"""),125.9)</f>
        <v>125.9</v>
      </c>
      <c r="Q899" s="11">
        <f>IFERROR(__xludf.DUMMYFUNCTION("""COMPUTED_VALUE"""),44354.66666666667)</f>
        <v>44354.66667</v>
      </c>
      <c r="R899" s="9">
        <f>IFERROR(__xludf.DUMMYFUNCTION("""COMPUTED_VALUE"""),329.48)</f>
        <v>329.48</v>
      </c>
      <c r="S899" s="11">
        <f>IFERROR(__xludf.DUMMYFUNCTION("""COMPUTED_VALUE"""),44354.66666666667)</f>
        <v>44354.66667</v>
      </c>
      <c r="T899" s="9">
        <f>IFERROR(__xludf.DUMMYFUNCTION("""COMPUTED_VALUE"""),336.58)</f>
        <v>336.58</v>
      </c>
      <c r="V899" s="11">
        <f>IFERROR(__xludf.DUMMYFUNCTION("""COMPUTED_VALUE"""),44354.66666666667)</f>
        <v>44354.66667</v>
      </c>
      <c r="W899" s="9">
        <f>IFERROR(__xludf.DUMMYFUNCTION("""COMPUTED_VALUE"""),492.92)</f>
        <v>492.92</v>
      </c>
      <c r="X899" s="11">
        <f>IFERROR(__xludf.DUMMYFUNCTION("""COMPUTED_VALUE"""),44354.66666666667)</f>
        <v>44354.66667</v>
      </c>
      <c r="Y899" s="9">
        <f>IFERROR(__xludf.DUMMYFUNCTION("""COMPUTED_VALUE"""),494.66)</f>
        <v>494.66</v>
      </c>
      <c r="AA899" s="11">
        <f>IFERROR(__xludf.DUMMYFUNCTION("""COMPUTED_VALUE"""),44354.66666666667)</f>
        <v>44354.66667</v>
      </c>
      <c r="AB899" s="9">
        <f>IFERROR(__xludf.DUMMYFUNCTION("""COMPUTED_VALUE"""),3197.33)</f>
        <v>3197.33</v>
      </c>
      <c r="AC899" s="11">
        <f>IFERROR(__xludf.DUMMYFUNCTION("""COMPUTED_VALUE"""),44354.66666666667)</f>
        <v>44354.66667</v>
      </c>
      <c r="AD899" s="9">
        <f>IFERROR(__xludf.DUMMYFUNCTION("""COMPUTED_VALUE"""),3198.01)</f>
        <v>3198.01</v>
      </c>
    </row>
    <row r="900">
      <c r="B900" s="11">
        <f>IFERROR(__xludf.DUMMYFUNCTION("""COMPUTED_VALUE"""),44355.66666666667)</f>
        <v>44355.66667</v>
      </c>
      <c r="C900" s="9">
        <f>IFERROR(__xludf.DUMMYFUNCTION("""COMPUTED_VALUE"""),623.01)</f>
        <v>623.01</v>
      </c>
      <c r="D900" s="11">
        <f>IFERROR(__xludf.DUMMYFUNCTION("""COMPUTED_VALUE"""),44355.66666666667)</f>
        <v>44355.66667</v>
      </c>
      <c r="E900" s="9">
        <f>IFERROR(__xludf.DUMMYFUNCTION("""COMPUTED_VALUE"""),603.59)</f>
        <v>603.59</v>
      </c>
      <c r="G900" s="11">
        <f>IFERROR(__xludf.DUMMYFUNCTION("""COMPUTED_VALUE"""),44355.66666666667)</f>
        <v>44355.66667</v>
      </c>
      <c r="H900" s="9">
        <f>IFERROR(__xludf.DUMMYFUNCTION("""COMPUTED_VALUE"""),2479.9)</f>
        <v>2479.9</v>
      </c>
      <c r="I900" s="11">
        <f>IFERROR(__xludf.DUMMYFUNCTION("""COMPUTED_VALUE"""),44355.66666666667)</f>
        <v>44355.66667</v>
      </c>
      <c r="J900" s="9">
        <f>IFERROR(__xludf.DUMMYFUNCTION("""COMPUTED_VALUE"""),2482.85)</f>
        <v>2482.85</v>
      </c>
      <c r="L900" s="11">
        <f>IFERROR(__xludf.DUMMYFUNCTION("""COMPUTED_VALUE"""),44355.66666666667)</f>
        <v>44355.66667</v>
      </c>
      <c r="M900" s="9">
        <f>IFERROR(__xludf.DUMMYFUNCTION("""COMPUTED_VALUE"""),126.6)</f>
        <v>126.6</v>
      </c>
      <c r="N900" s="11">
        <f>IFERROR(__xludf.DUMMYFUNCTION("""COMPUTED_VALUE"""),44355.66666666667)</f>
        <v>44355.66667</v>
      </c>
      <c r="O900" s="9">
        <f>IFERROR(__xludf.DUMMYFUNCTION("""COMPUTED_VALUE"""),126.74)</f>
        <v>126.74</v>
      </c>
      <c r="Q900" s="11">
        <f>IFERROR(__xludf.DUMMYFUNCTION("""COMPUTED_VALUE"""),44355.66666666667)</f>
        <v>44355.66667</v>
      </c>
      <c r="R900" s="9">
        <f>IFERROR(__xludf.DUMMYFUNCTION("""COMPUTED_VALUE"""),336.7)</f>
        <v>336.7</v>
      </c>
      <c r="S900" s="11">
        <f>IFERROR(__xludf.DUMMYFUNCTION("""COMPUTED_VALUE"""),44355.66666666667)</f>
        <v>44355.66667</v>
      </c>
      <c r="T900" s="9">
        <f>IFERROR(__xludf.DUMMYFUNCTION("""COMPUTED_VALUE"""),333.68)</f>
        <v>333.68</v>
      </c>
      <c r="V900" s="11">
        <f>IFERROR(__xludf.DUMMYFUNCTION("""COMPUTED_VALUE"""),44355.66666666667)</f>
        <v>44355.66667</v>
      </c>
      <c r="W900" s="9">
        <f>IFERROR(__xludf.DUMMYFUNCTION("""COMPUTED_VALUE"""),497.0)</f>
        <v>497</v>
      </c>
      <c r="X900" s="11">
        <f>IFERROR(__xludf.DUMMYFUNCTION("""COMPUTED_VALUE"""),44355.66666666667)</f>
        <v>44355.66667</v>
      </c>
      <c r="Y900" s="9">
        <f>IFERROR(__xludf.DUMMYFUNCTION("""COMPUTED_VALUE"""),492.39)</f>
        <v>492.39</v>
      </c>
      <c r="AA900" s="11">
        <f>IFERROR(__xludf.DUMMYFUNCTION("""COMPUTED_VALUE"""),44355.66666666667)</f>
        <v>44355.66667</v>
      </c>
      <c r="AB900" s="9">
        <f>IFERROR(__xludf.DUMMYFUNCTION("""COMPUTED_VALUE"""),3222.61)</f>
        <v>3222.61</v>
      </c>
      <c r="AC900" s="11">
        <f>IFERROR(__xludf.DUMMYFUNCTION("""COMPUTED_VALUE"""),44355.66666666667)</f>
        <v>44355.66667</v>
      </c>
      <c r="AD900" s="9">
        <f>IFERROR(__xludf.DUMMYFUNCTION("""COMPUTED_VALUE"""),3264.11)</f>
        <v>3264.11</v>
      </c>
    </row>
    <row r="901">
      <c r="B901" s="11">
        <f>IFERROR(__xludf.DUMMYFUNCTION("""COMPUTED_VALUE"""),44356.66666666667)</f>
        <v>44356.66667</v>
      </c>
      <c r="C901" s="9">
        <f>IFERROR(__xludf.DUMMYFUNCTION("""COMPUTED_VALUE"""),602.17)</f>
        <v>602.17</v>
      </c>
      <c r="D901" s="11">
        <f>IFERROR(__xludf.DUMMYFUNCTION("""COMPUTED_VALUE"""),44356.66666666667)</f>
        <v>44356.66667</v>
      </c>
      <c r="E901" s="9">
        <f>IFERROR(__xludf.DUMMYFUNCTION("""COMPUTED_VALUE"""),598.78)</f>
        <v>598.78</v>
      </c>
      <c r="G901" s="11">
        <f>IFERROR(__xludf.DUMMYFUNCTION("""COMPUTED_VALUE"""),44356.66666666667)</f>
        <v>44356.66667</v>
      </c>
      <c r="H901" s="9">
        <f>IFERROR(__xludf.DUMMYFUNCTION("""COMPUTED_VALUE"""),2499.5)</f>
        <v>2499.5</v>
      </c>
      <c r="I901" s="11">
        <f>IFERROR(__xludf.DUMMYFUNCTION("""COMPUTED_VALUE"""),44356.66666666667)</f>
        <v>44356.66667</v>
      </c>
      <c r="J901" s="9">
        <f>IFERROR(__xludf.DUMMYFUNCTION("""COMPUTED_VALUE"""),2491.4)</f>
        <v>2491.4</v>
      </c>
      <c r="L901" s="11">
        <f>IFERROR(__xludf.DUMMYFUNCTION("""COMPUTED_VALUE"""),44356.66666666667)</f>
        <v>44356.66667</v>
      </c>
      <c r="M901" s="9">
        <f>IFERROR(__xludf.DUMMYFUNCTION("""COMPUTED_VALUE"""),127.21)</f>
        <v>127.21</v>
      </c>
      <c r="N901" s="11">
        <f>IFERROR(__xludf.DUMMYFUNCTION("""COMPUTED_VALUE"""),44356.66666666667)</f>
        <v>44356.66667</v>
      </c>
      <c r="O901" s="9">
        <f>IFERROR(__xludf.DUMMYFUNCTION("""COMPUTED_VALUE"""),127.13)</f>
        <v>127.13</v>
      </c>
      <c r="Q901" s="11">
        <f>IFERROR(__xludf.DUMMYFUNCTION("""COMPUTED_VALUE"""),44356.66666666667)</f>
        <v>44356.66667</v>
      </c>
      <c r="R901" s="9">
        <f>IFERROR(__xludf.DUMMYFUNCTION("""COMPUTED_VALUE"""),335.74)</f>
        <v>335.74</v>
      </c>
      <c r="S901" s="11">
        <f>IFERROR(__xludf.DUMMYFUNCTION("""COMPUTED_VALUE"""),44356.66666666667)</f>
        <v>44356.66667</v>
      </c>
      <c r="T901" s="9">
        <f>IFERROR(__xludf.DUMMYFUNCTION("""COMPUTED_VALUE"""),330.25)</f>
        <v>330.25</v>
      </c>
      <c r="V901" s="11">
        <f>IFERROR(__xludf.DUMMYFUNCTION("""COMPUTED_VALUE"""),44356.66666666667)</f>
        <v>44356.66667</v>
      </c>
      <c r="W901" s="9">
        <f>IFERROR(__xludf.DUMMYFUNCTION("""COMPUTED_VALUE"""),494.5)</f>
        <v>494.5</v>
      </c>
      <c r="X901" s="11">
        <f>IFERROR(__xludf.DUMMYFUNCTION("""COMPUTED_VALUE"""),44356.66666666667)</f>
        <v>44356.66667</v>
      </c>
      <c r="Y901" s="9">
        <f>IFERROR(__xludf.DUMMYFUNCTION("""COMPUTED_VALUE"""),485.81)</f>
        <v>485.81</v>
      </c>
      <c r="AA901" s="11">
        <f>IFERROR(__xludf.DUMMYFUNCTION("""COMPUTED_VALUE"""),44356.66666666667)</f>
        <v>44356.66667</v>
      </c>
      <c r="AB901" s="9">
        <f>IFERROR(__xludf.DUMMYFUNCTION("""COMPUTED_VALUE"""),3272.87)</f>
        <v>3272.87</v>
      </c>
      <c r="AC901" s="11">
        <f>IFERROR(__xludf.DUMMYFUNCTION("""COMPUTED_VALUE"""),44356.66666666667)</f>
        <v>44356.66667</v>
      </c>
      <c r="AD901" s="9">
        <f>IFERROR(__xludf.DUMMYFUNCTION("""COMPUTED_VALUE"""),3281.15)</f>
        <v>3281.15</v>
      </c>
    </row>
    <row r="902">
      <c r="B902" s="11">
        <f>IFERROR(__xludf.DUMMYFUNCTION("""COMPUTED_VALUE"""),44357.66666666667)</f>
        <v>44357.66667</v>
      </c>
      <c r="C902" s="9">
        <f>IFERROR(__xludf.DUMMYFUNCTION("""COMPUTED_VALUE"""),603.88)</f>
        <v>603.88</v>
      </c>
      <c r="D902" s="11">
        <f>IFERROR(__xludf.DUMMYFUNCTION("""COMPUTED_VALUE"""),44357.66666666667)</f>
        <v>44357.66667</v>
      </c>
      <c r="E902" s="9">
        <f>IFERROR(__xludf.DUMMYFUNCTION("""COMPUTED_VALUE"""),610.12)</f>
        <v>610.12</v>
      </c>
      <c r="G902" s="11">
        <f>IFERROR(__xludf.DUMMYFUNCTION("""COMPUTED_VALUE"""),44357.66666666667)</f>
        <v>44357.66667</v>
      </c>
      <c r="H902" s="9">
        <f>IFERROR(__xludf.DUMMYFUNCTION("""COMPUTED_VALUE"""),2494.01)</f>
        <v>2494.01</v>
      </c>
      <c r="I902" s="11">
        <f>IFERROR(__xludf.DUMMYFUNCTION("""COMPUTED_VALUE"""),44357.66666666667)</f>
        <v>44357.66667</v>
      </c>
      <c r="J902" s="9">
        <f>IFERROR(__xludf.DUMMYFUNCTION("""COMPUTED_VALUE"""),2521.6)</f>
        <v>2521.6</v>
      </c>
      <c r="L902" s="11">
        <f>IFERROR(__xludf.DUMMYFUNCTION("""COMPUTED_VALUE"""),44357.66666666667)</f>
        <v>44357.66667</v>
      </c>
      <c r="M902" s="9">
        <f>IFERROR(__xludf.DUMMYFUNCTION("""COMPUTED_VALUE"""),127.02)</f>
        <v>127.02</v>
      </c>
      <c r="N902" s="11">
        <f>IFERROR(__xludf.DUMMYFUNCTION("""COMPUTED_VALUE"""),44357.66666666667)</f>
        <v>44357.66667</v>
      </c>
      <c r="O902" s="9">
        <f>IFERROR(__xludf.DUMMYFUNCTION("""COMPUTED_VALUE"""),126.11)</f>
        <v>126.11</v>
      </c>
      <c r="Q902" s="11">
        <f>IFERROR(__xludf.DUMMYFUNCTION("""COMPUTED_VALUE"""),44357.66666666667)</f>
        <v>44357.66667</v>
      </c>
      <c r="R902" s="9">
        <f>IFERROR(__xludf.DUMMYFUNCTION("""COMPUTED_VALUE"""),330.79)</f>
        <v>330.79</v>
      </c>
      <c r="S902" s="11">
        <f>IFERROR(__xludf.DUMMYFUNCTION("""COMPUTED_VALUE"""),44357.66666666667)</f>
        <v>44357.66667</v>
      </c>
      <c r="T902" s="9">
        <f>IFERROR(__xludf.DUMMYFUNCTION("""COMPUTED_VALUE"""),332.46)</f>
        <v>332.46</v>
      </c>
      <c r="V902" s="11">
        <f>IFERROR(__xludf.DUMMYFUNCTION("""COMPUTED_VALUE"""),44357.66666666667)</f>
        <v>44357.66667</v>
      </c>
      <c r="W902" s="9">
        <f>IFERROR(__xludf.DUMMYFUNCTION("""COMPUTED_VALUE"""),487.17)</f>
        <v>487.17</v>
      </c>
      <c r="X902" s="11">
        <f>IFERROR(__xludf.DUMMYFUNCTION("""COMPUTED_VALUE"""),44357.66666666667)</f>
        <v>44357.66667</v>
      </c>
      <c r="Y902" s="9">
        <f>IFERROR(__xludf.DUMMYFUNCTION("""COMPUTED_VALUE"""),487.27)</f>
        <v>487.27</v>
      </c>
      <c r="AA902" s="11">
        <f>IFERROR(__xludf.DUMMYFUNCTION("""COMPUTED_VALUE"""),44357.66666666667)</f>
        <v>44357.66667</v>
      </c>
      <c r="AB902" s="9">
        <f>IFERROR(__xludf.DUMMYFUNCTION("""COMPUTED_VALUE"""),3282.01)</f>
        <v>3282.01</v>
      </c>
      <c r="AC902" s="11">
        <f>IFERROR(__xludf.DUMMYFUNCTION("""COMPUTED_VALUE"""),44357.66666666667)</f>
        <v>44357.66667</v>
      </c>
      <c r="AD902" s="9">
        <f>IFERROR(__xludf.DUMMYFUNCTION("""COMPUTED_VALUE"""),3349.65)</f>
        <v>3349.65</v>
      </c>
    </row>
    <row r="903">
      <c r="B903" s="11">
        <f>IFERROR(__xludf.DUMMYFUNCTION("""COMPUTED_VALUE"""),44358.66666666667)</f>
        <v>44358.66667</v>
      </c>
      <c r="C903" s="9">
        <f>IFERROR(__xludf.DUMMYFUNCTION("""COMPUTED_VALUE"""),610.23)</f>
        <v>610.23</v>
      </c>
      <c r="D903" s="11">
        <f>IFERROR(__xludf.DUMMYFUNCTION("""COMPUTED_VALUE"""),44358.66666666667)</f>
        <v>44358.66667</v>
      </c>
      <c r="E903" s="9">
        <f>IFERROR(__xludf.DUMMYFUNCTION("""COMPUTED_VALUE"""),609.89)</f>
        <v>609.89</v>
      </c>
      <c r="G903" s="11">
        <f>IFERROR(__xludf.DUMMYFUNCTION("""COMPUTED_VALUE"""),44358.66666666667)</f>
        <v>44358.66667</v>
      </c>
      <c r="H903" s="9">
        <f>IFERROR(__xludf.DUMMYFUNCTION("""COMPUTED_VALUE"""),2524.92)</f>
        <v>2524.92</v>
      </c>
      <c r="I903" s="11">
        <f>IFERROR(__xludf.DUMMYFUNCTION("""COMPUTED_VALUE"""),44358.66666666667)</f>
        <v>44358.66667</v>
      </c>
      <c r="J903" s="9">
        <f>IFERROR(__xludf.DUMMYFUNCTION("""COMPUTED_VALUE"""),2513.93)</f>
        <v>2513.93</v>
      </c>
      <c r="L903" s="11">
        <f>IFERROR(__xludf.DUMMYFUNCTION("""COMPUTED_VALUE"""),44358.66666666667)</f>
        <v>44358.66667</v>
      </c>
      <c r="M903" s="9">
        <f>IFERROR(__xludf.DUMMYFUNCTION("""COMPUTED_VALUE"""),126.53)</f>
        <v>126.53</v>
      </c>
      <c r="N903" s="11">
        <f>IFERROR(__xludf.DUMMYFUNCTION("""COMPUTED_VALUE"""),44358.66666666667)</f>
        <v>44358.66667</v>
      </c>
      <c r="O903" s="9">
        <f>IFERROR(__xludf.DUMMYFUNCTION("""COMPUTED_VALUE"""),127.35)</f>
        <v>127.35</v>
      </c>
      <c r="Q903" s="11">
        <f>IFERROR(__xludf.DUMMYFUNCTION("""COMPUTED_VALUE"""),44358.66666666667)</f>
        <v>44358.66667</v>
      </c>
      <c r="R903" s="9">
        <f>IFERROR(__xludf.DUMMYFUNCTION("""COMPUTED_VALUE"""),332.58)</f>
        <v>332.58</v>
      </c>
      <c r="S903" s="11">
        <f>IFERROR(__xludf.DUMMYFUNCTION("""COMPUTED_VALUE"""),44358.66666666667)</f>
        <v>44358.66667</v>
      </c>
      <c r="T903" s="9">
        <f>IFERROR(__xludf.DUMMYFUNCTION("""COMPUTED_VALUE"""),331.26)</f>
        <v>331.26</v>
      </c>
      <c r="V903" s="11">
        <f>IFERROR(__xludf.DUMMYFUNCTION("""COMPUTED_VALUE"""),44358.66666666667)</f>
        <v>44358.66667</v>
      </c>
      <c r="W903" s="9">
        <f>IFERROR(__xludf.DUMMYFUNCTION("""COMPUTED_VALUE"""),490.0)</f>
        <v>490</v>
      </c>
      <c r="X903" s="11">
        <f>IFERROR(__xludf.DUMMYFUNCTION("""COMPUTED_VALUE"""),44358.66666666667)</f>
        <v>44358.66667</v>
      </c>
      <c r="Y903" s="9">
        <f>IFERROR(__xludf.DUMMYFUNCTION("""COMPUTED_VALUE"""),488.77)</f>
        <v>488.77</v>
      </c>
      <c r="AA903" s="11">
        <f>IFERROR(__xludf.DUMMYFUNCTION("""COMPUTED_VALUE"""),44358.66666666667)</f>
        <v>44358.66667</v>
      </c>
      <c r="AB903" s="9">
        <f>IFERROR(__xludf.DUMMYFUNCTION("""COMPUTED_VALUE"""),3349.65)</f>
        <v>3349.65</v>
      </c>
      <c r="AC903" s="11">
        <f>IFERROR(__xludf.DUMMYFUNCTION("""COMPUTED_VALUE"""),44358.66666666667)</f>
        <v>44358.66667</v>
      </c>
      <c r="AD903" s="9">
        <f>IFERROR(__xludf.DUMMYFUNCTION("""COMPUTED_VALUE"""),3346.83)</f>
        <v>3346.83</v>
      </c>
    </row>
    <row r="904">
      <c r="B904" s="11">
        <f>IFERROR(__xludf.DUMMYFUNCTION("""COMPUTED_VALUE"""),44361.66666666667)</f>
        <v>44361.66667</v>
      </c>
      <c r="C904" s="9">
        <f>IFERROR(__xludf.DUMMYFUNCTION("""COMPUTED_VALUE"""),612.23)</f>
        <v>612.23</v>
      </c>
      <c r="D904" s="11">
        <f>IFERROR(__xludf.DUMMYFUNCTION("""COMPUTED_VALUE"""),44361.66666666667)</f>
        <v>44361.66667</v>
      </c>
      <c r="E904" s="9">
        <f>IFERROR(__xludf.DUMMYFUNCTION("""COMPUTED_VALUE"""),617.69)</f>
        <v>617.69</v>
      </c>
      <c r="G904" s="11">
        <f>IFERROR(__xludf.DUMMYFUNCTION("""COMPUTED_VALUE"""),44361.66666666667)</f>
        <v>44361.66667</v>
      </c>
      <c r="H904" s="9">
        <f>IFERROR(__xludf.DUMMYFUNCTION("""COMPUTED_VALUE"""),2513.39)</f>
        <v>2513.39</v>
      </c>
      <c r="I904" s="11">
        <f>IFERROR(__xludf.DUMMYFUNCTION("""COMPUTED_VALUE"""),44361.66666666667)</f>
        <v>44361.66667</v>
      </c>
      <c r="J904" s="9">
        <f>IFERROR(__xludf.DUMMYFUNCTION("""COMPUTED_VALUE"""),2527.04)</f>
        <v>2527.04</v>
      </c>
      <c r="L904" s="11">
        <f>IFERROR(__xludf.DUMMYFUNCTION("""COMPUTED_VALUE"""),44361.66666666667)</f>
        <v>44361.66667</v>
      </c>
      <c r="M904" s="9">
        <f>IFERROR(__xludf.DUMMYFUNCTION("""COMPUTED_VALUE"""),127.82)</f>
        <v>127.82</v>
      </c>
      <c r="N904" s="11">
        <f>IFERROR(__xludf.DUMMYFUNCTION("""COMPUTED_VALUE"""),44361.66666666667)</f>
        <v>44361.66667</v>
      </c>
      <c r="O904" s="9">
        <f>IFERROR(__xludf.DUMMYFUNCTION("""COMPUTED_VALUE"""),130.48)</f>
        <v>130.48</v>
      </c>
      <c r="Q904" s="11">
        <f>IFERROR(__xludf.DUMMYFUNCTION("""COMPUTED_VALUE"""),44361.66666666667)</f>
        <v>44361.66667</v>
      </c>
      <c r="R904" s="9">
        <f>IFERROR(__xludf.DUMMYFUNCTION("""COMPUTED_VALUE"""),331.9)</f>
        <v>331.9</v>
      </c>
      <c r="S904" s="11">
        <f>IFERROR(__xludf.DUMMYFUNCTION("""COMPUTED_VALUE"""),44361.66666666667)</f>
        <v>44361.66667</v>
      </c>
      <c r="T904" s="9">
        <f>IFERROR(__xludf.DUMMYFUNCTION("""COMPUTED_VALUE"""),336.77)</f>
        <v>336.77</v>
      </c>
      <c r="V904" s="11">
        <f>IFERROR(__xludf.DUMMYFUNCTION("""COMPUTED_VALUE"""),44361.66666666667)</f>
        <v>44361.66667</v>
      </c>
      <c r="W904" s="9">
        <f>IFERROR(__xludf.DUMMYFUNCTION("""COMPUTED_VALUE"""),489.68)</f>
        <v>489.68</v>
      </c>
      <c r="X904" s="11">
        <f>IFERROR(__xludf.DUMMYFUNCTION("""COMPUTED_VALUE"""),44361.66666666667)</f>
        <v>44361.66667</v>
      </c>
      <c r="Y904" s="9">
        <f>IFERROR(__xludf.DUMMYFUNCTION("""COMPUTED_VALUE"""),499.89)</f>
        <v>499.89</v>
      </c>
      <c r="AA904" s="11">
        <f>IFERROR(__xludf.DUMMYFUNCTION("""COMPUTED_VALUE"""),44361.66666666667)</f>
        <v>44361.66667</v>
      </c>
      <c r="AB904" s="9">
        <f>IFERROR(__xludf.DUMMYFUNCTION("""COMPUTED_VALUE"""),3346.83)</f>
        <v>3346.83</v>
      </c>
      <c r="AC904" s="11">
        <f>IFERROR(__xludf.DUMMYFUNCTION("""COMPUTED_VALUE"""),44361.66666666667)</f>
        <v>44361.66667</v>
      </c>
      <c r="AD904" s="9">
        <f>IFERROR(__xludf.DUMMYFUNCTION("""COMPUTED_VALUE"""),3383.87)</f>
        <v>3383.87</v>
      </c>
    </row>
    <row r="905">
      <c r="B905" s="11">
        <f>IFERROR(__xludf.DUMMYFUNCTION("""COMPUTED_VALUE"""),44362.66666666667)</f>
        <v>44362.66667</v>
      </c>
      <c r="C905" s="9">
        <f>IFERROR(__xludf.DUMMYFUNCTION("""COMPUTED_VALUE"""),616.69)</f>
        <v>616.69</v>
      </c>
      <c r="D905" s="11">
        <f>IFERROR(__xludf.DUMMYFUNCTION("""COMPUTED_VALUE"""),44362.66666666667)</f>
        <v>44362.66667</v>
      </c>
      <c r="E905" s="9">
        <f>IFERROR(__xludf.DUMMYFUNCTION("""COMPUTED_VALUE"""),599.36)</f>
        <v>599.36</v>
      </c>
      <c r="G905" s="11">
        <f>IFERROR(__xludf.DUMMYFUNCTION("""COMPUTED_VALUE"""),44362.66666666667)</f>
        <v>44362.66667</v>
      </c>
      <c r="H905" s="9">
        <f>IFERROR(__xludf.DUMMYFUNCTION("""COMPUTED_VALUE"""),2530.44)</f>
        <v>2530.44</v>
      </c>
      <c r="I905" s="11">
        <f>IFERROR(__xludf.DUMMYFUNCTION("""COMPUTED_VALUE"""),44362.66666666667)</f>
        <v>44362.66667</v>
      </c>
      <c r="J905" s="9">
        <f>IFERROR(__xludf.DUMMYFUNCTION("""COMPUTED_VALUE"""),2520.66)</f>
        <v>2520.66</v>
      </c>
      <c r="L905" s="11">
        <f>IFERROR(__xludf.DUMMYFUNCTION("""COMPUTED_VALUE"""),44362.66666666667)</f>
        <v>44362.66667</v>
      </c>
      <c r="M905" s="9">
        <f>IFERROR(__xludf.DUMMYFUNCTION("""COMPUTED_VALUE"""),129.94)</f>
        <v>129.94</v>
      </c>
      <c r="N905" s="11">
        <f>IFERROR(__xludf.DUMMYFUNCTION("""COMPUTED_VALUE"""),44362.66666666667)</f>
        <v>44362.66667</v>
      </c>
      <c r="O905" s="9">
        <f>IFERROR(__xludf.DUMMYFUNCTION("""COMPUTED_VALUE"""),129.64)</f>
        <v>129.64</v>
      </c>
      <c r="Q905" s="11">
        <f>IFERROR(__xludf.DUMMYFUNCTION("""COMPUTED_VALUE"""),44362.66666666667)</f>
        <v>44362.66667</v>
      </c>
      <c r="R905" s="9">
        <f>IFERROR(__xludf.DUMMYFUNCTION("""COMPUTED_VALUE"""),336.99)</f>
        <v>336.99</v>
      </c>
      <c r="S905" s="11">
        <f>IFERROR(__xludf.DUMMYFUNCTION("""COMPUTED_VALUE"""),44362.66666666667)</f>
        <v>44362.66667</v>
      </c>
      <c r="T905" s="9">
        <f>IFERROR(__xludf.DUMMYFUNCTION("""COMPUTED_VALUE"""),336.75)</f>
        <v>336.75</v>
      </c>
      <c r="V905" s="11">
        <f>IFERROR(__xludf.DUMMYFUNCTION("""COMPUTED_VALUE"""),44362.66666666667)</f>
        <v>44362.66667</v>
      </c>
      <c r="W905" s="9">
        <f>IFERROR(__xludf.DUMMYFUNCTION("""COMPUTED_VALUE"""),501.23)</f>
        <v>501.23</v>
      </c>
      <c r="X905" s="11">
        <f>IFERROR(__xludf.DUMMYFUNCTION("""COMPUTED_VALUE"""),44362.66666666667)</f>
        <v>44362.66667</v>
      </c>
      <c r="Y905" s="9">
        <f>IFERROR(__xludf.DUMMYFUNCTION("""COMPUTED_VALUE"""),491.9)</f>
        <v>491.9</v>
      </c>
      <c r="AA905" s="11">
        <f>IFERROR(__xludf.DUMMYFUNCTION("""COMPUTED_VALUE"""),44362.66666666667)</f>
        <v>44362.66667</v>
      </c>
      <c r="AB905" s="9">
        <f>IFERROR(__xludf.DUMMYFUNCTION("""COMPUTED_VALUE"""),3384.0)</f>
        <v>3384</v>
      </c>
      <c r="AC905" s="11">
        <f>IFERROR(__xludf.DUMMYFUNCTION("""COMPUTED_VALUE"""),44362.66666666667)</f>
        <v>44362.66667</v>
      </c>
      <c r="AD905" s="9">
        <f>IFERROR(__xludf.DUMMYFUNCTION("""COMPUTED_VALUE"""),3383.13)</f>
        <v>3383.13</v>
      </c>
    </row>
    <row r="906">
      <c r="B906" s="11">
        <f>IFERROR(__xludf.DUMMYFUNCTION("""COMPUTED_VALUE"""),44363.66666666667)</f>
        <v>44363.66667</v>
      </c>
      <c r="C906" s="9">
        <f>IFERROR(__xludf.DUMMYFUNCTION("""COMPUTED_VALUE"""),597.54)</f>
        <v>597.54</v>
      </c>
      <c r="D906" s="11">
        <f>IFERROR(__xludf.DUMMYFUNCTION("""COMPUTED_VALUE"""),44363.66666666667)</f>
        <v>44363.66667</v>
      </c>
      <c r="E906" s="9">
        <f>IFERROR(__xludf.DUMMYFUNCTION("""COMPUTED_VALUE"""),604.87)</f>
        <v>604.87</v>
      </c>
      <c r="G906" s="11">
        <f>IFERROR(__xludf.DUMMYFUNCTION("""COMPUTED_VALUE"""),44363.66666666667)</f>
        <v>44363.66667</v>
      </c>
      <c r="H906" s="9">
        <f>IFERROR(__xludf.DUMMYFUNCTION("""COMPUTED_VALUE"""),2524.95)</f>
        <v>2524.95</v>
      </c>
      <c r="I906" s="11">
        <f>IFERROR(__xludf.DUMMYFUNCTION("""COMPUTED_VALUE"""),44363.66666666667)</f>
        <v>44363.66667</v>
      </c>
      <c r="J906" s="9">
        <f>IFERROR(__xludf.DUMMYFUNCTION("""COMPUTED_VALUE"""),2513.93)</f>
        <v>2513.93</v>
      </c>
      <c r="L906" s="11">
        <f>IFERROR(__xludf.DUMMYFUNCTION("""COMPUTED_VALUE"""),44363.66666666667)</f>
        <v>44363.66667</v>
      </c>
      <c r="M906" s="9">
        <f>IFERROR(__xludf.DUMMYFUNCTION("""COMPUTED_VALUE"""),130.37)</f>
        <v>130.37</v>
      </c>
      <c r="N906" s="11">
        <f>IFERROR(__xludf.DUMMYFUNCTION("""COMPUTED_VALUE"""),44363.66666666667)</f>
        <v>44363.66667</v>
      </c>
      <c r="O906" s="9">
        <f>IFERROR(__xludf.DUMMYFUNCTION("""COMPUTED_VALUE"""),130.15)</f>
        <v>130.15</v>
      </c>
      <c r="Q906" s="11">
        <f>IFERROR(__xludf.DUMMYFUNCTION("""COMPUTED_VALUE"""),44363.66666666667)</f>
        <v>44363.66667</v>
      </c>
      <c r="R906" s="9">
        <f>IFERROR(__xludf.DUMMYFUNCTION("""COMPUTED_VALUE"""),336.7)</f>
        <v>336.7</v>
      </c>
      <c r="S906" s="11">
        <f>IFERROR(__xludf.DUMMYFUNCTION("""COMPUTED_VALUE"""),44363.66666666667)</f>
        <v>44363.66667</v>
      </c>
      <c r="T906" s="9">
        <f>IFERROR(__xludf.DUMMYFUNCTION("""COMPUTED_VALUE"""),331.08)</f>
        <v>331.08</v>
      </c>
      <c r="V906" s="11">
        <f>IFERROR(__xludf.DUMMYFUNCTION("""COMPUTED_VALUE"""),44363.66666666667)</f>
        <v>44363.66667</v>
      </c>
      <c r="W906" s="9">
        <f>IFERROR(__xludf.DUMMYFUNCTION("""COMPUTED_VALUE"""),495.0)</f>
        <v>495</v>
      </c>
      <c r="X906" s="11">
        <f>IFERROR(__xludf.DUMMYFUNCTION("""COMPUTED_VALUE"""),44363.66666666667)</f>
        <v>44363.66667</v>
      </c>
      <c r="Y906" s="9">
        <f>IFERROR(__xludf.DUMMYFUNCTION("""COMPUTED_VALUE"""),492.41)</f>
        <v>492.41</v>
      </c>
      <c r="AA906" s="11">
        <f>IFERROR(__xludf.DUMMYFUNCTION("""COMPUTED_VALUE"""),44363.66666666667)</f>
        <v>44363.66667</v>
      </c>
      <c r="AB906" s="9">
        <f>IFERROR(__xludf.DUMMYFUNCTION("""COMPUTED_VALUE"""),3392.0)</f>
        <v>3392</v>
      </c>
      <c r="AC906" s="11">
        <f>IFERROR(__xludf.DUMMYFUNCTION("""COMPUTED_VALUE"""),44363.66666666667)</f>
        <v>44363.66667</v>
      </c>
      <c r="AD906" s="9">
        <f>IFERROR(__xludf.DUMMYFUNCTION("""COMPUTED_VALUE"""),3415.25)</f>
        <v>3415.25</v>
      </c>
    </row>
    <row r="907">
      <c r="B907" s="11">
        <f>IFERROR(__xludf.DUMMYFUNCTION("""COMPUTED_VALUE"""),44364.66666666667)</f>
        <v>44364.66667</v>
      </c>
      <c r="C907" s="9">
        <f>IFERROR(__xludf.DUMMYFUNCTION("""COMPUTED_VALUE"""),601.89)</f>
        <v>601.89</v>
      </c>
      <c r="D907" s="11">
        <f>IFERROR(__xludf.DUMMYFUNCTION("""COMPUTED_VALUE"""),44364.66666666667)</f>
        <v>44364.66667</v>
      </c>
      <c r="E907" s="9">
        <f>IFERROR(__xludf.DUMMYFUNCTION("""COMPUTED_VALUE"""),616.6)</f>
        <v>616.6</v>
      </c>
      <c r="G907" s="11">
        <f>IFERROR(__xludf.DUMMYFUNCTION("""COMPUTED_VALUE"""),44364.66666666667)</f>
        <v>44364.66667</v>
      </c>
      <c r="H907" s="9">
        <f>IFERROR(__xludf.DUMMYFUNCTION("""COMPUTED_VALUE"""),2510.46)</f>
        <v>2510.46</v>
      </c>
      <c r="I907" s="11">
        <f>IFERROR(__xludf.DUMMYFUNCTION("""COMPUTED_VALUE"""),44364.66666666667)</f>
        <v>44364.66667</v>
      </c>
      <c r="J907" s="9">
        <f>IFERROR(__xludf.DUMMYFUNCTION("""COMPUTED_VALUE"""),2527.42)</f>
        <v>2527.42</v>
      </c>
      <c r="L907" s="11">
        <f>IFERROR(__xludf.DUMMYFUNCTION("""COMPUTED_VALUE"""),44364.66666666667)</f>
        <v>44364.66667</v>
      </c>
      <c r="M907" s="9">
        <f>IFERROR(__xludf.DUMMYFUNCTION("""COMPUTED_VALUE"""),129.8)</f>
        <v>129.8</v>
      </c>
      <c r="N907" s="11">
        <f>IFERROR(__xludf.DUMMYFUNCTION("""COMPUTED_VALUE"""),44364.66666666667)</f>
        <v>44364.66667</v>
      </c>
      <c r="O907" s="9">
        <f>IFERROR(__xludf.DUMMYFUNCTION("""COMPUTED_VALUE"""),131.79)</f>
        <v>131.79</v>
      </c>
      <c r="Q907" s="11">
        <f>IFERROR(__xludf.DUMMYFUNCTION("""COMPUTED_VALUE"""),44364.66666666667)</f>
        <v>44364.66667</v>
      </c>
      <c r="R907" s="9">
        <f>IFERROR(__xludf.DUMMYFUNCTION("""COMPUTED_VALUE"""),330.49)</f>
        <v>330.49</v>
      </c>
      <c r="S907" s="11">
        <f>IFERROR(__xludf.DUMMYFUNCTION("""COMPUTED_VALUE"""),44364.66666666667)</f>
        <v>44364.66667</v>
      </c>
      <c r="T907" s="9">
        <f>IFERROR(__xludf.DUMMYFUNCTION("""COMPUTED_VALUE"""),336.51)</f>
        <v>336.51</v>
      </c>
      <c r="V907" s="11">
        <f>IFERROR(__xludf.DUMMYFUNCTION("""COMPUTED_VALUE"""),44364.66666666667)</f>
        <v>44364.66667</v>
      </c>
      <c r="W907" s="9">
        <f>IFERROR(__xludf.DUMMYFUNCTION("""COMPUTED_VALUE"""),490.25)</f>
        <v>490.25</v>
      </c>
      <c r="X907" s="11">
        <f>IFERROR(__xludf.DUMMYFUNCTION("""COMPUTED_VALUE"""),44364.66666666667)</f>
        <v>44364.66667</v>
      </c>
      <c r="Y907" s="9">
        <f>IFERROR(__xludf.DUMMYFUNCTION("""COMPUTED_VALUE"""),498.34)</f>
        <v>498.34</v>
      </c>
      <c r="AA907" s="11">
        <f>IFERROR(__xludf.DUMMYFUNCTION("""COMPUTED_VALUE"""),44364.66666666667)</f>
        <v>44364.66667</v>
      </c>
      <c r="AB907" s="9">
        <f>IFERROR(__xludf.DUMMYFUNCTION("""COMPUTED_VALUE"""),3403.18)</f>
        <v>3403.18</v>
      </c>
      <c r="AC907" s="11">
        <f>IFERROR(__xludf.DUMMYFUNCTION("""COMPUTED_VALUE"""),44364.66666666667)</f>
        <v>44364.66667</v>
      </c>
      <c r="AD907" s="9">
        <f>IFERROR(__xludf.DUMMYFUNCTION("""COMPUTED_VALUE"""),3489.24)</f>
        <v>3489.24</v>
      </c>
    </row>
    <row r="908">
      <c r="B908" s="11">
        <f>IFERROR(__xludf.DUMMYFUNCTION("""COMPUTED_VALUE"""),44365.66666666667)</f>
        <v>44365.66667</v>
      </c>
      <c r="C908" s="9">
        <f>IFERROR(__xludf.DUMMYFUNCTION("""COMPUTED_VALUE"""),613.37)</f>
        <v>613.37</v>
      </c>
      <c r="D908" s="11">
        <f>IFERROR(__xludf.DUMMYFUNCTION("""COMPUTED_VALUE"""),44365.66666666667)</f>
        <v>44365.66667</v>
      </c>
      <c r="E908" s="9">
        <f>IFERROR(__xludf.DUMMYFUNCTION("""COMPUTED_VALUE"""),623.31)</f>
        <v>623.31</v>
      </c>
      <c r="G908" s="11">
        <f>IFERROR(__xludf.DUMMYFUNCTION("""COMPUTED_VALUE"""),44365.66666666667)</f>
        <v>44365.66667</v>
      </c>
      <c r="H908" s="9">
        <f>IFERROR(__xludf.DUMMYFUNCTION("""COMPUTED_VALUE"""),2514.11)</f>
        <v>2514.11</v>
      </c>
      <c r="I908" s="11">
        <f>IFERROR(__xludf.DUMMYFUNCTION("""COMPUTED_VALUE"""),44365.66666666667)</f>
        <v>44365.66667</v>
      </c>
      <c r="J908" s="9">
        <f>IFERROR(__xludf.DUMMYFUNCTION("""COMPUTED_VALUE"""),2511.35)</f>
        <v>2511.35</v>
      </c>
      <c r="L908" s="11">
        <f>IFERROR(__xludf.DUMMYFUNCTION("""COMPUTED_VALUE"""),44365.66666666667)</f>
        <v>44365.66667</v>
      </c>
      <c r="M908" s="9">
        <f>IFERROR(__xludf.DUMMYFUNCTION("""COMPUTED_VALUE"""),130.71)</f>
        <v>130.71</v>
      </c>
      <c r="N908" s="11">
        <f>IFERROR(__xludf.DUMMYFUNCTION("""COMPUTED_VALUE"""),44365.66666666667)</f>
        <v>44365.66667</v>
      </c>
      <c r="O908" s="9">
        <f>IFERROR(__xludf.DUMMYFUNCTION("""COMPUTED_VALUE"""),130.46)</f>
        <v>130.46</v>
      </c>
      <c r="Q908" s="11">
        <f>IFERROR(__xludf.DUMMYFUNCTION("""COMPUTED_VALUE"""),44365.66666666667)</f>
        <v>44365.66667</v>
      </c>
      <c r="R908" s="9">
        <f>IFERROR(__xludf.DUMMYFUNCTION("""COMPUTED_VALUE"""),334.53)</f>
        <v>334.53</v>
      </c>
      <c r="S908" s="11">
        <f>IFERROR(__xludf.DUMMYFUNCTION("""COMPUTED_VALUE"""),44365.66666666667)</f>
        <v>44365.66667</v>
      </c>
      <c r="T908" s="9">
        <f>IFERROR(__xludf.DUMMYFUNCTION("""COMPUTED_VALUE"""),329.66)</f>
        <v>329.66</v>
      </c>
      <c r="V908" s="11">
        <f>IFERROR(__xludf.DUMMYFUNCTION("""COMPUTED_VALUE"""),44365.66666666667)</f>
        <v>44365.66667</v>
      </c>
      <c r="W908" s="9">
        <f>IFERROR(__xludf.DUMMYFUNCTION("""COMPUTED_VALUE"""),496.4)</f>
        <v>496.4</v>
      </c>
      <c r="X908" s="11">
        <f>IFERROR(__xludf.DUMMYFUNCTION("""COMPUTED_VALUE"""),44365.66666666667)</f>
        <v>44365.66667</v>
      </c>
      <c r="Y908" s="9">
        <f>IFERROR(__xludf.DUMMYFUNCTION("""COMPUTED_VALUE"""),500.77)</f>
        <v>500.77</v>
      </c>
      <c r="AA908" s="11">
        <f>IFERROR(__xludf.DUMMYFUNCTION("""COMPUTED_VALUE"""),44365.66666666667)</f>
        <v>44365.66667</v>
      </c>
      <c r="AB908" s="9">
        <f>IFERROR(__xludf.DUMMYFUNCTION("""COMPUTED_VALUE"""),3479.99)</f>
        <v>3479.99</v>
      </c>
      <c r="AC908" s="11">
        <f>IFERROR(__xludf.DUMMYFUNCTION("""COMPUTED_VALUE"""),44365.66666666667)</f>
        <v>44365.66667</v>
      </c>
      <c r="AD908" s="9">
        <f>IFERROR(__xludf.DUMMYFUNCTION("""COMPUTED_VALUE"""),3486.9)</f>
        <v>3486.9</v>
      </c>
    </row>
    <row r="909">
      <c r="B909" s="11">
        <f>IFERROR(__xludf.DUMMYFUNCTION("""COMPUTED_VALUE"""),44368.66666666667)</f>
        <v>44368.66667</v>
      </c>
      <c r="C909" s="9">
        <f>IFERROR(__xludf.DUMMYFUNCTION("""COMPUTED_VALUE"""),624.48)</f>
        <v>624.48</v>
      </c>
      <c r="D909" s="11">
        <f>IFERROR(__xludf.DUMMYFUNCTION("""COMPUTED_VALUE"""),44368.66666666667)</f>
        <v>44368.66667</v>
      </c>
      <c r="E909" s="9">
        <f>IFERROR(__xludf.DUMMYFUNCTION("""COMPUTED_VALUE"""),620.83)</f>
        <v>620.83</v>
      </c>
      <c r="G909" s="11">
        <f>IFERROR(__xludf.DUMMYFUNCTION("""COMPUTED_VALUE"""),44368.66666666667)</f>
        <v>44368.66667</v>
      </c>
      <c r="H909" s="9">
        <f>IFERROR(__xludf.DUMMYFUNCTION("""COMPUTED_VALUE"""),2514.8)</f>
        <v>2514.8</v>
      </c>
      <c r="I909" s="11">
        <f>IFERROR(__xludf.DUMMYFUNCTION("""COMPUTED_VALUE"""),44368.66666666667)</f>
        <v>44368.66667</v>
      </c>
      <c r="J909" s="9">
        <f>IFERROR(__xludf.DUMMYFUNCTION("""COMPUTED_VALUE"""),2529.1)</f>
        <v>2529.1</v>
      </c>
      <c r="L909" s="11">
        <f>IFERROR(__xludf.DUMMYFUNCTION("""COMPUTED_VALUE"""),44368.66666666667)</f>
        <v>44368.66667</v>
      </c>
      <c r="M909" s="9">
        <f>IFERROR(__xludf.DUMMYFUNCTION("""COMPUTED_VALUE"""),130.3)</f>
        <v>130.3</v>
      </c>
      <c r="N909" s="11">
        <f>IFERROR(__xludf.DUMMYFUNCTION("""COMPUTED_VALUE"""),44368.66666666667)</f>
        <v>44368.66667</v>
      </c>
      <c r="O909" s="9">
        <f>IFERROR(__xludf.DUMMYFUNCTION("""COMPUTED_VALUE"""),132.3)</f>
        <v>132.3</v>
      </c>
      <c r="Q909" s="11">
        <f>IFERROR(__xludf.DUMMYFUNCTION("""COMPUTED_VALUE"""),44368.66666666667)</f>
        <v>44368.66667</v>
      </c>
      <c r="R909" s="9">
        <f>IFERROR(__xludf.DUMMYFUNCTION("""COMPUTED_VALUE"""),331.09)</f>
        <v>331.09</v>
      </c>
      <c r="S909" s="11">
        <f>IFERROR(__xludf.DUMMYFUNCTION("""COMPUTED_VALUE"""),44368.66666666667)</f>
        <v>44368.66667</v>
      </c>
      <c r="T909" s="9">
        <f>IFERROR(__xludf.DUMMYFUNCTION("""COMPUTED_VALUE"""),332.29)</f>
        <v>332.29</v>
      </c>
      <c r="V909" s="11">
        <f>IFERROR(__xludf.DUMMYFUNCTION("""COMPUTED_VALUE"""),44368.66666666667)</f>
        <v>44368.66667</v>
      </c>
      <c r="W909" s="9">
        <f>IFERROR(__xludf.DUMMYFUNCTION("""COMPUTED_VALUE"""),501.64)</f>
        <v>501.64</v>
      </c>
      <c r="X909" s="11">
        <f>IFERROR(__xludf.DUMMYFUNCTION("""COMPUTED_VALUE"""),44368.66666666667)</f>
        <v>44368.66667</v>
      </c>
      <c r="Y909" s="9">
        <f>IFERROR(__xludf.DUMMYFUNCTION("""COMPUTED_VALUE"""),497.0)</f>
        <v>497</v>
      </c>
      <c r="AA909" s="11">
        <f>IFERROR(__xludf.DUMMYFUNCTION("""COMPUTED_VALUE"""),44368.66666666667)</f>
        <v>44368.66667</v>
      </c>
      <c r="AB909" s="9">
        <f>IFERROR(__xludf.DUMMYFUNCTION("""COMPUTED_VALUE"""),3476.42)</f>
        <v>3476.42</v>
      </c>
      <c r="AC909" s="11">
        <f>IFERROR(__xludf.DUMMYFUNCTION("""COMPUTED_VALUE"""),44368.66666666667)</f>
        <v>44368.66667</v>
      </c>
      <c r="AD909" s="9">
        <f>IFERROR(__xludf.DUMMYFUNCTION("""COMPUTED_VALUE"""),3453.96)</f>
        <v>3453.96</v>
      </c>
    </row>
    <row r="910">
      <c r="B910" s="11">
        <f>IFERROR(__xludf.DUMMYFUNCTION("""COMPUTED_VALUE"""),44369.66666666667)</f>
        <v>44369.66667</v>
      </c>
      <c r="C910" s="9">
        <f>IFERROR(__xludf.DUMMYFUNCTION("""COMPUTED_VALUE"""),618.25)</f>
        <v>618.25</v>
      </c>
      <c r="D910" s="11">
        <f>IFERROR(__xludf.DUMMYFUNCTION("""COMPUTED_VALUE"""),44369.66666666667)</f>
        <v>44369.66667</v>
      </c>
      <c r="E910" s="9">
        <f>IFERROR(__xludf.DUMMYFUNCTION("""COMPUTED_VALUE"""),623.71)</f>
        <v>623.71</v>
      </c>
      <c r="G910" s="11">
        <f>IFERROR(__xludf.DUMMYFUNCTION("""COMPUTED_VALUE"""),44369.66666666667)</f>
        <v>44369.66667</v>
      </c>
      <c r="H910" s="9">
        <f>IFERROR(__xludf.DUMMYFUNCTION("""COMPUTED_VALUE"""),2529.0)</f>
        <v>2529</v>
      </c>
      <c r="I910" s="11">
        <f>IFERROR(__xludf.DUMMYFUNCTION("""COMPUTED_VALUE"""),44369.66666666667)</f>
        <v>44369.66667</v>
      </c>
      <c r="J910" s="9">
        <f>IFERROR(__xludf.DUMMYFUNCTION("""COMPUTED_VALUE"""),2539.99)</f>
        <v>2539.99</v>
      </c>
      <c r="L910" s="11">
        <f>IFERROR(__xludf.DUMMYFUNCTION("""COMPUTED_VALUE"""),44369.66666666667)</f>
        <v>44369.66667</v>
      </c>
      <c r="M910" s="9">
        <f>IFERROR(__xludf.DUMMYFUNCTION("""COMPUTED_VALUE"""),132.13)</f>
        <v>132.13</v>
      </c>
      <c r="N910" s="11">
        <f>IFERROR(__xludf.DUMMYFUNCTION("""COMPUTED_VALUE"""),44369.66666666667)</f>
        <v>44369.66667</v>
      </c>
      <c r="O910" s="9">
        <f>IFERROR(__xludf.DUMMYFUNCTION("""COMPUTED_VALUE"""),133.98)</f>
        <v>133.98</v>
      </c>
      <c r="Q910" s="11">
        <f>IFERROR(__xludf.DUMMYFUNCTION("""COMPUTED_VALUE"""),44369.66666666667)</f>
        <v>44369.66667</v>
      </c>
      <c r="R910" s="9">
        <f>IFERROR(__xludf.DUMMYFUNCTION("""COMPUTED_VALUE"""),332.69)</f>
        <v>332.69</v>
      </c>
      <c r="S910" s="11">
        <f>IFERROR(__xludf.DUMMYFUNCTION("""COMPUTED_VALUE"""),44369.66666666667)</f>
        <v>44369.66667</v>
      </c>
      <c r="T910" s="9">
        <f>IFERROR(__xludf.DUMMYFUNCTION("""COMPUTED_VALUE"""),339.03)</f>
        <v>339.03</v>
      </c>
      <c r="V910" s="11">
        <f>IFERROR(__xludf.DUMMYFUNCTION("""COMPUTED_VALUE"""),44369.66666666667)</f>
        <v>44369.66667</v>
      </c>
      <c r="W910" s="9">
        <f>IFERROR(__xludf.DUMMYFUNCTION("""COMPUTED_VALUE"""),498.54)</f>
        <v>498.54</v>
      </c>
      <c r="X910" s="11">
        <f>IFERROR(__xludf.DUMMYFUNCTION("""COMPUTED_VALUE"""),44369.66666666667)</f>
        <v>44369.66667</v>
      </c>
      <c r="Y910" s="9">
        <f>IFERROR(__xludf.DUMMYFUNCTION("""COMPUTED_VALUE"""),508.82)</f>
        <v>508.82</v>
      </c>
      <c r="AA910" s="11">
        <f>IFERROR(__xludf.DUMMYFUNCTION("""COMPUTED_VALUE"""),44369.66666666667)</f>
        <v>44369.66667</v>
      </c>
      <c r="AB910" s="9">
        <f>IFERROR(__xludf.DUMMYFUNCTION("""COMPUTED_VALUE"""),3458.06)</f>
        <v>3458.06</v>
      </c>
      <c r="AC910" s="11">
        <f>IFERROR(__xludf.DUMMYFUNCTION("""COMPUTED_VALUE"""),44369.66666666667)</f>
        <v>44369.66667</v>
      </c>
      <c r="AD910" s="9">
        <f>IFERROR(__xludf.DUMMYFUNCTION("""COMPUTED_VALUE"""),3505.44)</f>
        <v>3505.44</v>
      </c>
    </row>
    <row r="911">
      <c r="B911" s="11">
        <f>IFERROR(__xludf.DUMMYFUNCTION("""COMPUTED_VALUE"""),44370.66666666667)</f>
        <v>44370.66667</v>
      </c>
      <c r="C911" s="9">
        <f>IFERROR(__xludf.DUMMYFUNCTION("""COMPUTED_VALUE"""),632.0)</f>
        <v>632</v>
      </c>
      <c r="D911" s="11">
        <f>IFERROR(__xludf.DUMMYFUNCTION("""COMPUTED_VALUE"""),44370.66666666667)</f>
        <v>44370.66667</v>
      </c>
      <c r="E911" s="9">
        <f>IFERROR(__xludf.DUMMYFUNCTION("""COMPUTED_VALUE"""),656.57)</f>
        <v>656.57</v>
      </c>
      <c r="G911" s="11">
        <f>IFERROR(__xludf.DUMMYFUNCTION("""COMPUTED_VALUE"""),44370.66666666667)</f>
        <v>44370.66667</v>
      </c>
      <c r="H911" s="9">
        <f>IFERROR(__xludf.DUMMYFUNCTION("""COMPUTED_VALUE"""),2531.0)</f>
        <v>2531</v>
      </c>
      <c r="I911" s="11">
        <f>IFERROR(__xludf.DUMMYFUNCTION("""COMPUTED_VALUE"""),44370.66666666667)</f>
        <v>44370.66667</v>
      </c>
      <c r="J911" s="9">
        <f>IFERROR(__xludf.DUMMYFUNCTION("""COMPUTED_VALUE"""),2529.23)</f>
        <v>2529.23</v>
      </c>
      <c r="L911" s="11">
        <f>IFERROR(__xludf.DUMMYFUNCTION("""COMPUTED_VALUE"""),44370.66666666667)</f>
        <v>44370.66667</v>
      </c>
      <c r="M911" s="9">
        <f>IFERROR(__xludf.DUMMYFUNCTION("""COMPUTED_VALUE"""),133.77)</f>
        <v>133.77</v>
      </c>
      <c r="N911" s="11">
        <f>IFERROR(__xludf.DUMMYFUNCTION("""COMPUTED_VALUE"""),44370.66666666667)</f>
        <v>44370.66667</v>
      </c>
      <c r="O911" s="9">
        <f>IFERROR(__xludf.DUMMYFUNCTION("""COMPUTED_VALUE"""),133.7)</f>
        <v>133.7</v>
      </c>
      <c r="Q911" s="11">
        <f>IFERROR(__xludf.DUMMYFUNCTION("""COMPUTED_VALUE"""),44370.66666666667)</f>
        <v>44370.66667</v>
      </c>
      <c r="R911" s="9">
        <f>IFERROR(__xludf.DUMMYFUNCTION("""COMPUTED_VALUE"""),339.35)</f>
        <v>339.35</v>
      </c>
      <c r="S911" s="11">
        <f>IFERROR(__xludf.DUMMYFUNCTION("""COMPUTED_VALUE"""),44370.66666666667)</f>
        <v>44370.66667</v>
      </c>
      <c r="T911" s="9">
        <f>IFERROR(__xludf.DUMMYFUNCTION("""COMPUTED_VALUE"""),340.59)</f>
        <v>340.59</v>
      </c>
      <c r="V911" s="11">
        <f>IFERROR(__xludf.DUMMYFUNCTION("""COMPUTED_VALUE"""),44370.66666666667)</f>
        <v>44370.66667</v>
      </c>
      <c r="W911" s="9">
        <f>IFERROR(__xludf.DUMMYFUNCTION("""COMPUTED_VALUE"""),508.48)</f>
        <v>508.48</v>
      </c>
      <c r="X911" s="11">
        <f>IFERROR(__xludf.DUMMYFUNCTION("""COMPUTED_VALUE"""),44370.66666666667)</f>
        <v>44370.66667</v>
      </c>
      <c r="Y911" s="9">
        <f>IFERROR(__xludf.DUMMYFUNCTION("""COMPUTED_VALUE"""),512.74)</f>
        <v>512.74</v>
      </c>
      <c r="AA911" s="11">
        <f>IFERROR(__xludf.DUMMYFUNCTION("""COMPUTED_VALUE"""),44370.66666666667)</f>
        <v>44370.66667</v>
      </c>
      <c r="AB911" s="9">
        <f>IFERROR(__xludf.DUMMYFUNCTION("""COMPUTED_VALUE"""),3505.0)</f>
        <v>3505</v>
      </c>
      <c r="AC911" s="11">
        <f>IFERROR(__xludf.DUMMYFUNCTION("""COMPUTED_VALUE"""),44370.66666666667)</f>
        <v>44370.66667</v>
      </c>
      <c r="AD911" s="9">
        <f>IFERROR(__xludf.DUMMYFUNCTION("""COMPUTED_VALUE"""),3503.82)</f>
        <v>3503.82</v>
      </c>
    </row>
    <row r="912">
      <c r="B912" s="11">
        <f>IFERROR(__xludf.DUMMYFUNCTION("""COMPUTED_VALUE"""),44371.66666666667)</f>
        <v>44371.66667</v>
      </c>
      <c r="C912" s="9">
        <f>IFERROR(__xludf.DUMMYFUNCTION("""COMPUTED_VALUE"""),674.99)</f>
        <v>674.99</v>
      </c>
      <c r="D912" s="11">
        <f>IFERROR(__xludf.DUMMYFUNCTION("""COMPUTED_VALUE"""),44371.66666666667)</f>
        <v>44371.66667</v>
      </c>
      <c r="E912" s="9">
        <f>IFERROR(__xludf.DUMMYFUNCTION("""COMPUTED_VALUE"""),679.82)</f>
        <v>679.82</v>
      </c>
      <c r="G912" s="11">
        <f>IFERROR(__xludf.DUMMYFUNCTION("""COMPUTED_VALUE"""),44371.66666666667)</f>
        <v>44371.66667</v>
      </c>
      <c r="H912" s="9">
        <f>IFERROR(__xludf.DUMMYFUNCTION("""COMPUTED_VALUE"""),2541.07)</f>
        <v>2541.07</v>
      </c>
      <c r="I912" s="11">
        <f>IFERROR(__xludf.DUMMYFUNCTION("""COMPUTED_VALUE"""),44371.66666666667)</f>
        <v>44371.66667</v>
      </c>
      <c r="J912" s="9">
        <f>IFERROR(__xludf.DUMMYFUNCTION("""COMPUTED_VALUE"""),2545.64)</f>
        <v>2545.64</v>
      </c>
      <c r="L912" s="11">
        <f>IFERROR(__xludf.DUMMYFUNCTION("""COMPUTED_VALUE"""),44371.66666666667)</f>
        <v>44371.66667</v>
      </c>
      <c r="M912" s="9">
        <f>IFERROR(__xludf.DUMMYFUNCTION("""COMPUTED_VALUE"""),134.45)</f>
        <v>134.45</v>
      </c>
      <c r="N912" s="11">
        <f>IFERROR(__xludf.DUMMYFUNCTION("""COMPUTED_VALUE"""),44371.66666666667)</f>
        <v>44371.66667</v>
      </c>
      <c r="O912" s="9">
        <f>IFERROR(__xludf.DUMMYFUNCTION("""COMPUTED_VALUE"""),133.41)</f>
        <v>133.41</v>
      </c>
      <c r="Q912" s="11">
        <f>IFERROR(__xludf.DUMMYFUNCTION("""COMPUTED_VALUE"""),44371.66666666667)</f>
        <v>44371.66667</v>
      </c>
      <c r="R912" s="9">
        <f>IFERROR(__xludf.DUMMYFUNCTION("""COMPUTED_VALUE"""),341.85)</f>
        <v>341.85</v>
      </c>
      <c r="S912" s="11">
        <f>IFERROR(__xludf.DUMMYFUNCTION("""COMPUTED_VALUE"""),44371.66666666667)</f>
        <v>44371.66667</v>
      </c>
      <c r="T912" s="9">
        <f>IFERROR(__xludf.DUMMYFUNCTION("""COMPUTED_VALUE"""),343.18)</f>
        <v>343.18</v>
      </c>
      <c r="V912" s="11">
        <f>IFERROR(__xludf.DUMMYFUNCTION("""COMPUTED_VALUE"""),44371.66666666667)</f>
        <v>44371.66667</v>
      </c>
      <c r="W912" s="9">
        <f>IFERROR(__xludf.DUMMYFUNCTION("""COMPUTED_VALUE"""),517.96)</f>
        <v>517.96</v>
      </c>
      <c r="X912" s="11">
        <f>IFERROR(__xludf.DUMMYFUNCTION("""COMPUTED_VALUE"""),44371.66666666667)</f>
        <v>44371.66667</v>
      </c>
      <c r="Y912" s="9">
        <f>IFERROR(__xludf.DUMMYFUNCTION("""COMPUTED_VALUE"""),518.06)</f>
        <v>518.06</v>
      </c>
      <c r="AA912" s="11">
        <f>IFERROR(__xludf.DUMMYFUNCTION("""COMPUTED_VALUE"""),44371.66666666667)</f>
        <v>44371.66667</v>
      </c>
      <c r="AB912" s="9">
        <f>IFERROR(__xludf.DUMMYFUNCTION("""COMPUTED_VALUE"""),3507.64)</f>
        <v>3507.64</v>
      </c>
      <c r="AC912" s="11">
        <f>IFERROR(__xludf.DUMMYFUNCTION("""COMPUTED_VALUE"""),44371.66666666667)</f>
        <v>44371.66667</v>
      </c>
      <c r="AD912" s="9">
        <f>IFERROR(__xludf.DUMMYFUNCTION("""COMPUTED_VALUE"""),3449.08)</f>
        <v>3449.08</v>
      </c>
    </row>
    <row r="913">
      <c r="B913" s="11">
        <f>IFERROR(__xludf.DUMMYFUNCTION("""COMPUTED_VALUE"""),44372.66666666667)</f>
        <v>44372.66667</v>
      </c>
      <c r="C913" s="9">
        <f>IFERROR(__xludf.DUMMYFUNCTION("""COMPUTED_VALUE"""),689.58)</f>
        <v>689.58</v>
      </c>
      <c r="D913" s="11">
        <f>IFERROR(__xludf.DUMMYFUNCTION("""COMPUTED_VALUE"""),44372.66666666667)</f>
        <v>44372.66667</v>
      </c>
      <c r="E913" s="9">
        <f>IFERROR(__xludf.DUMMYFUNCTION("""COMPUTED_VALUE"""),671.87)</f>
        <v>671.87</v>
      </c>
      <c r="G913" s="11">
        <f>IFERROR(__xludf.DUMMYFUNCTION("""COMPUTED_VALUE"""),44372.66666666667)</f>
        <v>44372.66667</v>
      </c>
      <c r="H913" s="9">
        <f>IFERROR(__xludf.DUMMYFUNCTION("""COMPUTED_VALUE"""),2539.14)</f>
        <v>2539.14</v>
      </c>
      <c r="I913" s="11">
        <f>IFERROR(__xludf.DUMMYFUNCTION("""COMPUTED_VALUE"""),44372.66666666667)</f>
        <v>44372.66667</v>
      </c>
      <c r="J913" s="9">
        <f>IFERROR(__xludf.DUMMYFUNCTION("""COMPUTED_VALUE"""),2539.9)</f>
        <v>2539.9</v>
      </c>
      <c r="L913" s="11">
        <f>IFERROR(__xludf.DUMMYFUNCTION("""COMPUTED_VALUE"""),44372.66666666667)</f>
        <v>44372.66667</v>
      </c>
      <c r="M913" s="9">
        <f>IFERROR(__xludf.DUMMYFUNCTION("""COMPUTED_VALUE"""),133.46)</f>
        <v>133.46</v>
      </c>
      <c r="N913" s="11">
        <f>IFERROR(__xludf.DUMMYFUNCTION("""COMPUTED_VALUE"""),44372.66666666667)</f>
        <v>44372.66667</v>
      </c>
      <c r="O913" s="9">
        <f>IFERROR(__xludf.DUMMYFUNCTION("""COMPUTED_VALUE"""),133.11)</f>
        <v>133.11</v>
      </c>
      <c r="Q913" s="11">
        <f>IFERROR(__xludf.DUMMYFUNCTION("""COMPUTED_VALUE"""),44372.66666666667)</f>
        <v>44372.66667</v>
      </c>
      <c r="R913" s="9">
        <f>IFERROR(__xludf.DUMMYFUNCTION("""COMPUTED_VALUE"""),342.59)</f>
        <v>342.59</v>
      </c>
      <c r="S913" s="11">
        <f>IFERROR(__xludf.DUMMYFUNCTION("""COMPUTED_VALUE"""),44372.66666666667)</f>
        <v>44372.66667</v>
      </c>
      <c r="T913" s="9">
        <f>IFERROR(__xludf.DUMMYFUNCTION("""COMPUTED_VALUE"""),341.37)</f>
        <v>341.37</v>
      </c>
      <c r="V913" s="11">
        <f>IFERROR(__xludf.DUMMYFUNCTION("""COMPUTED_VALUE"""),44372.66666666667)</f>
        <v>44372.66667</v>
      </c>
      <c r="W913" s="9">
        <f>IFERROR(__xludf.DUMMYFUNCTION("""COMPUTED_VALUE"""),528.84)</f>
        <v>528.84</v>
      </c>
      <c r="X913" s="11">
        <f>IFERROR(__xludf.DUMMYFUNCTION("""COMPUTED_VALUE"""),44372.66666666667)</f>
        <v>44372.66667</v>
      </c>
      <c r="Y913" s="9">
        <f>IFERROR(__xludf.DUMMYFUNCTION("""COMPUTED_VALUE"""),527.07)</f>
        <v>527.07</v>
      </c>
      <c r="AA913" s="11">
        <f>IFERROR(__xludf.DUMMYFUNCTION("""COMPUTED_VALUE"""),44372.66666666667)</f>
        <v>44372.66667</v>
      </c>
      <c r="AB913" s="9">
        <f>IFERROR(__xludf.DUMMYFUNCTION("""COMPUTED_VALUE"""),3464.0)</f>
        <v>3464</v>
      </c>
      <c r="AC913" s="11">
        <f>IFERROR(__xludf.DUMMYFUNCTION("""COMPUTED_VALUE"""),44372.66666666667)</f>
        <v>44372.66667</v>
      </c>
      <c r="AD913" s="9">
        <f>IFERROR(__xludf.DUMMYFUNCTION("""COMPUTED_VALUE"""),3401.46)</f>
        <v>3401.46</v>
      </c>
    </row>
    <row r="914">
      <c r="B914" s="11">
        <f>IFERROR(__xludf.DUMMYFUNCTION("""COMPUTED_VALUE"""),44375.66666666667)</f>
        <v>44375.66667</v>
      </c>
      <c r="C914" s="9">
        <f>IFERROR(__xludf.DUMMYFUNCTION("""COMPUTED_VALUE"""),671.64)</f>
        <v>671.64</v>
      </c>
      <c r="D914" s="11">
        <f>IFERROR(__xludf.DUMMYFUNCTION("""COMPUTED_VALUE"""),44375.66666666667)</f>
        <v>44375.66667</v>
      </c>
      <c r="E914" s="9">
        <f>IFERROR(__xludf.DUMMYFUNCTION("""COMPUTED_VALUE"""),688.72)</f>
        <v>688.72</v>
      </c>
      <c r="G914" s="11">
        <f>IFERROR(__xludf.DUMMYFUNCTION("""COMPUTED_VALUE"""),44375.66666666667)</f>
        <v>44375.66667</v>
      </c>
      <c r="H914" s="9">
        <f>IFERROR(__xludf.DUMMYFUNCTION("""COMPUTED_VALUE"""),2540.0)</f>
        <v>2540</v>
      </c>
      <c r="I914" s="11">
        <f>IFERROR(__xludf.DUMMYFUNCTION("""COMPUTED_VALUE"""),44375.66666666667)</f>
        <v>44375.66667</v>
      </c>
      <c r="J914" s="9">
        <f>IFERROR(__xludf.DUMMYFUNCTION("""COMPUTED_VALUE"""),2536.39)</f>
        <v>2536.39</v>
      </c>
      <c r="L914" s="11">
        <f>IFERROR(__xludf.DUMMYFUNCTION("""COMPUTED_VALUE"""),44375.66666666667)</f>
        <v>44375.66667</v>
      </c>
      <c r="M914" s="9">
        <f>IFERROR(__xludf.DUMMYFUNCTION("""COMPUTED_VALUE"""),133.41)</f>
        <v>133.41</v>
      </c>
      <c r="N914" s="11">
        <f>IFERROR(__xludf.DUMMYFUNCTION("""COMPUTED_VALUE"""),44375.66666666667)</f>
        <v>44375.66667</v>
      </c>
      <c r="O914" s="9">
        <f>IFERROR(__xludf.DUMMYFUNCTION("""COMPUTED_VALUE"""),134.78)</f>
        <v>134.78</v>
      </c>
      <c r="Q914" s="11">
        <f>IFERROR(__xludf.DUMMYFUNCTION("""COMPUTED_VALUE"""),44375.66666666667)</f>
        <v>44375.66667</v>
      </c>
      <c r="R914" s="9">
        <f>IFERROR(__xludf.DUMMYFUNCTION("""COMPUTED_VALUE"""),342.46)</f>
        <v>342.46</v>
      </c>
      <c r="S914" s="11">
        <f>IFERROR(__xludf.DUMMYFUNCTION("""COMPUTED_VALUE"""),44375.66666666667)</f>
        <v>44375.66667</v>
      </c>
      <c r="T914" s="9">
        <f>IFERROR(__xludf.DUMMYFUNCTION("""COMPUTED_VALUE"""),355.64)</f>
        <v>355.64</v>
      </c>
      <c r="V914" s="11">
        <f>IFERROR(__xludf.DUMMYFUNCTION("""COMPUTED_VALUE"""),44375.66666666667)</f>
        <v>44375.66667</v>
      </c>
      <c r="W914" s="9">
        <f>IFERROR(__xludf.DUMMYFUNCTION("""COMPUTED_VALUE"""),528.12)</f>
        <v>528.12</v>
      </c>
      <c r="X914" s="11">
        <f>IFERROR(__xludf.DUMMYFUNCTION("""COMPUTED_VALUE"""),44375.66666666667)</f>
        <v>44375.66667</v>
      </c>
      <c r="Y914" s="9">
        <f>IFERROR(__xludf.DUMMYFUNCTION("""COMPUTED_VALUE"""),533.03)</f>
        <v>533.03</v>
      </c>
      <c r="AA914" s="11">
        <f>IFERROR(__xludf.DUMMYFUNCTION("""COMPUTED_VALUE"""),44375.66666666667)</f>
        <v>44375.66667</v>
      </c>
      <c r="AB914" s="9">
        <f>IFERROR(__xludf.DUMMYFUNCTION("""COMPUTED_VALUE"""),3416.0)</f>
        <v>3416</v>
      </c>
      <c r="AC914" s="11">
        <f>IFERROR(__xludf.DUMMYFUNCTION("""COMPUTED_VALUE"""),44375.66666666667)</f>
        <v>44375.66667</v>
      </c>
      <c r="AD914" s="9">
        <f>IFERROR(__xludf.DUMMYFUNCTION("""COMPUTED_VALUE"""),3443.89)</f>
        <v>3443.89</v>
      </c>
    </row>
    <row r="915">
      <c r="B915" s="11">
        <f>IFERROR(__xludf.DUMMYFUNCTION("""COMPUTED_VALUE"""),44376.66666666667)</f>
        <v>44376.66667</v>
      </c>
      <c r="C915" s="9">
        <f>IFERROR(__xludf.DUMMYFUNCTION("""COMPUTED_VALUE"""),684.65)</f>
        <v>684.65</v>
      </c>
      <c r="D915" s="11">
        <f>IFERROR(__xludf.DUMMYFUNCTION("""COMPUTED_VALUE"""),44376.66666666667)</f>
        <v>44376.66667</v>
      </c>
      <c r="E915" s="9">
        <f>IFERROR(__xludf.DUMMYFUNCTION("""COMPUTED_VALUE"""),680.76)</f>
        <v>680.76</v>
      </c>
      <c r="G915" s="11">
        <f>IFERROR(__xludf.DUMMYFUNCTION("""COMPUTED_VALUE"""),44376.66666666667)</f>
        <v>44376.66667</v>
      </c>
      <c r="H915" s="9">
        <f>IFERROR(__xludf.DUMMYFUNCTION("""COMPUTED_VALUE"""),2535.45)</f>
        <v>2535.45</v>
      </c>
      <c r="I915" s="11">
        <f>IFERROR(__xludf.DUMMYFUNCTION("""COMPUTED_VALUE"""),44376.66666666667)</f>
        <v>44376.66667</v>
      </c>
      <c r="J915" s="9">
        <f>IFERROR(__xludf.DUMMYFUNCTION("""COMPUTED_VALUE"""),2520.37)</f>
        <v>2520.37</v>
      </c>
      <c r="L915" s="11">
        <f>IFERROR(__xludf.DUMMYFUNCTION("""COMPUTED_VALUE"""),44376.66666666667)</f>
        <v>44376.66667</v>
      </c>
      <c r="M915" s="9">
        <f>IFERROR(__xludf.DUMMYFUNCTION("""COMPUTED_VALUE"""),134.8)</f>
        <v>134.8</v>
      </c>
      <c r="N915" s="11">
        <f>IFERROR(__xludf.DUMMYFUNCTION("""COMPUTED_VALUE"""),44376.66666666667)</f>
        <v>44376.66667</v>
      </c>
      <c r="O915" s="9">
        <f>IFERROR(__xludf.DUMMYFUNCTION("""COMPUTED_VALUE"""),136.33)</f>
        <v>136.33</v>
      </c>
      <c r="Q915" s="11">
        <f>IFERROR(__xludf.DUMMYFUNCTION("""COMPUTED_VALUE"""),44376.66666666667)</f>
        <v>44376.66667</v>
      </c>
      <c r="R915" s="9">
        <f>IFERROR(__xludf.DUMMYFUNCTION("""COMPUTED_VALUE"""),356.27)</f>
        <v>356.27</v>
      </c>
      <c r="S915" s="11">
        <f>IFERROR(__xludf.DUMMYFUNCTION("""COMPUTED_VALUE"""),44376.66666666667)</f>
        <v>44376.66667</v>
      </c>
      <c r="T915" s="9">
        <f>IFERROR(__xludf.DUMMYFUNCTION("""COMPUTED_VALUE"""),351.89)</f>
        <v>351.89</v>
      </c>
      <c r="V915" s="11">
        <f>IFERROR(__xludf.DUMMYFUNCTION("""COMPUTED_VALUE"""),44376.66666666667)</f>
        <v>44376.66667</v>
      </c>
      <c r="W915" s="9">
        <f>IFERROR(__xludf.DUMMYFUNCTION("""COMPUTED_VALUE"""),533.55)</f>
        <v>533.55</v>
      </c>
      <c r="X915" s="11">
        <f>IFERROR(__xludf.DUMMYFUNCTION("""COMPUTED_VALUE"""),44376.66666666667)</f>
        <v>44376.66667</v>
      </c>
      <c r="Y915" s="9">
        <f>IFERROR(__xludf.DUMMYFUNCTION("""COMPUTED_VALUE"""),533.5)</f>
        <v>533.5</v>
      </c>
      <c r="AA915" s="11">
        <f>IFERROR(__xludf.DUMMYFUNCTION("""COMPUTED_VALUE"""),44376.66666666667)</f>
        <v>44376.66667</v>
      </c>
      <c r="AB915" s="9">
        <f>IFERROR(__xludf.DUMMYFUNCTION("""COMPUTED_VALUE"""),3438.82)</f>
        <v>3438.82</v>
      </c>
      <c r="AC915" s="11">
        <f>IFERROR(__xludf.DUMMYFUNCTION("""COMPUTED_VALUE"""),44376.66666666667)</f>
        <v>44376.66667</v>
      </c>
      <c r="AD915" s="9">
        <f>IFERROR(__xludf.DUMMYFUNCTION("""COMPUTED_VALUE"""),3448.14)</f>
        <v>3448.14</v>
      </c>
    </row>
    <row r="916">
      <c r="B916" s="11">
        <f>IFERROR(__xludf.DUMMYFUNCTION("""COMPUTED_VALUE"""),44377.66666666667)</f>
        <v>44377.66667</v>
      </c>
      <c r="C916" s="9">
        <f>IFERROR(__xludf.DUMMYFUNCTION("""COMPUTED_VALUE"""),679.77)</f>
        <v>679.77</v>
      </c>
      <c r="D916" s="11">
        <f>IFERROR(__xludf.DUMMYFUNCTION("""COMPUTED_VALUE"""),44377.66666666667)</f>
        <v>44377.66667</v>
      </c>
      <c r="E916" s="9">
        <f>IFERROR(__xludf.DUMMYFUNCTION("""COMPUTED_VALUE"""),679.7)</f>
        <v>679.7</v>
      </c>
      <c r="G916" s="11">
        <f>IFERROR(__xludf.DUMMYFUNCTION("""COMPUTED_VALUE"""),44377.66666666667)</f>
        <v>44377.66667</v>
      </c>
      <c r="H916" s="9">
        <f>IFERROR(__xludf.DUMMYFUNCTION("""COMPUTED_VALUE"""),2513.07)</f>
        <v>2513.07</v>
      </c>
      <c r="I916" s="11">
        <f>IFERROR(__xludf.DUMMYFUNCTION("""COMPUTED_VALUE"""),44377.66666666667)</f>
        <v>44377.66667</v>
      </c>
      <c r="J916" s="9">
        <f>IFERROR(__xludf.DUMMYFUNCTION("""COMPUTED_VALUE"""),2506.32)</f>
        <v>2506.32</v>
      </c>
      <c r="L916" s="11">
        <f>IFERROR(__xludf.DUMMYFUNCTION("""COMPUTED_VALUE"""),44377.66666666667)</f>
        <v>44377.66667</v>
      </c>
      <c r="M916" s="9">
        <f>IFERROR(__xludf.DUMMYFUNCTION("""COMPUTED_VALUE"""),136.17)</f>
        <v>136.17</v>
      </c>
      <c r="N916" s="11">
        <f>IFERROR(__xludf.DUMMYFUNCTION("""COMPUTED_VALUE"""),44377.66666666667)</f>
        <v>44377.66667</v>
      </c>
      <c r="O916" s="9">
        <f>IFERROR(__xludf.DUMMYFUNCTION("""COMPUTED_VALUE"""),136.96)</f>
        <v>136.96</v>
      </c>
      <c r="Q916" s="11">
        <f>IFERROR(__xludf.DUMMYFUNCTION("""COMPUTED_VALUE"""),44377.66666666667)</f>
        <v>44377.66667</v>
      </c>
      <c r="R916" s="9">
        <f>IFERROR(__xludf.DUMMYFUNCTION("""COMPUTED_VALUE"""),352.17)</f>
        <v>352.17</v>
      </c>
      <c r="S916" s="11">
        <f>IFERROR(__xludf.DUMMYFUNCTION("""COMPUTED_VALUE"""),44377.66666666667)</f>
        <v>44377.66667</v>
      </c>
      <c r="T916" s="9">
        <f>IFERROR(__xludf.DUMMYFUNCTION("""COMPUTED_VALUE"""),347.71)</f>
        <v>347.71</v>
      </c>
      <c r="V916" s="11">
        <f>IFERROR(__xludf.DUMMYFUNCTION("""COMPUTED_VALUE"""),44377.66666666667)</f>
        <v>44377.66667</v>
      </c>
      <c r="W916" s="9">
        <f>IFERROR(__xludf.DUMMYFUNCTION("""COMPUTED_VALUE"""),534.06)</f>
        <v>534.06</v>
      </c>
      <c r="X916" s="11">
        <f>IFERROR(__xludf.DUMMYFUNCTION("""COMPUTED_VALUE"""),44377.66666666667)</f>
        <v>44377.66667</v>
      </c>
      <c r="Y916" s="9">
        <f>IFERROR(__xludf.DUMMYFUNCTION("""COMPUTED_VALUE"""),528.21)</f>
        <v>528.21</v>
      </c>
      <c r="AA916" s="11">
        <f>IFERROR(__xludf.DUMMYFUNCTION("""COMPUTED_VALUE"""),44377.66666666667)</f>
        <v>44377.66667</v>
      </c>
      <c r="AB916" s="9">
        <f>IFERROR(__xludf.DUMMYFUNCTION("""COMPUTED_VALUE"""),3441.06)</f>
        <v>3441.06</v>
      </c>
      <c r="AC916" s="11">
        <f>IFERROR(__xludf.DUMMYFUNCTION("""COMPUTED_VALUE"""),44377.66666666667)</f>
        <v>44377.66667</v>
      </c>
      <c r="AD916" s="9">
        <f>IFERROR(__xludf.DUMMYFUNCTION("""COMPUTED_VALUE"""),3440.16)</f>
        <v>3440.16</v>
      </c>
    </row>
    <row r="917">
      <c r="B917" s="11">
        <f>IFERROR(__xludf.DUMMYFUNCTION("""COMPUTED_VALUE"""),44378.66666666667)</f>
        <v>44378.66667</v>
      </c>
      <c r="C917" s="9">
        <f>IFERROR(__xludf.DUMMYFUNCTION("""COMPUTED_VALUE"""),683.92)</f>
        <v>683.92</v>
      </c>
      <c r="D917" s="11">
        <f>IFERROR(__xludf.DUMMYFUNCTION("""COMPUTED_VALUE"""),44378.66666666667)</f>
        <v>44378.66667</v>
      </c>
      <c r="E917" s="9">
        <f>IFERROR(__xludf.DUMMYFUNCTION("""COMPUTED_VALUE"""),677.92)</f>
        <v>677.92</v>
      </c>
      <c r="G917" s="11">
        <f>IFERROR(__xludf.DUMMYFUNCTION("""COMPUTED_VALUE"""),44378.66666666667)</f>
        <v>44378.66667</v>
      </c>
      <c r="H917" s="9">
        <f>IFERROR(__xludf.DUMMYFUNCTION("""COMPUTED_VALUE"""),2497.0)</f>
        <v>2497</v>
      </c>
      <c r="I917" s="11">
        <f>IFERROR(__xludf.DUMMYFUNCTION("""COMPUTED_VALUE"""),44378.66666666667)</f>
        <v>44378.66667</v>
      </c>
      <c r="J917" s="9">
        <f>IFERROR(__xludf.DUMMYFUNCTION("""COMPUTED_VALUE"""),2527.37)</f>
        <v>2527.37</v>
      </c>
      <c r="L917" s="11">
        <f>IFERROR(__xludf.DUMMYFUNCTION("""COMPUTED_VALUE"""),44378.66666666667)</f>
        <v>44378.66667</v>
      </c>
      <c r="M917" s="9">
        <f>IFERROR(__xludf.DUMMYFUNCTION("""COMPUTED_VALUE"""),136.6)</f>
        <v>136.6</v>
      </c>
      <c r="N917" s="11">
        <f>IFERROR(__xludf.DUMMYFUNCTION("""COMPUTED_VALUE"""),44378.66666666667)</f>
        <v>44378.66667</v>
      </c>
      <c r="O917" s="9">
        <f>IFERROR(__xludf.DUMMYFUNCTION("""COMPUTED_VALUE"""),137.27)</f>
        <v>137.27</v>
      </c>
      <c r="Q917" s="11">
        <f>IFERROR(__xludf.DUMMYFUNCTION("""COMPUTED_VALUE"""),44378.66666666667)</f>
        <v>44378.66667</v>
      </c>
      <c r="R917" s="9">
        <f>IFERROR(__xludf.DUMMYFUNCTION("""COMPUTED_VALUE"""),346.82)</f>
        <v>346.82</v>
      </c>
      <c r="S917" s="11">
        <f>IFERROR(__xludf.DUMMYFUNCTION("""COMPUTED_VALUE"""),44378.66666666667)</f>
        <v>44378.66667</v>
      </c>
      <c r="T917" s="9">
        <f>IFERROR(__xludf.DUMMYFUNCTION("""COMPUTED_VALUE"""),354.39)</f>
        <v>354.39</v>
      </c>
      <c r="V917" s="11">
        <f>IFERROR(__xludf.DUMMYFUNCTION("""COMPUTED_VALUE"""),44378.66666666667)</f>
        <v>44378.66667</v>
      </c>
      <c r="W917" s="9">
        <f>IFERROR(__xludf.DUMMYFUNCTION("""COMPUTED_VALUE"""),525.72)</f>
        <v>525.72</v>
      </c>
      <c r="X917" s="11">
        <f>IFERROR(__xludf.DUMMYFUNCTION("""COMPUTED_VALUE"""),44378.66666666667)</f>
        <v>44378.66667</v>
      </c>
      <c r="Y917" s="9">
        <f>IFERROR(__xludf.DUMMYFUNCTION("""COMPUTED_VALUE"""),533.54)</f>
        <v>533.54</v>
      </c>
      <c r="AA917" s="11">
        <f>IFERROR(__xludf.DUMMYFUNCTION("""COMPUTED_VALUE"""),44378.66666666667)</f>
        <v>44378.66667</v>
      </c>
      <c r="AB917" s="9">
        <f>IFERROR(__xludf.DUMMYFUNCTION("""COMPUTED_VALUE"""),3434.61)</f>
        <v>3434.61</v>
      </c>
      <c r="AC917" s="11">
        <f>IFERROR(__xludf.DUMMYFUNCTION("""COMPUTED_VALUE"""),44378.66666666667)</f>
        <v>44378.66667</v>
      </c>
      <c r="AD917" s="9">
        <f>IFERROR(__xludf.DUMMYFUNCTION("""COMPUTED_VALUE"""),3432.97)</f>
        <v>3432.97</v>
      </c>
    </row>
    <row r="918">
      <c r="B918" s="11">
        <f>IFERROR(__xludf.DUMMYFUNCTION("""COMPUTED_VALUE"""),44379.66666666667)</f>
        <v>44379.66667</v>
      </c>
      <c r="C918" s="9">
        <f>IFERROR(__xludf.DUMMYFUNCTION("""COMPUTED_VALUE"""),678.98)</f>
        <v>678.98</v>
      </c>
      <c r="D918" s="11">
        <f>IFERROR(__xludf.DUMMYFUNCTION("""COMPUTED_VALUE"""),44379.66666666667)</f>
        <v>44379.66667</v>
      </c>
      <c r="E918" s="9">
        <f>IFERROR(__xludf.DUMMYFUNCTION("""COMPUTED_VALUE"""),678.9)</f>
        <v>678.9</v>
      </c>
      <c r="G918" s="11">
        <f>IFERROR(__xludf.DUMMYFUNCTION("""COMPUTED_VALUE"""),44379.66666666667)</f>
        <v>44379.66667</v>
      </c>
      <c r="H918" s="9">
        <f>IFERROR(__xludf.DUMMYFUNCTION("""COMPUTED_VALUE"""),2536.79)</f>
        <v>2536.79</v>
      </c>
      <c r="I918" s="11">
        <f>IFERROR(__xludf.DUMMYFUNCTION("""COMPUTED_VALUE"""),44379.66666666667)</f>
        <v>44379.66667</v>
      </c>
      <c r="J918" s="9">
        <f>IFERROR(__xludf.DUMMYFUNCTION("""COMPUTED_VALUE"""),2574.38)</f>
        <v>2574.38</v>
      </c>
      <c r="L918" s="11">
        <f>IFERROR(__xludf.DUMMYFUNCTION("""COMPUTED_VALUE"""),44379.66666666667)</f>
        <v>44379.66667</v>
      </c>
      <c r="M918" s="9">
        <f>IFERROR(__xludf.DUMMYFUNCTION("""COMPUTED_VALUE"""),137.9)</f>
        <v>137.9</v>
      </c>
      <c r="N918" s="11">
        <f>IFERROR(__xludf.DUMMYFUNCTION("""COMPUTED_VALUE"""),44379.66666666667)</f>
        <v>44379.66667</v>
      </c>
      <c r="O918" s="9">
        <f>IFERROR(__xludf.DUMMYFUNCTION("""COMPUTED_VALUE"""),139.96)</f>
        <v>139.96</v>
      </c>
      <c r="Q918" s="11">
        <f>IFERROR(__xludf.DUMMYFUNCTION("""COMPUTED_VALUE"""),44379.66666666667)</f>
        <v>44379.66667</v>
      </c>
      <c r="R918" s="9">
        <f>IFERROR(__xludf.DUMMYFUNCTION("""COMPUTED_VALUE"""),355.1)</f>
        <v>355.1</v>
      </c>
      <c r="S918" s="11">
        <f>IFERROR(__xludf.DUMMYFUNCTION("""COMPUTED_VALUE"""),44379.66666666667)</f>
        <v>44379.66667</v>
      </c>
      <c r="T918" s="9">
        <f>IFERROR(__xludf.DUMMYFUNCTION("""COMPUTED_VALUE"""),354.7)</f>
        <v>354.7</v>
      </c>
      <c r="V918" s="11">
        <f>IFERROR(__xludf.DUMMYFUNCTION("""COMPUTED_VALUE"""),44379.66666666667)</f>
        <v>44379.66667</v>
      </c>
      <c r="W918" s="9">
        <f>IFERROR(__xludf.DUMMYFUNCTION("""COMPUTED_VALUE"""),535.5)</f>
        <v>535.5</v>
      </c>
      <c r="X918" s="11">
        <f>IFERROR(__xludf.DUMMYFUNCTION("""COMPUTED_VALUE"""),44379.66666666667)</f>
        <v>44379.66667</v>
      </c>
      <c r="Y918" s="9">
        <f>IFERROR(__xludf.DUMMYFUNCTION("""COMPUTED_VALUE"""),533.98)</f>
        <v>533.98</v>
      </c>
      <c r="AA918" s="11">
        <f>IFERROR(__xludf.DUMMYFUNCTION("""COMPUTED_VALUE"""),44379.66666666667)</f>
        <v>44379.66667</v>
      </c>
      <c r="AB918" s="9">
        <f>IFERROR(__xludf.DUMMYFUNCTION("""COMPUTED_VALUE"""),3451.64)</f>
        <v>3451.64</v>
      </c>
      <c r="AC918" s="11">
        <f>IFERROR(__xludf.DUMMYFUNCTION("""COMPUTED_VALUE"""),44379.66666666667)</f>
        <v>44379.66667</v>
      </c>
      <c r="AD918" s="9">
        <f>IFERROR(__xludf.DUMMYFUNCTION("""COMPUTED_VALUE"""),3510.98)</f>
        <v>3510.98</v>
      </c>
    </row>
    <row r="919">
      <c r="B919" s="11">
        <f>IFERROR(__xludf.DUMMYFUNCTION("""COMPUTED_VALUE"""),44383.66666666667)</f>
        <v>44383.66667</v>
      </c>
      <c r="C919" s="9">
        <f>IFERROR(__xludf.DUMMYFUNCTION("""COMPUTED_VALUE"""),681.71)</f>
        <v>681.71</v>
      </c>
      <c r="D919" s="11">
        <f>IFERROR(__xludf.DUMMYFUNCTION("""COMPUTED_VALUE"""),44383.66666666667)</f>
        <v>44383.66667</v>
      </c>
      <c r="E919" s="9">
        <f>IFERROR(__xludf.DUMMYFUNCTION("""COMPUTED_VALUE"""),659.58)</f>
        <v>659.58</v>
      </c>
      <c r="G919" s="11">
        <f>IFERROR(__xludf.DUMMYFUNCTION("""COMPUTED_VALUE"""),44383.66666666667)</f>
        <v>44383.66667</v>
      </c>
      <c r="H919" s="9">
        <f>IFERROR(__xludf.DUMMYFUNCTION("""COMPUTED_VALUE"""),2588.99)</f>
        <v>2588.99</v>
      </c>
      <c r="I919" s="11">
        <f>IFERROR(__xludf.DUMMYFUNCTION("""COMPUTED_VALUE"""),44383.66666666667)</f>
        <v>44383.66667</v>
      </c>
      <c r="J919" s="9">
        <f>IFERROR(__xludf.DUMMYFUNCTION("""COMPUTED_VALUE"""),2595.42)</f>
        <v>2595.42</v>
      </c>
      <c r="L919" s="11">
        <f>IFERROR(__xludf.DUMMYFUNCTION("""COMPUTED_VALUE"""),44383.66666666667)</f>
        <v>44383.66667</v>
      </c>
      <c r="M919" s="9">
        <f>IFERROR(__xludf.DUMMYFUNCTION("""COMPUTED_VALUE"""),140.07)</f>
        <v>140.07</v>
      </c>
      <c r="N919" s="11">
        <f>IFERROR(__xludf.DUMMYFUNCTION("""COMPUTED_VALUE"""),44383.66666666667)</f>
        <v>44383.66667</v>
      </c>
      <c r="O919" s="9">
        <f>IFERROR(__xludf.DUMMYFUNCTION("""COMPUTED_VALUE"""),142.02)</f>
        <v>142.02</v>
      </c>
      <c r="Q919" s="11">
        <f>IFERROR(__xludf.DUMMYFUNCTION("""COMPUTED_VALUE"""),44383.66666666667)</f>
        <v>44383.66667</v>
      </c>
      <c r="R919" s="9">
        <f>IFERROR(__xludf.DUMMYFUNCTION("""COMPUTED_VALUE"""),356.5)</f>
        <v>356.5</v>
      </c>
      <c r="S919" s="11">
        <f>IFERROR(__xludf.DUMMYFUNCTION("""COMPUTED_VALUE"""),44383.66666666667)</f>
        <v>44383.66667</v>
      </c>
      <c r="T919" s="9">
        <f>IFERROR(__xludf.DUMMYFUNCTION("""COMPUTED_VALUE"""),352.78)</f>
        <v>352.78</v>
      </c>
      <c r="V919" s="11">
        <f>IFERROR(__xludf.DUMMYFUNCTION("""COMPUTED_VALUE"""),44383.66666666667)</f>
        <v>44383.66667</v>
      </c>
      <c r="W919" s="9">
        <f>IFERROR(__xludf.DUMMYFUNCTION("""COMPUTED_VALUE"""),533.0)</f>
        <v>533</v>
      </c>
      <c r="X919" s="11">
        <f>IFERROR(__xludf.DUMMYFUNCTION("""COMPUTED_VALUE"""),44383.66666666667)</f>
        <v>44383.66667</v>
      </c>
      <c r="Y919" s="9">
        <f>IFERROR(__xludf.DUMMYFUNCTION("""COMPUTED_VALUE"""),541.64)</f>
        <v>541.64</v>
      </c>
      <c r="AA919" s="11">
        <f>IFERROR(__xludf.DUMMYFUNCTION("""COMPUTED_VALUE"""),44383.66666666667)</f>
        <v>44383.66667</v>
      </c>
      <c r="AB919" s="9">
        <f>IFERROR(__xludf.DUMMYFUNCTION("""COMPUTED_VALUE"""),3530.11)</f>
        <v>3530.11</v>
      </c>
      <c r="AC919" s="11">
        <f>IFERROR(__xludf.DUMMYFUNCTION("""COMPUTED_VALUE"""),44383.66666666667)</f>
        <v>44383.66667</v>
      </c>
      <c r="AD919" s="9">
        <f>IFERROR(__xludf.DUMMYFUNCTION("""COMPUTED_VALUE"""),3675.74)</f>
        <v>3675.74</v>
      </c>
    </row>
    <row r="920">
      <c r="B920" s="11">
        <f>IFERROR(__xludf.DUMMYFUNCTION("""COMPUTED_VALUE"""),44384.66666666667)</f>
        <v>44384.66667</v>
      </c>
      <c r="C920" s="9">
        <f>IFERROR(__xludf.DUMMYFUNCTION("""COMPUTED_VALUE"""),664.27)</f>
        <v>664.27</v>
      </c>
      <c r="D920" s="11">
        <f>IFERROR(__xludf.DUMMYFUNCTION("""COMPUTED_VALUE"""),44384.66666666667)</f>
        <v>44384.66667</v>
      </c>
      <c r="E920" s="9">
        <f>IFERROR(__xludf.DUMMYFUNCTION("""COMPUTED_VALUE"""),644.65)</f>
        <v>644.65</v>
      </c>
      <c r="G920" s="11">
        <f>IFERROR(__xludf.DUMMYFUNCTION("""COMPUTED_VALUE"""),44384.66666666667)</f>
        <v>44384.66667</v>
      </c>
      <c r="H920" s="9">
        <f>IFERROR(__xludf.DUMMYFUNCTION("""COMPUTED_VALUE"""),2606.82)</f>
        <v>2606.82</v>
      </c>
      <c r="I920" s="11">
        <f>IFERROR(__xludf.DUMMYFUNCTION("""COMPUTED_VALUE"""),44384.66666666667)</f>
        <v>44384.66667</v>
      </c>
      <c r="J920" s="9">
        <f>IFERROR(__xludf.DUMMYFUNCTION("""COMPUTED_VALUE"""),2601.55)</f>
        <v>2601.55</v>
      </c>
      <c r="L920" s="11">
        <f>IFERROR(__xludf.DUMMYFUNCTION("""COMPUTED_VALUE"""),44384.66666666667)</f>
        <v>44384.66667</v>
      </c>
      <c r="M920" s="9">
        <f>IFERROR(__xludf.DUMMYFUNCTION("""COMPUTED_VALUE"""),143.54)</f>
        <v>143.54</v>
      </c>
      <c r="N920" s="11">
        <f>IFERROR(__xludf.DUMMYFUNCTION("""COMPUTED_VALUE"""),44384.66666666667)</f>
        <v>44384.66667</v>
      </c>
      <c r="O920" s="9">
        <f>IFERROR(__xludf.DUMMYFUNCTION("""COMPUTED_VALUE"""),144.57)</f>
        <v>144.57</v>
      </c>
      <c r="Q920" s="11">
        <f>IFERROR(__xludf.DUMMYFUNCTION("""COMPUTED_VALUE"""),44384.66666666667)</f>
        <v>44384.66667</v>
      </c>
      <c r="R920" s="9">
        <f>IFERROR(__xludf.DUMMYFUNCTION("""COMPUTED_VALUE"""),355.26)</f>
        <v>355.26</v>
      </c>
      <c r="S920" s="11">
        <f>IFERROR(__xludf.DUMMYFUNCTION("""COMPUTED_VALUE"""),44384.66666666667)</f>
        <v>44384.66667</v>
      </c>
      <c r="T920" s="9">
        <f>IFERROR(__xludf.DUMMYFUNCTION("""COMPUTED_VALUE"""),350.49)</f>
        <v>350.49</v>
      </c>
      <c r="V920" s="11">
        <f>IFERROR(__xludf.DUMMYFUNCTION("""COMPUTED_VALUE"""),44384.66666666667)</f>
        <v>44384.66667</v>
      </c>
      <c r="W920" s="9">
        <f>IFERROR(__xludf.DUMMYFUNCTION("""COMPUTED_VALUE"""),544.24)</f>
        <v>544.24</v>
      </c>
      <c r="X920" s="11">
        <f>IFERROR(__xludf.DUMMYFUNCTION("""COMPUTED_VALUE"""),44384.66666666667)</f>
        <v>44384.66667</v>
      </c>
      <c r="Y920" s="9">
        <f>IFERROR(__xludf.DUMMYFUNCTION("""COMPUTED_VALUE"""),535.96)</f>
        <v>535.96</v>
      </c>
      <c r="AA920" s="11">
        <f>IFERROR(__xludf.DUMMYFUNCTION("""COMPUTED_VALUE"""),44384.66666666667)</f>
        <v>44384.66667</v>
      </c>
      <c r="AB920" s="9">
        <f>IFERROR(__xludf.DUMMYFUNCTION("""COMPUTED_VALUE"""),3717.38)</f>
        <v>3717.38</v>
      </c>
      <c r="AC920" s="11">
        <f>IFERROR(__xludf.DUMMYFUNCTION("""COMPUTED_VALUE"""),44384.66666666667)</f>
        <v>44384.66667</v>
      </c>
      <c r="AD920" s="9">
        <f>IFERROR(__xludf.DUMMYFUNCTION("""COMPUTED_VALUE"""),3696.58)</f>
        <v>3696.58</v>
      </c>
    </row>
    <row r="921">
      <c r="B921" s="11">
        <f>IFERROR(__xludf.DUMMYFUNCTION("""COMPUTED_VALUE"""),44385.66666666667)</f>
        <v>44385.66667</v>
      </c>
      <c r="C921" s="9">
        <f>IFERROR(__xludf.DUMMYFUNCTION("""COMPUTED_VALUE"""),628.37)</f>
        <v>628.37</v>
      </c>
      <c r="D921" s="11">
        <f>IFERROR(__xludf.DUMMYFUNCTION("""COMPUTED_VALUE"""),44385.66666666667)</f>
        <v>44385.66667</v>
      </c>
      <c r="E921" s="9">
        <f>IFERROR(__xludf.DUMMYFUNCTION("""COMPUTED_VALUE"""),652.81)</f>
        <v>652.81</v>
      </c>
      <c r="G921" s="11">
        <f>IFERROR(__xludf.DUMMYFUNCTION("""COMPUTED_VALUE"""),44385.66666666667)</f>
        <v>44385.66667</v>
      </c>
      <c r="H921" s="9">
        <f>IFERROR(__xludf.DUMMYFUNCTION("""COMPUTED_VALUE"""),2565.0)</f>
        <v>2565</v>
      </c>
      <c r="I921" s="11">
        <f>IFERROR(__xludf.DUMMYFUNCTION("""COMPUTED_VALUE"""),44385.66666666667)</f>
        <v>44385.66667</v>
      </c>
      <c r="J921" s="9">
        <f>IFERROR(__xludf.DUMMYFUNCTION("""COMPUTED_VALUE"""),2583.54)</f>
        <v>2583.54</v>
      </c>
      <c r="L921" s="11">
        <f>IFERROR(__xludf.DUMMYFUNCTION("""COMPUTED_VALUE"""),44385.66666666667)</f>
        <v>44385.66667</v>
      </c>
      <c r="M921" s="9">
        <f>IFERROR(__xludf.DUMMYFUNCTION("""COMPUTED_VALUE"""),141.58)</f>
        <v>141.58</v>
      </c>
      <c r="N921" s="11">
        <f>IFERROR(__xludf.DUMMYFUNCTION("""COMPUTED_VALUE"""),44385.66666666667)</f>
        <v>44385.66667</v>
      </c>
      <c r="O921" s="9">
        <f>IFERROR(__xludf.DUMMYFUNCTION("""COMPUTED_VALUE"""),143.24)</f>
        <v>143.24</v>
      </c>
      <c r="Q921" s="11">
        <f>IFERROR(__xludf.DUMMYFUNCTION("""COMPUTED_VALUE"""),44385.66666666667)</f>
        <v>44385.66667</v>
      </c>
      <c r="R921" s="9">
        <f>IFERROR(__xludf.DUMMYFUNCTION("""COMPUTED_VALUE"""),345.73)</f>
        <v>345.73</v>
      </c>
      <c r="S921" s="11">
        <f>IFERROR(__xludf.DUMMYFUNCTION("""COMPUTED_VALUE"""),44385.66666666667)</f>
        <v>44385.66667</v>
      </c>
      <c r="T921" s="9">
        <f>IFERROR(__xludf.DUMMYFUNCTION("""COMPUTED_VALUE"""),345.65)</f>
        <v>345.65</v>
      </c>
      <c r="V921" s="11">
        <f>IFERROR(__xludf.DUMMYFUNCTION("""COMPUTED_VALUE"""),44385.66666666667)</f>
        <v>44385.66667</v>
      </c>
      <c r="W921" s="9">
        <f>IFERROR(__xludf.DUMMYFUNCTION("""COMPUTED_VALUE"""),530.93)</f>
        <v>530.93</v>
      </c>
      <c r="X921" s="11">
        <f>IFERROR(__xludf.DUMMYFUNCTION("""COMPUTED_VALUE"""),44385.66666666667)</f>
        <v>44385.66667</v>
      </c>
      <c r="Y921" s="9">
        <f>IFERROR(__xludf.DUMMYFUNCTION("""COMPUTED_VALUE"""),530.76)</f>
        <v>530.76</v>
      </c>
      <c r="AA921" s="11">
        <f>IFERROR(__xludf.DUMMYFUNCTION("""COMPUTED_VALUE"""),44385.66666666667)</f>
        <v>44385.66667</v>
      </c>
      <c r="AB921" s="9">
        <f>IFERROR(__xludf.DUMMYFUNCTION("""COMPUTED_VALUE"""),3643.56)</f>
        <v>3643.56</v>
      </c>
      <c r="AC921" s="11">
        <f>IFERROR(__xludf.DUMMYFUNCTION("""COMPUTED_VALUE"""),44385.66666666667)</f>
        <v>44385.66667</v>
      </c>
      <c r="AD921" s="9">
        <f>IFERROR(__xludf.DUMMYFUNCTION("""COMPUTED_VALUE"""),3731.41)</f>
        <v>3731.41</v>
      </c>
    </row>
    <row r="922">
      <c r="B922" s="11">
        <f>IFERROR(__xludf.DUMMYFUNCTION("""COMPUTED_VALUE"""),44386.66666666667)</f>
        <v>44386.66667</v>
      </c>
      <c r="C922" s="9">
        <f>IFERROR(__xludf.DUMMYFUNCTION("""COMPUTED_VALUE"""),653.18)</f>
        <v>653.18</v>
      </c>
      <c r="D922" s="11">
        <f>IFERROR(__xludf.DUMMYFUNCTION("""COMPUTED_VALUE"""),44386.66666666667)</f>
        <v>44386.66667</v>
      </c>
      <c r="E922" s="9">
        <f>IFERROR(__xludf.DUMMYFUNCTION("""COMPUTED_VALUE"""),656.95)</f>
        <v>656.95</v>
      </c>
      <c r="G922" s="11">
        <f>IFERROR(__xludf.DUMMYFUNCTION("""COMPUTED_VALUE"""),44386.66666666667)</f>
        <v>44386.66667</v>
      </c>
      <c r="H922" s="9">
        <f>IFERROR(__xludf.DUMMYFUNCTION("""COMPUTED_VALUE"""),2578.89)</f>
        <v>2578.89</v>
      </c>
      <c r="I922" s="11">
        <f>IFERROR(__xludf.DUMMYFUNCTION("""COMPUTED_VALUE"""),44386.66666666667)</f>
        <v>44386.66667</v>
      </c>
      <c r="J922" s="9">
        <f>IFERROR(__xludf.DUMMYFUNCTION("""COMPUTED_VALUE"""),2591.49)</f>
        <v>2591.49</v>
      </c>
      <c r="L922" s="11">
        <f>IFERROR(__xludf.DUMMYFUNCTION("""COMPUTED_VALUE"""),44386.66666666667)</f>
        <v>44386.66667</v>
      </c>
      <c r="M922" s="9">
        <f>IFERROR(__xludf.DUMMYFUNCTION("""COMPUTED_VALUE"""),142.75)</f>
        <v>142.75</v>
      </c>
      <c r="N922" s="11">
        <f>IFERROR(__xludf.DUMMYFUNCTION("""COMPUTED_VALUE"""),44386.66666666667)</f>
        <v>44386.66667</v>
      </c>
      <c r="O922" s="9">
        <f>IFERROR(__xludf.DUMMYFUNCTION("""COMPUTED_VALUE"""),145.11)</f>
        <v>145.11</v>
      </c>
      <c r="Q922" s="11">
        <f>IFERROR(__xludf.DUMMYFUNCTION("""COMPUTED_VALUE"""),44386.66666666667)</f>
        <v>44386.66667</v>
      </c>
      <c r="R922" s="9">
        <f>IFERROR(__xludf.DUMMYFUNCTION("""COMPUTED_VALUE"""),345.32)</f>
        <v>345.32</v>
      </c>
      <c r="S922" s="11">
        <f>IFERROR(__xludf.DUMMYFUNCTION("""COMPUTED_VALUE"""),44386.66666666667)</f>
        <v>44386.66667</v>
      </c>
      <c r="T922" s="9">
        <f>IFERROR(__xludf.DUMMYFUNCTION("""COMPUTED_VALUE"""),350.42)</f>
        <v>350.42</v>
      </c>
      <c r="V922" s="11">
        <f>IFERROR(__xludf.DUMMYFUNCTION("""COMPUTED_VALUE"""),44386.66666666667)</f>
        <v>44386.66667</v>
      </c>
      <c r="W922" s="9">
        <f>IFERROR(__xludf.DUMMYFUNCTION("""COMPUTED_VALUE"""),531.0)</f>
        <v>531</v>
      </c>
      <c r="X922" s="11">
        <f>IFERROR(__xludf.DUMMYFUNCTION("""COMPUTED_VALUE"""),44386.66666666667)</f>
        <v>44386.66667</v>
      </c>
      <c r="Y922" s="9">
        <f>IFERROR(__xludf.DUMMYFUNCTION("""COMPUTED_VALUE"""),535.98)</f>
        <v>535.98</v>
      </c>
      <c r="AA922" s="11">
        <f>IFERROR(__xludf.DUMMYFUNCTION("""COMPUTED_VALUE"""),44386.66666666667)</f>
        <v>44386.66667</v>
      </c>
      <c r="AB922" s="9">
        <f>IFERROR(__xludf.DUMMYFUNCTION("""COMPUTED_VALUE"""),3722.52)</f>
        <v>3722.52</v>
      </c>
      <c r="AC922" s="11">
        <f>IFERROR(__xludf.DUMMYFUNCTION("""COMPUTED_VALUE"""),44386.66666666667)</f>
        <v>44386.66667</v>
      </c>
      <c r="AD922" s="9">
        <f>IFERROR(__xludf.DUMMYFUNCTION("""COMPUTED_VALUE"""),3719.34)</f>
        <v>3719.34</v>
      </c>
    </row>
    <row r="923">
      <c r="B923" s="11">
        <f>IFERROR(__xludf.DUMMYFUNCTION("""COMPUTED_VALUE"""),44389.66666666667)</f>
        <v>44389.66667</v>
      </c>
      <c r="C923" s="9">
        <f>IFERROR(__xludf.DUMMYFUNCTION("""COMPUTED_VALUE"""),662.2)</f>
        <v>662.2</v>
      </c>
      <c r="D923" s="11">
        <f>IFERROR(__xludf.DUMMYFUNCTION("""COMPUTED_VALUE"""),44389.66666666667)</f>
        <v>44389.66667</v>
      </c>
      <c r="E923" s="9">
        <f>IFERROR(__xludf.DUMMYFUNCTION("""COMPUTED_VALUE"""),685.7)</f>
        <v>685.7</v>
      </c>
      <c r="G923" s="11">
        <f>IFERROR(__xludf.DUMMYFUNCTION("""COMPUTED_VALUE"""),44389.66666666667)</f>
        <v>44389.66667</v>
      </c>
      <c r="H923" s="9">
        <f>IFERROR(__xludf.DUMMYFUNCTION("""COMPUTED_VALUE"""),2596.67)</f>
        <v>2596.67</v>
      </c>
      <c r="I923" s="11">
        <f>IFERROR(__xludf.DUMMYFUNCTION("""COMPUTED_VALUE"""),44389.66666666667)</f>
        <v>44389.66667</v>
      </c>
      <c r="J923" s="9">
        <f>IFERROR(__xludf.DUMMYFUNCTION("""COMPUTED_VALUE"""),2611.28)</f>
        <v>2611.28</v>
      </c>
      <c r="L923" s="11">
        <f>IFERROR(__xludf.DUMMYFUNCTION("""COMPUTED_VALUE"""),44389.66666666667)</f>
        <v>44389.66667</v>
      </c>
      <c r="M923" s="9">
        <f>IFERROR(__xludf.DUMMYFUNCTION("""COMPUTED_VALUE"""),146.21)</f>
        <v>146.21</v>
      </c>
      <c r="N923" s="11">
        <f>IFERROR(__xludf.DUMMYFUNCTION("""COMPUTED_VALUE"""),44389.66666666667)</f>
        <v>44389.66667</v>
      </c>
      <c r="O923" s="9">
        <f>IFERROR(__xludf.DUMMYFUNCTION("""COMPUTED_VALUE"""),144.5)</f>
        <v>144.5</v>
      </c>
      <c r="Q923" s="11">
        <f>IFERROR(__xludf.DUMMYFUNCTION("""COMPUTED_VALUE"""),44389.66666666667)</f>
        <v>44389.66667</v>
      </c>
      <c r="R923" s="9">
        <f>IFERROR(__xludf.DUMMYFUNCTION("""COMPUTED_VALUE"""),351.23)</f>
        <v>351.23</v>
      </c>
      <c r="S923" s="11">
        <f>IFERROR(__xludf.DUMMYFUNCTION("""COMPUTED_VALUE"""),44389.66666666667)</f>
        <v>44389.66667</v>
      </c>
      <c r="T923" s="9">
        <f>IFERROR(__xludf.DUMMYFUNCTION("""COMPUTED_VALUE"""),353.16)</f>
        <v>353.16</v>
      </c>
      <c r="V923" s="11">
        <f>IFERROR(__xludf.DUMMYFUNCTION("""COMPUTED_VALUE"""),44389.66666666667)</f>
        <v>44389.66667</v>
      </c>
      <c r="W923" s="9">
        <f>IFERROR(__xludf.DUMMYFUNCTION("""COMPUTED_VALUE"""),540.3)</f>
        <v>540.3</v>
      </c>
      <c r="X923" s="11">
        <f>IFERROR(__xludf.DUMMYFUNCTION("""COMPUTED_VALUE"""),44389.66666666667)</f>
        <v>44389.66667</v>
      </c>
      <c r="Y923" s="9">
        <f>IFERROR(__xludf.DUMMYFUNCTION("""COMPUTED_VALUE"""),537.31)</f>
        <v>537.31</v>
      </c>
      <c r="AA923" s="11">
        <f>IFERROR(__xludf.DUMMYFUNCTION("""COMPUTED_VALUE"""),44389.66666666667)</f>
        <v>44389.66667</v>
      </c>
      <c r="AB923" s="9">
        <f>IFERROR(__xludf.DUMMYFUNCTION("""COMPUTED_VALUE"""),3744.0)</f>
        <v>3744</v>
      </c>
      <c r="AC923" s="11">
        <f>IFERROR(__xludf.DUMMYFUNCTION("""COMPUTED_VALUE"""),44389.66666666667)</f>
        <v>44389.66667</v>
      </c>
      <c r="AD923" s="9">
        <f>IFERROR(__xludf.DUMMYFUNCTION("""COMPUTED_VALUE"""),3718.55)</f>
        <v>3718.55</v>
      </c>
    </row>
    <row r="924">
      <c r="B924" s="11">
        <f>IFERROR(__xludf.DUMMYFUNCTION("""COMPUTED_VALUE"""),44390.66666666667)</f>
        <v>44390.66667</v>
      </c>
      <c r="C924" s="9">
        <f>IFERROR(__xludf.DUMMYFUNCTION("""COMPUTED_VALUE"""),686.32)</f>
        <v>686.32</v>
      </c>
      <c r="D924" s="11">
        <f>IFERROR(__xludf.DUMMYFUNCTION("""COMPUTED_VALUE"""),44390.66666666667)</f>
        <v>44390.66667</v>
      </c>
      <c r="E924" s="9">
        <f>IFERROR(__xludf.DUMMYFUNCTION("""COMPUTED_VALUE"""),668.54)</f>
        <v>668.54</v>
      </c>
      <c r="G924" s="11">
        <f>IFERROR(__xludf.DUMMYFUNCTION("""COMPUTED_VALUE"""),44390.66666666667)</f>
        <v>44390.66667</v>
      </c>
      <c r="H924" s="9">
        <f>IFERROR(__xludf.DUMMYFUNCTION("""COMPUTED_VALUE"""),2617.63)</f>
        <v>2617.63</v>
      </c>
      <c r="I924" s="11">
        <f>IFERROR(__xludf.DUMMYFUNCTION("""COMPUTED_VALUE"""),44390.66666666667)</f>
        <v>44390.66667</v>
      </c>
      <c r="J924" s="9">
        <f>IFERROR(__xludf.DUMMYFUNCTION("""COMPUTED_VALUE"""),2619.89)</f>
        <v>2619.89</v>
      </c>
      <c r="L924" s="11">
        <f>IFERROR(__xludf.DUMMYFUNCTION("""COMPUTED_VALUE"""),44390.66666666667)</f>
        <v>44390.66667</v>
      </c>
      <c r="M924" s="9">
        <f>IFERROR(__xludf.DUMMYFUNCTION("""COMPUTED_VALUE"""),144.03)</f>
        <v>144.03</v>
      </c>
      <c r="N924" s="11">
        <f>IFERROR(__xludf.DUMMYFUNCTION("""COMPUTED_VALUE"""),44390.66666666667)</f>
        <v>44390.66667</v>
      </c>
      <c r="O924" s="9">
        <f>IFERROR(__xludf.DUMMYFUNCTION("""COMPUTED_VALUE"""),145.64)</f>
        <v>145.64</v>
      </c>
      <c r="Q924" s="11">
        <f>IFERROR(__xludf.DUMMYFUNCTION("""COMPUTED_VALUE"""),44390.66666666667)</f>
        <v>44390.66667</v>
      </c>
      <c r="R924" s="9">
        <f>IFERROR(__xludf.DUMMYFUNCTION("""COMPUTED_VALUE"""),351.5)</f>
        <v>351.5</v>
      </c>
      <c r="S924" s="11">
        <f>IFERROR(__xludf.DUMMYFUNCTION("""COMPUTED_VALUE"""),44390.66666666667)</f>
        <v>44390.66667</v>
      </c>
      <c r="T924" s="9">
        <f>IFERROR(__xludf.DUMMYFUNCTION("""COMPUTED_VALUE"""),352.09)</f>
        <v>352.09</v>
      </c>
      <c r="V924" s="11">
        <f>IFERROR(__xludf.DUMMYFUNCTION("""COMPUTED_VALUE"""),44390.66666666667)</f>
        <v>44390.66667</v>
      </c>
      <c r="W924" s="9">
        <f>IFERROR(__xludf.DUMMYFUNCTION("""COMPUTED_VALUE"""),535.76)</f>
        <v>535.76</v>
      </c>
      <c r="X924" s="11">
        <f>IFERROR(__xludf.DUMMYFUNCTION("""COMPUTED_VALUE"""),44390.66666666667)</f>
        <v>44390.66667</v>
      </c>
      <c r="Y924" s="9">
        <f>IFERROR(__xludf.DUMMYFUNCTION("""COMPUTED_VALUE"""),540.68)</f>
        <v>540.68</v>
      </c>
      <c r="AA924" s="11">
        <f>IFERROR(__xludf.DUMMYFUNCTION("""COMPUTED_VALUE"""),44390.66666666667)</f>
        <v>44390.66667</v>
      </c>
      <c r="AB924" s="9">
        <f>IFERROR(__xludf.DUMMYFUNCTION("""COMPUTED_VALUE"""),3702.1)</f>
        <v>3702.1</v>
      </c>
      <c r="AC924" s="11">
        <f>IFERROR(__xludf.DUMMYFUNCTION("""COMPUTED_VALUE"""),44390.66666666667)</f>
        <v>44390.66667</v>
      </c>
      <c r="AD924" s="9">
        <f>IFERROR(__xludf.DUMMYFUNCTION("""COMPUTED_VALUE"""),3677.36)</f>
        <v>3677.36</v>
      </c>
    </row>
    <row r="925">
      <c r="B925" s="11">
        <f>IFERROR(__xludf.DUMMYFUNCTION("""COMPUTED_VALUE"""),44391.66666666667)</f>
        <v>44391.66667</v>
      </c>
      <c r="C925" s="9">
        <f>IFERROR(__xludf.DUMMYFUNCTION("""COMPUTED_VALUE"""),670.75)</f>
        <v>670.75</v>
      </c>
      <c r="D925" s="11">
        <f>IFERROR(__xludf.DUMMYFUNCTION("""COMPUTED_VALUE"""),44391.66666666667)</f>
        <v>44391.66667</v>
      </c>
      <c r="E925" s="9">
        <f>IFERROR(__xludf.DUMMYFUNCTION("""COMPUTED_VALUE"""),653.38)</f>
        <v>653.38</v>
      </c>
      <c r="G925" s="11">
        <f>IFERROR(__xludf.DUMMYFUNCTION("""COMPUTED_VALUE"""),44391.66666666667)</f>
        <v>44391.66667</v>
      </c>
      <c r="H925" s="9">
        <f>IFERROR(__xludf.DUMMYFUNCTION("""COMPUTED_VALUE"""),2638.03)</f>
        <v>2638.03</v>
      </c>
      <c r="I925" s="11">
        <f>IFERROR(__xludf.DUMMYFUNCTION("""COMPUTED_VALUE"""),44391.66666666667)</f>
        <v>44391.66667</v>
      </c>
      <c r="J925" s="9">
        <f>IFERROR(__xludf.DUMMYFUNCTION("""COMPUTED_VALUE"""),2641.65)</f>
        <v>2641.65</v>
      </c>
      <c r="L925" s="11">
        <f>IFERROR(__xludf.DUMMYFUNCTION("""COMPUTED_VALUE"""),44391.66666666667)</f>
        <v>44391.66667</v>
      </c>
      <c r="M925" s="9">
        <f>IFERROR(__xludf.DUMMYFUNCTION("""COMPUTED_VALUE"""),148.1)</f>
        <v>148.1</v>
      </c>
      <c r="N925" s="11">
        <f>IFERROR(__xludf.DUMMYFUNCTION("""COMPUTED_VALUE"""),44391.66666666667)</f>
        <v>44391.66667</v>
      </c>
      <c r="O925" s="9">
        <f>IFERROR(__xludf.DUMMYFUNCTION("""COMPUTED_VALUE"""),149.15)</f>
        <v>149.15</v>
      </c>
      <c r="Q925" s="11">
        <f>IFERROR(__xludf.DUMMYFUNCTION("""COMPUTED_VALUE"""),44391.66666666667)</f>
        <v>44391.66667</v>
      </c>
      <c r="R925" s="9">
        <f>IFERROR(__xludf.DUMMYFUNCTION("""COMPUTED_VALUE"""),354.56)</f>
        <v>354.56</v>
      </c>
      <c r="S925" s="11">
        <f>IFERROR(__xludf.DUMMYFUNCTION("""COMPUTED_VALUE"""),44391.66666666667)</f>
        <v>44391.66667</v>
      </c>
      <c r="T925" s="9">
        <f>IFERROR(__xludf.DUMMYFUNCTION("""COMPUTED_VALUE"""),347.63)</f>
        <v>347.63</v>
      </c>
      <c r="V925" s="11">
        <f>IFERROR(__xludf.DUMMYFUNCTION("""COMPUTED_VALUE"""),44391.66666666667)</f>
        <v>44391.66667</v>
      </c>
      <c r="W925" s="9">
        <f>IFERROR(__xludf.DUMMYFUNCTION("""COMPUTED_VALUE"""),541.01)</f>
        <v>541.01</v>
      </c>
      <c r="X925" s="11">
        <f>IFERROR(__xludf.DUMMYFUNCTION("""COMPUTED_VALUE"""),44391.66666666667)</f>
        <v>44391.66667</v>
      </c>
      <c r="Y925" s="9">
        <f>IFERROR(__xludf.DUMMYFUNCTION("""COMPUTED_VALUE"""),547.95)</f>
        <v>547.95</v>
      </c>
      <c r="AA925" s="11">
        <f>IFERROR(__xludf.DUMMYFUNCTION("""COMPUTED_VALUE"""),44391.66666666667)</f>
        <v>44391.66667</v>
      </c>
      <c r="AB925" s="9">
        <f>IFERROR(__xludf.DUMMYFUNCTION("""COMPUTED_VALUE"""),3708.85)</f>
        <v>3708.85</v>
      </c>
      <c r="AC925" s="11">
        <f>IFERROR(__xludf.DUMMYFUNCTION("""COMPUTED_VALUE"""),44391.66666666667)</f>
        <v>44391.66667</v>
      </c>
      <c r="AD925" s="9">
        <f>IFERROR(__xludf.DUMMYFUNCTION("""COMPUTED_VALUE"""),3681.68)</f>
        <v>3681.68</v>
      </c>
    </row>
    <row r="926">
      <c r="B926" s="11">
        <f>IFERROR(__xludf.DUMMYFUNCTION("""COMPUTED_VALUE"""),44392.66666666667)</f>
        <v>44392.66667</v>
      </c>
      <c r="C926" s="9">
        <f>IFERROR(__xludf.DUMMYFUNCTION("""COMPUTED_VALUE"""),658.39)</f>
        <v>658.39</v>
      </c>
      <c r="D926" s="11">
        <f>IFERROR(__xludf.DUMMYFUNCTION("""COMPUTED_VALUE"""),44392.66666666667)</f>
        <v>44392.66667</v>
      </c>
      <c r="E926" s="9">
        <f>IFERROR(__xludf.DUMMYFUNCTION("""COMPUTED_VALUE"""),650.6)</f>
        <v>650.6</v>
      </c>
      <c r="G926" s="11">
        <f>IFERROR(__xludf.DUMMYFUNCTION("""COMPUTED_VALUE"""),44392.66666666667)</f>
        <v>44392.66667</v>
      </c>
      <c r="H926" s="9">
        <f>IFERROR(__xludf.DUMMYFUNCTION("""COMPUTED_VALUE"""),2650.0)</f>
        <v>2650</v>
      </c>
      <c r="I926" s="11">
        <f>IFERROR(__xludf.DUMMYFUNCTION("""COMPUTED_VALUE"""),44392.66666666667)</f>
        <v>44392.66667</v>
      </c>
      <c r="J926" s="9">
        <f>IFERROR(__xludf.DUMMYFUNCTION("""COMPUTED_VALUE"""),2625.33)</f>
        <v>2625.33</v>
      </c>
      <c r="L926" s="11">
        <f>IFERROR(__xludf.DUMMYFUNCTION("""COMPUTED_VALUE"""),44392.66666666667)</f>
        <v>44392.66667</v>
      </c>
      <c r="M926" s="9">
        <f>IFERROR(__xludf.DUMMYFUNCTION("""COMPUTED_VALUE"""),149.24)</f>
        <v>149.24</v>
      </c>
      <c r="N926" s="11">
        <f>IFERROR(__xludf.DUMMYFUNCTION("""COMPUTED_VALUE"""),44392.66666666667)</f>
        <v>44392.66667</v>
      </c>
      <c r="O926" s="9">
        <f>IFERROR(__xludf.DUMMYFUNCTION("""COMPUTED_VALUE"""),148.48)</f>
        <v>148.48</v>
      </c>
      <c r="Q926" s="11">
        <f>IFERROR(__xludf.DUMMYFUNCTION("""COMPUTED_VALUE"""),44392.66666666667)</f>
        <v>44392.66667</v>
      </c>
      <c r="R926" s="9">
        <f>IFERROR(__xludf.DUMMYFUNCTION("""COMPUTED_VALUE"""),349.23)</f>
        <v>349.23</v>
      </c>
      <c r="S926" s="11">
        <f>IFERROR(__xludf.DUMMYFUNCTION("""COMPUTED_VALUE"""),44392.66666666667)</f>
        <v>44392.66667</v>
      </c>
      <c r="T926" s="9">
        <f>IFERROR(__xludf.DUMMYFUNCTION("""COMPUTED_VALUE"""),344.46)</f>
        <v>344.46</v>
      </c>
      <c r="V926" s="11">
        <f>IFERROR(__xludf.DUMMYFUNCTION("""COMPUTED_VALUE"""),44392.66666666667)</f>
        <v>44392.66667</v>
      </c>
      <c r="W926" s="9">
        <f>IFERROR(__xludf.DUMMYFUNCTION("""COMPUTED_VALUE"""),553.97)</f>
        <v>553.97</v>
      </c>
      <c r="X926" s="11">
        <f>IFERROR(__xludf.DUMMYFUNCTION("""COMPUTED_VALUE"""),44392.66666666667)</f>
        <v>44392.66667</v>
      </c>
      <c r="Y926" s="9">
        <f>IFERROR(__xludf.DUMMYFUNCTION("""COMPUTED_VALUE"""),542.95)</f>
        <v>542.95</v>
      </c>
      <c r="AA926" s="11">
        <f>IFERROR(__xludf.DUMMYFUNCTION("""COMPUTED_VALUE"""),44392.66666666667)</f>
        <v>44392.66667</v>
      </c>
      <c r="AB926" s="9">
        <f>IFERROR(__xludf.DUMMYFUNCTION("""COMPUTED_VALUE"""),3694.2)</f>
        <v>3694.2</v>
      </c>
      <c r="AC926" s="11">
        <f>IFERROR(__xludf.DUMMYFUNCTION("""COMPUTED_VALUE"""),44392.66666666667)</f>
        <v>44392.66667</v>
      </c>
      <c r="AD926" s="9">
        <f>IFERROR(__xludf.DUMMYFUNCTION("""COMPUTED_VALUE"""),3631.2)</f>
        <v>3631.2</v>
      </c>
    </row>
    <row r="927">
      <c r="B927" s="11">
        <f>IFERROR(__xludf.DUMMYFUNCTION("""COMPUTED_VALUE"""),44393.66666666667)</f>
        <v>44393.66667</v>
      </c>
      <c r="C927" s="9">
        <f>IFERROR(__xludf.DUMMYFUNCTION("""COMPUTED_VALUE"""),654.68)</f>
        <v>654.68</v>
      </c>
      <c r="D927" s="11">
        <f>IFERROR(__xludf.DUMMYFUNCTION("""COMPUTED_VALUE"""),44393.66666666667)</f>
        <v>44393.66667</v>
      </c>
      <c r="E927" s="9">
        <f>IFERROR(__xludf.DUMMYFUNCTION("""COMPUTED_VALUE"""),644.22)</f>
        <v>644.22</v>
      </c>
      <c r="G927" s="11">
        <f>IFERROR(__xludf.DUMMYFUNCTION("""COMPUTED_VALUE"""),44393.66666666667)</f>
        <v>44393.66667</v>
      </c>
      <c r="H927" s="9">
        <f>IFERROR(__xludf.DUMMYFUNCTION("""COMPUTED_VALUE"""),2632.82)</f>
        <v>2632.82</v>
      </c>
      <c r="I927" s="11">
        <f>IFERROR(__xludf.DUMMYFUNCTION("""COMPUTED_VALUE"""),44393.66666666667)</f>
        <v>44393.66667</v>
      </c>
      <c r="J927" s="9">
        <f>IFERROR(__xludf.DUMMYFUNCTION("""COMPUTED_VALUE"""),2636.91)</f>
        <v>2636.91</v>
      </c>
      <c r="L927" s="11">
        <f>IFERROR(__xludf.DUMMYFUNCTION("""COMPUTED_VALUE"""),44393.66666666667)</f>
        <v>44393.66667</v>
      </c>
      <c r="M927" s="9">
        <f>IFERROR(__xludf.DUMMYFUNCTION("""COMPUTED_VALUE"""),148.46)</f>
        <v>148.46</v>
      </c>
      <c r="N927" s="11">
        <f>IFERROR(__xludf.DUMMYFUNCTION("""COMPUTED_VALUE"""),44393.66666666667)</f>
        <v>44393.66667</v>
      </c>
      <c r="O927" s="9">
        <f>IFERROR(__xludf.DUMMYFUNCTION("""COMPUTED_VALUE"""),146.39)</f>
        <v>146.39</v>
      </c>
      <c r="Q927" s="11">
        <f>IFERROR(__xludf.DUMMYFUNCTION("""COMPUTED_VALUE"""),44393.66666666667)</f>
        <v>44393.66667</v>
      </c>
      <c r="R927" s="9">
        <f>IFERROR(__xludf.DUMMYFUNCTION("""COMPUTED_VALUE"""),344.91)</f>
        <v>344.91</v>
      </c>
      <c r="S927" s="11">
        <f>IFERROR(__xludf.DUMMYFUNCTION("""COMPUTED_VALUE"""),44393.66666666667)</f>
        <v>44393.66667</v>
      </c>
      <c r="T927" s="9">
        <f>IFERROR(__xludf.DUMMYFUNCTION("""COMPUTED_VALUE"""),341.16)</f>
        <v>341.16</v>
      </c>
      <c r="V927" s="11">
        <f>IFERROR(__xludf.DUMMYFUNCTION("""COMPUTED_VALUE"""),44393.66666666667)</f>
        <v>44393.66667</v>
      </c>
      <c r="W927" s="9">
        <f>IFERROR(__xludf.DUMMYFUNCTION("""COMPUTED_VALUE"""),541.81)</f>
        <v>541.81</v>
      </c>
      <c r="X927" s="11">
        <f>IFERROR(__xludf.DUMMYFUNCTION("""COMPUTED_VALUE"""),44393.66666666667)</f>
        <v>44393.66667</v>
      </c>
      <c r="Y927" s="9">
        <f>IFERROR(__xludf.DUMMYFUNCTION("""COMPUTED_VALUE"""),530.31)</f>
        <v>530.31</v>
      </c>
      <c r="AA927" s="11">
        <f>IFERROR(__xludf.DUMMYFUNCTION("""COMPUTED_VALUE"""),44393.66666666667)</f>
        <v>44393.66667</v>
      </c>
      <c r="AB927" s="9">
        <f>IFERROR(__xludf.DUMMYFUNCTION("""COMPUTED_VALUE"""),3633.31)</f>
        <v>3633.31</v>
      </c>
      <c r="AC927" s="11">
        <f>IFERROR(__xludf.DUMMYFUNCTION("""COMPUTED_VALUE"""),44393.66666666667)</f>
        <v>44393.66667</v>
      </c>
      <c r="AD927" s="9">
        <f>IFERROR(__xludf.DUMMYFUNCTION("""COMPUTED_VALUE"""),3573.63)</f>
        <v>3573.63</v>
      </c>
    </row>
    <row r="928">
      <c r="B928" s="11">
        <f>IFERROR(__xludf.DUMMYFUNCTION("""COMPUTED_VALUE"""),44396.66666666667)</f>
        <v>44396.66667</v>
      </c>
      <c r="C928" s="9">
        <f>IFERROR(__xludf.DUMMYFUNCTION("""COMPUTED_VALUE"""),629.89)</f>
        <v>629.89</v>
      </c>
      <c r="D928" s="11">
        <f>IFERROR(__xludf.DUMMYFUNCTION("""COMPUTED_VALUE"""),44396.66666666667)</f>
        <v>44396.66667</v>
      </c>
      <c r="E928" s="9">
        <f>IFERROR(__xludf.DUMMYFUNCTION("""COMPUTED_VALUE"""),646.22)</f>
        <v>646.22</v>
      </c>
      <c r="G928" s="11">
        <f>IFERROR(__xludf.DUMMYFUNCTION("""COMPUTED_VALUE"""),44396.66666666667)</f>
        <v>44396.66667</v>
      </c>
      <c r="H928" s="9">
        <f>IFERROR(__xludf.DUMMYFUNCTION("""COMPUTED_VALUE"""),2623.11)</f>
        <v>2623.11</v>
      </c>
      <c r="I928" s="11">
        <f>IFERROR(__xludf.DUMMYFUNCTION("""COMPUTED_VALUE"""),44396.66666666667)</f>
        <v>44396.66667</v>
      </c>
      <c r="J928" s="9">
        <f>IFERROR(__xludf.DUMMYFUNCTION("""COMPUTED_VALUE"""),2585.08)</f>
        <v>2585.08</v>
      </c>
      <c r="L928" s="11">
        <f>IFERROR(__xludf.DUMMYFUNCTION("""COMPUTED_VALUE"""),44396.66666666667)</f>
        <v>44396.66667</v>
      </c>
      <c r="M928" s="9">
        <f>IFERROR(__xludf.DUMMYFUNCTION("""COMPUTED_VALUE"""),143.75)</f>
        <v>143.75</v>
      </c>
      <c r="N928" s="11">
        <f>IFERROR(__xludf.DUMMYFUNCTION("""COMPUTED_VALUE"""),44396.66666666667)</f>
        <v>44396.66667</v>
      </c>
      <c r="O928" s="9">
        <f>IFERROR(__xludf.DUMMYFUNCTION("""COMPUTED_VALUE"""),142.45)</f>
        <v>142.45</v>
      </c>
      <c r="Q928" s="11">
        <f>IFERROR(__xludf.DUMMYFUNCTION("""COMPUTED_VALUE"""),44396.66666666667)</f>
        <v>44396.66667</v>
      </c>
      <c r="R928" s="9">
        <f>IFERROR(__xludf.DUMMYFUNCTION("""COMPUTED_VALUE"""),337.57)</f>
        <v>337.57</v>
      </c>
      <c r="S928" s="11">
        <f>IFERROR(__xludf.DUMMYFUNCTION("""COMPUTED_VALUE"""),44396.66666666667)</f>
        <v>44396.66667</v>
      </c>
      <c r="T928" s="9">
        <f>IFERROR(__xludf.DUMMYFUNCTION("""COMPUTED_VALUE"""),336.95)</f>
        <v>336.95</v>
      </c>
      <c r="V928" s="11">
        <f>IFERROR(__xludf.DUMMYFUNCTION("""COMPUTED_VALUE"""),44396.66666666667)</f>
        <v>44396.66667</v>
      </c>
      <c r="W928" s="9">
        <f>IFERROR(__xludf.DUMMYFUNCTION("""COMPUTED_VALUE"""),526.05)</f>
        <v>526.05</v>
      </c>
      <c r="X928" s="11">
        <f>IFERROR(__xludf.DUMMYFUNCTION("""COMPUTED_VALUE"""),44396.66666666667)</f>
        <v>44396.66667</v>
      </c>
      <c r="Y928" s="9">
        <f>IFERROR(__xludf.DUMMYFUNCTION("""COMPUTED_VALUE"""),532.28)</f>
        <v>532.28</v>
      </c>
      <c r="AA928" s="11">
        <f>IFERROR(__xludf.DUMMYFUNCTION("""COMPUTED_VALUE"""),44396.66666666667)</f>
        <v>44396.66667</v>
      </c>
      <c r="AB928" s="9">
        <f>IFERROR(__xludf.DUMMYFUNCTION("""COMPUTED_VALUE"""),3532.58)</f>
        <v>3532.58</v>
      </c>
      <c r="AC928" s="11">
        <f>IFERROR(__xludf.DUMMYFUNCTION("""COMPUTED_VALUE"""),44396.66666666667)</f>
        <v>44396.66667</v>
      </c>
      <c r="AD928" s="9">
        <f>IFERROR(__xludf.DUMMYFUNCTION("""COMPUTED_VALUE"""),3549.59)</f>
        <v>3549.59</v>
      </c>
    </row>
    <row r="929">
      <c r="B929" s="11">
        <f>IFERROR(__xludf.DUMMYFUNCTION("""COMPUTED_VALUE"""),44397.66666666667)</f>
        <v>44397.66667</v>
      </c>
      <c r="C929" s="9">
        <f>IFERROR(__xludf.DUMMYFUNCTION("""COMPUTED_VALUE"""),651.99)</f>
        <v>651.99</v>
      </c>
      <c r="D929" s="11">
        <f>IFERROR(__xludf.DUMMYFUNCTION("""COMPUTED_VALUE"""),44397.66666666667)</f>
        <v>44397.66667</v>
      </c>
      <c r="E929" s="9">
        <f>IFERROR(__xludf.DUMMYFUNCTION("""COMPUTED_VALUE"""),660.5)</f>
        <v>660.5</v>
      </c>
      <c r="G929" s="11">
        <f>IFERROR(__xludf.DUMMYFUNCTION("""COMPUTED_VALUE"""),44397.66666666667)</f>
        <v>44397.66667</v>
      </c>
      <c r="H929" s="9">
        <f>IFERROR(__xludf.DUMMYFUNCTION("""COMPUTED_VALUE"""),2600.08)</f>
        <v>2600.08</v>
      </c>
      <c r="I929" s="11">
        <f>IFERROR(__xludf.DUMMYFUNCTION("""COMPUTED_VALUE"""),44397.66666666667)</f>
        <v>44397.66667</v>
      </c>
      <c r="J929" s="9">
        <f>IFERROR(__xludf.DUMMYFUNCTION("""COMPUTED_VALUE"""),2622.03)</f>
        <v>2622.03</v>
      </c>
      <c r="L929" s="11">
        <f>IFERROR(__xludf.DUMMYFUNCTION("""COMPUTED_VALUE"""),44397.66666666667)</f>
        <v>44397.66667</v>
      </c>
      <c r="M929" s="9">
        <f>IFERROR(__xludf.DUMMYFUNCTION("""COMPUTED_VALUE"""),143.46)</f>
        <v>143.46</v>
      </c>
      <c r="N929" s="11">
        <f>IFERROR(__xludf.DUMMYFUNCTION("""COMPUTED_VALUE"""),44397.66666666667)</f>
        <v>44397.66667</v>
      </c>
      <c r="O929" s="9">
        <f>IFERROR(__xludf.DUMMYFUNCTION("""COMPUTED_VALUE"""),146.15)</f>
        <v>146.15</v>
      </c>
      <c r="Q929" s="11">
        <f>IFERROR(__xludf.DUMMYFUNCTION("""COMPUTED_VALUE"""),44397.66666666667)</f>
        <v>44397.66667</v>
      </c>
      <c r="R929" s="9">
        <f>IFERROR(__xludf.DUMMYFUNCTION("""COMPUTED_VALUE"""),338.8)</f>
        <v>338.8</v>
      </c>
      <c r="S929" s="11">
        <f>IFERROR(__xludf.DUMMYFUNCTION("""COMPUTED_VALUE"""),44397.66666666667)</f>
        <v>44397.66667</v>
      </c>
      <c r="T929" s="9">
        <f>IFERROR(__xludf.DUMMYFUNCTION("""COMPUTED_VALUE"""),341.66)</f>
        <v>341.66</v>
      </c>
      <c r="V929" s="11">
        <f>IFERROR(__xludf.DUMMYFUNCTION("""COMPUTED_VALUE"""),44397.66666666667)</f>
        <v>44397.66667</v>
      </c>
      <c r="W929" s="9">
        <f>IFERROR(__xludf.DUMMYFUNCTION("""COMPUTED_VALUE"""),526.07)</f>
        <v>526.07</v>
      </c>
      <c r="X929" s="11">
        <f>IFERROR(__xludf.DUMMYFUNCTION("""COMPUTED_VALUE"""),44397.66666666667)</f>
        <v>44397.66667</v>
      </c>
      <c r="Y929" s="9">
        <f>IFERROR(__xludf.DUMMYFUNCTION("""COMPUTED_VALUE"""),531.05)</f>
        <v>531.05</v>
      </c>
      <c r="AA929" s="11">
        <f>IFERROR(__xludf.DUMMYFUNCTION("""COMPUTED_VALUE"""),44397.66666666667)</f>
        <v>44397.66667</v>
      </c>
      <c r="AB929" s="9">
        <f>IFERROR(__xludf.DUMMYFUNCTION("""COMPUTED_VALUE"""),3567.32)</f>
        <v>3567.32</v>
      </c>
      <c r="AC929" s="11">
        <f>IFERROR(__xludf.DUMMYFUNCTION("""COMPUTED_VALUE"""),44397.66666666667)</f>
        <v>44397.66667</v>
      </c>
      <c r="AD929" s="9">
        <f>IFERROR(__xludf.DUMMYFUNCTION("""COMPUTED_VALUE"""),3573.19)</f>
        <v>3573.19</v>
      </c>
    </row>
    <row r="930">
      <c r="B930" s="11">
        <f>IFERROR(__xludf.DUMMYFUNCTION("""COMPUTED_VALUE"""),44398.66666666667)</f>
        <v>44398.66667</v>
      </c>
      <c r="C930" s="9">
        <f>IFERROR(__xludf.DUMMYFUNCTION("""COMPUTED_VALUE"""),659.61)</f>
        <v>659.61</v>
      </c>
      <c r="D930" s="11">
        <f>IFERROR(__xludf.DUMMYFUNCTION("""COMPUTED_VALUE"""),44398.66666666667)</f>
        <v>44398.66667</v>
      </c>
      <c r="E930" s="9">
        <f>IFERROR(__xludf.DUMMYFUNCTION("""COMPUTED_VALUE"""),655.29)</f>
        <v>655.29</v>
      </c>
      <c r="G930" s="11">
        <f>IFERROR(__xludf.DUMMYFUNCTION("""COMPUTED_VALUE"""),44398.66666666667)</f>
        <v>44398.66667</v>
      </c>
      <c r="H930" s="9">
        <f>IFERROR(__xludf.DUMMYFUNCTION("""COMPUTED_VALUE"""),2615.74)</f>
        <v>2615.74</v>
      </c>
      <c r="I930" s="11">
        <f>IFERROR(__xludf.DUMMYFUNCTION("""COMPUTED_VALUE"""),44398.66666666667)</f>
        <v>44398.66667</v>
      </c>
      <c r="J930" s="9">
        <f>IFERROR(__xludf.DUMMYFUNCTION("""COMPUTED_VALUE"""),2652.01)</f>
        <v>2652.01</v>
      </c>
      <c r="L930" s="11">
        <f>IFERROR(__xludf.DUMMYFUNCTION("""COMPUTED_VALUE"""),44398.66666666667)</f>
        <v>44398.66667</v>
      </c>
      <c r="M930" s="9">
        <f>IFERROR(__xludf.DUMMYFUNCTION("""COMPUTED_VALUE"""),145.53)</f>
        <v>145.53</v>
      </c>
      <c r="N930" s="11">
        <f>IFERROR(__xludf.DUMMYFUNCTION("""COMPUTED_VALUE"""),44398.66666666667)</f>
        <v>44398.66667</v>
      </c>
      <c r="O930" s="9">
        <f>IFERROR(__xludf.DUMMYFUNCTION("""COMPUTED_VALUE"""),145.4)</f>
        <v>145.4</v>
      </c>
      <c r="Q930" s="11">
        <f>IFERROR(__xludf.DUMMYFUNCTION("""COMPUTED_VALUE"""),44398.66666666667)</f>
        <v>44398.66667</v>
      </c>
      <c r="R930" s="9">
        <f>IFERROR(__xludf.DUMMYFUNCTION("""COMPUTED_VALUE"""),341.5)</f>
        <v>341.5</v>
      </c>
      <c r="S930" s="11">
        <f>IFERROR(__xludf.DUMMYFUNCTION("""COMPUTED_VALUE"""),44398.66666666667)</f>
        <v>44398.66667</v>
      </c>
      <c r="T930" s="9">
        <f>IFERROR(__xludf.DUMMYFUNCTION("""COMPUTED_VALUE"""),346.23)</f>
        <v>346.23</v>
      </c>
      <c r="V930" s="11">
        <f>IFERROR(__xludf.DUMMYFUNCTION("""COMPUTED_VALUE"""),44398.66666666667)</f>
        <v>44398.66667</v>
      </c>
      <c r="W930" s="9">
        <f>IFERROR(__xludf.DUMMYFUNCTION("""COMPUTED_VALUE"""),526.13)</f>
        <v>526.13</v>
      </c>
      <c r="X930" s="11">
        <f>IFERROR(__xludf.DUMMYFUNCTION("""COMPUTED_VALUE"""),44398.66666666667)</f>
        <v>44398.66667</v>
      </c>
      <c r="Y930" s="9">
        <f>IFERROR(__xludf.DUMMYFUNCTION("""COMPUTED_VALUE"""),513.63)</f>
        <v>513.63</v>
      </c>
      <c r="AA930" s="11">
        <f>IFERROR(__xludf.DUMMYFUNCTION("""COMPUTED_VALUE"""),44398.66666666667)</f>
        <v>44398.66667</v>
      </c>
      <c r="AB930" s="9">
        <f>IFERROR(__xludf.DUMMYFUNCTION("""COMPUTED_VALUE"""),3576.38)</f>
        <v>3576.38</v>
      </c>
      <c r="AC930" s="11">
        <f>IFERROR(__xludf.DUMMYFUNCTION("""COMPUTED_VALUE"""),44398.66666666667)</f>
        <v>44398.66667</v>
      </c>
      <c r="AD930" s="9">
        <f>IFERROR(__xludf.DUMMYFUNCTION("""COMPUTED_VALUE"""),3585.2)</f>
        <v>3585.2</v>
      </c>
    </row>
    <row r="931">
      <c r="B931" s="11">
        <f>IFERROR(__xludf.DUMMYFUNCTION("""COMPUTED_VALUE"""),44399.66666666667)</f>
        <v>44399.66667</v>
      </c>
      <c r="C931" s="9">
        <f>IFERROR(__xludf.DUMMYFUNCTION("""COMPUTED_VALUE"""),656.44)</f>
        <v>656.44</v>
      </c>
      <c r="D931" s="11">
        <f>IFERROR(__xludf.DUMMYFUNCTION("""COMPUTED_VALUE"""),44399.66666666667)</f>
        <v>44399.66667</v>
      </c>
      <c r="E931" s="9">
        <f>IFERROR(__xludf.DUMMYFUNCTION("""COMPUTED_VALUE"""),649.26)</f>
        <v>649.26</v>
      </c>
      <c r="G931" s="11">
        <f>IFERROR(__xludf.DUMMYFUNCTION("""COMPUTED_VALUE"""),44399.66666666667)</f>
        <v>44399.66667</v>
      </c>
      <c r="H931" s="9">
        <f>IFERROR(__xludf.DUMMYFUNCTION("""COMPUTED_VALUE"""),2653.0)</f>
        <v>2653</v>
      </c>
      <c r="I931" s="11">
        <f>IFERROR(__xludf.DUMMYFUNCTION("""COMPUTED_VALUE"""),44399.66666666667)</f>
        <v>44399.66667</v>
      </c>
      <c r="J931" s="9">
        <f>IFERROR(__xludf.DUMMYFUNCTION("""COMPUTED_VALUE"""),2666.57)</f>
        <v>2666.57</v>
      </c>
      <c r="L931" s="11">
        <f>IFERROR(__xludf.DUMMYFUNCTION("""COMPUTED_VALUE"""),44399.66666666667)</f>
        <v>44399.66667</v>
      </c>
      <c r="M931" s="9">
        <f>IFERROR(__xludf.DUMMYFUNCTION("""COMPUTED_VALUE"""),145.94)</f>
        <v>145.94</v>
      </c>
      <c r="N931" s="11">
        <f>IFERROR(__xludf.DUMMYFUNCTION("""COMPUTED_VALUE"""),44399.66666666667)</f>
        <v>44399.66667</v>
      </c>
      <c r="O931" s="9">
        <f>IFERROR(__xludf.DUMMYFUNCTION("""COMPUTED_VALUE"""),146.8)</f>
        <v>146.8</v>
      </c>
      <c r="Q931" s="11">
        <f>IFERROR(__xludf.DUMMYFUNCTION("""COMPUTED_VALUE"""),44399.66666666667)</f>
        <v>44399.66667</v>
      </c>
      <c r="R931" s="9">
        <f>IFERROR(__xludf.DUMMYFUNCTION("""COMPUTED_VALUE"""),346.68)</f>
        <v>346.68</v>
      </c>
      <c r="S931" s="11">
        <f>IFERROR(__xludf.DUMMYFUNCTION("""COMPUTED_VALUE"""),44399.66666666667)</f>
        <v>44399.66667</v>
      </c>
      <c r="T931" s="9">
        <f>IFERROR(__xludf.DUMMYFUNCTION("""COMPUTED_VALUE"""),351.19)</f>
        <v>351.19</v>
      </c>
      <c r="V931" s="11">
        <f>IFERROR(__xludf.DUMMYFUNCTION("""COMPUTED_VALUE"""),44399.66666666667)</f>
        <v>44399.66667</v>
      </c>
      <c r="W931" s="9">
        <f>IFERROR(__xludf.DUMMYFUNCTION("""COMPUTED_VALUE"""),510.21)</f>
        <v>510.21</v>
      </c>
      <c r="X931" s="11">
        <f>IFERROR(__xludf.DUMMYFUNCTION("""COMPUTED_VALUE"""),44399.66666666667)</f>
        <v>44399.66667</v>
      </c>
      <c r="Y931" s="9">
        <f>IFERROR(__xludf.DUMMYFUNCTION("""COMPUTED_VALUE"""),511.77)</f>
        <v>511.77</v>
      </c>
      <c r="AA931" s="11">
        <f>IFERROR(__xludf.DUMMYFUNCTION("""COMPUTED_VALUE"""),44399.66666666667)</f>
        <v>44399.66667</v>
      </c>
      <c r="AB931" s="9">
        <f>IFERROR(__xludf.DUMMYFUNCTION("""COMPUTED_VALUE"""),3587.23)</f>
        <v>3587.23</v>
      </c>
      <c r="AC931" s="11">
        <f>IFERROR(__xludf.DUMMYFUNCTION("""COMPUTED_VALUE"""),44399.66666666667)</f>
        <v>44399.66667</v>
      </c>
      <c r="AD931" s="9">
        <f>IFERROR(__xludf.DUMMYFUNCTION("""COMPUTED_VALUE"""),3638.03)</f>
        <v>3638.03</v>
      </c>
    </row>
    <row r="932">
      <c r="B932" s="11">
        <f>IFERROR(__xludf.DUMMYFUNCTION("""COMPUTED_VALUE"""),44400.66666666667)</f>
        <v>44400.66667</v>
      </c>
      <c r="C932" s="9">
        <f>IFERROR(__xludf.DUMMYFUNCTION("""COMPUTED_VALUE"""),646.36)</f>
        <v>646.36</v>
      </c>
      <c r="D932" s="11">
        <f>IFERROR(__xludf.DUMMYFUNCTION("""COMPUTED_VALUE"""),44400.66666666667)</f>
        <v>44400.66667</v>
      </c>
      <c r="E932" s="9">
        <f>IFERROR(__xludf.DUMMYFUNCTION("""COMPUTED_VALUE"""),643.38)</f>
        <v>643.38</v>
      </c>
      <c r="G932" s="11">
        <f>IFERROR(__xludf.DUMMYFUNCTION("""COMPUTED_VALUE"""),44400.66666666667)</f>
        <v>44400.66667</v>
      </c>
      <c r="H932" s="9">
        <f>IFERROR(__xludf.DUMMYFUNCTION("""COMPUTED_VALUE"""),2705.2)</f>
        <v>2705.2</v>
      </c>
      <c r="I932" s="11">
        <f>IFERROR(__xludf.DUMMYFUNCTION("""COMPUTED_VALUE"""),44400.66666666667)</f>
        <v>44400.66667</v>
      </c>
      <c r="J932" s="9">
        <f>IFERROR(__xludf.DUMMYFUNCTION("""COMPUTED_VALUE"""),2756.32)</f>
        <v>2756.32</v>
      </c>
      <c r="L932" s="11">
        <f>IFERROR(__xludf.DUMMYFUNCTION("""COMPUTED_VALUE"""),44400.66666666667)</f>
        <v>44400.66667</v>
      </c>
      <c r="M932" s="9">
        <f>IFERROR(__xludf.DUMMYFUNCTION("""COMPUTED_VALUE"""),147.55)</f>
        <v>147.55</v>
      </c>
      <c r="N932" s="11">
        <f>IFERROR(__xludf.DUMMYFUNCTION("""COMPUTED_VALUE"""),44400.66666666667)</f>
        <v>44400.66667</v>
      </c>
      <c r="O932" s="9">
        <f>IFERROR(__xludf.DUMMYFUNCTION("""COMPUTED_VALUE"""),148.56)</f>
        <v>148.56</v>
      </c>
      <c r="Q932" s="11">
        <f>IFERROR(__xludf.DUMMYFUNCTION("""COMPUTED_VALUE"""),44400.66666666667)</f>
        <v>44400.66667</v>
      </c>
      <c r="R932" s="9">
        <f>IFERROR(__xludf.DUMMYFUNCTION("""COMPUTED_VALUE"""),360.91)</f>
        <v>360.91</v>
      </c>
      <c r="S932" s="11">
        <f>IFERROR(__xludf.DUMMYFUNCTION("""COMPUTED_VALUE"""),44400.66666666667)</f>
        <v>44400.66667</v>
      </c>
      <c r="T932" s="9">
        <f>IFERROR(__xludf.DUMMYFUNCTION("""COMPUTED_VALUE"""),369.79)</f>
        <v>369.79</v>
      </c>
      <c r="V932" s="11">
        <f>IFERROR(__xludf.DUMMYFUNCTION("""COMPUTED_VALUE"""),44400.66666666667)</f>
        <v>44400.66667</v>
      </c>
      <c r="W932" s="9">
        <f>IFERROR(__xludf.DUMMYFUNCTION("""COMPUTED_VALUE"""),512.16)</f>
        <v>512.16</v>
      </c>
      <c r="X932" s="11">
        <f>IFERROR(__xludf.DUMMYFUNCTION("""COMPUTED_VALUE"""),44400.66666666667)</f>
        <v>44400.66667</v>
      </c>
      <c r="Y932" s="9">
        <f>IFERROR(__xludf.DUMMYFUNCTION("""COMPUTED_VALUE"""),515.41)</f>
        <v>515.41</v>
      </c>
      <c r="AA932" s="11">
        <f>IFERROR(__xludf.DUMMYFUNCTION("""COMPUTED_VALUE"""),44400.66666666667)</f>
        <v>44400.66667</v>
      </c>
      <c r="AB932" s="9">
        <f>IFERROR(__xludf.DUMMYFUNCTION("""COMPUTED_VALUE"""),3640.0)</f>
        <v>3640</v>
      </c>
      <c r="AC932" s="11">
        <f>IFERROR(__xludf.DUMMYFUNCTION("""COMPUTED_VALUE"""),44400.66666666667)</f>
        <v>44400.66667</v>
      </c>
      <c r="AD932" s="9">
        <f>IFERROR(__xludf.DUMMYFUNCTION("""COMPUTED_VALUE"""),3656.64)</f>
        <v>3656.64</v>
      </c>
    </row>
    <row r="933">
      <c r="B933" s="11">
        <f>IFERROR(__xludf.DUMMYFUNCTION("""COMPUTED_VALUE"""),44403.66666666667)</f>
        <v>44403.66667</v>
      </c>
      <c r="C933" s="9">
        <f>IFERROR(__xludf.DUMMYFUNCTION("""COMPUTED_VALUE"""),650.97)</f>
        <v>650.97</v>
      </c>
      <c r="D933" s="11">
        <f>IFERROR(__xludf.DUMMYFUNCTION("""COMPUTED_VALUE"""),44403.66666666667)</f>
        <v>44403.66667</v>
      </c>
      <c r="E933" s="9">
        <f>IFERROR(__xludf.DUMMYFUNCTION("""COMPUTED_VALUE"""),657.62)</f>
        <v>657.62</v>
      </c>
      <c r="G933" s="11">
        <f>IFERROR(__xludf.DUMMYFUNCTION("""COMPUTED_VALUE"""),44403.66666666667)</f>
        <v>44403.66667</v>
      </c>
      <c r="H933" s="9">
        <f>IFERROR(__xludf.DUMMYFUNCTION("""COMPUTED_VALUE"""),2765.0)</f>
        <v>2765</v>
      </c>
      <c r="I933" s="11">
        <f>IFERROR(__xludf.DUMMYFUNCTION("""COMPUTED_VALUE"""),44403.66666666667)</f>
        <v>44403.66667</v>
      </c>
      <c r="J933" s="9">
        <f>IFERROR(__xludf.DUMMYFUNCTION("""COMPUTED_VALUE"""),2792.89)</f>
        <v>2792.89</v>
      </c>
      <c r="L933" s="11">
        <f>IFERROR(__xludf.DUMMYFUNCTION("""COMPUTED_VALUE"""),44403.66666666667)</f>
        <v>44403.66667</v>
      </c>
      <c r="M933" s="9">
        <f>IFERROR(__xludf.DUMMYFUNCTION("""COMPUTED_VALUE"""),148.27)</f>
        <v>148.27</v>
      </c>
      <c r="N933" s="11">
        <f>IFERROR(__xludf.DUMMYFUNCTION("""COMPUTED_VALUE"""),44403.66666666667)</f>
        <v>44403.66667</v>
      </c>
      <c r="O933" s="9">
        <f>IFERROR(__xludf.DUMMYFUNCTION("""COMPUTED_VALUE"""),148.99)</f>
        <v>148.99</v>
      </c>
      <c r="Q933" s="11">
        <f>IFERROR(__xludf.DUMMYFUNCTION("""COMPUTED_VALUE"""),44403.66666666667)</f>
        <v>44403.66667</v>
      </c>
      <c r="R933" s="9">
        <f>IFERROR(__xludf.DUMMYFUNCTION("""COMPUTED_VALUE"""),369.58)</f>
        <v>369.58</v>
      </c>
      <c r="S933" s="11">
        <f>IFERROR(__xludf.DUMMYFUNCTION("""COMPUTED_VALUE"""),44403.66666666667)</f>
        <v>44403.66667</v>
      </c>
      <c r="T933" s="9">
        <f>IFERROR(__xludf.DUMMYFUNCTION("""COMPUTED_VALUE"""),372.46)</f>
        <v>372.46</v>
      </c>
      <c r="V933" s="11">
        <f>IFERROR(__xludf.DUMMYFUNCTION("""COMPUTED_VALUE"""),44403.66666666667)</f>
        <v>44403.66667</v>
      </c>
      <c r="W933" s="9">
        <f>IFERROR(__xludf.DUMMYFUNCTION("""COMPUTED_VALUE"""),514.38)</f>
        <v>514.38</v>
      </c>
      <c r="X933" s="11">
        <f>IFERROR(__xludf.DUMMYFUNCTION("""COMPUTED_VALUE"""),44403.66666666667)</f>
        <v>44403.66667</v>
      </c>
      <c r="Y933" s="9">
        <f>IFERROR(__xludf.DUMMYFUNCTION("""COMPUTED_VALUE"""),516.49)</f>
        <v>516.49</v>
      </c>
      <c r="AA933" s="11">
        <f>IFERROR(__xludf.DUMMYFUNCTION("""COMPUTED_VALUE"""),44403.66666666667)</f>
        <v>44403.66667</v>
      </c>
      <c r="AB933" s="9">
        <f>IFERROR(__xludf.DUMMYFUNCTION("""COMPUTED_VALUE"""),3673.17)</f>
        <v>3673.17</v>
      </c>
      <c r="AC933" s="11">
        <f>IFERROR(__xludf.DUMMYFUNCTION("""COMPUTED_VALUE"""),44403.66666666667)</f>
        <v>44403.66667</v>
      </c>
      <c r="AD933" s="9">
        <f>IFERROR(__xludf.DUMMYFUNCTION("""COMPUTED_VALUE"""),3699.82)</f>
        <v>3699.82</v>
      </c>
    </row>
    <row r="934">
      <c r="B934" s="11">
        <f>IFERROR(__xludf.DUMMYFUNCTION("""COMPUTED_VALUE"""),44404.66666666667)</f>
        <v>44404.66667</v>
      </c>
      <c r="C934" s="9">
        <f>IFERROR(__xludf.DUMMYFUNCTION("""COMPUTED_VALUE"""),663.4)</f>
        <v>663.4</v>
      </c>
      <c r="D934" s="11">
        <f>IFERROR(__xludf.DUMMYFUNCTION("""COMPUTED_VALUE"""),44404.66666666667)</f>
        <v>44404.66667</v>
      </c>
      <c r="E934" s="9">
        <f>IFERROR(__xludf.DUMMYFUNCTION("""COMPUTED_VALUE"""),644.78)</f>
        <v>644.78</v>
      </c>
      <c r="G934" s="11">
        <f>IFERROR(__xludf.DUMMYFUNCTION("""COMPUTED_VALUE"""),44404.66666666667)</f>
        <v>44404.66667</v>
      </c>
      <c r="H934" s="9">
        <f>IFERROR(__xludf.DUMMYFUNCTION("""COMPUTED_VALUE"""),2800.22)</f>
        <v>2800.22</v>
      </c>
      <c r="I934" s="11">
        <f>IFERROR(__xludf.DUMMYFUNCTION("""COMPUTED_VALUE"""),44404.66666666667)</f>
        <v>44404.66667</v>
      </c>
      <c r="J934" s="9">
        <f>IFERROR(__xludf.DUMMYFUNCTION("""COMPUTED_VALUE"""),2735.93)</f>
        <v>2735.93</v>
      </c>
      <c r="L934" s="11">
        <f>IFERROR(__xludf.DUMMYFUNCTION("""COMPUTED_VALUE"""),44404.66666666667)</f>
        <v>44404.66667</v>
      </c>
      <c r="M934" s="9">
        <f>IFERROR(__xludf.DUMMYFUNCTION("""COMPUTED_VALUE"""),149.12)</f>
        <v>149.12</v>
      </c>
      <c r="N934" s="11">
        <f>IFERROR(__xludf.DUMMYFUNCTION("""COMPUTED_VALUE"""),44404.66666666667)</f>
        <v>44404.66667</v>
      </c>
      <c r="O934" s="9">
        <f>IFERROR(__xludf.DUMMYFUNCTION("""COMPUTED_VALUE"""),146.77)</f>
        <v>146.77</v>
      </c>
      <c r="Q934" s="11">
        <f>IFERROR(__xludf.DUMMYFUNCTION("""COMPUTED_VALUE"""),44404.66666666667)</f>
        <v>44404.66667</v>
      </c>
      <c r="R934" s="9">
        <f>IFERROR(__xludf.DUMMYFUNCTION("""COMPUTED_VALUE"""),371.91)</f>
        <v>371.91</v>
      </c>
      <c r="S934" s="11">
        <f>IFERROR(__xludf.DUMMYFUNCTION("""COMPUTED_VALUE"""),44404.66666666667)</f>
        <v>44404.66667</v>
      </c>
      <c r="T934" s="9">
        <f>IFERROR(__xludf.DUMMYFUNCTION("""COMPUTED_VALUE"""),367.81)</f>
        <v>367.81</v>
      </c>
      <c r="V934" s="11">
        <f>IFERROR(__xludf.DUMMYFUNCTION("""COMPUTED_VALUE"""),44404.66666666667)</f>
        <v>44404.66667</v>
      </c>
      <c r="W934" s="9">
        <f>IFERROR(__xludf.DUMMYFUNCTION("""COMPUTED_VALUE"""),518.08)</f>
        <v>518.08</v>
      </c>
      <c r="X934" s="11">
        <f>IFERROR(__xludf.DUMMYFUNCTION("""COMPUTED_VALUE"""),44404.66666666667)</f>
        <v>44404.66667</v>
      </c>
      <c r="Y934" s="9">
        <f>IFERROR(__xludf.DUMMYFUNCTION("""COMPUTED_VALUE"""),518.91)</f>
        <v>518.91</v>
      </c>
      <c r="AA934" s="11">
        <f>IFERROR(__xludf.DUMMYFUNCTION("""COMPUTED_VALUE"""),44404.66666666667)</f>
        <v>44404.66667</v>
      </c>
      <c r="AB934" s="9">
        <f>IFERROR(__xludf.DUMMYFUNCTION("""COMPUTED_VALUE"""),3698.5)</f>
        <v>3698.5</v>
      </c>
      <c r="AC934" s="11">
        <f>IFERROR(__xludf.DUMMYFUNCTION("""COMPUTED_VALUE"""),44404.66666666667)</f>
        <v>44404.66667</v>
      </c>
      <c r="AD934" s="9">
        <f>IFERROR(__xludf.DUMMYFUNCTION("""COMPUTED_VALUE"""),3626.39)</f>
        <v>3626.39</v>
      </c>
    </row>
    <row r="935">
      <c r="B935" s="11">
        <f>IFERROR(__xludf.DUMMYFUNCTION("""COMPUTED_VALUE"""),44405.66666666667)</f>
        <v>44405.66667</v>
      </c>
      <c r="C935" s="9">
        <f>IFERROR(__xludf.DUMMYFUNCTION("""COMPUTED_VALUE"""),647.0)</f>
        <v>647</v>
      </c>
      <c r="D935" s="11">
        <f>IFERROR(__xludf.DUMMYFUNCTION("""COMPUTED_VALUE"""),44405.66666666667)</f>
        <v>44405.66667</v>
      </c>
      <c r="E935" s="9">
        <f>IFERROR(__xludf.DUMMYFUNCTION("""COMPUTED_VALUE"""),646.98)</f>
        <v>646.98</v>
      </c>
      <c r="G935" s="11">
        <f>IFERROR(__xludf.DUMMYFUNCTION("""COMPUTED_VALUE"""),44405.66666666667)</f>
        <v>44405.66667</v>
      </c>
      <c r="H935" s="9">
        <f>IFERROR(__xludf.DUMMYFUNCTION("""COMPUTED_VALUE"""),2771.24)</f>
        <v>2771.24</v>
      </c>
      <c r="I935" s="11">
        <f>IFERROR(__xludf.DUMMYFUNCTION("""COMPUTED_VALUE"""),44405.66666666667)</f>
        <v>44405.66667</v>
      </c>
      <c r="J935" s="9">
        <f>IFERROR(__xludf.DUMMYFUNCTION("""COMPUTED_VALUE"""),2727.63)</f>
        <v>2727.63</v>
      </c>
      <c r="L935" s="11">
        <f>IFERROR(__xludf.DUMMYFUNCTION("""COMPUTED_VALUE"""),44405.66666666667)</f>
        <v>44405.66667</v>
      </c>
      <c r="M935" s="9">
        <f>IFERROR(__xludf.DUMMYFUNCTION("""COMPUTED_VALUE"""),144.81)</f>
        <v>144.81</v>
      </c>
      <c r="N935" s="11">
        <f>IFERROR(__xludf.DUMMYFUNCTION("""COMPUTED_VALUE"""),44405.66666666667)</f>
        <v>44405.66667</v>
      </c>
      <c r="O935" s="9">
        <f>IFERROR(__xludf.DUMMYFUNCTION("""COMPUTED_VALUE"""),144.98)</f>
        <v>144.98</v>
      </c>
      <c r="Q935" s="11">
        <f>IFERROR(__xludf.DUMMYFUNCTION("""COMPUTED_VALUE"""),44405.66666666667)</f>
        <v>44405.66667</v>
      </c>
      <c r="R935" s="9">
        <f>IFERROR(__xludf.DUMMYFUNCTION("""COMPUTED_VALUE"""),374.56)</f>
        <v>374.56</v>
      </c>
      <c r="S935" s="11">
        <f>IFERROR(__xludf.DUMMYFUNCTION("""COMPUTED_VALUE"""),44405.66666666667)</f>
        <v>44405.66667</v>
      </c>
      <c r="T935" s="9">
        <f>IFERROR(__xludf.DUMMYFUNCTION("""COMPUTED_VALUE"""),373.28)</f>
        <v>373.28</v>
      </c>
      <c r="V935" s="11">
        <f>IFERROR(__xludf.DUMMYFUNCTION("""COMPUTED_VALUE"""),44405.66666666667)</f>
        <v>44405.66667</v>
      </c>
      <c r="W935" s="9">
        <f>IFERROR(__xludf.DUMMYFUNCTION("""COMPUTED_VALUE"""),521.82)</f>
        <v>521.82</v>
      </c>
      <c r="X935" s="11">
        <f>IFERROR(__xludf.DUMMYFUNCTION("""COMPUTED_VALUE"""),44405.66666666667)</f>
        <v>44405.66667</v>
      </c>
      <c r="Y935" s="9">
        <f>IFERROR(__xludf.DUMMYFUNCTION("""COMPUTED_VALUE"""),519.3)</f>
        <v>519.3</v>
      </c>
      <c r="AA935" s="11">
        <f>IFERROR(__xludf.DUMMYFUNCTION("""COMPUTED_VALUE"""),44405.66666666667)</f>
        <v>44405.66667</v>
      </c>
      <c r="AB935" s="9">
        <f>IFERROR(__xludf.DUMMYFUNCTION("""COMPUTED_VALUE"""),3633.78)</f>
        <v>3633.78</v>
      </c>
      <c r="AC935" s="11">
        <f>IFERROR(__xludf.DUMMYFUNCTION("""COMPUTED_VALUE"""),44405.66666666667)</f>
        <v>44405.66667</v>
      </c>
      <c r="AD935" s="9">
        <f>IFERROR(__xludf.DUMMYFUNCTION("""COMPUTED_VALUE"""),3630.32)</f>
        <v>3630.32</v>
      </c>
    </row>
    <row r="936">
      <c r="B936" s="11">
        <f>IFERROR(__xludf.DUMMYFUNCTION("""COMPUTED_VALUE"""),44406.66666666667)</f>
        <v>44406.66667</v>
      </c>
      <c r="C936" s="9">
        <f>IFERROR(__xludf.DUMMYFUNCTION("""COMPUTED_VALUE"""),649.79)</f>
        <v>649.79</v>
      </c>
      <c r="D936" s="11">
        <f>IFERROR(__xludf.DUMMYFUNCTION("""COMPUTED_VALUE"""),44406.66666666667)</f>
        <v>44406.66667</v>
      </c>
      <c r="E936" s="9">
        <f>IFERROR(__xludf.DUMMYFUNCTION("""COMPUTED_VALUE"""),677.35)</f>
        <v>677.35</v>
      </c>
      <c r="G936" s="11">
        <f>IFERROR(__xludf.DUMMYFUNCTION("""COMPUTED_VALUE"""),44406.66666666667)</f>
        <v>44406.66667</v>
      </c>
      <c r="H936" s="9">
        <f>IFERROR(__xludf.DUMMYFUNCTION("""COMPUTED_VALUE"""),2727.61)</f>
        <v>2727.61</v>
      </c>
      <c r="I936" s="11">
        <f>IFERROR(__xludf.DUMMYFUNCTION("""COMPUTED_VALUE"""),44406.66666666667)</f>
        <v>44406.66667</v>
      </c>
      <c r="J936" s="9">
        <f>IFERROR(__xludf.DUMMYFUNCTION("""COMPUTED_VALUE"""),2730.81)</f>
        <v>2730.81</v>
      </c>
      <c r="L936" s="11">
        <f>IFERROR(__xludf.DUMMYFUNCTION("""COMPUTED_VALUE"""),44406.66666666667)</f>
        <v>44406.66667</v>
      </c>
      <c r="M936" s="9">
        <f>IFERROR(__xludf.DUMMYFUNCTION("""COMPUTED_VALUE"""),144.69)</f>
        <v>144.69</v>
      </c>
      <c r="N936" s="11">
        <f>IFERROR(__xludf.DUMMYFUNCTION("""COMPUTED_VALUE"""),44406.66666666667)</f>
        <v>44406.66667</v>
      </c>
      <c r="O936" s="9">
        <f>IFERROR(__xludf.DUMMYFUNCTION("""COMPUTED_VALUE"""),145.64)</f>
        <v>145.64</v>
      </c>
      <c r="Q936" s="11">
        <f>IFERROR(__xludf.DUMMYFUNCTION("""COMPUTED_VALUE"""),44406.66666666667)</f>
        <v>44406.66667</v>
      </c>
      <c r="R936" s="9">
        <f>IFERROR(__xludf.DUMMYFUNCTION("""COMPUTED_VALUE"""),361.0)</f>
        <v>361</v>
      </c>
      <c r="S936" s="11">
        <f>IFERROR(__xludf.DUMMYFUNCTION("""COMPUTED_VALUE"""),44406.66666666667)</f>
        <v>44406.66667</v>
      </c>
      <c r="T936" s="9">
        <f>IFERROR(__xludf.DUMMYFUNCTION("""COMPUTED_VALUE"""),358.32)</f>
        <v>358.32</v>
      </c>
      <c r="V936" s="11">
        <f>IFERROR(__xludf.DUMMYFUNCTION("""COMPUTED_VALUE"""),44406.66666666667)</f>
        <v>44406.66667</v>
      </c>
      <c r="W936" s="9">
        <f>IFERROR(__xludf.DUMMYFUNCTION("""COMPUTED_VALUE"""),519.96)</f>
        <v>519.96</v>
      </c>
      <c r="X936" s="11">
        <f>IFERROR(__xludf.DUMMYFUNCTION("""COMPUTED_VALUE"""),44406.66666666667)</f>
        <v>44406.66667</v>
      </c>
      <c r="Y936" s="9">
        <f>IFERROR(__xludf.DUMMYFUNCTION("""COMPUTED_VALUE"""),514.25)</f>
        <v>514.25</v>
      </c>
      <c r="AA936" s="11">
        <f>IFERROR(__xludf.DUMMYFUNCTION("""COMPUTED_VALUE"""),44406.66666666667)</f>
        <v>44406.66667</v>
      </c>
      <c r="AB936" s="9">
        <f>IFERROR(__xludf.DUMMYFUNCTION("""COMPUTED_VALUE"""),3627.75)</f>
        <v>3627.75</v>
      </c>
      <c r="AC936" s="11">
        <f>IFERROR(__xludf.DUMMYFUNCTION("""COMPUTED_VALUE"""),44406.66666666667)</f>
        <v>44406.66667</v>
      </c>
      <c r="AD936" s="9">
        <f>IFERROR(__xludf.DUMMYFUNCTION("""COMPUTED_VALUE"""),3599.92)</f>
        <v>3599.92</v>
      </c>
    </row>
    <row r="937">
      <c r="B937" s="11">
        <f>IFERROR(__xludf.DUMMYFUNCTION("""COMPUTED_VALUE"""),44407.66666666667)</f>
        <v>44407.66667</v>
      </c>
      <c r="C937" s="9">
        <f>IFERROR(__xludf.DUMMYFUNCTION("""COMPUTED_VALUE"""),671.76)</f>
        <v>671.76</v>
      </c>
      <c r="D937" s="11">
        <f>IFERROR(__xludf.DUMMYFUNCTION("""COMPUTED_VALUE"""),44407.66666666667)</f>
        <v>44407.66667</v>
      </c>
      <c r="E937" s="9">
        <f>IFERROR(__xludf.DUMMYFUNCTION("""COMPUTED_VALUE"""),687.2)</f>
        <v>687.2</v>
      </c>
      <c r="G937" s="11">
        <f>IFERROR(__xludf.DUMMYFUNCTION("""COMPUTED_VALUE"""),44407.66666666667)</f>
        <v>44407.66667</v>
      </c>
      <c r="H937" s="9">
        <f>IFERROR(__xludf.DUMMYFUNCTION("""COMPUTED_VALUE"""),2710.22)</f>
        <v>2710.22</v>
      </c>
      <c r="I937" s="11">
        <f>IFERROR(__xludf.DUMMYFUNCTION("""COMPUTED_VALUE"""),44407.66666666667)</f>
        <v>44407.66667</v>
      </c>
      <c r="J937" s="9">
        <f>IFERROR(__xludf.DUMMYFUNCTION("""COMPUTED_VALUE"""),2704.42)</f>
        <v>2704.42</v>
      </c>
      <c r="L937" s="11">
        <f>IFERROR(__xludf.DUMMYFUNCTION("""COMPUTED_VALUE"""),44407.66666666667)</f>
        <v>44407.66667</v>
      </c>
      <c r="M937" s="9">
        <f>IFERROR(__xludf.DUMMYFUNCTION("""COMPUTED_VALUE"""),144.38)</f>
        <v>144.38</v>
      </c>
      <c r="N937" s="11">
        <f>IFERROR(__xludf.DUMMYFUNCTION("""COMPUTED_VALUE"""),44407.66666666667)</f>
        <v>44407.66667</v>
      </c>
      <c r="O937" s="9">
        <f>IFERROR(__xludf.DUMMYFUNCTION("""COMPUTED_VALUE"""),145.86)</f>
        <v>145.86</v>
      </c>
      <c r="Q937" s="11">
        <f>IFERROR(__xludf.DUMMYFUNCTION("""COMPUTED_VALUE"""),44407.66666666667)</f>
        <v>44407.66667</v>
      </c>
      <c r="R937" s="9">
        <f>IFERROR(__xludf.DUMMYFUNCTION("""COMPUTED_VALUE"""),354.0)</f>
        <v>354</v>
      </c>
      <c r="S937" s="11">
        <f>IFERROR(__xludf.DUMMYFUNCTION("""COMPUTED_VALUE"""),44407.66666666667)</f>
        <v>44407.66667</v>
      </c>
      <c r="T937" s="9">
        <f>IFERROR(__xludf.DUMMYFUNCTION("""COMPUTED_VALUE"""),356.3)</f>
        <v>356.3</v>
      </c>
      <c r="V937" s="11">
        <f>IFERROR(__xludf.DUMMYFUNCTION("""COMPUTED_VALUE"""),44407.66666666667)</f>
        <v>44407.66667</v>
      </c>
      <c r="W937" s="9">
        <f>IFERROR(__xludf.DUMMYFUNCTION("""COMPUTED_VALUE"""),512.69)</f>
        <v>512.69</v>
      </c>
      <c r="X937" s="11">
        <f>IFERROR(__xludf.DUMMYFUNCTION("""COMPUTED_VALUE"""),44407.66666666667)</f>
        <v>44407.66667</v>
      </c>
      <c r="Y937" s="9">
        <f>IFERROR(__xludf.DUMMYFUNCTION("""COMPUTED_VALUE"""),517.57)</f>
        <v>517.57</v>
      </c>
      <c r="AA937" s="11">
        <f>IFERROR(__xludf.DUMMYFUNCTION("""COMPUTED_VALUE"""),44407.66666666667)</f>
        <v>44407.66667</v>
      </c>
      <c r="AB937" s="9">
        <f>IFERROR(__xludf.DUMMYFUNCTION("""COMPUTED_VALUE"""),3347.95)</f>
        <v>3347.95</v>
      </c>
      <c r="AC937" s="11">
        <f>IFERROR(__xludf.DUMMYFUNCTION("""COMPUTED_VALUE"""),44407.66666666667)</f>
        <v>44407.66667</v>
      </c>
      <c r="AD937" s="9">
        <f>IFERROR(__xludf.DUMMYFUNCTION("""COMPUTED_VALUE"""),3327.59)</f>
        <v>3327.59</v>
      </c>
    </row>
    <row r="938">
      <c r="B938" s="11">
        <f>IFERROR(__xludf.DUMMYFUNCTION("""COMPUTED_VALUE"""),44410.66666666667)</f>
        <v>44410.66667</v>
      </c>
      <c r="C938" s="9">
        <f>IFERROR(__xludf.DUMMYFUNCTION("""COMPUTED_VALUE"""),700.0)</f>
        <v>700</v>
      </c>
      <c r="D938" s="11">
        <f>IFERROR(__xludf.DUMMYFUNCTION("""COMPUTED_VALUE"""),44410.66666666667)</f>
        <v>44410.66667</v>
      </c>
      <c r="E938" s="9">
        <f>IFERROR(__xludf.DUMMYFUNCTION("""COMPUTED_VALUE"""),709.67)</f>
        <v>709.67</v>
      </c>
      <c r="G938" s="11">
        <f>IFERROR(__xludf.DUMMYFUNCTION("""COMPUTED_VALUE"""),44410.66666666667)</f>
        <v>44410.66667</v>
      </c>
      <c r="H938" s="9">
        <f>IFERROR(__xludf.DUMMYFUNCTION("""COMPUTED_VALUE"""),2709.69)</f>
        <v>2709.69</v>
      </c>
      <c r="I938" s="11">
        <f>IFERROR(__xludf.DUMMYFUNCTION("""COMPUTED_VALUE"""),44410.66666666667)</f>
        <v>44410.66667</v>
      </c>
      <c r="J938" s="9">
        <f>IFERROR(__xludf.DUMMYFUNCTION("""COMPUTED_VALUE"""),2719.79)</f>
        <v>2719.79</v>
      </c>
      <c r="L938" s="11">
        <f>IFERROR(__xludf.DUMMYFUNCTION("""COMPUTED_VALUE"""),44410.66666666667)</f>
        <v>44410.66667</v>
      </c>
      <c r="M938" s="9">
        <f>IFERROR(__xludf.DUMMYFUNCTION("""COMPUTED_VALUE"""),146.36)</f>
        <v>146.36</v>
      </c>
      <c r="N938" s="11">
        <f>IFERROR(__xludf.DUMMYFUNCTION("""COMPUTED_VALUE"""),44410.66666666667)</f>
        <v>44410.66667</v>
      </c>
      <c r="O938" s="9">
        <f>IFERROR(__xludf.DUMMYFUNCTION("""COMPUTED_VALUE"""),145.52)</f>
        <v>145.52</v>
      </c>
      <c r="Q938" s="11">
        <f>IFERROR(__xludf.DUMMYFUNCTION("""COMPUTED_VALUE"""),44410.66666666667)</f>
        <v>44410.66667</v>
      </c>
      <c r="R938" s="9">
        <f>IFERROR(__xludf.DUMMYFUNCTION("""COMPUTED_VALUE"""),358.1)</f>
        <v>358.1</v>
      </c>
      <c r="S938" s="11">
        <f>IFERROR(__xludf.DUMMYFUNCTION("""COMPUTED_VALUE"""),44410.66666666667)</f>
        <v>44410.66667</v>
      </c>
      <c r="T938" s="9">
        <f>IFERROR(__xludf.DUMMYFUNCTION("""COMPUTED_VALUE"""),351.95)</f>
        <v>351.95</v>
      </c>
      <c r="V938" s="11">
        <f>IFERROR(__xludf.DUMMYFUNCTION("""COMPUTED_VALUE"""),44410.66666666667)</f>
        <v>44410.66667</v>
      </c>
      <c r="W938" s="9">
        <f>IFERROR(__xludf.DUMMYFUNCTION("""COMPUTED_VALUE"""),519.0)</f>
        <v>519</v>
      </c>
      <c r="X938" s="11">
        <f>IFERROR(__xludf.DUMMYFUNCTION("""COMPUTED_VALUE"""),44410.66666666667)</f>
        <v>44410.66667</v>
      </c>
      <c r="Y938" s="9">
        <f>IFERROR(__xludf.DUMMYFUNCTION("""COMPUTED_VALUE"""),515.15)</f>
        <v>515.15</v>
      </c>
      <c r="AA938" s="11">
        <f>IFERROR(__xludf.DUMMYFUNCTION("""COMPUTED_VALUE"""),44410.66666666667)</f>
        <v>44410.66667</v>
      </c>
      <c r="AB938" s="9">
        <f>IFERROR(__xludf.DUMMYFUNCTION("""COMPUTED_VALUE"""),3353.1)</f>
        <v>3353.1</v>
      </c>
      <c r="AC938" s="11">
        <f>IFERROR(__xludf.DUMMYFUNCTION("""COMPUTED_VALUE"""),44410.66666666667)</f>
        <v>44410.66667</v>
      </c>
      <c r="AD938" s="9">
        <f>IFERROR(__xludf.DUMMYFUNCTION("""COMPUTED_VALUE"""),3331.48)</f>
        <v>3331.48</v>
      </c>
    </row>
    <row r="939">
      <c r="B939" s="11">
        <f>IFERROR(__xludf.DUMMYFUNCTION("""COMPUTED_VALUE"""),44411.66666666667)</f>
        <v>44411.66667</v>
      </c>
      <c r="C939" s="9">
        <f>IFERROR(__xludf.DUMMYFUNCTION("""COMPUTED_VALUE"""),719.0)</f>
        <v>719</v>
      </c>
      <c r="D939" s="11">
        <f>IFERROR(__xludf.DUMMYFUNCTION("""COMPUTED_VALUE"""),44411.66666666667)</f>
        <v>44411.66667</v>
      </c>
      <c r="E939" s="9">
        <f>IFERROR(__xludf.DUMMYFUNCTION("""COMPUTED_VALUE"""),709.74)</f>
        <v>709.74</v>
      </c>
      <c r="G939" s="11">
        <f>IFERROR(__xludf.DUMMYFUNCTION("""COMPUTED_VALUE"""),44411.66666666667)</f>
        <v>44411.66667</v>
      </c>
      <c r="H939" s="9">
        <f>IFERROR(__xludf.DUMMYFUNCTION("""COMPUTED_VALUE"""),2720.0)</f>
        <v>2720</v>
      </c>
      <c r="I939" s="11">
        <f>IFERROR(__xludf.DUMMYFUNCTION("""COMPUTED_VALUE"""),44411.66666666667)</f>
        <v>44411.66667</v>
      </c>
      <c r="J939" s="9">
        <f>IFERROR(__xludf.DUMMYFUNCTION("""COMPUTED_VALUE"""),2725.6)</f>
        <v>2725.6</v>
      </c>
      <c r="L939" s="11">
        <f>IFERROR(__xludf.DUMMYFUNCTION("""COMPUTED_VALUE"""),44411.66666666667)</f>
        <v>44411.66667</v>
      </c>
      <c r="M939" s="9">
        <f>IFERROR(__xludf.DUMMYFUNCTION("""COMPUTED_VALUE"""),145.81)</f>
        <v>145.81</v>
      </c>
      <c r="N939" s="11">
        <f>IFERROR(__xludf.DUMMYFUNCTION("""COMPUTED_VALUE"""),44411.66666666667)</f>
        <v>44411.66667</v>
      </c>
      <c r="O939" s="9">
        <f>IFERROR(__xludf.DUMMYFUNCTION("""COMPUTED_VALUE"""),147.36)</f>
        <v>147.36</v>
      </c>
      <c r="Q939" s="11">
        <f>IFERROR(__xludf.DUMMYFUNCTION("""COMPUTED_VALUE"""),44411.66666666667)</f>
        <v>44411.66667</v>
      </c>
      <c r="R939" s="9">
        <f>IFERROR(__xludf.DUMMYFUNCTION("""COMPUTED_VALUE"""),352.73)</f>
        <v>352.73</v>
      </c>
      <c r="S939" s="11">
        <f>IFERROR(__xludf.DUMMYFUNCTION("""COMPUTED_VALUE"""),44411.66666666667)</f>
        <v>44411.66667</v>
      </c>
      <c r="T939" s="9">
        <f>IFERROR(__xludf.DUMMYFUNCTION("""COMPUTED_VALUE"""),351.24)</f>
        <v>351.24</v>
      </c>
      <c r="V939" s="11">
        <f>IFERROR(__xludf.DUMMYFUNCTION("""COMPUTED_VALUE"""),44411.66666666667)</f>
        <v>44411.66667</v>
      </c>
      <c r="W939" s="9">
        <f>IFERROR(__xludf.DUMMYFUNCTION("""COMPUTED_VALUE"""),514.39)</f>
        <v>514.39</v>
      </c>
      <c r="X939" s="11">
        <f>IFERROR(__xludf.DUMMYFUNCTION("""COMPUTED_VALUE"""),44411.66666666667)</f>
        <v>44411.66667</v>
      </c>
      <c r="Y939" s="9">
        <f>IFERROR(__xludf.DUMMYFUNCTION("""COMPUTED_VALUE"""),510.82)</f>
        <v>510.82</v>
      </c>
      <c r="AA939" s="11">
        <f>IFERROR(__xludf.DUMMYFUNCTION("""COMPUTED_VALUE"""),44411.66666666667)</f>
        <v>44411.66667</v>
      </c>
      <c r="AB939" s="9">
        <f>IFERROR(__xludf.DUMMYFUNCTION("""COMPUTED_VALUE"""),3340.72)</f>
        <v>3340.72</v>
      </c>
      <c r="AC939" s="11">
        <f>IFERROR(__xludf.DUMMYFUNCTION("""COMPUTED_VALUE"""),44411.66666666667)</f>
        <v>44411.66667</v>
      </c>
      <c r="AD939" s="9">
        <f>IFERROR(__xludf.DUMMYFUNCTION("""COMPUTED_VALUE"""),3366.24)</f>
        <v>3366.24</v>
      </c>
    </row>
    <row r="940">
      <c r="B940" s="11">
        <f>IFERROR(__xludf.DUMMYFUNCTION("""COMPUTED_VALUE"""),44412.66666666667)</f>
        <v>44412.66667</v>
      </c>
      <c r="C940" s="9">
        <f>IFERROR(__xludf.DUMMYFUNCTION("""COMPUTED_VALUE"""),711.0)</f>
        <v>711</v>
      </c>
      <c r="D940" s="11">
        <f>IFERROR(__xludf.DUMMYFUNCTION("""COMPUTED_VALUE"""),44412.66666666667)</f>
        <v>44412.66667</v>
      </c>
      <c r="E940" s="9">
        <f>IFERROR(__xludf.DUMMYFUNCTION("""COMPUTED_VALUE"""),710.92)</f>
        <v>710.92</v>
      </c>
      <c r="G940" s="11">
        <f>IFERROR(__xludf.DUMMYFUNCTION("""COMPUTED_VALUE"""),44412.66666666667)</f>
        <v>44412.66667</v>
      </c>
      <c r="H940" s="9">
        <f>IFERROR(__xludf.DUMMYFUNCTION("""COMPUTED_VALUE"""),2724.99)</f>
        <v>2724.99</v>
      </c>
      <c r="I940" s="11">
        <f>IFERROR(__xludf.DUMMYFUNCTION("""COMPUTED_VALUE"""),44412.66666666667)</f>
        <v>44412.66667</v>
      </c>
      <c r="J940" s="9">
        <f>IFERROR(__xludf.DUMMYFUNCTION("""COMPUTED_VALUE"""),2720.57)</f>
        <v>2720.57</v>
      </c>
      <c r="L940" s="11">
        <f>IFERROR(__xludf.DUMMYFUNCTION("""COMPUTED_VALUE"""),44412.66666666667)</f>
        <v>44412.66667</v>
      </c>
      <c r="M940" s="9">
        <f>IFERROR(__xludf.DUMMYFUNCTION("""COMPUTED_VALUE"""),147.27)</f>
        <v>147.27</v>
      </c>
      <c r="N940" s="11">
        <f>IFERROR(__xludf.DUMMYFUNCTION("""COMPUTED_VALUE"""),44412.66666666667)</f>
        <v>44412.66667</v>
      </c>
      <c r="O940" s="9">
        <f>IFERROR(__xludf.DUMMYFUNCTION("""COMPUTED_VALUE"""),146.95)</f>
        <v>146.95</v>
      </c>
      <c r="Q940" s="11">
        <f>IFERROR(__xludf.DUMMYFUNCTION("""COMPUTED_VALUE"""),44412.66666666667)</f>
        <v>44412.66667</v>
      </c>
      <c r="R940" s="9">
        <f>IFERROR(__xludf.DUMMYFUNCTION("""COMPUTED_VALUE"""),352.42)</f>
        <v>352.42</v>
      </c>
      <c r="S940" s="11">
        <f>IFERROR(__xludf.DUMMYFUNCTION("""COMPUTED_VALUE"""),44412.66666666667)</f>
        <v>44412.66667</v>
      </c>
      <c r="T940" s="9">
        <f>IFERROR(__xludf.DUMMYFUNCTION("""COMPUTED_VALUE"""),358.92)</f>
        <v>358.92</v>
      </c>
      <c r="V940" s="11">
        <f>IFERROR(__xludf.DUMMYFUNCTION("""COMPUTED_VALUE"""),44412.66666666667)</f>
        <v>44412.66667</v>
      </c>
      <c r="W940" s="9">
        <f>IFERROR(__xludf.DUMMYFUNCTION("""COMPUTED_VALUE"""),513.0)</f>
        <v>513</v>
      </c>
      <c r="X940" s="11">
        <f>IFERROR(__xludf.DUMMYFUNCTION("""COMPUTED_VALUE"""),44412.66666666667)</f>
        <v>44412.66667</v>
      </c>
      <c r="Y940" s="9">
        <f>IFERROR(__xludf.DUMMYFUNCTION("""COMPUTED_VALUE"""),517.35)</f>
        <v>517.35</v>
      </c>
      <c r="AA940" s="11">
        <f>IFERROR(__xludf.DUMMYFUNCTION("""COMPUTED_VALUE"""),44412.66666666667)</f>
        <v>44412.66667</v>
      </c>
      <c r="AB940" s="9">
        <f>IFERROR(__xludf.DUMMYFUNCTION("""COMPUTED_VALUE"""),3379.35)</f>
        <v>3379.35</v>
      </c>
      <c r="AC940" s="11">
        <f>IFERROR(__xludf.DUMMYFUNCTION("""COMPUTED_VALUE"""),44412.66666666667)</f>
        <v>44412.66667</v>
      </c>
      <c r="AD940" s="9">
        <f>IFERROR(__xludf.DUMMYFUNCTION("""COMPUTED_VALUE"""),3354.72)</f>
        <v>3354.72</v>
      </c>
    </row>
    <row r="941">
      <c r="B941" s="11">
        <f>IFERROR(__xludf.DUMMYFUNCTION("""COMPUTED_VALUE"""),44413.66666666667)</f>
        <v>44413.66667</v>
      </c>
      <c r="C941" s="9">
        <f>IFERROR(__xludf.DUMMYFUNCTION("""COMPUTED_VALUE"""),716.0)</f>
        <v>716</v>
      </c>
      <c r="D941" s="11">
        <f>IFERROR(__xludf.DUMMYFUNCTION("""COMPUTED_VALUE"""),44413.66666666667)</f>
        <v>44413.66667</v>
      </c>
      <c r="E941" s="9">
        <f>IFERROR(__xludf.DUMMYFUNCTION("""COMPUTED_VALUE"""),714.63)</f>
        <v>714.63</v>
      </c>
      <c r="G941" s="11">
        <f>IFERROR(__xludf.DUMMYFUNCTION("""COMPUTED_VALUE"""),44413.66666666667)</f>
        <v>44413.66667</v>
      </c>
      <c r="H941" s="9">
        <f>IFERROR(__xludf.DUMMYFUNCTION("""COMPUTED_VALUE"""),2720.57)</f>
        <v>2720.57</v>
      </c>
      <c r="I941" s="11">
        <f>IFERROR(__xludf.DUMMYFUNCTION("""COMPUTED_VALUE"""),44413.66666666667)</f>
        <v>44413.66667</v>
      </c>
      <c r="J941" s="9">
        <f>IFERROR(__xludf.DUMMYFUNCTION("""COMPUTED_VALUE"""),2738.8)</f>
        <v>2738.8</v>
      </c>
      <c r="L941" s="11">
        <f>IFERROR(__xludf.DUMMYFUNCTION("""COMPUTED_VALUE"""),44413.66666666667)</f>
        <v>44413.66667</v>
      </c>
      <c r="M941" s="9">
        <f>IFERROR(__xludf.DUMMYFUNCTION("""COMPUTED_VALUE"""),146.98)</f>
        <v>146.98</v>
      </c>
      <c r="N941" s="11">
        <f>IFERROR(__xludf.DUMMYFUNCTION("""COMPUTED_VALUE"""),44413.66666666667)</f>
        <v>44413.66667</v>
      </c>
      <c r="O941" s="9">
        <f>IFERROR(__xludf.DUMMYFUNCTION("""COMPUTED_VALUE"""),147.06)</f>
        <v>147.06</v>
      </c>
      <c r="Q941" s="11">
        <f>IFERROR(__xludf.DUMMYFUNCTION("""COMPUTED_VALUE"""),44413.66666666667)</f>
        <v>44413.66667</v>
      </c>
      <c r="R941" s="9">
        <f>IFERROR(__xludf.DUMMYFUNCTION("""COMPUTED_VALUE"""),359.64)</f>
        <v>359.64</v>
      </c>
      <c r="S941" s="11">
        <f>IFERROR(__xludf.DUMMYFUNCTION("""COMPUTED_VALUE"""),44413.66666666667)</f>
        <v>44413.66667</v>
      </c>
      <c r="T941" s="9">
        <f>IFERROR(__xludf.DUMMYFUNCTION("""COMPUTED_VALUE"""),362.97)</f>
        <v>362.97</v>
      </c>
      <c r="V941" s="11">
        <f>IFERROR(__xludf.DUMMYFUNCTION("""COMPUTED_VALUE"""),44413.66666666667)</f>
        <v>44413.66667</v>
      </c>
      <c r="W941" s="9">
        <f>IFERROR(__xludf.DUMMYFUNCTION("""COMPUTED_VALUE"""),517.13)</f>
        <v>517.13</v>
      </c>
      <c r="X941" s="11">
        <f>IFERROR(__xludf.DUMMYFUNCTION("""COMPUTED_VALUE"""),44413.66666666667)</f>
        <v>44413.66667</v>
      </c>
      <c r="Y941" s="9">
        <f>IFERROR(__xludf.DUMMYFUNCTION("""COMPUTED_VALUE"""),524.89)</f>
        <v>524.89</v>
      </c>
      <c r="AA941" s="11">
        <f>IFERROR(__xludf.DUMMYFUNCTION("""COMPUTED_VALUE"""),44413.66666666667)</f>
        <v>44413.66667</v>
      </c>
      <c r="AB941" s="9">
        <f>IFERROR(__xludf.DUMMYFUNCTION("""COMPUTED_VALUE"""),3356.22)</f>
        <v>3356.22</v>
      </c>
      <c r="AC941" s="11">
        <f>IFERROR(__xludf.DUMMYFUNCTION("""COMPUTED_VALUE"""),44413.66666666667)</f>
        <v>44413.66667</v>
      </c>
      <c r="AD941" s="9">
        <f>IFERROR(__xludf.DUMMYFUNCTION("""COMPUTED_VALUE"""),3375.99)</f>
        <v>3375.99</v>
      </c>
    </row>
    <row r="942">
      <c r="B942" s="11">
        <f>IFERROR(__xludf.DUMMYFUNCTION("""COMPUTED_VALUE"""),44414.66666666667)</f>
        <v>44414.66667</v>
      </c>
      <c r="C942" s="9">
        <f>IFERROR(__xludf.DUMMYFUNCTION("""COMPUTED_VALUE"""),711.9)</f>
        <v>711.9</v>
      </c>
      <c r="D942" s="11">
        <f>IFERROR(__xludf.DUMMYFUNCTION("""COMPUTED_VALUE"""),44414.66666666667)</f>
        <v>44414.66667</v>
      </c>
      <c r="E942" s="9">
        <f>IFERROR(__xludf.DUMMYFUNCTION("""COMPUTED_VALUE"""),699.1)</f>
        <v>699.1</v>
      </c>
      <c r="G942" s="11">
        <f>IFERROR(__xludf.DUMMYFUNCTION("""COMPUTED_VALUE"""),44414.66666666667)</f>
        <v>44414.66667</v>
      </c>
      <c r="H942" s="9">
        <f>IFERROR(__xludf.DUMMYFUNCTION("""COMPUTED_VALUE"""),2725.9)</f>
        <v>2725.9</v>
      </c>
      <c r="I942" s="11">
        <f>IFERROR(__xludf.DUMMYFUNCTION("""COMPUTED_VALUE"""),44414.66666666667)</f>
        <v>44414.66667</v>
      </c>
      <c r="J942" s="9">
        <f>IFERROR(__xludf.DUMMYFUNCTION("""COMPUTED_VALUE"""),2740.72)</f>
        <v>2740.72</v>
      </c>
      <c r="L942" s="11">
        <f>IFERROR(__xludf.DUMMYFUNCTION("""COMPUTED_VALUE"""),44414.66666666667)</f>
        <v>44414.66667</v>
      </c>
      <c r="M942" s="9">
        <f>IFERROR(__xludf.DUMMYFUNCTION("""COMPUTED_VALUE"""),146.35)</f>
        <v>146.35</v>
      </c>
      <c r="N942" s="11">
        <f>IFERROR(__xludf.DUMMYFUNCTION("""COMPUTED_VALUE"""),44414.66666666667)</f>
        <v>44414.66667</v>
      </c>
      <c r="O942" s="9">
        <f>IFERROR(__xludf.DUMMYFUNCTION("""COMPUTED_VALUE"""),146.14)</f>
        <v>146.14</v>
      </c>
      <c r="Q942" s="11">
        <f>IFERROR(__xludf.DUMMYFUNCTION("""COMPUTED_VALUE"""),44414.66666666667)</f>
        <v>44414.66667</v>
      </c>
      <c r="R942" s="9">
        <f>IFERROR(__xludf.DUMMYFUNCTION("""COMPUTED_VALUE"""),361.4)</f>
        <v>361.4</v>
      </c>
      <c r="S942" s="11">
        <f>IFERROR(__xludf.DUMMYFUNCTION("""COMPUTED_VALUE"""),44414.66666666667)</f>
        <v>44414.66667</v>
      </c>
      <c r="T942" s="9">
        <f>IFERROR(__xludf.DUMMYFUNCTION("""COMPUTED_VALUE"""),363.51)</f>
        <v>363.51</v>
      </c>
      <c r="V942" s="11">
        <f>IFERROR(__xludf.DUMMYFUNCTION("""COMPUTED_VALUE"""),44414.66666666667)</f>
        <v>44414.66667</v>
      </c>
      <c r="W942" s="9">
        <f>IFERROR(__xludf.DUMMYFUNCTION("""COMPUTED_VALUE"""),524.0)</f>
        <v>524</v>
      </c>
      <c r="X942" s="11">
        <f>IFERROR(__xludf.DUMMYFUNCTION("""COMPUTED_VALUE"""),44414.66666666667)</f>
        <v>44414.66667</v>
      </c>
      <c r="Y942" s="9">
        <f>IFERROR(__xludf.DUMMYFUNCTION("""COMPUTED_VALUE"""),520.55)</f>
        <v>520.55</v>
      </c>
      <c r="AA942" s="11">
        <f>IFERROR(__xludf.DUMMYFUNCTION("""COMPUTED_VALUE"""),44414.66666666667)</f>
        <v>44414.66667</v>
      </c>
      <c r="AB942" s="9">
        <f>IFERROR(__xludf.DUMMYFUNCTION("""COMPUTED_VALUE"""),3375.0)</f>
        <v>3375</v>
      </c>
      <c r="AC942" s="11">
        <f>IFERROR(__xludf.DUMMYFUNCTION("""COMPUTED_VALUE"""),44414.66666666667)</f>
        <v>44414.66667</v>
      </c>
      <c r="AD942" s="9">
        <f>IFERROR(__xludf.DUMMYFUNCTION("""COMPUTED_VALUE"""),3344.94)</f>
        <v>3344.94</v>
      </c>
    </row>
    <row r="943">
      <c r="B943" s="11">
        <f>IFERROR(__xludf.DUMMYFUNCTION("""COMPUTED_VALUE"""),44417.66666666667)</f>
        <v>44417.66667</v>
      </c>
      <c r="C943" s="9">
        <f>IFERROR(__xludf.DUMMYFUNCTION("""COMPUTED_VALUE"""),710.17)</f>
        <v>710.17</v>
      </c>
      <c r="D943" s="11">
        <f>IFERROR(__xludf.DUMMYFUNCTION("""COMPUTED_VALUE"""),44417.66666666667)</f>
        <v>44417.66667</v>
      </c>
      <c r="E943" s="9">
        <f>IFERROR(__xludf.DUMMYFUNCTION("""COMPUTED_VALUE"""),713.76)</f>
        <v>713.76</v>
      </c>
      <c r="G943" s="11">
        <f>IFERROR(__xludf.DUMMYFUNCTION("""COMPUTED_VALUE"""),44417.66666666667)</f>
        <v>44417.66667</v>
      </c>
      <c r="H943" s="9">
        <f>IFERROR(__xludf.DUMMYFUNCTION("""COMPUTED_VALUE"""),2738.98)</f>
        <v>2738.98</v>
      </c>
      <c r="I943" s="11">
        <f>IFERROR(__xludf.DUMMYFUNCTION("""COMPUTED_VALUE"""),44417.66666666667)</f>
        <v>44417.66667</v>
      </c>
      <c r="J943" s="9">
        <f>IFERROR(__xludf.DUMMYFUNCTION("""COMPUTED_VALUE"""),2760.04)</f>
        <v>2760.04</v>
      </c>
      <c r="L943" s="11">
        <f>IFERROR(__xludf.DUMMYFUNCTION("""COMPUTED_VALUE"""),44417.66666666667)</f>
        <v>44417.66667</v>
      </c>
      <c r="M943" s="9">
        <f>IFERROR(__xludf.DUMMYFUNCTION("""COMPUTED_VALUE"""),146.2)</f>
        <v>146.2</v>
      </c>
      <c r="N943" s="11">
        <f>IFERROR(__xludf.DUMMYFUNCTION("""COMPUTED_VALUE"""),44417.66666666667)</f>
        <v>44417.66667</v>
      </c>
      <c r="O943" s="9">
        <f>IFERROR(__xludf.DUMMYFUNCTION("""COMPUTED_VALUE"""),146.09)</f>
        <v>146.09</v>
      </c>
      <c r="Q943" s="11">
        <f>IFERROR(__xludf.DUMMYFUNCTION("""COMPUTED_VALUE"""),44417.66666666667)</f>
        <v>44417.66667</v>
      </c>
      <c r="R943" s="9">
        <f>IFERROR(__xludf.DUMMYFUNCTION("""COMPUTED_VALUE"""),363.76)</f>
        <v>363.76</v>
      </c>
      <c r="S943" s="11">
        <f>IFERROR(__xludf.DUMMYFUNCTION("""COMPUTED_VALUE"""),44417.66666666667)</f>
        <v>44417.66667</v>
      </c>
      <c r="T943" s="9">
        <f>IFERROR(__xludf.DUMMYFUNCTION("""COMPUTED_VALUE"""),361.61)</f>
        <v>361.61</v>
      </c>
      <c r="V943" s="11">
        <f>IFERROR(__xludf.DUMMYFUNCTION("""COMPUTED_VALUE"""),44417.66666666667)</f>
        <v>44417.66667</v>
      </c>
      <c r="W943" s="9">
        <f>IFERROR(__xludf.DUMMYFUNCTION("""COMPUTED_VALUE"""),521.15)</f>
        <v>521.15</v>
      </c>
      <c r="X943" s="11">
        <f>IFERROR(__xludf.DUMMYFUNCTION("""COMPUTED_VALUE"""),44417.66666666667)</f>
        <v>44417.66667</v>
      </c>
      <c r="Y943" s="9">
        <f>IFERROR(__xludf.DUMMYFUNCTION("""COMPUTED_VALUE"""),519.97)</f>
        <v>519.97</v>
      </c>
      <c r="AA943" s="11">
        <f>IFERROR(__xludf.DUMMYFUNCTION("""COMPUTED_VALUE"""),44417.66666666667)</f>
        <v>44417.66667</v>
      </c>
      <c r="AB943" s="9">
        <f>IFERROR(__xludf.DUMMYFUNCTION("""COMPUTED_VALUE"""),3343.61)</f>
        <v>3343.61</v>
      </c>
      <c r="AC943" s="11">
        <f>IFERROR(__xludf.DUMMYFUNCTION("""COMPUTED_VALUE"""),44417.66666666667)</f>
        <v>44417.66667</v>
      </c>
      <c r="AD943" s="9">
        <f>IFERROR(__xludf.DUMMYFUNCTION("""COMPUTED_VALUE"""),3341.87)</f>
        <v>3341.87</v>
      </c>
    </row>
    <row r="944">
      <c r="B944" s="11">
        <f>IFERROR(__xludf.DUMMYFUNCTION("""COMPUTED_VALUE"""),44418.66666666667)</f>
        <v>44418.66667</v>
      </c>
      <c r="C944" s="9">
        <f>IFERROR(__xludf.DUMMYFUNCTION("""COMPUTED_VALUE"""),713.99)</f>
        <v>713.99</v>
      </c>
      <c r="D944" s="11">
        <f>IFERROR(__xludf.DUMMYFUNCTION("""COMPUTED_VALUE"""),44418.66666666667)</f>
        <v>44418.66667</v>
      </c>
      <c r="E944" s="9">
        <f>IFERROR(__xludf.DUMMYFUNCTION("""COMPUTED_VALUE"""),709.99)</f>
        <v>709.99</v>
      </c>
      <c r="G944" s="11">
        <f>IFERROR(__xludf.DUMMYFUNCTION("""COMPUTED_VALUE"""),44418.66666666667)</f>
        <v>44418.66667</v>
      </c>
      <c r="H944" s="9">
        <f>IFERROR(__xludf.DUMMYFUNCTION("""COMPUTED_VALUE"""),2761.59)</f>
        <v>2761.59</v>
      </c>
      <c r="I944" s="11">
        <f>IFERROR(__xludf.DUMMYFUNCTION("""COMPUTED_VALUE"""),44418.66666666667)</f>
        <v>44418.66667</v>
      </c>
      <c r="J944" s="9">
        <f>IFERROR(__xludf.DUMMYFUNCTION("""COMPUTED_VALUE"""),2761.93)</f>
        <v>2761.93</v>
      </c>
      <c r="L944" s="11">
        <f>IFERROR(__xludf.DUMMYFUNCTION("""COMPUTED_VALUE"""),44418.66666666667)</f>
        <v>44418.66667</v>
      </c>
      <c r="M944" s="9">
        <f>IFERROR(__xludf.DUMMYFUNCTION("""COMPUTED_VALUE"""),146.44)</f>
        <v>146.44</v>
      </c>
      <c r="N944" s="11">
        <f>IFERROR(__xludf.DUMMYFUNCTION("""COMPUTED_VALUE"""),44418.66666666667)</f>
        <v>44418.66667</v>
      </c>
      <c r="O944" s="9">
        <f>IFERROR(__xludf.DUMMYFUNCTION("""COMPUTED_VALUE"""),145.6)</f>
        <v>145.6</v>
      </c>
      <c r="Q944" s="11">
        <f>IFERROR(__xludf.DUMMYFUNCTION("""COMPUTED_VALUE"""),44418.66666666667)</f>
        <v>44418.66667</v>
      </c>
      <c r="R944" s="9">
        <f>IFERROR(__xludf.DUMMYFUNCTION("""COMPUTED_VALUE"""),361.83)</f>
        <v>361.83</v>
      </c>
      <c r="S944" s="11">
        <f>IFERROR(__xludf.DUMMYFUNCTION("""COMPUTED_VALUE"""),44418.66666666667)</f>
        <v>44418.66667</v>
      </c>
      <c r="T944" s="9">
        <f>IFERROR(__xludf.DUMMYFUNCTION("""COMPUTED_VALUE"""),361.13)</f>
        <v>361.13</v>
      </c>
      <c r="V944" s="11">
        <f>IFERROR(__xludf.DUMMYFUNCTION("""COMPUTED_VALUE"""),44418.66666666667)</f>
        <v>44418.66667</v>
      </c>
      <c r="W944" s="9">
        <f>IFERROR(__xludf.DUMMYFUNCTION("""COMPUTED_VALUE"""),520.0)</f>
        <v>520</v>
      </c>
      <c r="X944" s="11">
        <f>IFERROR(__xludf.DUMMYFUNCTION("""COMPUTED_VALUE"""),44418.66666666667)</f>
        <v>44418.66667</v>
      </c>
      <c r="Y944" s="9">
        <f>IFERROR(__xludf.DUMMYFUNCTION("""COMPUTED_VALUE"""),515.84)</f>
        <v>515.84</v>
      </c>
      <c r="AA944" s="11">
        <f>IFERROR(__xludf.DUMMYFUNCTION("""COMPUTED_VALUE"""),44418.66666666667)</f>
        <v>44418.66667</v>
      </c>
      <c r="AB944" s="9">
        <f>IFERROR(__xludf.DUMMYFUNCTION("""COMPUTED_VALUE"""),3345.01)</f>
        <v>3345.01</v>
      </c>
      <c r="AC944" s="11">
        <f>IFERROR(__xludf.DUMMYFUNCTION("""COMPUTED_VALUE"""),44418.66666666667)</f>
        <v>44418.66667</v>
      </c>
      <c r="AD944" s="9">
        <f>IFERROR(__xludf.DUMMYFUNCTION("""COMPUTED_VALUE"""),3320.68)</f>
        <v>3320.68</v>
      </c>
    </row>
    <row r="945">
      <c r="B945" s="11">
        <f>IFERROR(__xludf.DUMMYFUNCTION("""COMPUTED_VALUE"""),44419.66666666667)</f>
        <v>44419.66667</v>
      </c>
      <c r="C945" s="9">
        <f>IFERROR(__xludf.DUMMYFUNCTION("""COMPUTED_VALUE"""),712.71)</f>
        <v>712.71</v>
      </c>
      <c r="D945" s="11">
        <f>IFERROR(__xludf.DUMMYFUNCTION("""COMPUTED_VALUE"""),44419.66666666667)</f>
        <v>44419.66667</v>
      </c>
      <c r="E945" s="9">
        <f>IFERROR(__xludf.DUMMYFUNCTION("""COMPUTED_VALUE"""),707.82)</f>
        <v>707.82</v>
      </c>
      <c r="G945" s="11">
        <f>IFERROR(__xludf.DUMMYFUNCTION("""COMPUTED_VALUE"""),44419.66666666667)</f>
        <v>44419.66667</v>
      </c>
      <c r="H945" s="9">
        <f>IFERROR(__xludf.DUMMYFUNCTION("""COMPUTED_VALUE"""),2765.66)</f>
        <v>2765.66</v>
      </c>
      <c r="I945" s="11">
        <f>IFERROR(__xludf.DUMMYFUNCTION("""COMPUTED_VALUE"""),44419.66666666667)</f>
        <v>44419.66667</v>
      </c>
      <c r="J945" s="9">
        <f>IFERROR(__xludf.DUMMYFUNCTION("""COMPUTED_VALUE"""),2753.79)</f>
        <v>2753.79</v>
      </c>
      <c r="L945" s="11">
        <f>IFERROR(__xludf.DUMMYFUNCTION("""COMPUTED_VALUE"""),44419.66666666667)</f>
        <v>44419.66667</v>
      </c>
      <c r="M945" s="9">
        <f>IFERROR(__xludf.DUMMYFUNCTION("""COMPUTED_VALUE"""),146.05)</f>
        <v>146.05</v>
      </c>
      <c r="N945" s="11">
        <f>IFERROR(__xludf.DUMMYFUNCTION("""COMPUTED_VALUE"""),44419.66666666667)</f>
        <v>44419.66667</v>
      </c>
      <c r="O945" s="9">
        <f>IFERROR(__xludf.DUMMYFUNCTION("""COMPUTED_VALUE"""),145.86)</f>
        <v>145.86</v>
      </c>
      <c r="Q945" s="11">
        <f>IFERROR(__xludf.DUMMYFUNCTION("""COMPUTED_VALUE"""),44419.66666666667)</f>
        <v>44419.66667</v>
      </c>
      <c r="R945" s="9">
        <f>IFERROR(__xludf.DUMMYFUNCTION("""COMPUTED_VALUE"""),362.1)</f>
        <v>362.1</v>
      </c>
      <c r="S945" s="11">
        <f>IFERROR(__xludf.DUMMYFUNCTION("""COMPUTED_VALUE"""),44419.66666666667)</f>
        <v>44419.66667</v>
      </c>
      <c r="T945" s="9">
        <f>IFERROR(__xludf.DUMMYFUNCTION("""COMPUTED_VALUE"""),359.96)</f>
        <v>359.96</v>
      </c>
      <c r="V945" s="11">
        <f>IFERROR(__xludf.DUMMYFUNCTION("""COMPUTED_VALUE"""),44419.66666666667)</f>
        <v>44419.66667</v>
      </c>
      <c r="W945" s="9">
        <f>IFERROR(__xludf.DUMMYFUNCTION("""COMPUTED_VALUE"""),517.0)</f>
        <v>517</v>
      </c>
      <c r="X945" s="11">
        <f>IFERROR(__xludf.DUMMYFUNCTION("""COMPUTED_VALUE"""),44419.66666666667)</f>
        <v>44419.66667</v>
      </c>
      <c r="Y945" s="9">
        <f>IFERROR(__xludf.DUMMYFUNCTION("""COMPUTED_VALUE"""),512.4)</f>
        <v>512.4</v>
      </c>
      <c r="AA945" s="11">
        <f>IFERROR(__xludf.DUMMYFUNCTION("""COMPUTED_VALUE"""),44419.66666666667)</f>
        <v>44419.66667</v>
      </c>
      <c r="AB945" s="9">
        <f>IFERROR(__xludf.DUMMYFUNCTION("""COMPUTED_VALUE"""),3331.45)</f>
        <v>3331.45</v>
      </c>
      <c r="AC945" s="11">
        <f>IFERROR(__xludf.DUMMYFUNCTION("""COMPUTED_VALUE"""),44419.66666666667)</f>
        <v>44419.66667</v>
      </c>
      <c r="AD945" s="9">
        <f>IFERROR(__xludf.DUMMYFUNCTION("""COMPUTED_VALUE"""),3292.11)</f>
        <v>3292.11</v>
      </c>
    </row>
    <row r="946">
      <c r="B946" s="11">
        <f>IFERROR(__xludf.DUMMYFUNCTION("""COMPUTED_VALUE"""),44420.66666666667)</f>
        <v>44420.66667</v>
      </c>
      <c r="C946" s="9">
        <f>IFERROR(__xludf.DUMMYFUNCTION("""COMPUTED_VALUE"""),706.34)</f>
        <v>706.34</v>
      </c>
      <c r="D946" s="11">
        <f>IFERROR(__xludf.DUMMYFUNCTION("""COMPUTED_VALUE"""),44420.66666666667)</f>
        <v>44420.66667</v>
      </c>
      <c r="E946" s="9">
        <f>IFERROR(__xludf.DUMMYFUNCTION("""COMPUTED_VALUE"""),722.25)</f>
        <v>722.25</v>
      </c>
      <c r="G946" s="11">
        <f>IFERROR(__xludf.DUMMYFUNCTION("""COMPUTED_VALUE"""),44420.66666666667)</f>
        <v>44420.66667</v>
      </c>
      <c r="H946" s="9">
        <f>IFERROR(__xludf.DUMMYFUNCTION("""COMPUTED_VALUE"""),2754.26)</f>
        <v>2754.26</v>
      </c>
      <c r="I946" s="11">
        <f>IFERROR(__xludf.DUMMYFUNCTION("""COMPUTED_VALUE"""),44420.66666666667)</f>
        <v>44420.66667</v>
      </c>
      <c r="J946" s="9">
        <f>IFERROR(__xludf.DUMMYFUNCTION("""COMPUTED_VALUE"""),2767.79)</f>
        <v>2767.79</v>
      </c>
      <c r="L946" s="11">
        <f>IFERROR(__xludf.DUMMYFUNCTION("""COMPUTED_VALUE"""),44420.66666666667)</f>
        <v>44420.66667</v>
      </c>
      <c r="M946" s="9">
        <f>IFERROR(__xludf.DUMMYFUNCTION("""COMPUTED_VALUE"""),146.19)</f>
        <v>146.19</v>
      </c>
      <c r="N946" s="11">
        <f>IFERROR(__xludf.DUMMYFUNCTION("""COMPUTED_VALUE"""),44420.66666666667)</f>
        <v>44420.66667</v>
      </c>
      <c r="O946" s="9">
        <f>IFERROR(__xludf.DUMMYFUNCTION("""COMPUTED_VALUE"""),148.89)</f>
        <v>148.89</v>
      </c>
      <c r="Q946" s="11">
        <f>IFERROR(__xludf.DUMMYFUNCTION("""COMPUTED_VALUE"""),44420.66666666667)</f>
        <v>44420.66667</v>
      </c>
      <c r="R946" s="9">
        <f>IFERROR(__xludf.DUMMYFUNCTION("""COMPUTED_VALUE"""),358.45)</f>
        <v>358.45</v>
      </c>
      <c r="S946" s="11">
        <f>IFERROR(__xludf.DUMMYFUNCTION("""COMPUTED_VALUE"""),44420.66666666667)</f>
        <v>44420.66667</v>
      </c>
      <c r="T946" s="9">
        <f>IFERROR(__xludf.DUMMYFUNCTION("""COMPUTED_VALUE"""),362.65)</f>
        <v>362.65</v>
      </c>
      <c r="V946" s="11">
        <f>IFERROR(__xludf.DUMMYFUNCTION("""COMPUTED_VALUE"""),44420.66666666667)</f>
        <v>44420.66667</v>
      </c>
      <c r="W946" s="9">
        <f>IFERROR(__xludf.DUMMYFUNCTION("""COMPUTED_VALUE"""),511.86)</f>
        <v>511.86</v>
      </c>
      <c r="X946" s="11">
        <f>IFERROR(__xludf.DUMMYFUNCTION("""COMPUTED_VALUE"""),44420.66666666667)</f>
        <v>44420.66667</v>
      </c>
      <c r="Y946" s="9">
        <f>IFERROR(__xludf.DUMMYFUNCTION("""COMPUTED_VALUE"""),510.72)</f>
        <v>510.72</v>
      </c>
      <c r="AA946" s="11">
        <f>IFERROR(__xludf.DUMMYFUNCTION("""COMPUTED_VALUE"""),44420.66666666667)</f>
        <v>44420.66667</v>
      </c>
      <c r="AB946" s="9">
        <f>IFERROR(__xludf.DUMMYFUNCTION("""COMPUTED_VALUE"""),3290.0)</f>
        <v>3290</v>
      </c>
      <c r="AC946" s="11">
        <f>IFERROR(__xludf.DUMMYFUNCTION("""COMPUTED_VALUE"""),44420.66666666667)</f>
        <v>44420.66667</v>
      </c>
      <c r="AD946" s="9">
        <f>IFERROR(__xludf.DUMMYFUNCTION("""COMPUTED_VALUE"""),3303.5)</f>
        <v>3303.5</v>
      </c>
    </row>
    <row r="947">
      <c r="B947" s="11">
        <f>IFERROR(__xludf.DUMMYFUNCTION("""COMPUTED_VALUE"""),44421.66666666667)</f>
        <v>44421.66667</v>
      </c>
      <c r="C947" s="9">
        <f>IFERROR(__xludf.DUMMYFUNCTION("""COMPUTED_VALUE"""),723.71)</f>
        <v>723.71</v>
      </c>
      <c r="D947" s="11">
        <f>IFERROR(__xludf.DUMMYFUNCTION("""COMPUTED_VALUE"""),44421.66666666667)</f>
        <v>44421.66667</v>
      </c>
      <c r="E947" s="9">
        <f>IFERROR(__xludf.DUMMYFUNCTION("""COMPUTED_VALUE"""),717.17)</f>
        <v>717.17</v>
      </c>
      <c r="G947" s="11">
        <f>IFERROR(__xludf.DUMMYFUNCTION("""COMPUTED_VALUE"""),44421.66666666667)</f>
        <v>44421.66667</v>
      </c>
      <c r="H947" s="9">
        <f>IFERROR(__xludf.DUMMYFUNCTION("""COMPUTED_VALUE"""),2767.15)</f>
        <v>2767.15</v>
      </c>
      <c r="I947" s="11">
        <f>IFERROR(__xludf.DUMMYFUNCTION("""COMPUTED_VALUE"""),44421.66666666667)</f>
        <v>44421.66667</v>
      </c>
      <c r="J947" s="9">
        <f>IFERROR(__xludf.DUMMYFUNCTION("""COMPUTED_VALUE"""),2768.12)</f>
        <v>2768.12</v>
      </c>
      <c r="L947" s="11">
        <f>IFERROR(__xludf.DUMMYFUNCTION("""COMPUTED_VALUE"""),44421.66666666667)</f>
        <v>44421.66667</v>
      </c>
      <c r="M947" s="9">
        <f>IFERROR(__xludf.DUMMYFUNCTION("""COMPUTED_VALUE"""),148.97)</f>
        <v>148.97</v>
      </c>
      <c r="N947" s="11">
        <f>IFERROR(__xludf.DUMMYFUNCTION("""COMPUTED_VALUE"""),44421.66666666667)</f>
        <v>44421.66667</v>
      </c>
      <c r="O947" s="9">
        <f>IFERROR(__xludf.DUMMYFUNCTION("""COMPUTED_VALUE"""),149.1)</f>
        <v>149.1</v>
      </c>
      <c r="Q947" s="11">
        <f>IFERROR(__xludf.DUMMYFUNCTION("""COMPUTED_VALUE"""),44421.66666666667)</f>
        <v>44421.66667</v>
      </c>
      <c r="R947" s="9">
        <f>IFERROR(__xludf.DUMMYFUNCTION("""COMPUTED_VALUE"""),362.97)</f>
        <v>362.97</v>
      </c>
      <c r="S947" s="11">
        <f>IFERROR(__xludf.DUMMYFUNCTION("""COMPUTED_VALUE"""),44421.66666666667)</f>
        <v>44421.66667</v>
      </c>
      <c r="T947" s="9">
        <f>IFERROR(__xludf.DUMMYFUNCTION("""COMPUTED_VALUE"""),363.18)</f>
        <v>363.18</v>
      </c>
      <c r="V947" s="11">
        <f>IFERROR(__xludf.DUMMYFUNCTION("""COMPUTED_VALUE"""),44421.66666666667)</f>
        <v>44421.66667</v>
      </c>
      <c r="W947" s="9">
        <f>IFERROR(__xludf.DUMMYFUNCTION("""COMPUTED_VALUE"""),512.64)</f>
        <v>512.64</v>
      </c>
      <c r="X947" s="11">
        <f>IFERROR(__xludf.DUMMYFUNCTION("""COMPUTED_VALUE"""),44421.66666666667)</f>
        <v>44421.66667</v>
      </c>
      <c r="Y947" s="9">
        <f>IFERROR(__xludf.DUMMYFUNCTION("""COMPUTED_VALUE"""),515.92)</f>
        <v>515.92</v>
      </c>
      <c r="AA947" s="11">
        <f>IFERROR(__xludf.DUMMYFUNCTION("""COMPUTED_VALUE"""),44421.66666666667)</f>
        <v>44421.66667</v>
      </c>
      <c r="AB947" s="9">
        <f>IFERROR(__xludf.DUMMYFUNCTION("""COMPUTED_VALUE"""),3305.67)</f>
        <v>3305.67</v>
      </c>
      <c r="AC947" s="11">
        <f>IFERROR(__xludf.DUMMYFUNCTION("""COMPUTED_VALUE"""),44421.66666666667)</f>
        <v>44421.66667</v>
      </c>
      <c r="AD947" s="9">
        <f>IFERROR(__xludf.DUMMYFUNCTION("""COMPUTED_VALUE"""),3293.97)</f>
        <v>3293.97</v>
      </c>
    </row>
    <row r="948">
      <c r="B948" s="11">
        <f>IFERROR(__xludf.DUMMYFUNCTION("""COMPUTED_VALUE"""),44424.66666666667)</f>
        <v>44424.66667</v>
      </c>
      <c r="C948" s="9">
        <f>IFERROR(__xludf.DUMMYFUNCTION("""COMPUTED_VALUE"""),705.07)</f>
        <v>705.07</v>
      </c>
      <c r="D948" s="11">
        <f>IFERROR(__xludf.DUMMYFUNCTION("""COMPUTED_VALUE"""),44424.66666666667)</f>
        <v>44424.66667</v>
      </c>
      <c r="E948" s="9">
        <f>IFERROR(__xludf.DUMMYFUNCTION("""COMPUTED_VALUE"""),686.17)</f>
        <v>686.17</v>
      </c>
      <c r="G948" s="11">
        <f>IFERROR(__xludf.DUMMYFUNCTION("""COMPUTED_VALUE"""),44424.66666666667)</f>
        <v>44424.66667</v>
      </c>
      <c r="H948" s="9">
        <f>IFERROR(__xludf.DUMMYFUNCTION("""COMPUTED_VALUE"""),2760.0)</f>
        <v>2760</v>
      </c>
      <c r="I948" s="11">
        <f>IFERROR(__xludf.DUMMYFUNCTION("""COMPUTED_VALUE"""),44424.66666666667)</f>
        <v>44424.66667</v>
      </c>
      <c r="J948" s="9">
        <f>IFERROR(__xludf.DUMMYFUNCTION("""COMPUTED_VALUE"""),2778.32)</f>
        <v>2778.32</v>
      </c>
      <c r="L948" s="11">
        <f>IFERROR(__xludf.DUMMYFUNCTION("""COMPUTED_VALUE"""),44424.66666666667)</f>
        <v>44424.66667</v>
      </c>
      <c r="M948" s="9">
        <f>IFERROR(__xludf.DUMMYFUNCTION("""COMPUTED_VALUE"""),148.54)</f>
        <v>148.54</v>
      </c>
      <c r="N948" s="11">
        <f>IFERROR(__xludf.DUMMYFUNCTION("""COMPUTED_VALUE"""),44424.66666666667)</f>
        <v>44424.66667</v>
      </c>
      <c r="O948" s="9">
        <f>IFERROR(__xludf.DUMMYFUNCTION("""COMPUTED_VALUE"""),151.12)</f>
        <v>151.12</v>
      </c>
      <c r="Q948" s="11">
        <f>IFERROR(__xludf.DUMMYFUNCTION("""COMPUTED_VALUE"""),44424.66666666667)</f>
        <v>44424.66667</v>
      </c>
      <c r="R948" s="9">
        <f>IFERROR(__xludf.DUMMYFUNCTION("""COMPUTED_VALUE"""),362.52)</f>
        <v>362.52</v>
      </c>
      <c r="S948" s="11">
        <f>IFERROR(__xludf.DUMMYFUNCTION("""COMPUTED_VALUE"""),44424.66666666667)</f>
        <v>44424.66667</v>
      </c>
      <c r="T948" s="9">
        <f>IFERROR(__xludf.DUMMYFUNCTION("""COMPUTED_VALUE"""),366.56)</f>
        <v>366.56</v>
      </c>
      <c r="V948" s="11">
        <f>IFERROR(__xludf.DUMMYFUNCTION("""COMPUTED_VALUE"""),44424.66666666667)</f>
        <v>44424.66667</v>
      </c>
      <c r="W948" s="9">
        <f>IFERROR(__xludf.DUMMYFUNCTION("""COMPUTED_VALUE"""),515.24)</f>
        <v>515.24</v>
      </c>
      <c r="X948" s="11">
        <f>IFERROR(__xludf.DUMMYFUNCTION("""COMPUTED_VALUE"""),44424.66666666667)</f>
        <v>44424.66667</v>
      </c>
      <c r="Y948" s="9">
        <f>IFERROR(__xludf.DUMMYFUNCTION("""COMPUTED_VALUE"""),517.92)</f>
        <v>517.92</v>
      </c>
      <c r="AA948" s="11">
        <f>IFERROR(__xludf.DUMMYFUNCTION("""COMPUTED_VALUE"""),44424.66666666667)</f>
        <v>44424.66667</v>
      </c>
      <c r="AB948" s="9">
        <f>IFERROR(__xludf.DUMMYFUNCTION("""COMPUTED_VALUE"""),3283.0)</f>
        <v>3283</v>
      </c>
      <c r="AC948" s="11">
        <f>IFERROR(__xludf.DUMMYFUNCTION("""COMPUTED_VALUE"""),44424.66666666667)</f>
        <v>44424.66667</v>
      </c>
      <c r="AD948" s="9">
        <f>IFERROR(__xludf.DUMMYFUNCTION("""COMPUTED_VALUE"""),3298.99)</f>
        <v>3298.99</v>
      </c>
    </row>
    <row r="949">
      <c r="B949" s="11">
        <f>IFERROR(__xludf.DUMMYFUNCTION("""COMPUTED_VALUE"""),44425.66666666667)</f>
        <v>44425.66667</v>
      </c>
      <c r="C949" s="9">
        <f>IFERROR(__xludf.DUMMYFUNCTION("""COMPUTED_VALUE"""),672.66)</f>
        <v>672.66</v>
      </c>
      <c r="D949" s="11">
        <f>IFERROR(__xludf.DUMMYFUNCTION("""COMPUTED_VALUE"""),44425.66666666667)</f>
        <v>44425.66667</v>
      </c>
      <c r="E949" s="9">
        <f>IFERROR(__xludf.DUMMYFUNCTION("""COMPUTED_VALUE"""),665.71)</f>
        <v>665.71</v>
      </c>
      <c r="G949" s="11">
        <f>IFERROR(__xludf.DUMMYFUNCTION("""COMPUTED_VALUE"""),44425.66666666667)</f>
        <v>44425.66667</v>
      </c>
      <c r="H949" s="9">
        <f>IFERROR(__xludf.DUMMYFUNCTION("""COMPUTED_VALUE"""),2763.82)</f>
        <v>2763.82</v>
      </c>
      <c r="I949" s="11">
        <f>IFERROR(__xludf.DUMMYFUNCTION("""COMPUTED_VALUE"""),44425.66666666667)</f>
        <v>44425.66667</v>
      </c>
      <c r="J949" s="9">
        <f>IFERROR(__xludf.DUMMYFUNCTION("""COMPUTED_VALUE"""),2746.01)</f>
        <v>2746.01</v>
      </c>
      <c r="L949" s="11">
        <f>IFERROR(__xludf.DUMMYFUNCTION("""COMPUTED_VALUE"""),44425.66666666667)</f>
        <v>44425.66667</v>
      </c>
      <c r="M949" s="9">
        <f>IFERROR(__xludf.DUMMYFUNCTION("""COMPUTED_VALUE"""),150.23)</f>
        <v>150.23</v>
      </c>
      <c r="N949" s="11">
        <f>IFERROR(__xludf.DUMMYFUNCTION("""COMPUTED_VALUE"""),44425.66666666667)</f>
        <v>44425.66667</v>
      </c>
      <c r="O949" s="9">
        <f>IFERROR(__xludf.DUMMYFUNCTION("""COMPUTED_VALUE"""),150.19)</f>
        <v>150.19</v>
      </c>
      <c r="Q949" s="11">
        <f>IFERROR(__xludf.DUMMYFUNCTION("""COMPUTED_VALUE"""),44425.66666666667)</f>
        <v>44425.66667</v>
      </c>
      <c r="R949" s="9">
        <f>IFERROR(__xludf.DUMMYFUNCTION("""COMPUTED_VALUE"""),362.98)</f>
        <v>362.98</v>
      </c>
      <c r="S949" s="11">
        <f>IFERROR(__xludf.DUMMYFUNCTION("""COMPUTED_VALUE"""),44425.66666666667)</f>
        <v>44425.66667</v>
      </c>
      <c r="T949" s="9">
        <f>IFERROR(__xludf.DUMMYFUNCTION("""COMPUTED_VALUE"""),358.45)</f>
        <v>358.45</v>
      </c>
      <c r="V949" s="11">
        <f>IFERROR(__xludf.DUMMYFUNCTION("""COMPUTED_VALUE"""),44425.66666666667)</f>
        <v>44425.66667</v>
      </c>
      <c r="W949" s="9">
        <f>IFERROR(__xludf.DUMMYFUNCTION("""COMPUTED_VALUE"""),515.47)</f>
        <v>515.47</v>
      </c>
      <c r="X949" s="11">
        <f>IFERROR(__xludf.DUMMYFUNCTION("""COMPUTED_VALUE"""),44425.66666666667)</f>
        <v>44425.66667</v>
      </c>
      <c r="Y949" s="9">
        <f>IFERROR(__xludf.DUMMYFUNCTION("""COMPUTED_VALUE"""),518.91)</f>
        <v>518.91</v>
      </c>
      <c r="AA949" s="11">
        <f>IFERROR(__xludf.DUMMYFUNCTION("""COMPUTED_VALUE"""),44425.66666666667)</f>
        <v>44425.66667</v>
      </c>
      <c r="AB949" s="9">
        <f>IFERROR(__xludf.DUMMYFUNCTION("""COMPUTED_VALUE"""),3277.5)</f>
        <v>3277.5</v>
      </c>
      <c r="AC949" s="11">
        <f>IFERROR(__xludf.DUMMYFUNCTION("""COMPUTED_VALUE"""),44425.66666666667)</f>
        <v>44425.66667</v>
      </c>
      <c r="AD949" s="9">
        <f>IFERROR(__xludf.DUMMYFUNCTION("""COMPUTED_VALUE"""),3241.96)</f>
        <v>3241.96</v>
      </c>
    </row>
    <row r="950">
      <c r="B950" s="11">
        <f>IFERROR(__xludf.DUMMYFUNCTION("""COMPUTED_VALUE"""),44426.66666666667)</f>
        <v>44426.66667</v>
      </c>
      <c r="C950" s="9">
        <f>IFERROR(__xludf.DUMMYFUNCTION("""COMPUTED_VALUE"""),669.75)</f>
        <v>669.75</v>
      </c>
      <c r="D950" s="11">
        <f>IFERROR(__xludf.DUMMYFUNCTION("""COMPUTED_VALUE"""),44426.66666666667)</f>
        <v>44426.66667</v>
      </c>
      <c r="E950" s="9">
        <f>IFERROR(__xludf.DUMMYFUNCTION("""COMPUTED_VALUE"""),688.99)</f>
        <v>688.99</v>
      </c>
      <c r="G950" s="11">
        <f>IFERROR(__xludf.DUMMYFUNCTION("""COMPUTED_VALUE"""),44426.66666666667)</f>
        <v>44426.66667</v>
      </c>
      <c r="H950" s="9">
        <f>IFERROR(__xludf.DUMMYFUNCTION("""COMPUTED_VALUE"""),2742.31)</f>
        <v>2742.31</v>
      </c>
      <c r="I950" s="11">
        <f>IFERROR(__xludf.DUMMYFUNCTION("""COMPUTED_VALUE"""),44426.66666666667)</f>
        <v>44426.66667</v>
      </c>
      <c r="J950" s="9">
        <f>IFERROR(__xludf.DUMMYFUNCTION("""COMPUTED_VALUE"""),2731.4)</f>
        <v>2731.4</v>
      </c>
      <c r="L950" s="11">
        <f>IFERROR(__xludf.DUMMYFUNCTION("""COMPUTED_VALUE"""),44426.66666666667)</f>
        <v>44426.66667</v>
      </c>
      <c r="M950" s="9">
        <f>IFERROR(__xludf.DUMMYFUNCTION("""COMPUTED_VALUE"""),149.8)</f>
        <v>149.8</v>
      </c>
      <c r="N950" s="11">
        <f>IFERROR(__xludf.DUMMYFUNCTION("""COMPUTED_VALUE"""),44426.66666666667)</f>
        <v>44426.66667</v>
      </c>
      <c r="O950" s="9">
        <f>IFERROR(__xludf.DUMMYFUNCTION("""COMPUTED_VALUE"""),146.36)</f>
        <v>146.36</v>
      </c>
      <c r="Q950" s="11">
        <f>IFERROR(__xludf.DUMMYFUNCTION("""COMPUTED_VALUE"""),44426.66666666667)</f>
        <v>44426.66667</v>
      </c>
      <c r="R950" s="9">
        <f>IFERROR(__xludf.DUMMYFUNCTION("""COMPUTED_VALUE"""),356.25)</f>
        <v>356.25</v>
      </c>
      <c r="S950" s="11">
        <f>IFERROR(__xludf.DUMMYFUNCTION("""COMPUTED_VALUE"""),44426.66666666667)</f>
        <v>44426.66667</v>
      </c>
      <c r="T950" s="9">
        <f>IFERROR(__xludf.DUMMYFUNCTION("""COMPUTED_VALUE"""),355.45)</f>
        <v>355.45</v>
      </c>
      <c r="V950" s="11">
        <f>IFERROR(__xludf.DUMMYFUNCTION("""COMPUTED_VALUE"""),44426.66666666667)</f>
        <v>44426.66667</v>
      </c>
      <c r="W950" s="9">
        <f>IFERROR(__xludf.DUMMYFUNCTION("""COMPUTED_VALUE"""),520.0)</f>
        <v>520</v>
      </c>
      <c r="X950" s="11">
        <f>IFERROR(__xludf.DUMMYFUNCTION("""COMPUTED_VALUE"""),44426.66666666667)</f>
        <v>44426.66667</v>
      </c>
      <c r="Y950" s="9">
        <f>IFERROR(__xludf.DUMMYFUNCTION("""COMPUTED_VALUE"""),521.87)</f>
        <v>521.87</v>
      </c>
      <c r="AA950" s="11">
        <f>IFERROR(__xludf.DUMMYFUNCTION("""COMPUTED_VALUE"""),44426.66666666667)</f>
        <v>44426.66667</v>
      </c>
      <c r="AB950" s="9">
        <f>IFERROR(__xludf.DUMMYFUNCTION("""COMPUTED_VALUE"""),3241.99)</f>
        <v>3241.99</v>
      </c>
      <c r="AC950" s="11">
        <f>IFERROR(__xludf.DUMMYFUNCTION("""COMPUTED_VALUE"""),44426.66666666667)</f>
        <v>44426.66667</v>
      </c>
      <c r="AD950" s="9">
        <f>IFERROR(__xludf.DUMMYFUNCTION("""COMPUTED_VALUE"""),3201.22)</f>
        <v>3201.22</v>
      </c>
    </row>
    <row r="951">
      <c r="B951" s="11">
        <f>IFERROR(__xludf.DUMMYFUNCTION("""COMPUTED_VALUE"""),44427.66666666667)</f>
        <v>44427.66667</v>
      </c>
      <c r="C951" s="9">
        <f>IFERROR(__xludf.DUMMYFUNCTION("""COMPUTED_VALUE"""),678.21)</f>
        <v>678.21</v>
      </c>
      <c r="D951" s="11">
        <f>IFERROR(__xludf.DUMMYFUNCTION("""COMPUTED_VALUE"""),44427.66666666667)</f>
        <v>44427.66667</v>
      </c>
      <c r="E951" s="9">
        <f>IFERROR(__xludf.DUMMYFUNCTION("""COMPUTED_VALUE"""),673.47)</f>
        <v>673.47</v>
      </c>
      <c r="G951" s="11">
        <f>IFERROR(__xludf.DUMMYFUNCTION("""COMPUTED_VALUE"""),44427.66666666667)</f>
        <v>44427.66667</v>
      </c>
      <c r="H951" s="9">
        <f>IFERROR(__xludf.DUMMYFUNCTION("""COMPUTED_VALUE"""),2709.35)</f>
        <v>2709.35</v>
      </c>
      <c r="I951" s="11">
        <f>IFERROR(__xludf.DUMMYFUNCTION("""COMPUTED_VALUE"""),44427.66666666667)</f>
        <v>44427.66667</v>
      </c>
      <c r="J951" s="9">
        <f>IFERROR(__xludf.DUMMYFUNCTION("""COMPUTED_VALUE"""),2738.27)</f>
        <v>2738.27</v>
      </c>
      <c r="L951" s="11">
        <f>IFERROR(__xludf.DUMMYFUNCTION("""COMPUTED_VALUE"""),44427.66666666667)</f>
        <v>44427.66667</v>
      </c>
      <c r="M951" s="9">
        <f>IFERROR(__xludf.DUMMYFUNCTION("""COMPUTED_VALUE"""),145.03)</f>
        <v>145.03</v>
      </c>
      <c r="N951" s="11">
        <f>IFERROR(__xludf.DUMMYFUNCTION("""COMPUTED_VALUE"""),44427.66666666667)</f>
        <v>44427.66667</v>
      </c>
      <c r="O951" s="9">
        <f>IFERROR(__xludf.DUMMYFUNCTION("""COMPUTED_VALUE"""),146.7)</f>
        <v>146.7</v>
      </c>
      <c r="Q951" s="11">
        <f>IFERROR(__xludf.DUMMYFUNCTION("""COMPUTED_VALUE"""),44427.66666666667)</f>
        <v>44427.66667</v>
      </c>
      <c r="R951" s="9">
        <f>IFERROR(__xludf.DUMMYFUNCTION("""COMPUTED_VALUE"""),351.35)</f>
        <v>351.35</v>
      </c>
      <c r="S951" s="11">
        <f>IFERROR(__xludf.DUMMYFUNCTION("""COMPUTED_VALUE"""),44427.66666666667)</f>
        <v>44427.66667</v>
      </c>
      <c r="T951" s="9">
        <f>IFERROR(__xludf.DUMMYFUNCTION("""COMPUTED_VALUE"""),355.12)</f>
        <v>355.12</v>
      </c>
      <c r="V951" s="11">
        <f>IFERROR(__xludf.DUMMYFUNCTION("""COMPUTED_VALUE"""),44427.66666666667)</f>
        <v>44427.66667</v>
      </c>
      <c r="W951" s="9">
        <f>IFERROR(__xludf.DUMMYFUNCTION("""COMPUTED_VALUE"""),522.74)</f>
        <v>522.74</v>
      </c>
      <c r="X951" s="11">
        <f>IFERROR(__xludf.DUMMYFUNCTION("""COMPUTED_VALUE"""),44427.66666666667)</f>
        <v>44427.66667</v>
      </c>
      <c r="Y951" s="9">
        <f>IFERROR(__xludf.DUMMYFUNCTION("""COMPUTED_VALUE"""),543.71)</f>
        <v>543.71</v>
      </c>
      <c r="AA951" s="11">
        <f>IFERROR(__xludf.DUMMYFUNCTION("""COMPUTED_VALUE"""),44427.66666666667)</f>
        <v>44427.66667</v>
      </c>
      <c r="AB951" s="9">
        <f>IFERROR(__xludf.DUMMYFUNCTION("""COMPUTED_VALUE"""),3194.02)</f>
        <v>3194.02</v>
      </c>
      <c r="AC951" s="11">
        <f>IFERROR(__xludf.DUMMYFUNCTION("""COMPUTED_VALUE"""),44427.66666666667)</f>
        <v>44427.66667</v>
      </c>
      <c r="AD951" s="9">
        <f>IFERROR(__xludf.DUMMYFUNCTION("""COMPUTED_VALUE"""),3187.75)</f>
        <v>3187.75</v>
      </c>
    </row>
    <row r="952">
      <c r="B952" s="11">
        <f>IFERROR(__xludf.DUMMYFUNCTION("""COMPUTED_VALUE"""),44428.66666666667)</f>
        <v>44428.66667</v>
      </c>
      <c r="C952" s="9">
        <f>IFERROR(__xludf.DUMMYFUNCTION("""COMPUTED_VALUE"""),682.85)</f>
        <v>682.85</v>
      </c>
      <c r="D952" s="11">
        <f>IFERROR(__xludf.DUMMYFUNCTION("""COMPUTED_VALUE"""),44428.66666666667)</f>
        <v>44428.66667</v>
      </c>
      <c r="E952" s="9">
        <f>IFERROR(__xludf.DUMMYFUNCTION("""COMPUTED_VALUE"""),680.26)</f>
        <v>680.26</v>
      </c>
      <c r="G952" s="11">
        <f>IFERROR(__xludf.DUMMYFUNCTION("""COMPUTED_VALUE"""),44428.66666666667)</f>
        <v>44428.66667</v>
      </c>
      <c r="H952" s="9">
        <f>IFERROR(__xludf.DUMMYFUNCTION("""COMPUTED_VALUE"""),2741.66)</f>
        <v>2741.66</v>
      </c>
      <c r="I952" s="11">
        <f>IFERROR(__xludf.DUMMYFUNCTION("""COMPUTED_VALUE"""),44428.66666666667)</f>
        <v>44428.66667</v>
      </c>
      <c r="J952" s="9">
        <f>IFERROR(__xludf.DUMMYFUNCTION("""COMPUTED_VALUE"""),2768.74)</f>
        <v>2768.74</v>
      </c>
      <c r="L952" s="11">
        <f>IFERROR(__xludf.DUMMYFUNCTION("""COMPUTED_VALUE"""),44428.66666666667)</f>
        <v>44428.66667</v>
      </c>
      <c r="M952" s="9">
        <f>IFERROR(__xludf.DUMMYFUNCTION("""COMPUTED_VALUE"""),147.44)</f>
        <v>147.44</v>
      </c>
      <c r="N952" s="11">
        <f>IFERROR(__xludf.DUMMYFUNCTION("""COMPUTED_VALUE"""),44428.66666666667)</f>
        <v>44428.66667</v>
      </c>
      <c r="O952" s="9">
        <f>IFERROR(__xludf.DUMMYFUNCTION("""COMPUTED_VALUE"""),148.19)</f>
        <v>148.19</v>
      </c>
      <c r="Q952" s="11">
        <f>IFERROR(__xludf.DUMMYFUNCTION("""COMPUTED_VALUE"""),44428.66666666667)</f>
        <v>44428.66667</v>
      </c>
      <c r="R952" s="9">
        <f>IFERROR(__xludf.DUMMYFUNCTION("""COMPUTED_VALUE"""),354.6)</f>
        <v>354.6</v>
      </c>
      <c r="S952" s="11">
        <f>IFERROR(__xludf.DUMMYFUNCTION("""COMPUTED_VALUE"""),44428.66666666667)</f>
        <v>44428.66667</v>
      </c>
      <c r="T952" s="9">
        <f>IFERROR(__xludf.DUMMYFUNCTION("""COMPUTED_VALUE"""),359.37)</f>
        <v>359.37</v>
      </c>
      <c r="V952" s="11">
        <f>IFERROR(__xludf.DUMMYFUNCTION("""COMPUTED_VALUE"""),44428.66666666667)</f>
        <v>44428.66667</v>
      </c>
      <c r="W952" s="9">
        <f>IFERROR(__xludf.DUMMYFUNCTION("""COMPUTED_VALUE"""),545.09)</f>
        <v>545.09</v>
      </c>
      <c r="X952" s="11">
        <f>IFERROR(__xludf.DUMMYFUNCTION("""COMPUTED_VALUE"""),44428.66666666667)</f>
        <v>44428.66667</v>
      </c>
      <c r="Y952" s="9">
        <f>IFERROR(__xludf.DUMMYFUNCTION("""COMPUTED_VALUE"""),546.88)</f>
        <v>546.88</v>
      </c>
      <c r="AA952" s="11">
        <f>IFERROR(__xludf.DUMMYFUNCTION("""COMPUTED_VALUE"""),44428.66666666667)</f>
        <v>44428.66667</v>
      </c>
      <c r="AB952" s="9">
        <f>IFERROR(__xludf.DUMMYFUNCTION("""COMPUTED_VALUE"""),3203.87)</f>
        <v>3203.87</v>
      </c>
      <c r="AC952" s="11">
        <f>IFERROR(__xludf.DUMMYFUNCTION("""COMPUTED_VALUE"""),44428.66666666667)</f>
        <v>44428.66667</v>
      </c>
      <c r="AD952" s="9">
        <f>IFERROR(__xludf.DUMMYFUNCTION("""COMPUTED_VALUE"""),3199.95)</f>
        <v>3199.95</v>
      </c>
    </row>
    <row r="953">
      <c r="B953" s="11">
        <f>IFERROR(__xludf.DUMMYFUNCTION("""COMPUTED_VALUE"""),44431.66666666667)</f>
        <v>44431.66667</v>
      </c>
      <c r="C953" s="9">
        <f>IFERROR(__xludf.DUMMYFUNCTION("""COMPUTED_VALUE"""),685.44)</f>
        <v>685.44</v>
      </c>
      <c r="D953" s="11">
        <f>IFERROR(__xludf.DUMMYFUNCTION("""COMPUTED_VALUE"""),44431.66666666667)</f>
        <v>44431.66667</v>
      </c>
      <c r="E953" s="9">
        <f>IFERROR(__xludf.DUMMYFUNCTION("""COMPUTED_VALUE"""),706.3)</f>
        <v>706.3</v>
      </c>
      <c r="G953" s="11">
        <f>IFERROR(__xludf.DUMMYFUNCTION("""COMPUTED_VALUE"""),44431.66666666667)</f>
        <v>44431.66667</v>
      </c>
      <c r="H953" s="9">
        <f>IFERROR(__xludf.DUMMYFUNCTION("""COMPUTED_VALUE"""),2779.97)</f>
        <v>2779.97</v>
      </c>
      <c r="I953" s="11">
        <f>IFERROR(__xludf.DUMMYFUNCTION("""COMPUTED_VALUE"""),44431.66666666667)</f>
        <v>44431.66667</v>
      </c>
      <c r="J953" s="9">
        <f>IFERROR(__xludf.DUMMYFUNCTION("""COMPUTED_VALUE"""),2821.99)</f>
        <v>2821.99</v>
      </c>
      <c r="L953" s="11">
        <f>IFERROR(__xludf.DUMMYFUNCTION("""COMPUTED_VALUE"""),44431.66666666667)</f>
        <v>44431.66667</v>
      </c>
      <c r="M953" s="9">
        <f>IFERROR(__xludf.DUMMYFUNCTION("""COMPUTED_VALUE"""),148.31)</f>
        <v>148.31</v>
      </c>
      <c r="N953" s="11">
        <f>IFERROR(__xludf.DUMMYFUNCTION("""COMPUTED_VALUE"""),44431.66666666667)</f>
        <v>44431.66667</v>
      </c>
      <c r="O953" s="9">
        <f>IFERROR(__xludf.DUMMYFUNCTION("""COMPUTED_VALUE"""),149.71)</f>
        <v>149.71</v>
      </c>
      <c r="Q953" s="11">
        <f>IFERROR(__xludf.DUMMYFUNCTION("""COMPUTED_VALUE"""),44431.66666666667)</f>
        <v>44431.66667</v>
      </c>
      <c r="R953" s="9">
        <f>IFERROR(__xludf.DUMMYFUNCTION("""COMPUTED_VALUE"""),359.44)</f>
        <v>359.44</v>
      </c>
      <c r="S953" s="11">
        <f>IFERROR(__xludf.DUMMYFUNCTION("""COMPUTED_VALUE"""),44431.66666666667)</f>
        <v>44431.66667</v>
      </c>
      <c r="T953" s="9">
        <f>IFERROR(__xludf.DUMMYFUNCTION("""COMPUTED_VALUE"""),363.35)</f>
        <v>363.35</v>
      </c>
      <c r="V953" s="11">
        <f>IFERROR(__xludf.DUMMYFUNCTION("""COMPUTED_VALUE"""),44431.66666666667)</f>
        <v>44431.66667</v>
      </c>
      <c r="W953" s="9">
        <f>IFERROR(__xludf.DUMMYFUNCTION("""COMPUTED_VALUE"""),545.98)</f>
        <v>545.98</v>
      </c>
      <c r="X953" s="11">
        <f>IFERROR(__xludf.DUMMYFUNCTION("""COMPUTED_VALUE"""),44431.66666666667)</f>
        <v>44431.66667</v>
      </c>
      <c r="Y953" s="9">
        <f>IFERROR(__xludf.DUMMYFUNCTION("""COMPUTED_VALUE"""),553.33)</f>
        <v>553.33</v>
      </c>
      <c r="AA953" s="11">
        <f>IFERROR(__xludf.DUMMYFUNCTION("""COMPUTED_VALUE"""),44431.66666666667)</f>
        <v>44431.66667</v>
      </c>
      <c r="AB953" s="9">
        <f>IFERROR(__xludf.DUMMYFUNCTION("""COMPUTED_VALUE"""),3211.9)</f>
        <v>3211.9</v>
      </c>
      <c r="AC953" s="11">
        <f>IFERROR(__xludf.DUMMYFUNCTION("""COMPUTED_VALUE"""),44431.66666666667)</f>
        <v>44431.66667</v>
      </c>
      <c r="AD953" s="9">
        <f>IFERROR(__xludf.DUMMYFUNCTION("""COMPUTED_VALUE"""),3265.87)</f>
        <v>3265.87</v>
      </c>
    </row>
    <row r="954">
      <c r="B954" s="11">
        <f>IFERROR(__xludf.DUMMYFUNCTION("""COMPUTED_VALUE"""),44432.66666666667)</f>
        <v>44432.66667</v>
      </c>
      <c r="C954" s="9">
        <f>IFERROR(__xludf.DUMMYFUNCTION("""COMPUTED_VALUE"""),710.68)</f>
        <v>710.68</v>
      </c>
      <c r="D954" s="11">
        <f>IFERROR(__xludf.DUMMYFUNCTION("""COMPUTED_VALUE"""),44432.66666666667)</f>
        <v>44432.66667</v>
      </c>
      <c r="E954" s="9">
        <f>IFERROR(__xludf.DUMMYFUNCTION("""COMPUTED_VALUE"""),708.49)</f>
        <v>708.49</v>
      </c>
      <c r="G954" s="11">
        <f>IFERROR(__xludf.DUMMYFUNCTION("""COMPUTED_VALUE"""),44432.66666666667)</f>
        <v>44432.66667</v>
      </c>
      <c r="H954" s="9">
        <f>IFERROR(__xludf.DUMMYFUNCTION("""COMPUTED_VALUE"""),2830.87)</f>
        <v>2830.87</v>
      </c>
      <c r="I954" s="11">
        <f>IFERROR(__xludf.DUMMYFUNCTION("""COMPUTED_VALUE"""),44432.66666666667)</f>
        <v>44432.66667</v>
      </c>
      <c r="J954" s="9">
        <f>IFERROR(__xludf.DUMMYFUNCTION("""COMPUTED_VALUE"""),2847.97)</f>
        <v>2847.97</v>
      </c>
      <c r="L954" s="11">
        <f>IFERROR(__xludf.DUMMYFUNCTION("""COMPUTED_VALUE"""),44432.66666666667)</f>
        <v>44432.66667</v>
      </c>
      <c r="M954" s="9">
        <f>IFERROR(__xludf.DUMMYFUNCTION("""COMPUTED_VALUE"""),149.45)</f>
        <v>149.45</v>
      </c>
      <c r="N954" s="11">
        <f>IFERROR(__xludf.DUMMYFUNCTION("""COMPUTED_VALUE"""),44432.66666666667)</f>
        <v>44432.66667</v>
      </c>
      <c r="O954" s="9">
        <f>IFERROR(__xludf.DUMMYFUNCTION("""COMPUTED_VALUE"""),149.62)</f>
        <v>149.62</v>
      </c>
      <c r="Q954" s="11">
        <f>IFERROR(__xludf.DUMMYFUNCTION("""COMPUTED_VALUE"""),44432.66666666667)</f>
        <v>44432.66667</v>
      </c>
      <c r="R954" s="9">
        <f>IFERROR(__xludf.DUMMYFUNCTION("""COMPUTED_VALUE"""),363.66)</f>
        <v>363.66</v>
      </c>
      <c r="S954" s="11">
        <f>IFERROR(__xludf.DUMMYFUNCTION("""COMPUTED_VALUE"""),44432.66666666667)</f>
        <v>44432.66667</v>
      </c>
      <c r="T954" s="9">
        <f>IFERROR(__xludf.DUMMYFUNCTION("""COMPUTED_VALUE"""),365.51)</f>
        <v>365.51</v>
      </c>
      <c r="V954" s="11">
        <f>IFERROR(__xludf.DUMMYFUNCTION("""COMPUTED_VALUE"""),44432.66666666667)</f>
        <v>44432.66667</v>
      </c>
      <c r="W954" s="9">
        <f>IFERROR(__xludf.DUMMYFUNCTION("""COMPUTED_VALUE"""),551.48)</f>
        <v>551.48</v>
      </c>
      <c r="X954" s="11">
        <f>IFERROR(__xludf.DUMMYFUNCTION("""COMPUTED_VALUE"""),44432.66666666667)</f>
        <v>44432.66667</v>
      </c>
      <c r="Y954" s="9">
        <f>IFERROR(__xludf.DUMMYFUNCTION("""COMPUTED_VALUE"""),553.41)</f>
        <v>553.41</v>
      </c>
      <c r="AA954" s="11">
        <f>IFERROR(__xludf.DUMMYFUNCTION("""COMPUTED_VALUE"""),44432.66666666667)</f>
        <v>44432.66667</v>
      </c>
      <c r="AB954" s="9">
        <f>IFERROR(__xludf.DUMMYFUNCTION("""COMPUTED_VALUE"""),3280.0)</f>
        <v>3280</v>
      </c>
      <c r="AC954" s="11">
        <f>IFERROR(__xludf.DUMMYFUNCTION("""COMPUTED_VALUE"""),44432.66666666667)</f>
        <v>44432.66667</v>
      </c>
      <c r="AD954" s="9">
        <f>IFERROR(__xludf.DUMMYFUNCTION("""COMPUTED_VALUE"""),3305.78)</f>
        <v>3305.78</v>
      </c>
    </row>
    <row r="955">
      <c r="B955" s="11">
        <f>IFERROR(__xludf.DUMMYFUNCTION("""COMPUTED_VALUE"""),44433.66666666667)</f>
        <v>44433.66667</v>
      </c>
      <c r="C955" s="9">
        <f>IFERROR(__xludf.DUMMYFUNCTION("""COMPUTED_VALUE"""),707.03)</f>
        <v>707.03</v>
      </c>
      <c r="D955" s="11">
        <f>IFERROR(__xludf.DUMMYFUNCTION("""COMPUTED_VALUE"""),44433.66666666667)</f>
        <v>44433.66667</v>
      </c>
      <c r="E955" s="9">
        <f>IFERROR(__xludf.DUMMYFUNCTION("""COMPUTED_VALUE"""),711.2)</f>
        <v>711.2</v>
      </c>
      <c r="G955" s="11">
        <f>IFERROR(__xludf.DUMMYFUNCTION("""COMPUTED_VALUE"""),44433.66666666667)</f>
        <v>44433.66667</v>
      </c>
      <c r="H955" s="9">
        <f>IFERROR(__xludf.DUMMYFUNCTION("""COMPUTED_VALUE"""),2857.66)</f>
        <v>2857.66</v>
      </c>
      <c r="I955" s="11">
        <f>IFERROR(__xludf.DUMMYFUNCTION("""COMPUTED_VALUE"""),44433.66666666667)</f>
        <v>44433.66667</v>
      </c>
      <c r="J955" s="9">
        <f>IFERROR(__xludf.DUMMYFUNCTION("""COMPUTED_VALUE"""),2859.0)</f>
        <v>2859</v>
      </c>
      <c r="L955" s="11">
        <f>IFERROR(__xludf.DUMMYFUNCTION("""COMPUTED_VALUE"""),44433.66666666667)</f>
        <v>44433.66667</v>
      </c>
      <c r="M955" s="9">
        <f>IFERROR(__xludf.DUMMYFUNCTION("""COMPUTED_VALUE"""),149.81)</f>
        <v>149.81</v>
      </c>
      <c r="N955" s="11">
        <f>IFERROR(__xludf.DUMMYFUNCTION("""COMPUTED_VALUE"""),44433.66666666667)</f>
        <v>44433.66667</v>
      </c>
      <c r="O955" s="9">
        <f>IFERROR(__xludf.DUMMYFUNCTION("""COMPUTED_VALUE"""),148.36)</f>
        <v>148.36</v>
      </c>
      <c r="Q955" s="11">
        <f>IFERROR(__xludf.DUMMYFUNCTION("""COMPUTED_VALUE"""),44433.66666666667)</f>
        <v>44433.66667</v>
      </c>
      <c r="R955" s="9">
        <f>IFERROR(__xludf.DUMMYFUNCTION("""COMPUTED_VALUE"""),365.6)</f>
        <v>365.6</v>
      </c>
      <c r="S955" s="11">
        <f>IFERROR(__xludf.DUMMYFUNCTION("""COMPUTED_VALUE"""),44433.66666666667)</f>
        <v>44433.66667</v>
      </c>
      <c r="T955" s="9">
        <f>IFERROR(__xludf.DUMMYFUNCTION("""COMPUTED_VALUE"""),368.39)</f>
        <v>368.39</v>
      </c>
      <c r="V955" s="11">
        <f>IFERROR(__xludf.DUMMYFUNCTION("""COMPUTED_VALUE"""),44433.66666666667)</f>
        <v>44433.66667</v>
      </c>
      <c r="W955" s="9">
        <f>IFERROR(__xludf.DUMMYFUNCTION("""COMPUTED_VALUE"""),550.16)</f>
        <v>550.16</v>
      </c>
      <c r="X955" s="11">
        <f>IFERROR(__xludf.DUMMYFUNCTION("""COMPUTED_VALUE"""),44433.66666666667)</f>
        <v>44433.66667</v>
      </c>
      <c r="Y955" s="9">
        <f>IFERROR(__xludf.DUMMYFUNCTION("""COMPUTED_VALUE"""),547.58)</f>
        <v>547.58</v>
      </c>
      <c r="AA955" s="11">
        <f>IFERROR(__xludf.DUMMYFUNCTION("""COMPUTED_VALUE"""),44433.66666666667)</f>
        <v>44433.66667</v>
      </c>
      <c r="AB955" s="9">
        <f>IFERROR(__xludf.DUMMYFUNCTION("""COMPUTED_VALUE"""),3309.87)</f>
        <v>3309.87</v>
      </c>
      <c r="AC955" s="11">
        <f>IFERROR(__xludf.DUMMYFUNCTION("""COMPUTED_VALUE"""),44433.66666666667)</f>
        <v>44433.66667</v>
      </c>
      <c r="AD955" s="9">
        <f>IFERROR(__xludf.DUMMYFUNCTION("""COMPUTED_VALUE"""),3299.18)</f>
        <v>3299.18</v>
      </c>
    </row>
    <row r="956">
      <c r="B956" s="11">
        <f>IFERROR(__xludf.DUMMYFUNCTION("""COMPUTED_VALUE"""),44434.66666666667)</f>
        <v>44434.66667</v>
      </c>
      <c r="C956" s="9">
        <f>IFERROR(__xludf.DUMMYFUNCTION("""COMPUTED_VALUE"""),708.31)</f>
        <v>708.31</v>
      </c>
      <c r="D956" s="11">
        <f>IFERROR(__xludf.DUMMYFUNCTION("""COMPUTED_VALUE"""),44434.66666666667)</f>
        <v>44434.66667</v>
      </c>
      <c r="E956" s="9">
        <f>IFERROR(__xludf.DUMMYFUNCTION("""COMPUTED_VALUE"""),701.16)</f>
        <v>701.16</v>
      </c>
      <c r="G956" s="11">
        <f>IFERROR(__xludf.DUMMYFUNCTION("""COMPUTED_VALUE"""),44434.66666666667)</f>
        <v>44434.66667</v>
      </c>
      <c r="H956" s="9">
        <f>IFERROR(__xludf.DUMMYFUNCTION("""COMPUTED_VALUE"""),2852.37)</f>
        <v>2852.37</v>
      </c>
      <c r="I956" s="11">
        <f>IFERROR(__xludf.DUMMYFUNCTION("""COMPUTED_VALUE"""),44434.66666666667)</f>
        <v>44434.66667</v>
      </c>
      <c r="J956" s="9">
        <f>IFERROR(__xludf.DUMMYFUNCTION("""COMPUTED_VALUE"""),2842.46)</f>
        <v>2842.46</v>
      </c>
      <c r="L956" s="11">
        <f>IFERROR(__xludf.DUMMYFUNCTION("""COMPUTED_VALUE"""),44434.66666666667)</f>
        <v>44434.66667</v>
      </c>
      <c r="M956" s="9">
        <f>IFERROR(__xludf.DUMMYFUNCTION("""COMPUTED_VALUE"""),148.35)</f>
        <v>148.35</v>
      </c>
      <c r="N956" s="11">
        <f>IFERROR(__xludf.DUMMYFUNCTION("""COMPUTED_VALUE"""),44434.66666666667)</f>
        <v>44434.66667</v>
      </c>
      <c r="O956" s="9">
        <f>IFERROR(__xludf.DUMMYFUNCTION("""COMPUTED_VALUE"""),147.54)</f>
        <v>147.54</v>
      </c>
      <c r="Q956" s="11">
        <f>IFERROR(__xludf.DUMMYFUNCTION("""COMPUTED_VALUE"""),44434.66666666667)</f>
        <v>44434.66667</v>
      </c>
      <c r="R956" s="9">
        <f>IFERROR(__xludf.DUMMYFUNCTION("""COMPUTED_VALUE"""),368.38)</f>
        <v>368.38</v>
      </c>
      <c r="S956" s="11">
        <f>IFERROR(__xludf.DUMMYFUNCTION("""COMPUTED_VALUE"""),44434.66666666667)</f>
        <v>44434.66667</v>
      </c>
      <c r="T956" s="9">
        <f>IFERROR(__xludf.DUMMYFUNCTION("""COMPUTED_VALUE"""),364.38)</f>
        <v>364.38</v>
      </c>
      <c r="V956" s="11">
        <f>IFERROR(__xludf.DUMMYFUNCTION("""COMPUTED_VALUE"""),44434.66666666667)</f>
        <v>44434.66667</v>
      </c>
      <c r="W956" s="9">
        <f>IFERROR(__xludf.DUMMYFUNCTION("""COMPUTED_VALUE"""),546.16)</f>
        <v>546.16</v>
      </c>
      <c r="X956" s="11">
        <f>IFERROR(__xludf.DUMMYFUNCTION("""COMPUTED_VALUE"""),44434.66666666667)</f>
        <v>44434.66667</v>
      </c>
      <c r="Y956" s="9">
        <f>IFERROR(__xludf.DUMMYFUNCTION("""COMPUTED_VALUE"""),550.12)</f>
        <v>550.12</v>
      </c>
      <c r="AA956" s="11">
        <f>IFERROR(__xludf.DUMMYFUNCTION("""COMPUTED_VALUE"""),44434.66666666667)</f>
        <v>44434.66667</v>
      </c>
      <c r="AB956" s="9">
        <f>IFERROR(__xludf.DUMMYFUNCTION("""COMPUTED_VALUE"""),3299.0)</f>
        <v>3299</v>
      </c>
      <c r="AC956" s="11">
        <f>IFERROR(__xludf.DUMMYFUNCTION("""COMPUTED_VALUE"""),44434.66666666667)</f>
        <v>44434.66667</v>
      </c>
      <c r="AD956" s="9">
        <f>IFERROR(__xludf.DUMMYFUNCTION("""COMPUTED_VALUE"""),3316.0)</f>
        <v>3316</v>
      </c>
    </row>
    <row r="957">
      <c r="B957" s="11">
        <f>IFERROR(__xludf.DUMMYFUNCTION("""COMPUTED_VALUE"""),44435.66666666667)</f>
        <v>44435.66667</v>
      </c>
      <c r="C957" s="9">
        <f>IFERROR(__xludf.DUMMYFUNCTION("""COMPUTED_VALUE"""),705.0)</f>
        <v>705</v>
      </c>
      <c r="D957" s="11">
        <f>IFERROR(__xludf.DUMMYFUNCTION("""COMPUTED_VALUE"""),44435.66666666667)</f>
        <v>44435.66667</v>
      </c>
      <c r="E957" s="9">
        <f>IFERROR(__xludf.DUMMYFUNCTION("""COMPUTED_VALUE"""),711.92)</f>
        <v>711.92</v>
      </c>
      <c r="G957" s="11">
        <f>IFERROR(__xludf.DUMMYFUNCTION("""COMPUTED_VALUE"""),44435.66666666667)</f>
        <v>44435.66667</v>
      </c>
      <c r="H957" s="9">
        <f>IFERROR(__xludf.DUMMYFUNCTION("""COMPUTED_VALUE"""),2842.25)</f>
        <v>2842.25</v>
      </c>
      <c r="I957" s="11">
        <f>IFERROR(__xludf.DUMMYFUNCTION("""COMPUTED_VALUE"""),44435.66666666667)</f>
        <v>44435.66667</v>
      </c>
      <c r="J957" s="9">
        <f>IFERROR(__xludf.DUMMYFUNCTION("""COMPUTED_VALUE"""),2891.01)</f>
        <v>2891.01</v>
      </c>
      <c r="L957" s="11">
        <f>IFERROR(__xludf.DUMMYFUNCTION("""COMPUTED_VALUE"""),44435.66666666667)</f>
        <v>44435.66667</v>
      </c>
      <c r="M957" s="9">
        <f>IFERROR(__xludf.DUMMYFUNCTION("""COMPUTED_VALUE"""),147.48)</f>
        <v>147.48</v>
      </c>
      <c r="N957" s="11">
        <f>IFERROR(__xludf.DUMMYFUNCTION("""COMPUTED_VALUE"""),44435.66666666667)</f>
        <v>44435.66667</v>
      </c>
      <c r="O957" s="9">
        <f>IFERROR(__xludf.DUMMYFUNCTION("""COMPUTED_VALUE"""),148.6)</f>
        <v>148.6</v>
      </c>
      <c r="Q957" s="11">
        <f>IFERROR(__xludf.DUMMYFUNCTION("""COMPUTED_VALUE"""),44435.66666666667)</f>
        <v>44435.66667</v>
      </c>
      <c r="R957" s="9">
        <f>IFERROR(__xludf.DUMMYFUNCTION("""COMPUTED_VALUE"""),365.1)</f>
        <v>365.1</v>
      </c>
      <c r="S957" s="11">
        <f>IFERROR(__xludf.DUMMYFUNCTION("""COMPUTED_VALUE"""),44435.66666666667)</f>
        <v>44435.66667</v>
      </c>
      <c r="T957" s="9">
        <f>IFERROR(__xludf.DUMMYFUNCTION("""COMPUTED_VALUE"""),372.63)</f>
        <v>372.63</v>
      </c>
      <c r="V957" s="11">
        <f>IFERROR(__xludf.DUMMYFUNCTION("""COMPUTED_VALUE"""),44435.66666666667)</f>
        <v>44435.66667</v>
      </c>
      <c r="W957" s="9">
        <f>IFERROR(__xludf.DUMMYFUNCTION("""COMPUTED_VALUE"""),551.6)</f>
        <v>551.6</v>
      </c>
      <c r="X957" s="11">
        <f>IFERROR(__xludf.DUMMYFUNCTION("""COMPUTED_VALUE"""),44435.66666666667)</f>
        <v>44435.66667</v>
      </c>
      <c r="Y957" s="9">
        <f>IFERROR(__xludf.DUMMYFUNCTION("""COMPUTED_VALUE"""),558.92)</f>
        <v>558.92</v>
      </c>
      <c r="AA957" s="11">
        <f>IFERROR(__xludf.DUMMYFUNCTION("""COMPUTED_VALUE"""),44435.66666666667)</f>
        <v>44435.66667</v>
      </c>
      <c r="AB957" s="9">
        <f>IFERROR(__xludf.DUMMYFUNCTION("""COMPUTED_VALUE"""),3333.23)</f>
        <v>3333.23</v>
      </c>
      <c r="AC957" s="11">
        <f>IFERROR(__xludf.DUMMYFUNCTION("""COMPUTED_VALUE"""),44435.66666666667)</f>
        <v>44435.66667</v>
      </c>
      <c r="AD957" s="9">
        <f>IFERROR(__xludf.DUMMYFUNCTION("""COMPUTED_VALUE"""),3349.63)</f>
        <v>3349.63</v>
      </c>
    </row>
    <row r="958">
      <c r="B958" s="11">
        <f>IFERROR(__xludf.DUMMYFUNCTION("""COMPUTED_VALUE"""),44438.66666666667)</f>
        <v>44438.66667</v>
      </c>
      <c r="C958" s="9">
        <f>IFERROR(__xludf.DUMMYFUNCTION("""COMPUTED_VALUE"""),714.72)</f>
        <v>714.72</v>
      </c>
      <c r="D958" s="11">
        <f>IFERROR(__xludf.DUMMYFUNCTION("""COMPUTED_VALUE"""),44438.66666666667)</f>
        <v>44438.66667</v>
      </c>
      <c r="E958" s="9">
        <f>IFERROR(__xludf.DUMMYFUNCTION("""COMPUTED_VALUE"""),730.91)</f>
        <v>730.91</v>
      </c>
      <c r="G958" s="11">
        <f>IFERROR(__xludf.DUMMYFUNCTION("""COMPUTED_VALUE"""),44438.66666666667)</f>
        <v>44438.66667</v>
      </c>
      <c r="H958" s="9">
        <f>IFERROR(__xludf.DUMMYFUNCTION("""COMPUTED_VALUE"""),2894.09)</f>
        <v>2894.09</v>
      </c>
      <c r="I958" s="11">
        <f>IFERROR(__xludf.DUMMYFUNCTION("""COMPUTED_VALUE"""),44438.66666666667)</f>
        <v>44438.66667</v>
      </c>
      <c r="J958" s="9">
        <f>IFERROR(__xludf.DUMMYFUNCTION("""COMPUTED_VALUE"""),2909.39)</f>
        <v>2909.39</v>
      </c>
      <c r="L958" s="11">
        <f>IFERROR(__xludf.DUMMYFUNCTION("""COMPUTED_VALUE"""),44438.66666666667)</f>
        <v>44438.66667</v>
      </c>
      <c r="M958" s="9">
        <f>IFERROR(__xludf.DUMMYFUNCTION("""COMPUTED_VALUE"""),149.0)</f>
        <v>149</v>
      </c>
      <c r="N958" s="11">
        <f>IFERROR(__xludf.DUMMYFUNCTION("""COMPUTED_VALUE"""),44438.66666666667)</f>
        <v>44438.66667</v>
      </c>
      <c r="O958" s="9">
        <f>IFERROR(__xludf.DUMMYFUNCTION("""COMPUTED_VALUE"""),153.12)</f>
        <v>153.12</v>
      </c>
      <c r="Q958" s="11">
        <f>IFERROR(__xludf.DUMMYFUNCTION("""COMPUTED_VALUE"""),44438.66666666667)</f>
        <v>44438.66667</v>
      </c>
      <c r="R958" s="9">
        <f>IFERROR(__xludf.DUMMYFUNCTION("""COMPUTED_VALUE"""),372.56)</f>
        <v>372.56</v>
      </c>
      <c r="S958" s="11">
        <f>IFERROR(__xludf.DUMMYFUNCTION("""COMPUTED_VALUE"""),44438.66666666667)</f>
        <v>44438.66667</v>
      </c>
      <c r="T958" s="9">
        <f>IFERROR(__xludf.DUMMYFUNCTION("""COMPUTED_VALUE"""),380.66)</f>
        <v>380.66</v>
      </c>
      <c r="V958" s="11">
        <f>IFERROR(__xludf.DUMMYFUNCTION("""COMPUTED_VALUE"""),44438.66666666667)</f>
        <v>44438.66667</v>
      </c>
      <c r="W958" s="9">
        <f>IFERROR(__xludf.DUMMYFUNCTION("""COMPUTED_VALUE"""),557.25)</f>
        <v>557.25</v>
      </c>
      <c r="X958" s="11">
        <f>IFERROR(__xludf.DUMMYFUNCTION("""COMPUTED_VALUE"""),44438.66666666667)</f>
        <v>44438.66667</v>
      </c>
      <c r="Y958" s="9">
        <f>IFERROR(__xludf.DUMMYFUNCTION("""COMPUTED_VALUE"""),566.18)</f>
        <v>566.18</v>
      </c>
      <c r="AA958" s="11">
        <f>IFERROR(__xludf.DUMMYFUNCTION("""COMPUTED_VALUE"""),44438.66666666667)</f>
        <v>44438.66667</v>
      </c>
      <c r="AB958" s="9">
        <f>IFERROR(__xludf.DUMMYFUNCTION("""COMPUTED_VALUE"""),3357.43)</f>
        <v>3357.43</v>
      </c>
      <c r="AC958" s="11">
        <f>IFERROR(__xludf.DUMMYFUNCTION("""COMPUTED_VALUE"""),44438.66666666667)</f>
        <v>44438.66667</v>
      </c>
      <c r="AD958" s="9">
        <f>IFERROR(__xludf.DUMMYFUNCTION("""COMPUTED_VALUE"""),3421.57)</f>
        <v>3421.57</v>
      </c>
    </row>
    <row r="959">
      <c r="B959" s="11">
        <f>IFERROR(__xludf.DUMMYFUNCTION("""COMPUTED_VALUE"""),44439.66666666667)</f>
        <v>44439.66667</v>
      </c>
      <c r="C959" s="9">
        <f>IFERROR(__xludf.DUMMYFUNCTION("""COMPUTED_VALUE"""),733.0)</f>
        <v>733</v>
      </c>
      <c r="D959" s="11">
        <f>IFERROR(__xludf.DUMMYFUNCTION("""COMPUTED_VALUE"""),44439.66666666667)</f>
        <v>44439.66667</v>
      </c>
      <c r="E959" s="9">
        <f>IFERROR(__xludf.DUMMYFUNCTION("""COMPUTED_VALUE"""),735.72)</f>
        <v>735.72</v>
      </c>
      <c r="G959" s="11">
        <f>IFERROR(__xludf.DUMMYFUNCTION("""COMPUTED_VALUE"""),44439.66666666667)</f>
        <v>44439.66667</v>
      </c>
      <c r="H959" s="9">
        <f>IFERROR(__xludf.DUMMYFUNCTION("""COMPUTED_VALUE"""),2917.69)</f>
        <v>2917.69</v>
      </c>
      <c r="I959" s="11">
        <f>IFERROR(__xludf.DUMMYFUNCTION("""COMPUTED_VALUE"""),44439.66666666667)</f>
        <v>44439.66667</v>
      </c>
      <c r="J959" s="9">
        <f>IFERROR(__xludf.DUMMYFUNCTION("""COMPUTED_VALUE"""),2909.24)</f>
        <v>2909.24</v>
      </c>
      <c r="L959" s="11">
        <f>IFERROR(__xludf.DUMMYFUNCTION("""COMPUTED_VALUE"""),44439.66666666667)</f>
        <v>44439.66667</v>
      </c>
      <c r="M959" s="9">
        <f>IFERROR(__xludf.DUMMYFUNCTION("""COMPUTED_VALUE"""),152.66)</f>
        <v>152.66</v>
      </c>
      <c r="N959" s="11">
        <f>IFERROR(__xludf.DUMMYFUNCTION("""COMPUTED_VALUE"""),44439.66666666667)</f>
        <v>44439.66667</v>
      </c>
      <c r="O959" s="9">
        <f>IFERROR(__xludf.DUMMYFUNCTION("""COMPUTED_VALUE"""),151.83)</f>
        <v>151.83</v>
      </c>
      <c r="Q959" s="11">
        <f>IFERROR(__xludf.DUMMYFUNCTION("""COMPUTED_VALUE"""),44439.66666666667)</f>
        <v>44439.66667</v>
      </c>
      <c r="R959" s="9">
        <f>IFERROR(__xludf.DUMMYFUNCTION("""COMPUTED_VALUE"""),379.95)</f>
        <v>379.95</v>
      </c>
      <c r="S959" s="11">
        <f>IFERROR(__xludf.DUMMYFUNCTION("""COMPUTED_VALUE"""),44439.66666666667)</f>
        <v>44439.66667</v>
      </c>
      <c r="T959" s="9">
        <f>IFERROR(__xludf.DUMMYFUNCTION("""COMPUTED_VALUE"""),379.38)</f>
        <v>379.38</v>
      </c>
      <c r="V959" s="11">
        <f>IFERROR(__xludf.DUMMYFUNCTION("""COMPUTED_VALUE"""),44439.66666666667)</f>
        <v>44439.66667</v>
      </c>
      <c r="W959" s="9">
        <f>IFERROR(__xludf.DUMMYFUNCTION("""COMPUTED_VALUE"""),566.12)</f>
        <v>566.12</v>
      </c>
      <c r="X959" s="11">
        <f>IFERROR(__xludf.DUMMYFUNCTION("""COMPUTED_VALUE"""),44439.66666666667)</f>
        <v>44439.66667</v>
      </c>
      <c r="Y959" s="9">
        <f>IFERROR(__xludf.DUMMYFUNCTION("""COMPUTED_VALUE"""),569.19)</f>
        <v>569.19</v>
      </c>
      <c r="AA959" s="11">
        <f>IFERROR(__xludf.DUMMYFUNCTION("""COMPUTED_VALUE"""),44439.66666666667)</f>
        <v>44439.66667</v>
      </c>
      <c r="AB959" s="9">
        <f>IFERROR(__xludf.DUMMYFUNCTION("""COMPUTED_VALUE"""),3424.8)</f>
        <v>3424.8</v>
      </c>
      <c r="AC959" s="11">
        <f>IFERROR(__xludf.DUMMYFUNCTION("""COMPUTED_VALUE"""),44439.66666666667)</f>
        <v>44439.66667</v>
      </c>
      <c r="AD959" s="9">
        <f>IFERROR(__xludf.DUMMYFUNCTION("""COMPUTED_VALUE"""),3470.79)</f>
        <v>3470.79</v>
      </c>
    </row>
    <row r="960">
      <c r="B960" s="11">
        <f>IFERROR(__xludf.DUMMYFUNCTION("""COMPUTED_VALUE"""),44440.66666666667)</f>
        <v>44440.66667</v>
      </c>
      <c r="C960" s="9">
        <f>IFERROR(__xludf.DUMMYFUNCTION("""COMPUTED_VALUE"""),734.08)</f>
        <v>734.08</v>
      </c>
      <c r="D960" s="11">
        <f>IFERROR(__xludf.DUMMYFUNCTION("""COMPUTED_VALUE"""),44440.66666666667)</f>
        <v>44440.66667</v>
      </c>
      <c r="E960" s="9">
        <f>IFERROR(__xludf.DUMMYFUNCTION("""COMPUTED_VALUE"""),734.09)</f>
        <v>734.09</v>
      </c>
      <c r="G960" s="11">
        <f>IFERROR(__xludf.DUMMYFUNCTION("""COMPUTED_VALUE"""),44440.66666666667)</f>
        <v>44440.66667</v>
      </c>
      <c r="H960" s="9">
        <f>IFERROR(__xludf.DUMMYFUNCTION("""COMPUTED_VALUE"""),2913.0)</f>
        <v>2913</v>
      </c>
      <c r="I960" s="11">
        <f>IFERROR(__xludf.DUMMYFUNCTION("""COMPUTED_VALUE"""),44440.66666666667)</f>
        <v>44440.66667</v>
      </c>
      <c r="J960" s="9">
        <f>IFERROR(__xludf.DUMMYFUNCTION("""COMPUTED_VALUE"""),2916.84)</f>
        <v>2916.84</v>
      </c>
      <c r="L960" s="11">
        <f>IFERROR(__xludf.DUMMYFUNCTION("""COMPUTED_VALUE"""),44440.66666666667)</f>
        <v>44440.66667</v>
      </c>
      <c r="M960" s="9">
        <f>IFERROR(__xludf.DUMMYFUNCTION("""COMPUTED_VALUE"""),152.83)</f>
        <v>152.83</v>
      </c>
      <c r="N960" s="11">
        <f>IFERROR(__xludf.DUMMYFUNCTION("""COMPUTED_VALUE"""),44440.66666666667)</f>
        <v>44440.66667</v>
      </c>
      <c r="O960" s="9">
        <f>IFERROR(__xludf.DUMMYFUNCTION("""COMPUTED_VALUE"""),152.51)</f>
        <v>152.51</v>
      </c>
      <c r="Q960" s="11">
        <f>IFERROR(__xludf.DUMMYFUNCTION("""COMPUTED_VALUE"""),44440.66666666667)</f>
        <v>44440.66667</v>
      </c>
      <c r="R960" s="9">
        <f>IFERROR(__xludf.DUMMYFUNCTION("""COMPUTED_VALUE"""),379.59)</f>
        <v>379.59</v>
      </c>
      <c r="S960" s="11">
        <f>IFERROR(__xludf.DUMMYFUNCTION("""COMPUTED_VALUE"""),44440.66666666667)</f>
        <v>44440.66667</v>
      </c>
      <c r="T960" s="9">
        <f>IFERROR(__xludf.DUMMYFUNCTION("""COMPUTED_VALUE"""),382.05)</f>
        <v>382.05</v>
      </c>
      <c r="V960" s="11">
        <f>IFERROR(__xludf.DUMMYFUNCTION("""COMPUTED_VALUE"""),44440.66666666667)</f>
        <v>44440.66667</v>
      </c>
      <c r="W960" s="9">
        <f>IFERROR(__xludf.DUMMYFUNCTION("""COMPUTED_VALUE"""),569.0)</f>
        <v>569</v>
      </c>
      <c r="X960" s="11">
        <f>IFERROR(__xludf.DUMMYFUNCTION("""COMPUTED_VALUE"""),44440.66666666667)</f>
        <v>44440.66667</v>
      </c>
      <c r="Y960" s="9">
        <f>IFERROR(__xludf.DUMMYFUNCTION("""COMPUTED_VALUE"""),582.07)</f>
        <v>582.07</v>
      </c>
      <c r="AA960" s="11">
        <f>IFERROR(__xludf.DUMMYFUNCTION("""COMPUTED_VALUE"""),44440.66666666667)</f>
        <v>44440.66667</v>
      </c>
      <c r="AB960" s="9">
        <f>IFERROR(__xludf.DUMMYFUNCTION("""COMPUTED_VALUE"""),3496.4)</f>
        <v>3496.4</v>
      </c>
      <c r="AC960" s="11">
        <f>IFERROR(__xludf.DUMMYFUNCTION("""COMPUTED_VALUE"""),44440.66666666667)</f>
        <v>44440.66667</v>
      </c>
      <c r="AD960" s="9">
        <f>IFERROR(__xludf.DUMMYFUNCTION("""COMPUTED_VALUE"""),3479.0)</f>
        <v>3479</v>
      </c>
    </row>
    <row r="961">
      <c r="B961" s="11">
        <f>IFERROR(__xludf.DUMMYFUNCTION("""COMPUTED_VALUE"""),44441.66666666667)</f>
        <v>44441.66667</v>
      </c>
      <c r="C961" s="9">
        <f>IFERROR(__xludf.DUMMYFUNCTION("""COMPUTED_VALUE"""),734.5)</f>
        <v>734.5</v>
      </c>
      <c r="D961" s="11">
        <f>IFERROR(__xludf.DUMMYFUNCTION("""COMPUTED_VALUE"""),44441.66666666667)</f>
        <v>44441.66667</v>
      </c>
      <c r="E961" s="9">
        <f>IFERROR(__xludf.DUMMYFUNCTION("""COMPUTED_VALUE"""),732.39)</f>
        <v>732.39</v>
      </c>
      <c r="G961" s="11">
        <f>IFERROR(__xludf.DUMMYFUNCTION("""COMPUTED_VALUE"""),44441.66666666667)</f>
        <v>44441.66667</v>
      </c>
      <c r="H961" s="9">
        <f>IFERROR(__xludf.DUMMYFUNCTION("""COMPUTED_VALUE"""),2918.99)</f>
        <v>2918.99</v>
      </c>
      <c r="I961" s="11">
        <f>IFERROR(__xludf.DUMMYFUNCTION("""COMPUTED_VALUE"""),44441.66666666667)</f>
        <v>44441.66667</v>
      </c>
      <c r="J961" s="9">
        <f>IFERROR(__xludf.DUMMYFUNCTION("""COMPUTED_VALUE"""),2884.38)</f>
        <v>2884.38</v>
      </c>
      <c r="L961" s="11">
        <f>IFERROR(__xludf.DUMMYFUNCTION("""COMPUTED_VALUE"""),44441.66666666667)</f>
        <v>44441.66667</v>
      </c>
      <c r="M961" s="9">
        <f>IFERROR(__xludf.DUMMYFUNCTION("""COMPUTED_VALUE"""),153.87)</f>
        <v>153.87</v>
      </c>
      <c r="N961" s="11">
        <f>IFERROR(__xludf.DUMMYFUNCTION("""COMPUTED_VALUE"""),44441.66666666667)</f>
        <v>44441.66667</v>
      </c>
      <c r="O961" s="9">
        <f>IFERROR(__xludf.DUMMYFUNCTION("""COMPUTED_VALUE"""),153.65)</f>
        <v>153.65</v>
      </c>
      <c r="Q961" s="11">
        <f>IFERROR(__xludf.DUMMYFUNCTION("""COMPUTED_VALUE"""),44441.66666666667)</f>
        <v>44441.66667</v>
      </c>
      <c r="R961" s="9">
        <f>IFERROR(__xludf.DUMMYFUNCTION("""COMPUTED_VALUE"""),381.5)</f>
        <v>381.5</v>
      </c>
      <c r="S961" s="11">
        <f>IFERROR(__xludf.DUMMYFUNCTION("""COMPUTED_VALUE"""),44441.66666666667)</f>
        <v>44441.66667</v>
      </c>
      <c r="T961" s="9">
        <f>IFERROR(__xludf.DUMMYFUNCTION("""COMPUTED_VALUE"""),375.28)</f>
        <v>375.28</v>
      </c>
      <c r="V961" s="11">
        <f>IFERROR(__xludf.DUMMYFUNCTION("""COMPUTED_VALUE"""),44441.66666666667)</f>
        <v>44441.66667</v>
      </c>
      <c r="W961" s="9">
        <f>IFERROR(__xludf.DUMMYFUNCTION("""COMPUTED_VALUE"""),583.68)</f>
        <v>583.68</v>
      </c>
      <c r="X961" s="11">
        <f>IFERROR(__xludf.DUMMYFUNCTION("""COMPUTED_VALUE"""),44441.66666666667)</f>
        <v>44441.66667</v>
      </c>
      <c r="Y961" s="9">
        <f>IFERROR(__xludf.DUMMYFUNCTION("""COMPUTED_VALUE"""),588.55)</f>
        <v>588.55</v>
      </c>
      <c r="AA961" s="11">
        <f>IFERROR(__xludf.DUMMYFUNCTION("""COMPUTED_VALUE"""),44441.66666666667)</f>
        <v>44441.66667</v>
      </c>
      <c r="AB961" s="9">
        <f>IFERROR(__xludf.DUMMYFUNCTION("""COMPUTED_VALUE"""),3494.76)</f>
        <v>3494.76</v>
      </c>
      <c r="AC961" s="11">
        <f>IFERROR(__xludf.DUMMYFUNCTION("""COMPUTED_VALUE"""),44441.66666666667)</f>
        <v>44441.66667</v>
      </c>
      <c r="AD961" s="9">
        <f>IFERROR(__xludf.DUMMYFUNCTION("""COMPUTED_VALUE"""),3463.12)</f>
        <v>3463.12</v>
      </c>
    </row>
    <row r="962">
      <c r="B962" s="11">
        <f>IFERROR(__xludf.DUMMYFUNCTION("""COMPUTED_VALUE"""),44442.66666666667)</f>
        <v>44442.66667</v>
      </c>
      <c r="C962" s="9">
        <f>IFERROR(__xludf.DUMMYFUNCTION("""COMPUTED_VALUE"""),732.25)</f>
        <v>732.25</v>
      </c>
      <c r="D962" s="11">
        <f>IFERROR(__xludf.DUMMYFUNCTION("""COMPUTED_VALUE"""),44442.66666666667)</f>
        <v>44442.66667</v>
      </c>
      <c r="E962" s="9">
        <f>IFERROR(__xludf.DUMMYFUNCTION("""COMPUTED_VALUE"""),733.57)</f>
        <v>733.57</v>
      </c>
      <c r="G962" s="11">
        <f>IFERROR(__xludf.DUMMYFUNCTION("""COMPUTED_VALUE"""),44442.66666666667)</f>
        <v>44442.66667</v>
      </c>
      <c r="H962" s="9">
        <f>IFERROR(__xludf.DUMMYFUNCTION("""COMPUTED_VALUE"""),2882.92)</f>
        <v>2882.92</v>
      </c>
      <c r="I962" s="11">
        <f>IFERROR(__xludf.DUMMYFUNCTION("""COMPUTED_VALUE"""),44442.66666666667)</f>
        <v>44442.66667</v>
      </c>
      <c r="J962" s="9">
        <f>IFERROR(__xludf.DUMMYFUNCTION("""COMPUTED_VALUE"""),2895.5)</f>
        <v>2895.5</v>
      </c>
      <c r="L962" s="11">
        <f>IFERROR(__xludf.DUMMYFUNCTION("""COMPUTED_VALUE"""),44442.66666666667)</f>
        <v>44442.66667</v>
      </c>
      <c r="M962" s="9">
        <f>IFERROR(__xludf.DUMMYFUNCTION("""COMPUTED_VALUE"""),153.76)</f>
        <v>153.76</v>
      </c>
      <c r="N962" s="11">
        <f>IFERROR(__xludf.DUMMYFUNCTION("""COMPUTED_VALUE"""),44442.66666666667)</f>
        <v>44442.66667</v>
      </c>
      <c r="O962" s="9">
        <f>IFERROR(__xludf.DUMMYFUNCTION("""COMPUTED_VALUE"""),154.3)</f>
        <v>154.3</v>
      </c>
      <c r="Q962" s="11">
        <f>IFERROR(__xludf.DUMMYFUNCTION("""COMPUTED_VALUE"""),44442.66666666667)</f>
        <v>44442.66667</v>
      </c>
      <c r="R962" s="9">
        <f>IFERROR(__xludf.DUMMYFUNCTION("""COMPUTED_VALUE"""),374.75)</f>
        <v>374.75</v>
      </c>
      <c r="S962" s="11">
        <f>IFERROR(__xludf.DUMMYFUNCTION("""COMPUTED_VALUE"""),44442.66666666667)</f>
        <v>44442.66667</v>
      </c>
      <c r="T962" s="9">
        <f>IFERROR(__xludf.DUMMYFUNCTION("""COMPUTED_VALUE"""),376.26)</f>
        <v>376.26</v>
      </c>
      <c r="V962" s="11">
        <f>IFERROR(__xludf.DUMMYFUNCTION("""COMPUTED_VALUE"""),44442.66666666667)</f>
        <v>44442.66667</v>
      </c>
      <c r="W962" s="9">
        <f>IFERROR(__xludf.DUMMYFUNCTION("""COMPUTED_VALUE"""),585.8)</f>
        <v>585.8</v>
      </c>
      <c r="X962" s="11">
        <f>IFERROR(__xludf.DUMMYFUNCTION("""COMPUTED_VALUE"""),44442.66666666667)</f>
        <v>44442.66667</v>
      </c>
      <c r="Y962" s="9">
        <f>IFERROR(__xludf.DUMMYFUNCTION("""COMPUTED_VALUE"""),590.53)</f>
        <v>590.53</v>
      </c>
      <c r="AA962" s="11">
        <f>IFERROR(__xludf.DUMMYFUNCTION("""COMPUTED_VALUE"""),44442.66666666667)</f>
        <v>44442.66667</v>
      </c>
      <c r="AB962" s="9">
        <f>IFERROR(__xludf.DUMMYFUNCTION("""COMPUTED_VALUE"""),3452.0)</f>
        <v>3452</v>
      </c>
      <c r="AC962" s="11">
        <f>IFERROR(__xludf.DUMMYFUNCTION("""COMPUTED_VALUE"""),44442.66666666667)</f>
        <v>44442.66667</v>
      </c>
      <c r="AD962" s="9">
        <f>IFERROR(__xludf.DUMMYFUNCTION("""COMPUTED_VALUE"""),3478.05)</f>
        <v>3478.05</v>
      </c>
    </row>
    <row r="963">
      <c r="B963" s="11">
        <f>IFERROR(__xludf.DUMMYFUNCTION("""COMPUTED_VALUE"""),44446.66666666667)</f>
        <v>44446.66667</v>
      </c>
      <c r="C963" s="9">
        <f>IFERROR(__xludf.DUMMYFUNCTION("""COMPUTED_VALUE"""),740.0)</f>
        <v>740</v>
      </c>
      <c r="D963" s="11">
        <f>IFERROR(__xludf.DUMMYFUNCTION("""COMPUTED_VALUE"""),44446.66666666667)</f>
        <v>44446.66667</v>
      </c>
      <c r="E963" s="9">
        <f>IFERROR(__xludf.DUMMYFUNCTION("""COMPUTED_VALUE"""),752.92)</f>
        <v>752.92</v>
      </c>
      <c r="G963" s="11">
        <f>IFERROR(__xludf.DUMMYFUNCTION("""COMPUTED_VALUE"""),44446.66666666667)</f>
        <v>44446.66667</v>
      </c>
      <c r="H963" s="9">
        <f>IFERROR(__xludf.DUMMYFUNCTION("""COMPUTED_VALUE"""),2894.99)</f>
        <v>2894.99</v>
      </c>
      <c r="I963" s="11">
        <f>IFERROR(__xludf.DUMMYFUNCTION("""COMPUTED_VALUE"""),44446.66666666667)</f>
        <v>44446.66667</v>
      </c>
      <c r="J963" s="9">
        <f>IFERROR(__xludf.DUMMYFUNCTION("""COMPUTED_VALUE"""),2910.38)</f>
        <v>2910.38</v>
      </c>
      <c r="L963" s="11">
        <f>IFERROR(__xludf.DUMMYFUNCTION("""COMPUTED_VALUE"""),44446.66666666667)</f>
        <v>44446.66667</v>
      </c>
      <c r="M963" s="9">
        <f>IFERROR(__xludf.DUMMYFUNCTION("""COMPUTED_VALUE"""),154.97)</f>
        <v>154.97</v>
      </c>
      <c r="N963" s="11">
        <f>IFERROR(__xludf.DUMMYFUNCTION("""COMPUTED_VALUE"""),44446.66666666667)</f>
        <v>44446.66667</v>
      </c>
      <c r="O963" s="9">
        <f>IFERROR(__xludf.DUMMYFUNCTION("""COMPUTED_VALUE"""),156.69)</f>
        <v>156.69</v>
      </c>
      <c r="Q963" s="11">
        <f>IFERROR(__xludf.DUMMYFUNCTION("""COMPUTED_VALUE"""),44446.66666666667)</f>
        <v>44446.66667</v>
      </c>
      <c r="R963" s="9">
        <f>IFERROR(__xludf.DUMMYFUNCTION("""COMPUTED_VALUE"""),375.88)</f>
        <v>375.88</v>
      </c>
      <c r="S963" s="11">
        <f>IFERROR(__xludf.DUMMYFUNCTION("""COMPUTED_VALUE"""),44446.66666666667)</f>
        <v>44446.66667</v>
      </c>
      <c r="T963" s="9">
        <f>IFERROR(__xludf.DUMMYFUNCTION("""COMPUTED_VALUE"""),382.18)</f>
        <v>382.18</v>
      </c>
      <c r="V963" s="11">
        <f>IFERROR(__xludf.DUMMYFUNCTION("""COMPUTED_VALUE"""),44446.66666666667)</f>
        <v>44446.66667</v>
      </c>
      <c r="W963" s="9">
        <f>IFERROR(__xludf.DUMMYFUNCTION("""COMPUTED_VALUE"""),594.69)</f>
        <v>594.69</v>
      </c>
      <c r="X963" s="11">
        <f>IFERROR(__xludf.DUMMYFUNCTION("""COMPUTED_VALUE"""),44446.66666666667)</f>
        <v>44446.66667</v>
      </c>
      <c r="Y963" s="9">
        <f>IFERROR(__xludf.DUMMYFUNCTION("""COMPUTED_VALUE"""),606.71)</f>
        <v>606.71</v>
      </c>
      <c r="AA963" s="11">
        <f>IFERROR(__xludf.DUMMYFUNCTION("""COMPUTED_VALUE"""),44446.66666666667)</f>
        <v>44446.66667</v>
      </c>
      <c r="AB963" s="9">
        <f>IFERROR(__xludf.DUMMYFUNCTION("""COMPUTED_VALUE"""),3478.0)</f>
        <v>3478</v>
      </c>
      <c r="AC963" s="11">
        <f>IFERROR(__xludf.DUMMYFUNCTION("""COMPUTED_VALUE"""),44446.66666666667)</f>
        <v>44446.66667</v>
      </c>
      <c r="AD963" s="9">
        <f>IFERROR(__xludf.DUMMYFUNCTION("""COMPUTED_VALUE"""),3509.29)</f>
        <v>3509.29</v>
      </c>
    </row>
    <row r="964">
      <c r="B964" s="11">
        <f>IFERROR(__xludf.DUMMYFUNCTION("""COMPUTED_VALUE"""),44447.66666666667)</f>
        <v>44447.66667</v>
      </c>
      <c r="C964" s="9">
        <f>IFERROR(__xludf.DUMMYFUNCTION("""COMPUTED_VALUE"""),761.58)</f>
        <v>761.58</v>
      </c>
      <c r="D964" s="11">
        <f>IFERROR(__xludf.DUMMYFUNCTION("""COMPUTED_VALUE"""),44447.66666666667)</f>
        <v>44447.66667</v>
      </c>
      <c r="E964" s="9">
        <f>IFERROR(__xludf.DUMMYFUNCTION("""COMPUTED_VALUE"""),753.87)</f>
        <v>753.87</v>
      </c>
      <c r="G964" s="11">
        <f>IFERROR(__xludf.DUMMYFUNCTION("""COMPUTED_VALUE"""),44447.66666666667)</f>
        <v>44447.66667</v>
      </c>
      <c r="H964" s="9">
        <f>IFERROR(__xludf.DUMMYFUNCTION("""COMPUTED_VALUE"""),2907.87)</f>
        <v>2907.87</v>
      </c>
      <c r="I964" s="11">
        <f>IFERROR(__xludf.DUMMYFUNCTION("""COMPUTED_VALUE"""),44447.66666666667)</f>
        <v>44447.66667</v>
      </c>
      <c r="J964" s="9">
        <f>IFERROR(__xludf.DUMMYFUNCTION("""COMPUTED_VALUE"""),2897.67)</f>
        <v>2897.67</v>
      </c>
      <c r="L964" s="11">
        <f>IFERROR(__xludf.DUMMYFUNCTION("""COMPUTED_VALUE"""),44447.66666666667)</f>
        <v>44447.66667</v>
      </c>
      <c r="M964" s="9">
        <f>IFERROR(__xludf.DUMMYFUNCTION("""COMPUTED_VALUE"""),156.98)</f>
        <v>156.98</v>
      </c>
      <c r="N964" s="11">
        <f>IFERROR(__xludf.DUMMYFUNCTION("""COMPUTED_VALUE"""),44447.66666666667)</f>
        <v>44447.66667</v>
      </c>
      <c r="O964" s="9">
        <f>IFERROR(__xludf.DUMMYFUNCTION("""COMPUTED_VALUE"""),155.11)</f>
        <v>155.11</v>
      </c>
      <c r="Q964" s="11">
        <f>IFERROR(__xludf.DUMMYFUNCTION("""COMPUTED_VALUE"""),44447.66666666667)</f>
        <v>44447.66667</v>
      </c>
      <c r="R964" s="9">
        <f>IFERROR(__xludf.DUMMYFUNCTION("""COMPUTED_VALUE"""),380.16)</f>
        <v>380.16</v>
      </c>
      <c r="S964" s="11">
        <f>IFERROR(__xludf.DUMMYFUNCTION("""COMPUTED_VALUE"""),44447.66666666667)</f>
        <v>44447.66667</v>
      </c>
      <c r="T964" s="9">
        <f>IFERROR(__xludf.DUMMYFUNCTION("""COMPUTED_VALUE"""),377.57)</f>
        <v>377.57</v>
      </c>
      <c r="V964" s="11">
        <f>IFERROR(__xludf.DUMMYFUNCTION("""COMPUTED_VALUE"""),44447.66666666667)</f>
        <v>44447.66667</v>
      </c>
      <c r="W964" s="9">
        <f>IFERROR(__xludf.DUMMYFUNCTION("""COMPUTED_VALUE"""),603.84)</f>
        <v>603.84</v>
      </c>
      <c r="X964" s="11">
        <f>IFERROR(__xludf.DUMMYFUNCTION("""COMPUTED_VALUE"""),44447.66666666667)</f>
        <v>44447.66667</v>
      </c>
      <c r="Y964" s="9">
        <f>IFERROR(__xludf.DUMMYFUNCTION("""COMPUTED_VALUE"""),606.05)</f>
        <v>606.05</v>
      </c>
      <c r="AA964" s="11">
        <f>IFERROR(__xludf.DUMMYFUNCTION("""COMPUTED_VALUE"""),44447.66666666667)</f>
        <v>44447.66667</v>
      </c>
      <c r="AB964" s="9">
        <f>IFERROR(__xludf.DUMMYFUNCTION("""COMPUTED_VALUE"""),3511.65)</f>
        <v>3511.65</v>
      </c>
      <c r="AC964" s="11">
        <f>IFERROR(__xludf.DUMMYFUNCTION("""COMPUTED_VALUE"""),44447.66666666667)</f>
        <v>44447.66667</v>
      </c>
      <c r="AD964" s="9">
        <f>IFERROR(__xludf.DUMMYFUNCTION("""COMPUTED_VALUE"""),3525.5)</f>
        <v>3525.5</v>
      </c>
    </row>
    <row r="965">
      <c r="B965" s="11">
        <f>IFERROR(__xludf.DUMMYFUNCTION("""COMPUTED_VALUE"""),44448.66666666667)</f>
        <v>44448.66667</v>
      </c>
      <c r="C965" s="9">
        <f>IFERROR(__xludf.DUMMYFUNCTION("""COMPUTED_VALUE"""),753.41)</f>
        <v>753.41</v>
      </c>
      <c r="D965" s="11">
        <f>IFERROR(__xludf.DUMMYFUNCTION("""COMPUTED_VALUE"""),44448.66666666667)</f>
        <v>44448.66667</v>
      </c>
      <c r="E965" s="9">
        <f>IFERROR(__xludf.DUMMYFUNCTION("""COMPUTED_VALUE"""),754.86)</f>
        <v>754.86</v>
      </c>
      <c r="G965" s="11">
        <f>IFERROR(__xludf.DUMMYFUNCTION("""COMPUTED_VALUE"""),44448.66666666667)</f>
        <v>44448.66667</v>
      </c>
      <c r="H965" s="9">
        <f>IFERROR(__xludf.DUMMYFUNCTION("""COMPUTED_VALUE"""),2897.67)</f>
        <v>2897.67</v>
      </c>
      <c r="I965" s="11">
        <f>IFERROR(__xludf.DUMMYFUNCTION("""COMPUTED_VALUE"""),44448.66666666667)</f>
        <v>44448.66667</v>
      </c>
      <c r="J965" s="9">
        <f>IFERROR(__xludf.DUMMYFUNCTION("""COMPUTED_VALUE"""),2898.27)</f>
        <v>2898.27</v>
      </c>
      <c r="L965" s="11">
        <f>IFERROR(__xludf.DUMMYFUNCTION("""COMPUTED_VALUE"""),44448.66666666667)</f>
        <v>44448.66667</v>
      </c>
      <c r="M965" s="9">
        <f>IFERROR(__xludf.DUMMYFUNCTION("""COMPUTED_VALUE"""),155.49)</f>
        <v>155.49</v>
      </c>
      <c r="N965" s="11">
        <f>IFERROR(__xludf.DUMMYFUNCTION("""COMPUTED_VALUE"""),44448.66666666667)</f>
        <v>44448.66667</v>
      </c>
      <c r="O965" s="9">
        <f>IFERROR(__xludf.DUMMYFUNCTION("""COMPUTED_VALUE"""),154.07)</f>
        <v>154.07</v>
      </c>
      <c r="Q965" s="11">
        <f>IFERROR(__xludf.DUMMYFUNCTION("""COMPUTED_VALUE"""),44448.66666666667)</f>
        <v>44448.66667</v>
      </c>
      <c r="R965" s="9">
        <f>IFERROR(__xludf.DUMMYFUNCTION("""COMPUTED_VALUE"""),377.64)</f>
        <v>377.64</v>
      </c>
      <c r="S965" s="11">
        <f>IFERROR(__xludf.DUMMYFUNCTION("""COMPUTED_VALUE"""),44448.66666666667)</f>
        <v>44448.66667</v>
      </c>
      <c r="T965" s="9">
        <f>IFERROR(__xludf.DUMMYFUNCTION("""COMPUTED_VALUE"""),378.0)</f>
        <v>378</v>
      </c>
      <c r="V965" s="11">
        <f>IFERROR(__xludf.DUMMYFUNCTION("""COMPUTED_VALUE"""),44448.66666666667)</f>
        <v>44448.66667</v>
      </c>
      <c r="W965" s="9">
        <f>IFERROR(__xludf.DUMMYFUNCTION("""COMPUTED_VALUE"""),606.47)</f>
        <v>606.47</v>
      </c>
      <c r="X965" s="11">
        <f>IFERROR(__xludf.DUMMYFUNCTION("""COMPUTED_VALUE"""),44448.66666666667)</f>
        <v>44448.66667</v>
      </c>
      <c r="Y965" s="9">
        <f>IFERROR(__xludf.DUMMYFUNCTION("""COMPUTED_VALUE"""),597.54)</f>
        <v>597.54</v>
      </c>
      <c r="AA965" s="11">
        <f>IFERROR(__xludf.DUMMYFUNCTION("""COMPUTED_VALUE"""),44448.66666666667)</f>
        <v>44448.66667</v>
      </c>
      <c r="AB965" s="9">
        <f>IFERROR(__xludf.DUMMYFUNCTION("""COMPUTED_VALUE"""),3526.02)</f>
        <v>3526.02</v>
      </c>
      <c r="AC965" s="11">
        <f>IFERROR(__xludf.DUMMYFUNCTION("""COMPUTED_VALUE"""),44448.66666666667)</f>
        <v>44448.66667</v>
      </c>
      <c r="AD965" s="9">
        <f>IFERROR(__xludf.DUMMYFUNCTION("""COMPUTED_VALUE"""),3484.16)</f>
        <v>3484.16</v>
      </c>
    </row>
    <row r="966">
      <c r="B966" s="11">
        <f>IFERROR(__xludf.DUMMYFUNCTION("""COMPUTED_VALUE"""),44449.66666666667)</f>
        <v>44449.66667</v>
      </c>
      <c r="C966" s="9">
        <f>IFERROR(__xludf.DUMMYFUNCTION("""COMPUTED_VALUE"""),759.6)</f>
        <v>759.6</v>
      </c>
      <c r="D966" s="11">
        <f>IFERROR(__xludf.DUMMYFUNCTION("""COMPUTED_VALUE"""),44449.66666666667)</f>
        <v>44449.66667</v>
      </c>
      <c r="E966" s="9">
        <f>IFERROR(__xludf.DUMMYFUNCTION("""COMPUTED_VALUE"""),736.27)</f>
        <v>736.27</v>
      </c>
      <c r="G966" s="11">
        <f>IFERROR(__xludf.DUMMYFUNCTION("""COMPUTED_VALUE"""),44449.66666666667)</f>
        <v>44449.66667</v>
      </c>
      <c r="H966" s="9">
        <f>IFERROR(__xludf.DUMMYFUNCTION("""COMPUTED_VALUE"""),2908.87)</f>
        <v>2908.87</v>
      </c>
      <c r="I966" s="11">
        <f>IFERROR(__xludf.DUMMYFUNCTION("""COMPUTED_VALUE"""),44449.66666666667)</f>
        <v>44449.66667</v>
      </c>
      <c r="J966" s="9">
        <f>IFERROR(__xludf.DUMMYFUNCTION("""COMPUTED_VALUE"""),2838.42)</f>
        <v>2838.42</v>
      </c>
      <c r="L966" s="11">
        <f>IFERROR(__xludf.DUMMYFUNCTION("""COMPUTED_VALUE"""),44449.66666666667)</f>
        <v>44449.66667</v>
      </c>
      <c r="M966" s="9">
        <f>IFERROR(__xludf.DUMMYFUNCTION("""COMPUTED_VALUE"""),155.0)</f>
        <v>155</v>
      </c>
      <c r="N966" s="11">
        <f>IFERROR(__xludf.DUMMYFUNCTION("""COMPUTED_VALUE"""),44449.66666666667)</f>
        <v>44449.66667</v>
      </c>
      <c r="O966" s="9">
        <f>IFERROR(__xludf.DUMMYFUNCTION("""COMPUTED_VALUE"""),148.97)</f>
        <v>148.97</v>
      </c>
      <c r="Q966" s="11">
        <f>IFERROR(__xludf.DUMMYFUNCTION("""COMPUTED_VALUE"""),44449.66666666667)</f>
        <v>44449.66667</v>
      </c>
      <c r="R966" s="9">
        <f>IFERROR(__xludf.DUMMYFUNCTION("""COMPUTED_VALUE"""),381.36)</f>
        <v>381.36</v>
      </c>
      <c r="S966" s="11">
        <f>IFERROR(__xludf.DUMMYFUNCTION("""COMPUTED_VALUE"""),44449.66666666667)</f>
        <v>44449.66667</v>
      </c>
      <c r="T966" s="9">
        <f>IFERROR(__xludf.DUMMYFUNCTION("""COMPUTED_VALUE"""),378.69)</f>
        <v>378.69</v>
      </c>
      <c r="V966" s="11">
        <f>IFERROR(__xludf.DUMMYFUNCTION("""COMPUTED_VALUE"""),44449.66666666667)</f>
        <v>44449.66667</v>
      </c>
      <c r="W966" s="9">
        <f>IFERROR(__xludf.DUMMYFUNCTION("""COMPUTED_VALUE"""),598.16)</f>
        <v>598.16</v>
      </c>
      <c r="X966" s="11">
        <f>IFERROR(__xludf.DUMMYFUNCTION("""COMPUTED_VALUE"""),44449.66666666667)</f>
        <v>44449.66667</v>
      </c>
      <c r="Y966" s="9">
        <f>IFERROR(__xludf.DUMMYFUNCTION("""COMPUTED_VALUE"""),598.72)</f>
        <v>598.72</v>
      </c>
      <c r="AA966" s="11">
        <f>IFERROR(__xludf.DUMMYFUNCTION("""COMPUTED_VALUE"""),44449.66666666667)</f>
        <v>44449.66667</v>
      </c>
      <c r="AB966" s="9">
        <f>IFERROR(__xludf.DUMMYFUNCTION("""COMPUTED_VALUE"""),3501.83)</f>
        <v>3501.83</v>
      </c>
      <c r="AC966" s="11">
        <f>IFERROR(__xludf.DUMMYFUNCTION("""COMPUTED_VALUE"""),44449.66666666667)</f>
        <v>44449.66667</v>
      </c>
      <c r="AD966" s="9">
        <f>IFERROR(__xludf.DUMMYFUNCTION("""COMPUTED_VALUE"""),3469.15)</f>
        <v>3469.15</v>
      </c>
    </row>
    <row r="967">
      <c r="B967" s="11">
        <f>IFERROR(__xludf.DUMMYFUNCTION("""COMPUTED_VALUE"""),44452.66666666667)</f>
        <v>44452.66667</v>
      </c>
      <c r="C967" s="9">
        <f>IFERROR(__xludf.DUMMYFUNCTION("""COMPUTED_VALUE"""),740.21)</f>
        <v>740.21</v>
      </c>
      <c r="D967" s="11">
        <f>IFERROR(__xludf.DUMMYFUNCTION("""COMPUTED_VALUE"""),44452.66666666667)</f>
        <v>44452.66667</v>
      </c>
      <c r="E967" s="9">
        <f>IFERROR(__xludf.DUMMYFUNCTION("""COMPUTED_VALUE"""),743.0)</f>
        <v>743</v>
      </c>
      <c r="G967" s="11">
        <f>IFERROR(__xludf.DUMMYFUNCTION("""COMPUTED_VALUE"""),44452.66666666667)</f>
        <v>44452.66667</v>
      </c>
      <c r="H967" s="9">
        <f>IFERROR(__xludf.DUMMYFUNCTION("""COMPUTED_VALUE"""),2864.02)</f>
        <v>2864.02</v>
      </c>
      <c r="I967" s="11">
        <f>IFERROR(__xludf.DUMMYFUNCTION("""COMPUTED_VALUE"""),44452.66666666667)</f>
        <v>44452.66667</v>
      </c>
      <c r="J967" s="9">
        <f>IFERROR(__xludf.DUMMYFUNCTION("""COMPUTED_VALUE"""),2869.3)</f>
        <v>2869.3</v>
      </c>
      <c r="L967" s="11">
        <f>IFERROR(__xludf.DUMMYFUNCTION("""COMPUTED_VALUE"""),44452.66666666667)</f>
        <v>44452.66667</v>
      </c>
      <c r="M967" s="9">
        <f>IFERROR(__xludf.DUMMYFUNCTION("""COMPUTED_VALUE"""),150.63)</f>
        <v>150.63</v>
      </c>
      <c r="N967" s="11">
        <f>IFERROR(__xludf.DUMMYFUNCTION("""COMPUTED_VALUE"""),44452.66666666667)</f>
        <v>44452.66667</v>
      </c>
      <c r="O967" s="9">
        <f>IFERROR(__xludf.DUMMYFUNCTION("""COMPUTED_VALUE"""),149.55)</f>
        <v>149.55</v>
      </c>
      <c r="Q967" s="11">
        <f>IFERROR(__xludf.DUMMYFUNCTION("""COMPUTED_VALUE"""),44452.66666666667)</f>
        <v>44452.66667</v>
      </c>
      <c r="R967" s="9">
        <f>IFERROR(__xludf.DUMMYFUNCTION("""COMPUTED_VALUE"""),381.68)</f>
        <v>381.68</v>
      </c>
      <c r="S967" s="11">
        <f>IFERROR(__xludf.DUMMYFUNCTION("""COMPUTED_VALUE"""),44452.66666666667)</f>
        <v>44452.66667</v>
      </c>
      <c r="T967" s="9">
        <f>IFERROR(__xludf.DUMMYFUNCTION("""COMPUTED_VALUE"""),376.51)</f>
        <v>376.51</v>
      </c>
      <c r="V967" s="11">
        <f>IFERROR(__xludf.DUMMYFUNCTION("""COMPUTED_VALUE"""),44452.66666666667)</f>
        <v>44452.66667</v>
      </c>
      <c r="W967" s="9">
        <f>IFERROR(__xludf.DUMMYFUNCTION("""COMPUTED_VALUE"""),598.57)</f>
        <v>598.57</v>
      </c>
      <c r="X967" s="11">
        <f>IFERROR(__xludf.DUMMYFUNCTION("""COMPUTED_VALUE"""),44452.66666666667)</f>
        <v>44452.66667</v>
      </c>
      <c r="Y967" s="9">
        <f>IFERROR(__xludf.DUMMYFUNCTION("""COMPUTED_VALUE"""),589.29)</f>
        <v>589.29</v>
      </c>
      <c r="AA967" s="11">
        <f>IFERROR(__xludf.DUMMYFUNCTION("""COMPUTED_VALUE"""),44452.66666666667)</f>
        <v>44452.66667</v>
      </c>
      <c r="AB967" s="9">
        <f>IFERROR(__xludf.DUMMYFUNCTION("""COMPUTED_VALUE"""),3482.8)</f>
        <v>3482.8</v>
      </c>
      <c r="AC967" s="11">
        <f>IFERROR(__xludf.DUMMYFUNCTION("""COMPUTED_VALUE"""),44452.66666666667)</f>
        <v>44452.66667</v>
      </c>
      <c r="AD967" s="9">
        <f>IFERROR(__xludf.DUMMYFUNCTION("""COMPUTED_VALUE"""),3457.17)</f>
        <v>3457.17</v>
      </c>
    </row>
    <row r="968">
      <c r="B968" s="11">
        <f>IFERROR(__xludf.DUMMYFUNCTION("""COMPUTED_VALUE"""),44453.66666666667)</f>
        <v>44453.66667</v>
      </c>
      <c r="C968" s="9">
        <f>IFERROR(__xludf.DUMMYFUNCTION("""COMPUTED_VALUE"""),742.57)</f>
        <v>742.57</v>
      </c>
      <c r="D968" s="11">
        <f>IFERROR(__xludf.DUMMYFUNCTION("""COMPUTED_VALUE"""),44453.66666666667)</f>
        <v>44453.66667</v>
      </c>
      <c r="E968" s="9">
        <f>IFERROR(__xludf.DUMMYFUNCTION("""COMPUTED_VALUE"""),744.49)</f>
        <v>744.49</v>
      </c>
      <c r="G968" s="11">
        <f>IFERROR(__xludf.DUMMYFUNCTION("""COMPUTED_VALUE"""),44453.66666666667)</f>
        <v>44453.66667</v>
      </c>
      <c r="H968" s="9">
        <f>IFERROR(__xludf.DUMMYFUNCTION("""COMPUTED_VALUE"""),2883.22)</f>
        <v>2883.22</v>
      </c>
      <c r="I968" s="11">
        <f>IFERROR(__xludf.DUMMYFUNCTION("""COMPUTED_VALUE"""),44453.66666666667)</f>
        <v>44453.66667</v>
      </c>
      <c r="J968" s="9">
        <f>IFERROR(__xludf.DUMMYFUNCTION("""COMPUTED_VALUE"""),2868.12)</f>
        <v>2868.12</v>
      </c>
      <c r="L968" s="11">
        <f>IFERROR(__xludf.DUMMYFUNCTION("""COMPUTED_VALUE"""),44453.66666666667)</f>
        <v>44453.66667</v>
      </c>
      <c r="M968" s="9">
        <f>IFERROR(__xludf.DUMMYFUNCTION("""COMPUTED_VALUE"""),150.35)</f>
        <v>150.35</v>
      </c>
      <c r="N968" s="11">
        <f>IFERROR(__xludf.DUMMYFUNCTION("""COMPUTED_VALUE"""),44453.66666666667)</f>
        <v>44453.66667</v>
      </c>
      <c r="O968" s="9">
        <f>IFERROR(__xludf.DUMMYFUNCTION("""COMPUTED_VALUE"""),148.12)</f>
        <v>148.12</v>
      </c>
      <c r="Q968" s="11">
        <f>IFERROR(__xludf.DUMMYFUNCTION("""COMPUTED_VALUE"""),44453.66666666667)</f>
        <v>44453.66667</v>
      </c>
      <c r="R968" s="9">
        <f>IFERROR(__xludf.DUMMYFUNCTION("""COMPUTED_VALUE"""),377.4)</f>
        <v>377.4</v>
      </c>
      <c r="S968" s="11">
        <f>IFERROR(__xludf.DUMMYFUNCTION("""COMPUTED_VALUE"""),44453.66666666667)</f>
        <v>44453.66667</v>
      </c>
      <c r="T968" s="9">
        <f>IFERROR(__xludf.DUMMYFUNCTION("""COMPUTED_VALUE"""),376.53)</f>
        <v>376.53</v>
      </c>
      <c r="V968" s="11">
        <f>IFERROR(__xludf.DUMMYFUNCTION("""COMPUTED_VALUE"""),44453.66666666667)</f>
        <v>44453.66667</v>
      </c>
      <c r="W968" s="9">
        <f>IFERROR(__xludf.DUMMYFUNCTION("""COMPUTED_VALUE"""),584.89)</f>
        <v>584.89</v>
      </c>
      <c r="X968" s="11">
        <f>IFERROR(__xludf.DUMMYFUNCTION("""COMPUTED_VALUE"""),44453.66666666667)</f>
        <v>44453.66667</v>
      </c>
      <c r="Y968" s="9">
        <f>IFERROR(__xludf.DUMMYFUNCTION("""COMPUTED_VALUE"""),577.76)</f>
        <v>577.76</v>
      </c>
      <c r="AA968" s="11">
        <f>IFERROR(__xludf.DUMMYFUNCTION("""COMPUTED_VALUE"""),44453.66666666667)</f>
        <v>44453.66667</v>
      </c>
      <c r="AB968" s="9">
        <f>IFERROR(__xludf.DUMMYFUNCTION("""COMPUTED_VALUE"""),3475.55)</f>
        <v>3475.55</v>
      </c>
      <c r="AC968" s="11">
        <f>IFERROR(__xludf.DUMMYFUNCTION("""COMPUTED_VALUE"""),44453.66666666667)</f>
        <v>44453.66667</v>
      </c>
      <c r="AD968" s="9">
        <f>IFERROR(__xludf.DUMMYFUNCTION("""COMPUTED_VALUE"""),3450.0)</f>
        <v>3450</v>
      </c>
    </row>
    <row r="969">
      <c r="B969" s="11">
        <f>IFERROR(__xludf.DUMMYFUNCTION("""COMPUTED_VALUE"""),44454.66666666667)</f>
        <v>44454.66667</v>
      </c>
      <c r="C969" s="9">
        <f>IFERROR(__xludf.DUMMYFUNCTION("""COMPUTED_VALUE"""),745.0)</f>
        <v>745</v>
      </c>
      <c r="D969" s="11">
        <f>IFERROR(__xludf.DUMMYFUNCTION("""COMPUTED_VALUE"""),44454.66666666667)</f>
        <v>44454.66667</v>
      </c>
      <c r="E969" s="9">
        <f>IFERROR(__xludf.DUMMYFUNCTION("""COMPUTED_VALUE"""),755.83)</f>
        <v>755.83</v>
      </c>
      <c r="G969" s="11">
        <f>IFERROR(__xludf.DUMMYFUNCTION("""COMPUTED_VALUE"""),44454.66666666667)</f>
        <v>44454.66667</v>
      </c>
      <c r="H969" s="9">
        <f>IFERROR(__xludf.DUMMYFUNCTION("""COMPUTED_VALUE"""),2875.18)</f>
        <v>2875.18</v>
      </c>
      <c r="I969" s="11">
        <f>IFERROR(__xludf.DUMMYFUNCTION("""COMPUTED_VALUE"""),44454.66666666667)</f>
        <v>44454.66667</v>
      </c>
      <c r="J969" s="9">
        <f>IFERROR(__xludf.DUMMYFUNCTION("""COMPUTED_VALUE"""),2904.12)</f>
        <v>2904.12</v>
      </c>
      <c r="L969" s="11">
        <f>IFERROR(__xludf.DUMMYFUNCTION("""COMPUTED_VALUE"""),44454.66666666667)</f>
        <v>44454.66667</v>
      </c>
      <c r="M969" s="9">
        <f>IFERROR(__xludf.DUMMYFUNCTION("""COMPUTED_VALUE"""),148.56)</f>
        <v>148.56</v>
      </c>
      <c r="N969" s="11">
        <f>IFERROR(__xludf.DUMMYFUNCTION("""COMPUTED_VALUE"""),44454.66666666667)</f>
        <v>44454.66667</v>
      </c>
      <c r="O969" s="9">
        <f>IFERROR(__xludf.DUMMYFUNCTION("""COMPUTED_VALUE"""),149.03)</f>
        <v>149.03</v>
      </c>
      <c r="Q969" s="11">
        <f>IFERROR(__xludf.DUMMYFUNCTION("""COMPUTED_VALUE"""),44454.66666666667)</f>
        <v>44454.66667</v>
      </c>
      <c r="R969" s="9">
        <f>IFERROR(__xludf.DUMMYFUNCTION("""COMPUTED_VALUE"""),377.0)</f>
        <v>377</v>
      </c>
      <c r="S969" s="11">
        <f>IFERROR(__xludf.DUMMYFUNCTION("""COMPUTED_VALUE"""),44454.66666666667)</f>
        <v>44454.66667</v>
      </c>
      <c r="T969" s="9">
        <f>IFERROR(__xludf.DUMMYFUNCTION("""COMPUTED_VALUE"""),373.92)</f>
        <v>373.92</v>
      </c>
      <c r="V969" s="11">
        <f>IFERROR(__xludf.DUMMYFUNCTION("""COMPUTED_VALUE"""),44454.66666666667)</f>
        <v>44454.66667</v>
      </c>
      <c r="W969" s="9">
        <f>IFERROR(__xludf.DUMMYFUNCTION("""COMPUTED_VALUE"""),578.17)</f>
        <v>578.17</v>
      </c>
      <c r="X969" s="11">
        <f>IFERROR(__xludf.DUMMYFUNCTION("""COMPUTED_VALUE"""),44454.66666666667)</f>
        <v>44454.66667</v>
      </c>
      <c r="Y969" s="9">
        <f>IFERROR(__xludf.DUMMYFUNCTION("""COMPUTED_VALUE"""),582.87)</f>
        <v>582.87</v>
      </c>
      <c r="AA969" s="11">
        <f>IFERROR(__xludf.DUMMYFUNCTION("""COMPUTED_VALUE"""),44454.66666666667)</f>
        <v>44454.66667</v>
      </c>
      <c r="AB969" s="9">
        <f>IFERROR(__xludf.DUMMYFUNCTION("""COMPUTED_VALUE"""),3442.52)</f>
        <v>3442.52</v>
      </c>
      <c r="AC969" s="11">
        <f>IFERROR(__xludf.DUMMYFUNCTION("""COMPUTED_VALUE"""),44454.66666666667)</f>
        <v>44454.66667</v>
      </c>
      <c r="AD969" s="9">
        <f>IFERROR(__xludf.DUMMYFUNCTION("""COMPUTED_VALUE"""),3475.79)</f>
        <v>3475.79</v>
      </c>
    </row>
    <row r="970">
      <c r="B970" s="11">
        <f>IFERROR(__xludf.DUMMYFUNCTION("""COMPUTED_VALUE"""),44455.66666666667)</f>
        <v>44455.66667</v>
      </c>
      <c r="C970" s="9">
        <f>IFERROR(__xludf.DUMMYFUNCTION("""COMPUTED_VALUE"""),752.83)</f>
        <v>752.83</v>
      </c>
      <c r="D970" s="11">
        <f>IFERROR(__xludf.DUMMYFUNCTION("""COMPUTED_VALUE"""),44455.66666666667)</f>
        <v>44455.66667</v>
      </c>
      <c r="E970" s="9">
        <f>IFERROR(__xludf.DUMMYFUNCTION("""COMPUTED_VALUE"""),756.99)</f>
        <v>756.99</v>
      </c>
      <c r="G970" s="11">
        <f>IFERROR(__xludf.DUMMYFUNCTION("""COMPUTED_VALUE"""),44455.66666666667)</f>
        <v>44455.66667</v>
      </c>
      <c r="H970" s="9">
        <f>IFERROR(__xludf.DUMMYFUNCTION("""COMPUTED_VALUE"""),2902.42)</f>
        <v>2902.42</v>
      </c>
      <c r="I970" s="11">
        <f>IFERROR(__xludf.DUMMYFUNCTION("""COMPUTED_VALUE"""),44455.66666666667)</f>
        <v>44455.66667</v>
      </c>
      <c r="J970" s="9">
        <f>IFERROR(__xludf.DUMMYFUNCTION("""COMPUTED_VALUE"""),2887.47)</f>
        <v>2887.47</v>
      </c>
      <c r="L970" s="11">
        <f>IFERROR(__xludf.DUMMYFUNCTION("""COMPUTED_VALUE"""),44455.66666666667)</f>
        <v>44455.66667</v>
      </c>
      <c r="M970" s="9">
        <f>IFERROR(__xludf.DUMMYFUNCTION("""COMPUTED_VALUE"""),148.44)</f>
        <v>148.44</v>
      </c>
      <c r="N970" s="11">
        <f>IFERROR(__xludf.DUMMYFUNCTION("""COMPUTED_VALUE"""),44455.66666666667)</f>
        <v>44455.66667</v>
      </c>
      <c r="O970" s="9">
        <f>IFERROR(__xludf.DUMMYFUNCTION("""COMPUTED_VALUE"""),148.79)</f>
        <v>148.79</v>
      </c>
      <c r="Q970" s="11">
        <f>IFERROR(__xludf.DUMMYFUNCTION("""COMPUTED_VALUE"""),44455.66666666667)</f>
        <v>44455.66667</v>
      </c>
      <c r="R970" s="9">
        <f>IFERROR(__xludf.DUMMYFUNCTION("""COMPUTED_VALUE"""),372.79)</f>
        <v>372.79</v>
      </c>
      <c r="S970" s="11">
        <f>IFERROR(__xludf.DUMMYFUNCTION("""COMPUTED_VALUE"""),44455.66666666667)</f>
        <v>44455.66667</v>
      </c>
      <c r="T970" s="9">
        <f>IFERROR(__xludf.DUMMYFUNCTION("""COMPUTED_VALUE"""),373.06)</f>
        <v>373.06</v>
      </c>
      <c r="V970" s="11">
        <f>IFERROR(__xludf.DUMMYFUNCTION("""COMPUTED_VALUE"""),44455.66666666667)</f>
        <v>44455.66667</v>
      </c>
      <c r="W970" s="9">
        <f>IFERROR(__xludf.DUMMYFUNCTION("""COMPUTED_VALUE"""),584.3)</f>
        <v>584.3</v>
      </c>
      <c r="X970" s="11">
        <f>IFERROR(__xludf.DUMMYFUNCTION("""COMPUTED_VALUE"""),44455.66666666667)</f>
        <v>44455.66667</v>
      </c>
      <c r="Y970" s="9">
        <f>IFERROR(__xludf.DUMMYFUNCTION("""COMPUTED_VALUE"""),586.5)</f>
        <v>586.5</v>
      </c>
      <c r="AA970" s="11">
        <f>IFERROR(__xludf.DUMMYFUNCTION("""COMPUTED_VALUE"""),44455.66666666667)</f>
        <v>44455.66667</v>
      </c>
      <c r="AB970" s="9">
        <f>IFERROR(__xludf.DUMMYFUNCTION("""COMPUTED_VALUE"""),3459.96)</f>
        <v>3459.96</v>
      </c>
      <c r="AC970" s="11">
        <f>IFERROR(__xludf.DUMMYFUNCTION("""COMPUTED_VALUE"""),44455.66666666667)</f>
        <v>44455.66667</v>
      </c>
      <c r="AD970" s="9">
        <f>IFERROR(__xludf.DUMMYFUNCTION("""COMPUTED_VALUE"""),3488.24)</f>
        <v>3488.24</v>
      </c>
    </row>
    <row r="971">
      <c r="B971" s="11">
        <f>IFERROR(__xludf.DUMMYFUNCTION("""COMPUTED_VALUE"""),44456.66666666667)</f>
        <v>44456.66667</v>
      </c>
      <c r="C971" s="9">
        <f>IFERROR(__xludf.DUMMYFUNCTION("""COMPUTED_VALUE"""),757.15)</f>
        <v>757.15</v>
      </c>
      <c r="D971" s="11">
        <f>IFERROR(__xludf.DUMMYFUNCTION("""COMPUTED_VALUE"""),44456.66666666667)</f>
        <v>44456.66667</v>
      </c>
      <c r="E971" s="9">
        <f>IFERROR(__xludf.DUMMYFUNCTION("""COMPUTED_VALUE"""),759.49)</f>
        <v>759.49</v>
      </c>
      <c r="G971" s="11">
        <f>IFERROR(__xludf.DUMMYFUNCTION("""COMPUTED_VALUE"""),44456.66666666667)</f>
        <v>44456.66667</v>
      </c>
      <c r="H971" s="9">
        <f>IFERROR(__xludf.DUMMYFUNCTION("""COMPUTED_VALUE"""),2875.97)</f>
        <v>2875.97</v>
      </c>
      <c r="I971" s="11">
        <f>IFERROR(__xludf.DUMMYFUNCTION("""COMPUTED_VALUE"""),44456.66666666667)</f>
        <v>44456.66667</v>
      </c>
      <c r="J971" s="9">
        <f>IFERROR(__xludf.DUMMYFUNCTION("""COMPUTED_VALUE"""),2829.27)</f>
        <v>2829.27</v>
      </c>
      <c r="L971" s="11">
        <f>IFERROR(__xludf.DUMMYFUNCTION("""COMPUTED_VALUE"""),44456.66666666667)</f>
        <v>44456.66667</v>
      </c>
      <c r="M971" s="9">
        <f>IFERROR(__xludf.DUMMYFUNCTION("""COMPUTED_VALUE"""),148.82)</f>
        <v>148.82</v>
      </c>
      <c r="N971" s="11">
        <f>IFERROR(__xludf.DUMMYFUNCTION("""COMPUTED_VALUE"""),44456.66666666667)</f>
        <v>44456.66667</v>
      </c>
      <c r="O971" s="9">
        <f>IFERROR(__xludf.DUMMYFUNCTION("""COMPUTED_VALUE"""),146.06)</f>
        <v>146.06</v>
      </c>
      <c r="Q971" s="11">
        <f>IFERROR(__xludf.DUMMYFUNCTION("""COMPUTED_VALUE"""),44456.66666666667)</f>
        <v>44456.66667</v>
      </c>
      <c r="R971" s="9">
        <f>IFERROR(__xludf.DUMMYFUNCTION("""COMPUTED_VALUE"""),371.41)</f>
        <v>371.41</v>
      </c>
      <c r="S971" s="11">
        <f>IFERROR(__xludf.DUMMYFUNCTION("""COMPUTED_VALUE"""),44456.66666666667)</f>
        <v>44456.66667</v>
      </c>
      <c r="T971" s="9">
        <f>IFERROR(__xludf.DUMMYFUNCTION("""COMPUTED_VALUE"""),364.72)</f>
        <v>364.72</v>
      </c>
      <c r="V971" s="11">
        <f>IFERROR(__xludf.DUMMYFUNCTION("""COMPUTED_VALUE"""),44456.66666666667)</f>
        <v>44456.66667</v>
      </c>
      <c r="W971" s="9">
        <f>IFERROR(__xludf.DUMMYFUNCTION("""COMPUTED_VALUE"""),587.85)</f>
        <v>587.85</v>
      </c>
      <c r="X971" s="11">
        <f>IFERROR(__xludf.DUMMYFUNCTION("""COMPUTED_VALUE"""),44456.66666666667)</f>
        <v>44456.66667</v>
      </c>
      <c r="Y971" s="9">
        <f>IFERROR(__xludf.DUMMYFUNCTION("""COMPUTED_VALUE"""),589.35)</f>
        <v>589.35</v>
      </c>
      <c r="AA971" s="11">
        <f>IFERROR(__xludf.DUMMYFUNCTION("""COMPUTED_VALUE"""),44456.66666666667)</f>
        <v>44456.66667</v>
      </c>
      <c r="AB971" s="9">
        <f>IFERROR(__xludf.DUMMYFUNCTION("""COMPUTED_VALUE"""),3488.41)</f>
        <v>3488.41</v>
      </c>
      <c r="AC971" s="11">
        <f>IFERROR(__xludf.DUMMYFUNCTION("""COMPUTED_VALUE"""),44456.66666666667)</f>
        <v>44456.66667</v>
      </c>
      <c r="AD971" s="9">
        <f>IFERROR(__xludf.DUMMYFUNCTION("""COMPUTED_VALUE"""),3462.52)</f>
        <v>3462.52</v>
      </c>
    </row>
    <row r="972">
      <c r="B972" s="11">
        <f>IFERROR(__xludf.DUMMYFUNCTION("""COMPUTED_VALUE"""),44459.66666666667)</f>
        <v>44459.66667</v>
      </c>
      <c r="C972" s="9">
        <f>IFERROR(__xludf.DUMMYFUNCTION("""COMPUTED_VALUE"""),734.56)</f>
        <v>734.56</v>
      </c>
      <c r="D972" s="11">
        <f>IFERROR(__xludf.DUMMYFUNCTION("""COMPUTED_VALUE"""),44459.66666666667)</f>
        <v>44459.66667</v>
      </c>
      <c r="E972" s="9">
        <f>IFERROR(__xludf.DUMMYFUNCTION("""COMPUTED_VALUE"""),730.17)</f>
        <v>730.17</v>
      </c>
      <c r="G972" s="11">
        <f>IFERROR(__xludf.DUMMYFUNCTION("""COMPUTED_VALUE"""),44459.66666666667)</f>
        <v>44459.66667</v>
      </c>
      <c r="H972" s="9">
        <f>IFERROR(__xludf.DUMMYFUNCTION("""COMPUTED_VALUE"""),2780.0)</f>
        <v>2780</v>
      </c>
      <c r="I972" s="11">
        <f>IFERROR(__xludf.DUMMYFUNCTION("""COMPUTED_VALUE"""),44459.66666666667)</f>
        <v>44459.66667</v>
      </c>
      <c r="J972" s="9">
        <f>IFERROR(__xludf.DUMMYFUNCTION("""COMPUTED_VALUE"""),2780.34)</f>
        <v>2780.34</v>
      </c>
      <c r="L972" s="11">
        <f>IFERROR(__xludf.DUMMYFUNCTION("""COMPUTED_VALUE"""),44459.66666666667)</f>
        <v>44459.66667</v>
      </c>
      <c r="M972" s="9">
        <f>IFERROR(__xludf.DUMMYFUNCTION("""COMPUTED_VALUE"""),143.8)</f>
        <v>143.8</v>
      </c>
      <c r="N972" s="11">
        <f>IFERROR(__xludf.DUMMYFUNCTION("""COMPUTED_VALUE"""),44459.66666666667)</f>
        <v>44459.66667</v>
      </c>
      <c r="O972" s="9">
        <f>IFERROR(__xludf.DUMMYFUNCTION("""COMPUTED_VALUE"""),142.94)</f>
        <v>142.94</v>
      </c>
      <c r="Q972" s="11">
        <f>IFERROR(__xludf.DUMMYFUNCTION("""COMPUTED_VALUE"""),44459.66666666667)</f>
        <v>44459.66667</v>
      </c>
      <c r="R972" s="9">
        <f>IFERROR(__xludf.DUMMYFUNCTION("""COMPUTED_VALUE"""),359.3)</f>
        <v>359.3</v>
      </c>
      <c r="S972" s="11">
        <f>IFERROR(__xludf.DUMMYFUNCTION("""COMPUTED_VALUE"""),44459.66666666667)</f>
        <v>44459.66667</v>
      </c>
      <c r="T972" s="9">
        <f>IFERROR(__xludf.DUMMYFUNCTION("""COMPUTED_VALUE"""),355.7)</f>
        <v>355.7</v>
      </c>
      <c r="V972" s="11">
        <f>IFERROR(__xludf.DUMMYFUNCTION("""COMPUTED_VALUE"""),44459.66666666667)</f>
        <v>44459.66667</v>
      </c>
      <c r="W972" s="9">
        <f>IFERROR(__xludf.DUMMYFUNCTION("""COMPUTED_VALUE"""),586.79)</f>
        <v>586.79</v>
      </c>
      <c r="X972" s="11">
        <f>IFERROR(__xludf.DUMMYFUNCTION("""COMPUTED_VALUE"""),44459.66666666667)</f>
        <v>44459.66667</v>
      </c>
      <c r="Y972" s="9">
        <f>IFERROR(__xludf.DUMMYFUNCTION("""COMPUTED_VALUE"""),575.43)</f>
        <v>575.43</v>
      </c>
      <c r="AA972" s="11">
        <f>IFERROR(__xludf.DUMMYFUNCTION("""COMPUTED_VALUE"""),44459.66666666667)</f>
        <v>44459.66667</v>
      </c>
      <c r="AB972" s="9">
        <f>IFERROR(__xludf.DUMMYFUNCTION("""COMPUTED_VALUE"""),3396.0)</f>
        <v>3396</v>
      </c>
      <c r="AC972" s="11">
        <f>IFERROR(__xludf.DUMMYFUNCTION("""COMPUTED_VALUE"""),44459.66666666667)</f>
        <v>44459.66667</v>
      </c>
      <c r="AD972" s="9">
        <f>IFERROR(__xludf.DUMMYFUNCTION("""COMPUTED_VALUE"""),3355.73)</f>
        <v>3355.73</v>
      </c>
    </row>
    <row r="973">
      <c r="B973" s="11">
        <f>IFERROR(__xludf.DUMMYFUNCTION("""COMPUTED_VALUE"""),44460.66666666667)</f>
        <v>44460.66667</v>
      </c>
      <c r="C973" s="9">
        <f>IFERROR(__xludf.DUMMYFUNCTION("""COMPUTED_VALUE"""),734.79)</f>
        <v>734.79</v>
      </c>
      <c r="D973" s="11">
        <f>IFERROR(__xludf.DUMMYFUNCTION("""COMPUTED_VALUE"""),44460.66666666667)</f>
        <v>44460.66667</v>
      </c>
      <c r="E973" s="9">
        <f>IFERROR(__xludf.DUMMYFUNCTION("""COMPUTED_VALUE"""),739.38)</f>
        <v>739.38</v>
      </c>
      <c r="G973" s="11">
        <f>IFERROR(__xludf.DUMMYFUNCTION("""COMPUTED_VALUE"""),44460.66666666667)</f>
        <v>44460.66667</v>
      </c>
      <c r="H973" s="9">
        <f>IFERROR(__xludf.DUMMYFUNCTION("""COMPUTED_VALUE"""),2802.34)</f>
        <v>2802.34</v>
      </c>
      <c r="I973" s="11">
        <f>IFERROR(__xludf.DUMMYFUNCTION("""COMPUTED_VALUE"""),44460.66666666667)</f>
        <v>44460.66667</v>
      </c>
      <c r="J973" s="9">
        <f>IFERROR(__xludf.DUMMYFUNCTION("""COMPUTED_VALUE"""),2792.93)</f>
        <v>2792.93</v>
      </c>
      <c r="L973" s="11">
        <f>IFERROR(__xludf.DUMMYFUNCTION("""COMPUTED_VALUE"""),44460.66666666667)</f>
        <v>44460.66667</v>
      </c>
      <c r="M973" s="9">
        <f>IFERROR(__xludf.DUMMYFUNCTION("""COMPUTED_VALUE"""),143.93)</f>
        <v>143.93</v>
      </c>
      <c r="N973" s="11">
        <f>IFERROR(__xludf.DUMMYFUNCTION("""COMPUTED_VALUE"""),44460.66666666667)</f>
        <v>44460.66667</v>
      </c>
      <c r="O973" s="9">
        <f>IFERROR(__xludf.DUMMYFUNCTION("""COMPUTED_VALUE"""),143.43)</f>
        <v>143.43</v>
      </c>
      <c r="Q973" s="11">
        <f>IFERROR(__xludf.DUMMYFUNCTION("""COMPUTED_VALUE"""),44460.66666666667)</f>
        <v>44460.66667</v>
      </c>
      <c r="R973" s="9">
        <f>IFERROR(__xludf.DUMMYFUNCTION("""COMPUTED_VALUE"""),358.5)</f>
        <v>358.5</v>
      </c>
      <c r="S973" s="11">
        <f>IFERROR(__xludf.DUMMYFUNCTION("""COMPUTED_VALUE"""),44460.66666666667)</f>
        <v>44460.66667</v>
      </c>
      <c r="T973" s="9">
        <f>IFERROR(__xludf.DUMMYFUNCTION("""COMPUTED_VALUE"""),357.48)</f>
        <v>357.48</v>
      </c>
      <c r="V973" s="11">
        <f>IFERROR(__xludf.DUMMYFUNCTION("""COMPUTED_VALUE"""),44460.66666666667)</f>
        <v>44460.66667</v>
      </c>
      <c r="W973" s="9">
        <f>IFERROR(__xludf.DUMMYFUNCTION("""COMPUTED_VALUE"""),578.31)</f>
        <v>578.31</v>
      </c>
      <c r="X973" s="11">
        <f>IFERROR(__xludf.DUMMYFUNCTION("""COMPUTED_VALUE"""),44460.66666666667)</f>
        <v>44460.66667</v>
      </c>
      <c r="Y973" s="9">
        <f>IFERROR(__xludf.DUMMYFUNCTION("""COMPUTED_VALUE"""),573.14)</f>
        <v>573.14</v>
      </c>
      <c r="AA973" s="11">
        <f>IFERROR(__xludf.DUMMYFUNCTION("""COMPUTED_VALUE"""),44460.66666666667)</f>
        <v>44460.66667</v>
      </c>
      <c r="AB973" s="9">
        <f>IFERROR(__xludf.DUMMYFUNCTION("""COMPUTED_VALUE"""),3375.0)</f>
        <v>3375</v>
      </c>
      <c r="AC973" s="11">
        <f>IFERROR(__xludf.DUMMYFUNCTION("""COMPUTED_VALUE"""),44460.66666666667)</f>
        <v>44460.66667</v>
      </c>
      <c r="AD973" s="9">
        <f>IFERROR(__xludf.DUMMYFUNCTION("""COMPUTED_VALUE"""),3343.63)</f>
        <v>3343.63</v>
      </c>
    </row>
    <row r="974">
      <c r="B974" s="11">
        <f>IFERROR(__xludf.DUMMYFUNCTION("""COMPUTED_VALUE"""),44461.66666666667)</f>
        <v>44461.66667</v>
      </c>
      <c r="C974" s="9">
        <f>IFERROR(__xludf.DUMMYFUNCTION("""COMPUTED_VALUE"""),743.53)</f>
        <v>743.53</v>
      </c>
      <c r="D974" s="11">
        <f>IFERROR(__xludf.DUMMYFUNCTION("""COMPUTED_VALUE"""),44461.66666666667)</f>
        <v>44461.66667</v>
      </c>
      <c r="E974" s="9">
        <f>IFERROR(__xludf.DUMMYFUNCTION("""COMPUTED_VALUE"""),751.94)</f>
        <v>751.94</v>
      </c>
      <c r="G974" s="11">
        <f>IFERROR(__xludf.DUMMYFUNCTION("""COMPUTED_VALUE"""),44461.66666666667)</f>
        <v>44461.66667</v>
      </c>
      <c r="H974" s="9">
        <f>IFERROR(__xludf.DUMMYFUNCTION("""COMPUTED_VALUE"""),2801.01)</f>
        <v>2801.01</v>
      </c>
      <c r="I974" s="11">
        <f>IFERROR(__xludf.DUMMYFUNCTION("""COMPUTED_VALUE"""),44461.66666666667)</f>
        <v>44461.66667</v>
      </c>
      <c r="J974" s="9">
        <f>IFERROR(__xludf.DUMMYFUNCTION("""COMPUTED_VALUE"""),2818.77)</f>
        <v>2818.77</v>
      </c>
      <c r="L974" s="11">
        <f>IFERROR(__xludf.DUMMYFUNCTION("""COMPUTED_VALUE"""),44461.66666666667)</f>
        <v>44461.66667</v>
      </c>
      <c r="M974" s="9">
        <f>IFERROR(__xludf.DUMMYFUNCTION("""COMPUTED_VALUE"""),144.45)</f>
        <v>144.45</v>
      </c>
      <c r="N974" s="11">
        <f>IFERROR(__xludf.DUMMYFUNCTION("""COMPUTED_VALUE"""),44461.66666666667)</f>
        <v>44461.66667</v>
      </c>
      <c r="O974" s="9">
        <f>IFERROR(__xludf.DUMMYFUNCTION("""COMPUTED_VALUE"""),145.85)</f>
        <v>145.85</v>
      </c>
      <c r="Q974" s="11">
        <f>IFERROR(__xludf.DUMMYFUNCTION("""COMPUTED_VALUE"""),44461.66666666667)</f>
        <v>44461.66667</v>
      </c>
      <c r="R974" s="9">
        <f>IFERROR(__xludf.DUMMYFUNCTION("""COMPUTED_VALUE"""),347.23)</f>
        <v>347.23</v>
      </c>
      <c r="S974" s="11">
        <f>IFERROR(__xludf.DUMMYFUNCTION("""COMPUTED_VALUE"""),44461.66666666667)</f>
        <v>44461.66667</v>
      </c>
      <c r="T974" s="9">
        <f>IFERROR(__xludf.DUMMYFUNCTION("""COMPUTED_VALUE"""),343.21)</f>
        <v>343.21</v>
      </c>
      <c r="V974" s="11">
        <f>IFERROR(__xludf.DUMMYFUNCTION("""COMPUTED_VALUE"""),44461.66666666667)</f>
        <v>44461.66667</v>
      </c>
      <c r="W974" s="9">
        <f>IFERROR(__xludf.DUMMYFUNCTION("""COMPUTED_VALUE"""),579.69)</f>
        <v>579.69</v>
      </c>
      <c r="X974" s="11">
        <f>IFERROR(__xludf.DUMMYFUNCTION("""COMPUTED_VALUE"""),44461.66666666667)</f>
        <v>44461.66667</v>
      </c>
      <c r="Y974" s="9">
        <f>IFERROR(__xludf.DUMMYFUNCTION("""COMPUTED_VALUE"""),590.65)</f>
        <v>590.65</v>
      </c>
      <c r="AA974" s="11">
        <f>IFERROR(__xludf.DUMMYFUNCTION("""COMPUTED_VALUE"""),44461.66666666667)</f>
        <v>44461.66667</v>
      </c>
      <c r="AB974" s="9">
        <f>IFERROR(__xludf.DUMMYFUNCTION("""COMPUTED_VALUE"""),3351.0)</f>
        <v>3351</v>
      </c>
      <c r="AC974" s="11">
        <f>IFERROR(__xludf.DUMMYFUNCTION("""COMPUTED_VALUE"""),44461.66666666667)</f>
        <v>44461.66667</v>
      </c>
      <c r="AD974" s="9">
        <f>IFERROR(__xludf.DUMMYFUNCTION("""COMPUTED_VALUE"""),3380.05)</f>
        <v>3380.05</v>
      </c>
    </row>
    <row r="975">
      <c r="B975" s="11">
        <f>IFERROR(__xludf.DUMMYFUNCTION("""COMPUTED_VALUE"""),44462.66666666667)</f>
        <v>44462.66667</v>
      </c>
      <c r="C975" s="9">
        <f>IFERROR(__xludf.DUMMYFUNCTION("""COMPUTED_VALUE"""),755.0)</f>
        <v>755</v>
      </c>
      <c r="D975" s="11">
        <f>IFERROR(__xludf.DUMMYFUNCTION("""COMPUTED_VALUE"""),44462.66666666667)</f>
        <v>44462.66667</v>
      </c>
      <c r="E975" s="9">
        <f>IFERROR(__xludf.DUMMYFUNCTION("""COMPUTED_VALUE"""),753.64)</f>
        <v>753.64</v>
      </c>
      <c r="G975" s="11">
        <f>IFERROR(__xludf.DUMMYFUNCTION("""COMPUTED_VALUE"""),44462.66666666667)</f>
        <v>44462.66667</v>
      </c>
      <c r="H975" s="9">
        <f>IFERROR(__xludf.DUMMYFUNCTION("""COMPUTED_VALUE"""),2832.19)</f>
        <v>2832.19</v>
      </c>
      <c r="I975" s="11">
        <f>IFERROR(__xludf.DUMMYFUNCTION("""COMPUTED_VALUE"""),44462.66666666667)</f>
        <v>44462.66667</v>
      </c>
      <c r="J975" s="9">
        <f>IFERROR(__xludf.DUMMYFUNCTION("""COMPUTED_VALUE"""),2836.53)</f>
        <v>2836.53</v>
      </c>
      <c r="L975" s="11">
        <f>IFERROR(__xludf.DUMMYFUNCTION("""COMPUTED_VALUE"""),44462.66666666667)</f>
        <v>44462.66667</v>
      </c>
      <c r="M975" s="9">
        <f>IFERROR(__xludf.DUMMYFUNCTION("""COMPUTED_VALUE"""),146.65)</f>
        <v>146.65</v>
      </c>
      <c r="N975" s="11">
        <f>IFERROR(__xludf.DUMMYFUNCTION("""COMPUTED_VALUE"""),44462.66666666667)</f>
        <v>44462.66667</v>
      </c>
      <c r="O975" s="9">
        <f>IFERROR(__xludf.DUMMYFUNCTION("""COMPUTED_VALUE"""),146.83)</f>
        <v>146.83</v>
      </c>
      <c r="Q975" s="11">
        <f>IFERROR(__xludf.DUMMYFUNCTION("""COMPUTED_VALUE"""),44462.66666666667)</f>
        <v>44462.66667</v>
      </c>
      <c r="R975" s="9">
        <f>IFERROR(__xludf.DUMMYFUNCTION("""COMPUTED_VALUE"""),345.36)</f>
        <v>345.36</v>
      </c>
      <c r="S975" s="11">
        <f>IFERROR(__xludf.DUMMYFUNCTION("""COMPUTED_VALUE"""),44462.66666666667)</f>
        <v>44462.66667</v>
      </c>
      <c r="T975" s="9">
        <f>IFERROR(__xludf.DUMMYFUNCTION("""COMPUTED_VALUE"""),345.96)</f>
        <v>345.96</v>
      </c>
      <c r="V975" s="11">
        <f>IFERROR(__xludf.DUMMYFUNCTION("""COMPUTED_VALUE"""),44462.66666666667)</f>
        <v>44462.66667</v>
      </c>
      <c r="W975" s="9">
        <f>IFERROR(__xludf.DUMMYFUNCTION("""COMPUTED_VALUE"""),590.79)</f>
        <v>590.79</v>
      </c>
      <c r="X975" s="11">
        <f>IFERROR(__xludf.DUMMYFUNCTION("""COMPUTED_VALUE"""),44462.66666666667)</f>
        <v>44462.66667</v>
      </c>
      <c r="Y975" s="9">
        <f>IFERROR(__xludf.DUMMYFUNCTION("""COMPUTED_VALUE"""),593.26)</f>
        <v>593.26</v>
      </c>
      <c r="AA975" s="11">
        <f>IFERROR(__xludf.DUMMYFUNCTION("""COMPUTED_VALUE"""),44462.66666666667)</f>
        <v>44462.66667</v>
      </c>
      <c r="AB975" s="9">
        <f>IFERROR(__xludf.DUMMYFUNCTION("""COMPUTED_VALUE"""),3380.05)</f>
        <v>3380.05</v>
      </c>
      <c r="AC975" s="11">
        <f>IFERROR(__xludf.DUMMYFUNCTION("""COMPUTED_VALUE"""),44462.66666666667)</f>
        <v>44462.66667</v>
      </c>
      <c r="AD975" s="9">
        <f>IFERROR(__xludf.DUMMYFUNCTION("""COMPUTED_VALUE"""),3416.0)</f>
        <v>3416</v>
      </c>
    </row>
    <row r="976">
      <c r="B976" s="11">
        <f>IFERROR(__xludf.DUMMYFUNCTION("""COMPUTED_VALUE"""),44463.66666666667)</f>
        <v>44463.66667</v>
      </c>
      <c r="C976" s="9">
        <f>IFERROR(__xludf.DUMMYFUNCTION("""COMPUTED_VALUE"""),745.89)</f>
        <v>745.89</v>
      </c>
      <c r="D976" s="11">
        <f>IFERROR(__xludf.DUMMYFUNCTION("""COMPUTED_VALUE"""),44463.66666666667)</f>
        <v>44463.66667</v>
      </c>
      <c r="E976" s="9">
        <f>IFERROR(__xludf.DUMMYFUNCTION("""COMPUTED_VALUE"""),774.39)</f>
        <v>774.39</v>
      </c>
      <c r="G976" s="11">
        <f>IFERROR(__xludf.DUMMYFUNCTION("""COMPUTED_VALUE"""),44463.66666666667)</f>
        <v>44463.66667</v>
      </c>
      <c r="H976" s="9">
        <f>IFERROR(__xludf.DUMMYFUNCTION("""COMPUTED_VALUE"""),2818.92)</f>
        <v>2818.92</v>
      </c>
      <c r="I976" s="11">
        <f>IFERROR(__xludf.DUMMYFUNCTION("""COMPUTED_VALUE"""),44463.66666666667)</f>
        <v>44463.66667</v>
      </c>
      <c r="J976" s="9">
        <f>IFERROR(__xludf.DUMMYFUNCTION("""COMPUTED_VALUE"""),2852.66)</f>
        <v>2852.66</v>
      </c>
      <c r="L976" s="11">
        <f>IFERROR(__xludf.DUMMYFUNCTION("""COMPUTED_VALUE"""),44463.66666666667)</f>
        <v>44463.66667</v>
      </c>
      <c r="M976" s="9">
        <f>IFERROR(__xludf.DUMMYFUNCTION("""COMPUTED_VALUE"""),145.66)</f>
        <v>145.66</v>
      </c>
      <c r="N976" s="11">
        <f>IFERROR(__xludf.DUMMYFUNCTION("""COMPUTED_VALUE"""),44463.66666666667)</f>
        <v>44463.66667</v>
      </c>
      <c r="O976" s="9">
        <f>IFERROR(__xludf.DUMMYFUNCTION("""COMPUTED_VALUE"""),146.92)</f>
        <v>146.92</v>
      </c>
      <c r="Q976" s="11">
        <f>IFERROR(__xludf.DUMMYFUNCTION("""COMPUTED_VALUE"""),44463.66666666667)</f>
        <v>44463.66667</v>
      </c>
      <c r="R976" s="9">
        <f>IFERROR(__xludf.DUMMYFUNCTION("""COMPUTED_VALUE"""),343.24)</f>
        <v>343.24</v>
      </c>
      <c r="S976" s="11">
        <f>IFERROR(__xludf.DUMMYFUNCTION("""COMPUTED_VALUE"""),44463.66666666667)</f>
        <v>44463.66667</v>
      </c>
      <c r="T976" s="9">
        <f>IFERROR(__xludf.DUMMYFUNCTION("""COMPUTED_VALUE"""),352.96)</f>
        <v>352.96</v>
      </c>
      <c r="V976" s="11">
        <f>IFERROR(__xludf.DUMMYFUNCTION("""COMPUTED_VALUE"""),44463.66666666667)</f>
        <v>44463.66667</v>
      </c>
      <c r="W976" s="9">
        <f>IFERROR(__xludf.DUMMYFUNCTION("""COMPUTED_VALUE"""),592.5)</f>
        <v>592.5</v>
      </c>
      <c r="X976" s="11">
        <f>IFERROR(__xludf.DUMMYFUNCTION("""COMPUTED_VALUE"""),44463.66666666667)</f>
        <v>44463.66667</v>
      </c>
      <c r="Y976" s="9">
        <f>IFERROR(__xludf.DUMMYFUNCTION("""COMPUTED_VALUE"""),592.39)</f>
        <v>592.39</v>
      </c>
      <c r="AA976" s="11">
        <f>IFERROR(__xludf.DUMMYFUNCTION("""COMPUTED_VALUE"""),44463.66666666667)</f>
        <v>44463.66667</v>
      </c>
      <c r="AB976" s="9">
        <f>IFERROR(__xludf.DUMMYFUNCTION("""COMPUTED_VALUE"""),3402.01)</f>
        <v>3402.01</v>
      </c>
      <c r="AC976" s="11">
        <f>IFERROR(__xludf.DUMMYFUNCTION("""COMPUTED_VALUE"""),44463.66666666667)</f>
        <v>44463.66667</v>
      </c>
      <c r="AD976" s="9">
        <f>IFERROR(__xludf.DUMMYFUNCTION("""COMPUTED_VALUE"""),3425.52)</f>
        <v>3425.52</v>
      </c>
    </row>
    <row r="977">
      <c r="B977" s="11">
        <f>IFERROR(__xludf.DUMMYFUNCTION("""COMPUTED_VALUE"""),44466.66666666667)</f>
        <v>44466.66667</v>
      </c>
      <c r="C977" s="9">
        <f>IFERROR(__xludf.DUMMYFUNCTION("""COMPUTED_VALUE"""),773.12)</f>
        <v>773.12</v>
      </c>
      <c r="D977" s="11">
        <f>IFERROR(__xludf.DUMMYFUNCTION("""COMPUTED_VALUE"""),44466.66666666667)</f>
        <v>44466.66667</v>
      </c>
      <c r="E977" s="9">
        <f>IFERROR(__xludf.DUMMYFUNCTION("""COMPUTED_VALUE"""),791.36)</f>
        <v>791.36</v>
      </c>
      <c r="G977" s="11">
        <f>IFERROR(__xludf.DUMMYFUNCTION("""COMPUTED_VALUE"""),44466.66666666667)</f>
        <v>44466.66667</v>
      </c>
      <c r="H977" s="9">
        <f>IFERROR(__xludf.DUMMYFUNCTION("""COMPUTED_VALUE"""),2831.71)</f>
        <v>2831.71</v>
      </c>
      <c r="I977" s="11">
        <f>IFERROR(__xludf.DUMMYFUNCTION("""COMPUTED_VALUE"""),44466.66666666667)</f>
        <v>44466.66667</v>
      </c>
      <c r="J977" s="9">
        <f>IFERROR(__xludf.DUMMYFUNCTION("""COMPUTED_VALUE"""),2830.02)</f>
        <v>2830.02</v>
      </c>
      <c r="L977" s="11">
        <f>IFERROR(__xludf.DUMMYFUNCTION("""COMPUTED_VALUE"""),44466.66666666667)</f>
        <v>44466.66667</v>
      </c>
      <c r="M977" s="9">
        <f>IFERROR(__xludf.DUMMYFUNCTION("""COMPUTED_VALUE"""),145.47)</f>
        <v>145.47</v>
      </c>
      <c r="N977" s="11">
        <f>IFERROR(__xludf.DUMMYFUNCTION("""COMPUTED_VALUE"""),44466.66666666667)</f>
        <v>44466.66667</v>
      </c>
      <c r="O977" s="9">
        <f>IFERROR(__xludf.DUMMYFUNCTION("""COMPUTED_VALUE"""),145.37)</f>
        <v>145.37</v>
      </c>
      <c r="Q977" s="11">
        <f>IFERROR(__xludf.DUMMYFUNCTION("""COMPUTED_VALUE"""),44466.66666666667)</f>
        <v>44466.66667</v>
      </c>
      <c r="R977" s="9">
        <f>IFERROR(__xludf.DUMMYFUNCTION("""COMPUTED_VALUE"""),349.81)</f>
        <v>349.81</v>
      </c>
      <c r="S977" s="11">
        <f>IFERROR(__xludf.DUMMYFUNCTION("""COMPUTED_VALUE"""),44466.66666666667)</f>
        <v>44466.66667</v>
      </c>
      <c r="T977" s="9">
        <f>IFERROR(__xludf.DUMMYFUNCTION("""COMPUTED_VALUE"""),353.58)</f>
        <v>353.58</v>
      </c>
      <c r="V977" s="11">
        <f>IFERROR(__xludf.DUMMYFUNCTION("""COMPUTED_VALUE"""),44466.66666666667)</f>
        <v>44466.66667</v>
      </c>
      <c r="W977" s="9">
        <f>IFERROR(__xludf.DUMMYFUNCTION("""COMPUTED_VALUE"""),587.95)</f>
        <v>587.95</v>
      </c>
      <c r="X977" s="11">
        <f>IFERROR(__xludf.DUMMYFUNCTION("""COMPUTED_VALUE"""),44466.66666666667)</f>
        <v>44466.66667</v>
      </c>
      <c r="Y977" s="9">
        <f>IFERROR(__xludf.DUMMYFUNCTION("""COMPUTED_VALUE"""),592.64)</f>
        <v>592.64</v>
      </c>
      <c r="AA977" s="11">
        <f>IFERROR(__xludf.DUMMYFUNCTION("""COMPUTED_VALUE"""),44466.66666666667)</f>
        <v>44466.66667</v>
      </c>
      <c r="AB977" s="9">
        <f>IFERROR(__xludf.DUMMYFUNCTION("""COMPUTED_VALUE"""),3371.5)</f>
        <v>3371.5</v>
      </c>
      <c r="AC977" s="11">
        <f>IFERROR(__xludf.DUMMYFUNCTION("""COMPUTED_VALUE"""),44466.66666666667)</f>
        <v>44466.66667</v>
      </c>
      <c r="AD977" s="9">
        <f>IFERROR(__xludf.DUMMYFUNCTION("""COMPUTED_VALUE"""),3405.8)</f>
        <v>3405.8</v>
      </c>
    </row>
    <row r="978">
      <c r="B978" s="11">
        <f>IFERROR(__xludf.DUMMYFUNCTION("""COMPUTED_VALUE"""),44467.66666666667)</f>
        <v>44467.66667</v>
      </c>
      <c r="C978" s="9">
        <f>IFERROR(__xludf.DUMMYFUNCTION("""COMPUTED_VALUE"""),787.2)</f>
        <v>787.2</v>
      </c>
      <c r="D978" s="11">
        <f>IFERROR(__xludf.DUMMYFUNCTION("""COMPUTED_VALUE"""),44467.66666666667)</f>
        <v>44467.66667</v>
      </c>
      <c r="E978" s="9">
        <f>IFERROR(__xludf.DUMMYFUNCTION("""COMPUTED_VALUE"""),777.56)</f>
        <v>777.56</v>
      </c>
      <c r="G978" s="11">
        <f>IFERROR(__xludf.DUMMYFUNCTION("""COMPUTED_VALUE"""),44467.66666666667)</f>
        <v>44467.66667</v>
      </c>
      <c r="H978" s="9">
        <f>IFERROR(__xludf.DUMMYFUNCTION("""COMPUTED_VALUE"""),2781.77)</f>
        <v>2781.77</v>
      </c>
      <c r="I978" s="11">
        <f>IFERROR(__xludf.DUMMYFUNCTION("""COMPUTED_VALUE"""),44467.66666666667)</f>
        <v>44467.66667</v>
      </c>
      <c r="J978" s="9">
        <f>IFERROR(__xludf.DUMMYFUNCTION("""COMPUTED_VALUE"""),2723.68)</f>
        <v>2723.68</v>
      </c>
      <c r="L978" s="11">
        <f>IFERROR(__xludf.DUMMYFUNCTION("""COMPUTED_VALUE"""),44467.66666666667)</f>
        <v>44467.66667</v>
      </c>
      <c r="M978" s="9">
        <f>IFERROR(__xludf.DUMMYFUNCTION("""COMPUTED_VALUE"""),143.25)</f>
        <v>143.25</v>
      </c>
      <c r="N978" s="11">
        <f>IFERROR(__xludf.DUMMYFUNCTION("""COMPUTED_VALUE"""),44467.66666666667)</f>
        <v>44467.66667</v>
      </c>
      <c r="O978" s="9">
        <f>IFERROR(__xludf.DUMMYFUNCTION("""COMPUTED_VALUE"""),141.91)</f>
        <v>141.91</v>
      </c>
      <c r="Q978" s="11">
        <f>IFERROR(__xludf.DUMMYFUNCTION("""COMPUTED_VALUE"""),44467.66666666667)</f>
        <v>44467.66667</v>
      </c>
      <c r="R978" s="9">
        <f>IFERROR(__xludf.DUMMYFUNCTION("""COMPUTED_VALUE"""),347.97)</f>
        <v>347.97</v>
      </c>
      <c r="S978" s="11">
        <f>IFERROR(__xludf.DUMMYFUNCTION("""COMPUTED_VALUE"""),44467.66666666667)</f>
        <v>44467.66667</v>
      </c>
      <c r="T978" s="9">
        <f>IFERROR(__xludf.DUMMYFUNCTION("""COMPUTED_VALUE"""),340.65)</f>
        <v>340.65</v>
      </c>
      <c r="V978" s="11">
        <f>IFERROR(__xludf.DUMMYFUNCTION("""COMPUTED_VALUE"""),44467.66666666667)</f>
        <v>44467.66667</v>
      </c>
      <c r="W978" s="9">
        <f>IFERROR(__xludf.DUMMYFUNCTION("""COMPUTED_VALUE"""),589.0)</f>
        <v>589</v>
      </c>
      <c r="X978" s="11">
        <f>IFERROR(__xludf.DUMMYFUNCTION("""COMPUTED_VALUE"""),44467.66666666667)</f>
        <v>44467.66667</v>
      </c>
      <c r="Y978" s="9">
        <f>IFERROR(__xludf.DUMMYFUNCTION("""COMPUTED_VALUE"""),583.85)</f>
        <v>583.85</v>
      </c>
      <c r="AA978" s="11">
        <f>IFERROR(__xludf.DUMMYFUNCTION("""COMPUTED_VALUE"""),44467.66666666667)</f>
        <v>44467.66667</v>
      </c>
      <c r="AB978" s="9">
        <f>IFERROR(__xludf.DUMMYFUNCTION("""COMPUTED_VALUE"""),3357.71)</f>
        <v>3357.71</v>
      </c>
      <c r="AC978" s="11">
        <f>IFERROR(__xludf.DUMMYFUNCTION("""COMPUTED_VALUE"""),44467.66666666667)</f>
        <v>44467.66667</v>
      </c>
      <c r="AD978" s="9">
        <f>IFERROR(__xludf.DUMMYFUNCTION("""COMPUTED_VALUE"""),3315.96)</f>
        <v>3315.96</v>
      </c>
    </row>
    <row r="979">
      <c r="B979" s="11">
        <f>IFERROR(__xludf.DUMMYFUNCTION("""COMPUTED_VALUE"""),44468.66666666667)</f>
        <v>44468.66667</v>
      </c>
      <c r="C979" s="9">
        <f>IFERROR(__xludf.DUMMYFUNCTION("""COMPUTED_VALUE"""),779.8)</f>
        <v>779.8</v>
      </c>
      <c r="D979" s="11">
        <f>IFERROR(__xludf.DUMMYFUNCTION("""COMPUTED_VALUE"""),44468.66666666667)</f>
        <v>44468.66667</v>
      </c>
      <c r="E979" s="9">
        <f>IFERROR(__xludf.DUMMYFUNCTION("""COMPUTED_VALUE"""),781.31)</f>
        <v>781.31</v>
      </c>
      <c r="G979" s="11">
        <f>IFERROR(__xludf.DUMMYFUNCTION("""COMPUTED_VALUE"""),44468.66666666667)</f>
        <v>44468.66667</v>
      </c>
      <c r="H979" s="9">
        <f>IFERROR(__xludf.DUMMYFUNCTION("""COMPUTED_VALUE"""),2742.19)</f>
        <v>2742.19</v>
      </c>
      <c r="I979" s="11">
        <f>IFERROR(__xludf.DUMMYFUNCTION("""COMPUTED_VALUE"""),44468.66666666667)</f>
        <v>44468.66667</v>
      </c>
      <c r="J979" s="9">
        <f>IFERROR(__xludf.DUMMYFUNCTION("""COMPUTED_VALUE"""),2690.42)</f>
        <v>2690.42</v>
      </c>
      <c r="L979" s="11">
        <f>IFERROR(__xludf.DUMMYFUNCTION("""COMPUTED_VALUE"""),44468.66666666667)</f>
        <v>44468.66667</v>
      </c>
      <c r="M979" s="9">
        <f>IFERROR(__xludf.DUMMYFUNCTION("""COMPUTED_VALUE"""),142.47)</f>
        <v>142.47</v>
      </c>
      <c r="N979" s="11">
        <f>IFERROR(__xludf.DUMMYFUNCTION("""COMPUTED_VALUE"""),44468.66666666667)</f>
        <v>44468.66667</v>
      </c>
      <c r="O979" s="9">
        <f>IFERROR(__xludf.DUMMYFUNCTION("""COMPUTED_VALUE"""),142.83)</f>
        <v>142.83</v>
      </c>
      <c r="Q979" s="11">
        <f>IFERROR(__xludf.DUMMYFUNCTION("""COMPUTED_VALUE"""),44468.66666666667)</f>
        <v>44468.66667</v>
      </c>
      <c r="R979" s="9">
        <f>IFERROR(__xludf.DUMMYFUNCTION("""COMPUTED_VALUE"""),343.15)</f>
        <v>343.15</v>
      </c>
      <c r="S979" s="11">
        <f>IFERROR(__xludf.DUMMYFUNCTION("""COMPUTED_VALUE"""),44468.66666666667)</f>
        <v>44468.66667</v>
      </c>
      <c r="T979" s="9">
        <f>IFERROR(__xludf.DUMMYFUNCTION("""COMPUTED_VALUE"""),339.61)</f>
        <v>339.61</v>
      </c>
      <c r="V979" s="11">
        <f>IFERROR(__xludf.DUMMYFUNCTION("""COMPUTED_VALUE"""),44468.66666666667)</f>
        <v>44468.66667</v>
      </c>
      <c r="W979" s="9">
        <f>IFERROR(__xludf.DUMMYFUNCTION("""COMPUTED_VALUE"""),589.01)</f>
        <v>589.01</v>
      </c>
      <c r="X979" s="11">
        <f>IFERROR(__xludf.DUMMYFUNCTION("""COMPUTED_VALUE"""),44468.66666666667)</f>
        <v>44468.66667</v>
      </c>
      <c r="Y979" s="9">
        <f>IFERROR(__xludf.DUMMYFUNCTION("""COMPUTED_VALUE"""),599.06)</f>
        <v>599.06</v>
      </c>
      <c r="AA979" s="11">
        <f>IFERROR(__xludf.DUMMYFUNCTION("""COMPUTED_VALUE"""),44468.66666666667)</f>
        <v>44468.66667</v>
      </c>
      <c r="AB979" s="9">
        <f>IFERROR(__xludf.DUMMYFUNCTION("""COMPUTED_VALUE"""),3322.11)</f>
        <v>3322.11</v>
      </c>
      <c r="AC979" s="11">
        <f>IFERROR(__xludf.DUMMYFUNCTION("""COMPUTED_VALUE"""),44468.66666666667)</f>
        <v>44468.66667</v>
      </c>
      <c r="AD979" s="9">
        <f>IFERROR(__xludf.DUMMYFUNCTION("""COMPUTED_VALUE"""),3301.12)</f>
        <v>3301.12</v>
      </c>
    </row>
    <row r="980">
      <c r="B980" s="11">
        <f>IFERROR(__xludf.DUMMYFUNCTION("""COMPUTED_VALUE"""),44469.66666666667)</f>
        <v>44469.66667</v>
      </c>
      <c r="C980" s="9">
        <f>IFERROR(__xludf.DUMMYFUNCTION("""COMPUTED_VALUE"""),781.0)</f>
        <v>781</v>
      </c>
      <c r="D980" s="11">
        <f>IFERROR(__xludf.DUMMYFUNCTION("""COMPUTED_VALUE"""),44469.66666666667)</f>
        <v>44469.66667</v>
      </c>
      <c r="E980" s="9">
        <f>IFERROR(__xludf.DUMMYFUNCTION("""COMPUTED_VALUE"""),775.48)</f>
        <v>775.48</v>
      </c>
      <c r="G980" s="11">
        <f>IFERROR(__xludf.DUMMYFUNCTION("""COMPUTED_VALUE"""),44469.66666666667)</f>
        <v>44469.66667</v>
      </c>
      <c r="H980" s="9">
        <f>IFERROR(__xludf.DUMMYFUNCTION("""COMPUTED_VALUE"""),2686.5)</f>
        <v>2686.5</v>
      </c>
      <c r="I980" s="11">
        <f>IFERROR(__xludf.DUMMYFUNCTION("""COMPUTED_VALUE"""),44469.66666666667)</f>
        <v>44469.66667</v>
      </c>
      <c r="J980" s="9">
        <f>IFERROR(__xludf.DUMMYFUNCTION("""COMPUTED_VALUE"""),2665.31)</f>
        <v>2665.31</v>
      </c>
      <c r="L980" s="11">
        <f>IFERROR(__xludf.DUMMYFUNCTION("""COMPUTED_VALUE"""),44469.66666666667)</f>
        <v>44469.66667</v>
      </c>
      <c r="M980" s="9">
        <f>IFERROR(__xludf.DUMMYFUNCTION("""COMPUTED_VALUE"""),143.66)</f>
        <v>143.66</v>
      </c>
      <c r="N980" s="11">
        <f>IFERROR(__xludf.DUMMYFUNCTION("""COMPUTED_VALUE"""),44469.66666666667)</f>
        <v>44469.66667</v>
      </c>
      <c r="O980" s="9">
        <f>IFERROR(__xludf.DUMMYFUNCTION("""COMPUTED_VALUE"""),141.5)</f>
        <v>141.5</v>
      </c>
      <c r="Q980" s="11">
        <f>IFERROR(__xludf.DUMMYFUNCTION("""COMPUTED_VALUE"""),44469.66666666667)</f>
        <v>44469.66667</v>
      </c>
      <c r="R980" s="9">
        <f>IFERROR(__xludf.DUMMYFUNCTION("""COMPUTED_VALUE"""),340.45)</f>
        <v>340.45</v>
      </c>
      <c r="S980" s="11">
        <f>IFERROR(__xludf.DUMMYFUNCTION("""COMPUTED_VALUE"""),44469.66666666667)</f>
        <v>44469.66667</v>
      </c>
      <c r="T980" s="9">
        <f>IFERROR(__xludf.DUMMYFUNCTION("""COMPUTED_VALUE"""),339.39)</f>
        <v>339.39</v>
      </c>
      <c r="V980" s="11">
        <f>IFERROR(__xludf.DUMMYFUNCTION("""COMPUTED_VALUE"""),44469.66666666667)</f>
        <v>44469.66667</v>
      </c>
      <c r="W980" s="9">
        <f>IFERROR(__xludf.DUMMYFUNCTION("""COMPUTED_VALUE"""),608.05)</f>
        <v>608.05</v>
      </c>
      <c r="X980" s="11">
        <f>IFERROR(__xludf.DUMMYFUNCTION("""COMPUTED_VALUE"""),44469.66666666667)</f>
        <v>44469.66667</v>
      </c>
      <c r="Y980" s="9">
        <f>IFERROR(__xludf.DUMMYFUNCTION("""COMPUTED_VALUE"""),610.34)</f>
        <v>610.34</v>
      </c>
      <c r="AA980" s="11">
        <f>IFERROR(__xludf.DUMMYFUNCTION("""COMPUTED_VALUE"""),44469.66666666667)</f>
        <v>44469.66667</v>
      </c>
      <c r="AB980" s="9">
        <f>IFERROR(__xludf.DUMMYFUNCTION("""COMPUTED_VALUE"""),3316.0)</f>
        <v>3316</v>
      </c>
      <c r="AC980" s="11">
        <f>IFERROR(__xludf.DUMMYFUNCTION("""COMPUTED_VALUE"""),44469.66666666667)</f>
        <v>44469.66667</v>
      </c>
      <c r="AD980" s="9">
        <f>IFERROR(__xludf.DUMMYFUNCTION("""COMPUTED_VALUE"""),3285.04)</f>
        <v>3285.04</v>
      </c>
    </row>
    <row r="981">
      <c r="B981" s="11">
        <f>IFERROR(__xludf.DUMMYFUNCTION("""COMPUTED_VALUE"""),44470.66666666667)</f>
        <v>44470.66667</v>
      </c>
      <c r="C981" s="9">
        <f>IFERROR(__xludf.DUMMYFUNCTION("""COMPUTED_VALUE"""),778.4)</f>
        <v>778.4</v>
      </c>
      <c r="D981" s="11">
        <f>IFERROR(__xludf.DUMMYFUNCTION("""COMPUTED_VALUE"""),44470.66666666667)</f>
        <v>44470.66667</v>
      </c>
      <c r="E981" s="9">
        <f>IFERROR(__xludf.DUMMYFUNCTION("""COMPUTED_VALUE"""),775.22)</f>
        <v>775.22</v>
      </c>
      <c r="G981" s="11">
        <f>IFERROR(__xludf.DUMMYFUNCTION("""COMPUTED_VALUE"""),44470.66666666667)</f>
        <v>44470.66667</v>
      </c>
      <c r="H981" s="9">
        <f>IFERROR(__xludf.DUMMYFUNCTION("""COMPUTED_VALUE"""),2671.09)</f>
        <v>2671.09</v>
      </c>
      <c r="I981" s="11">
        <f>IFERROR(__xludf.DUMMYFUNCTION("""COMPUTED_VALUE"""),44470.66666666667)</f>
        <v>44470.66667</v>
      </c>
      <c r="J981" s="9">
        <f>IFERROR(__xludf.DUMMYFUNCTION("""COMPUTED_VALUE"""),2729.25)</f>
        <v>2729.25</v>
      </c>
      <c r="L981" s="11">
        <f>IFERROR(__xludf.DUMMYFUNCTION("""COMPUTED_VALUE"""),44470.66666666667)</f>
        <v>44470.66667</v>
      </c>
      <c r="M981" s="9">
        <f>IFERROR(__xludf.DUMMYFUNCTION("""COMPUTED_VALUE"""),141.9)</f>
        <v>141.9</v>
      </c>
      <c r="N981" s="11">
        <f>IFERROR(__xludf.DUMMYFUNCTION("""COMPUTED_VALUE"""),44470.66666666667)</f>
        <v>44470.66667</v>
      </c>
      <c r="O981" s="9">
        <f>IFERROR(__xludf.DUMMYFUNCTION("""COMPUTED_VALUE"""),142.65)</f>
        <v>142.65</v>
      </c>
      <c r="Q981" s="11">
        <f>IFERROR(__xludf.DUMMYFUNCTION("""COMPUTED_VALUE"""),44470.66666666667)</f>
        <v>44470.66667</v>
      </c>
      <c r="R981" s="9">
        <f>IFERROR(__xludf.DUMMYFUNCTION("""COMPUTED_VALUE"""),341.61)</f>
        <v>341.61</v>
      </c>
      <c r="S981" s="11">
        <f>IFERROR(__xludf.DUMMYFUNCTION("""COMPUTED_VALUE"""),44470.66666666667)</f>
        <v>44470.66667</v>
      </c>
      <c r="T981" s="9">
        <f>IFERROR(__xludf.DUMMYFUNCTION("""COMPUTED_VALUE"""),343.01)</f>
        <v>343.01</v>
      </c>
      <c r="V981" s="11">
        <f>IFERROR(__xludf.DUMMYFUNCTION("""COMPUTED_VALUE"""),44470.66666666667)</f>
        <v>44470.66667</v>
      </c>
      <c r="W981" s="9">
        <f>IFERROR(__xludf.DUMMYFUNCTION("""COMPUTED_VALUE"""),604.24)</f>
        <v>604.24</v>
      </c>
      <c r="X981" s="11">
        <f>IFERROR(__xludf.DUMMYFUNCTION("""COMPUTED_VALUE"""),44470.66666666667)</f>
        <v>44470.66667</v>
      </c>
      <c r="Y981" s="9">
        <f>IFERROR(__xludf.DUMMYFUNCTION("""COMPUTED_VALUE"""),613.15)</f>
        <v>613.15</v>
      </c>
      <c r="AA981" s="11">
        <f>IFERROR(__xludf.DUMMYFUNCTION("""COMPUTED_VALUE"""),44470.66666666667)</f>
        <v>44470.66667</v>
      </c>
      <c r="AB981" s="9">
        <f>IFERROR(__xludf.DUMMYFUNCTION("""COMPUTED_VALUE"""),3289.01)</f>
        <v>3289.01</v>
      </c>
      <c r="AC981" s="11">
        <f>IFERROR(__xludf.DUMMYFUNCTION("""COMPUTED_VALUE"""),44470.66666666667)</f>
        <v>44470.66667</v>
      </c>
      <c r="AD981" s="9">
        <f>IFERROR(__xludf.DUMMYFUNCTION("""COMPUTED_VALUE"""),3283.26)</f>
        <v>3283.26</v>
      </c>
    </row>
    <row r="982">
      <c r="B982" s="11">
        <f>IFERROR(__xludf.DUMMYFUNCTION("""COMPUTED_VALUE"""),44473.66666666667)</f>
        <v>44473.66667</v>
      </c>
      <c r="C982" s="9">
        <f>IFERROR(__xludf.DUMMYFUNCTION("""COMPUTED_VALUE"""),796.5)</f>
        <v>796.5</v>
      </c>
      <c r="D982" s="11">
        <f>IFERROR(__xludf.DUMMYFUNCTION("""COMPUTED_VALUE"""),44473.66666666667)</f>
        <v>44473.66667</v>
      </c>
      <c r="E982" s="9">
        <f>IFERROR(__xludf.DUMMYFUNCTION("""COMPUTED_VALUE"""),781.53)</f>
        <v>781.53</v>
      </c>
      <c r="G982" s="11">
        <f>IFERROR(__xludf.DUMMYFUNCTION("""COMPUTED_VALUE"""),44473.66666666667)</f>
        <v>44473.66667</v>
      </c>
      <c r="H982" s="9">
        <f>IFERROR(__xludf.DUMMYFUNCTION("""COMPUTED_VALUE"""),2713.99)</f>
        <v>2713.99</v>
      </c>
      <c r="I982" s="11">
        <f>IFERROR(__xludf.DUMMYFUNCTION("""COMPUTED_VALUE"""),44473.66666666667)</f>
        <v>44473.66667</v>
      </c>
      <c r="J982" s="9">
        <f>IFERROR(__xludf.DUMMYFUNCTION("""COMPUTED_VALUE"""),2675.3)</f>
        <v>2675.3</v>
      </c>
      <c r="L982" s="11">
        <f>IFERROR(__xludf.DUMMYFUNCTION("""COMPUTED_VALUE"""),44473.66666666667)</f>
        <v>44473.66667</v>
      </c>
      <c r="M982" s="9">
        <f>IFERROR(__xludf.DUMMYFUNCTION("""COMPUTED_VALUE"""),141.76)</f>
        <v>141.76</v>
      </c>
      <c r="N982" s="11">
        <f>IFERROR(__xludf.DUMMYFUNCTION("""COMPUTED_VALUE"""),44473.66666666667)</f>
        <v>44473.66667</v>
      </c>
      <c r="O982" s="9">
        <f>IFERROR(__xludf.DUMMYFUNCTION("""COMPUTED_VALUE"""),139.14)</f>
        <v>139.14</v>
      </c>
      <c r="Q982" s="11">
        <f>IFERROR(__xludf.DUMMYFUNCTION("""COMPUTED_VALUE"""),44473.66666666667)</f>
        <v>44473.66667</v>
      </c>
      <c r="R982" s="9">
        <f>IFERROR(__xludf.DUMMYFUNCTION("""COMPUTED_VALUE"""),335.53)</f>
        <v>335.53</v>
      </c>
      <c r="S982" s="11">
        <f>IFERROR(__xludf.DUMMYFUNCTION("""COMPUTED_VALUE"""),44473.66666666667)</f>
        <v>44473.66667</v>
      </c>
      <c r="T982" s="9">
        <f>IFERROR(__xludf.DUMMYFUNCTION("""COMPUTED_VALUE"""),326.23)</f>
        <v>326.23</v>
      </c>
      <c r="V982" s="11">
        <f>IFERROR(__xludf.DUMMYFUNCTION("""COMPUTED_VALUE"""),44473.66666666667)</f>
        <v>44473.66667</v>
      </c>
      <c r="W982" s="9">
        <f>IFERROR(__xludf.DUMMYFUNCTION("""COMPUTED_VALUE"""),613.39)</f>
        <v>613.39</v>
      </c>
      <c r="X982" s="11">
        <f>IFERROR(__xludf.DUMMYFUNCTION("""COMPUTED_VALUE"""),44473.66666666667)</f>
        <v>44473.66667</v>
      </c>
      <c r="Y982" s="9">
        <f>IFERROR(__xludf.DUMMYFUNCTION("""COMPUTED_VALUE"""),603.35)</f>
        <v>603.35</v>
      </c>
      <c r="AA982" s="11">
        <f>IFERROR(__xludf.DUMMYFUNCTION("""COMPUTED_VALUE"""),44473.66666666667)</f>
        <v>44473.66667</v>
      </c>
      <c r="AB982" s="9">
        <f>IFERROR(__xludf.DUMMYFUNCTION("""COMPUTED_VALUE"""),3279.39)</f>
        <v>3279.39</v>
      </c>
      <c r="AC982" s="11">
        <f>IFERROR(__xludf.DUMMYFUNCTION("""COMPUTED_VALUE"""),44473.66666666667)</f>
        <v>44473.66667</v>
      </c>
      <c r="AD982" s="9">
        <f>IFERROR(__xludf.DUMMYFUNCTION("""COMPUTED_VALUE"""),3189.78)</f>
        <v>3189.78</v>
      </c>
    </row>
    <row r="983">
      <c r="B983" s="11">
        <f>IFERROR(__xludf.DUMMYFUNCTION("""COMPUTED_VALUE"""),44474.66666666667)</f>
        <v>44474.66667</v>
      </c>
      <c r="C983" s="9">
        <f>IFERROR(__xludf.DUMMYFUNCTION("""COMPUTED_VALUE"""),784.8)</f>
        <v>784.8</v>
      </c>
      <c r="D983" s="11">
        <f>IFERROR(__xludf.DUMMYFUNCTION("""COMPUTED_VALUE"""),44474.66666666667)</f>
        <v>44474.66667</v>
      </c>
      <c r="E983" s="9">
        <f>IFERROR(__xludf.DUMMYFUNCTION("""COMPUTED_VALUE"""),780.59)</f>
        <v>780.59</v>
      </c>
      <c r="G983" s="11">
        <f>IFERROR(__xludf.DUMMYFUNCTION("""COMPUTED_VALUE"""),44474.66666666667)</f>
        <v>44474.66667</v>
      </c>
      <c r="H983" s="9">
        <f>IFERROR(__xludf.DUMMYFUNCTION("""COMPUTED_VALUE"""),2680.0)</f>
        <v>2680</v>
      </c>
      <c r="I983" s="11">
        <f>IFERROR(__xludf.DUMMYFUNCTION("""COMPUTED_VALUE"""),44474.66666666667)</f>
        <v>44474.66667</v>
      </c>
      <c r="J983" s="9">
        <f>IFERROR(__xludf.DUMMYFUNCTION("""COMPUTED_VALUE"""),2723.54)</f>
        <v>2723.54</v>
      </c>
      <c r="L983" s="11">
        <f>IFERROR(__xludf.DUMMYFUNCTION("""COMPUTED_VALUE"""),44474.66666666667)</f>
        <v>44474.66667</v>
      </c>
      <c r="M983" s="9">
        <f>IFERROR(__xludf.DUMMYFUNCTION("""COMPUTED_VALUE"""),139.49)</f>
        <v>139.49</v>
      </c>
      <c r="N983" s="11">
        <f>IFERROR(__xludf.DUMMYFUNCTION("""COMPUTED_VALUE"""),44474.66666666667)</f>
        <v>44474.66667</v>
      </c>
      <c r="O983" s="9">
        <f>IFERROR(__xludf.DUMMYFUNCTION("""COMPUTED_VALUE"""),141.11)</f>
        <v>141.11</v>
      </c>
      <c r="Q983" s="11">
        <f>IFERROR(__xludf.DUMMYFUNCTION("""COMPUTED_VALUE"""),44474.66666666667)</f>
        <v>44474.66667</v>
      </c>
      <c r="R983" s="9">
        <f>IFERROR(__xludf.DUMMYFUNCTION("""COMPUTED_VALUE"""),328.58)</f>
        <v>328.58</v>
      </c>
      <c r="S983" s="11">
        <f>IFERROR(__xludf.DUMMYFUNCTION("""COMPUTED_VALUE"""),44474.66666666667)</f>
        <v>44474.66667</v>
      </c>
      <c r="T983" s="9">
        <f>IFERROR(__xludf.DUMMYFUNCTION("""COMPUTED_VALUE"""),332.96)</f>
        <v>332.96</v>
      </c>
      <c r="V983" s="11">
        <f>IFERROR(__xludf.DUMMYFUNCTION("""COMPUTED_VALUE"""),44474.66666666667)</f>
        <v>44474.66667</v>
      </c>
      <c r="W983" s="9">
        <f>IFERROR(__xludf.DUMMYFUNCTION("""COMPUTED_VALUE"""),606.94)</f>
        <v>606.94</v>
      </c>
      <c r="X983" s="11">
        <f>IFERROR(__xludf.DUMMYFUNCTION("""COMPUTED_VALUE"""),44474.66666666667)</f>
        <v>44474.66667</v>
      </c>
      <c r="Y983" s="9">
        <f>IFERROR(__xludf.DUMMYFUNCTION("""COMPUTED_VALUE"""),634.81)</f>
        <v>634.81</v>
      </c>
      <c r="AA983" s="11">
        <f>IFERROR(__xludf.DUMMYFUNCTION("""COMPUTED_VALUE"""),44474.66666666667)</f>
        <v>44474.66667</v>
      </c>
      <c r="AB983" s="9">
        <f>IFERROR(__xludf.DUMMYFUNCTION("""COMPUTED_VALUE"""),3204.5)</f>
        <v>3204.5</v>
      </c>
      <c r="AC983" s="11">
        <f>IFERROR(__xludf.DUMMYFUNCTION("""COMPUTED_VALUE"""),44474.66666666667)</f>
        <v>44474.66667</v>
      </c>
      <c r="AD983" s="9">
        <f>IFERROR(__xludf.DUMMYFUNCTION("""COMPUTED_VALUE"""),3221.0)</f>
        <v>3221</v>
      </c>
    </row>
    <row r="984">
      <c r="B984" s="11">
        <f>IFERROR(__xludf.DUMMYFUNCTION("""COMPUTED_VALUE"""),44475.66666666667)</f>
        <v>44475.66667</v>
      </c>
      <c r="C984" s="9">
        <f>IFERROR(__xludf.DUMMYFUNCTION("""COMPUTED_VALUE"""),776.2)</f>
        <v>776.2</v>
      </c>
      <c r="D984" s="11">
        <f>IFERROR(__xludf.DUMMYFUNCTION("""COMPUTED_VALUE"""),44475.66666666667)</f>
        <v>44475.66667</v>
      </c>
      <c r="E984" s="9">
        <f>IFERROR(__xludf.DUMMYFUNCTION("""COMPUTED_VALUE"""),782.75)</f>
        <v>782.75</v>
      </c>
      <c r="G984" s="11">
        <f>IFERROR(__xludf.DUMMYFUNCTION("""COMPUTED_VALUE"""),44475.66666666667)</f>
        <v>44475.66667</v>
      </c>
      <c r="H984" s="9">
        <f>IFERROR(__xludf.DUMMYFUNCTION("""COMPUTED_VALUE"""),2692.51)</f>
        <v>2692.51</v>
      </c>
      <c r="I984" s="11">
        <f>IFERROR(__xludf.DUMMYFUNCTION("""COMPUTED_VALUE"""),44475.66666666667)</f>
        <v>44475.66667</v>
      </c>
      <c r="J984" s="9">
        <f>IFERROR(__xludf.DUMMYFUNCTION("""COMPUTED_VALUE"""),2747.08)</f>
        <v>2747.08</v>
      </c>
      <c r="L984" s="11">
        <f>IFERROR(__xludf.DUMMYFUNCTION("""COMPUTED_VALUE"""),44475.66666666667)</f>
        <v>44475.66667</v>
      </c>
      <c r="M984" s="9">
        <f>IFERROR(__xludf.DUMMYFUNCTION("""COMPUTED_VALUE"""),139.47)</f>
        <v>139.47</v>
      </c>
      <c r="N984" s="11">
        <f>IFERROR(__xludf.DUMMYFUNCTION("""COMPUTED_VALUE"""),44475.66666666667)</f>
        <v>44475.66667</v>
      </c>
      <c r="O984" s="9">
        <f>IFERROR(__xludf.DUMMYFUNCTION("""COMPUTED_VALUE"""),142.0)</f>
        <v>142</v>
      </c>
      <c r="Q984" s="11">
        <f>IFERROR(__xludf.DUMMYFUNCTION("""COMPUTED_VALUE"""),44475.66666666667)</f>
        <v>44475.66667</v>
      </c>
      <c r="R984" s="9">
        <f>IFERROR(__xludf.DUMMYFUNCTION("""COMPUTED_VALUE"""),329.74)</f>
        <v>329.74</v>
      </c>
      <c r="S984" s="11">
        <f>IFERROR(__xludf.DUMMYFUNCTION("""COMPUTED_VALUE"""),44475.66666666667)</f>
        <v>44475.66667</v>
      </c>
      <c r="T984" s="9">
        <f>IFERROR(__xludf.DUMMYFUNCTION("""COMPUTED_VALUE"""),333.64)</f>
        <v>333.64</v>
      </c>
      <c r="V984" s="11">
        <f>IFERROR(__xludf.DUMMYFUNCTION("""COMPUTED_VALUE"""),44475.66666666667)</f>
        <v>44475.66667</v>
      </c>
      <c r="W984" s="9">
        <f>IFERROR(__xludf.DUMMYFUNCTION("""COMPUTED_VALUE"""),628.18)</f>
        <v>628.18</v>
      </c>
      <c r="X984" s="11">
        <f>IFERROR(__xludf.DUMMYFUNCTION("""COMPUTED_VALUE"""),44475.66666666667)</f>
        <v>44475.66667</v>
      </c>
      <c r="Y984" s="9">
        <f>IFERROR(__xludf.DUMMYFUNCTION("""COMPUTED_VALUE"""),639.1)</f>
        <v>639.1</v>
      </c>
      <c r="AA984" s="11">
        <f>IFERROR(__xludf.DUMMYFUNCTION("""COMPUTED_VALUE"""),44475.66666666667)</f>
        <v>44475.66667</v>
      </c>
      <c r="AB984" s="9">
        <f>IFERROR(__xludf.DUMMYFUNCTION("""COMPUTED_VALUE"""),3213.53)</f>
        <v>3213.53</v>
      </c>
      <c r="AC984" s="11">
        <f>IFERROR(__xludf.DUMMYFUNCTION("""COMPUTED_VALUE"""),44475.66666666667)</f>
        <v>44475.66667</v>
      </c>
      <c r="AD984" s="9">
        <f>IFERROR(__xludf.DUMMYFUNCTION("""COMPUTED_VALUE"""),3262.01)</f>
        <v>3262.01</v>
      </c>
    </row>
    <row r="985">
      <c r="B985" s="11">
        <f>IFERROR(__xludf.DUMMYFUNCTION("""COMPUTED_VALUE"""),44476.66666666667)</f>
        <v>44476.66667</v>
      </c>
      <c r="C985" s="9">
        <f>IFERROR(__xludf.DUMMYFUNCTION("""COMPUTED_VALUE"""),785.46)</f>
        <v>785.46</v>
      </c>
      <c r="D985" s="11">
        <f>IFERROR(__xludf.DUMMYFUNCTION("""COMPUTED_VALUE"""),44476.66666666667)</f>
        <v>44476.66667</v>
      </c>
      <c r="E985" s="9">
        <f>IFERROR(__xludf.DUMMYFUNCTION("""COMPUTED_VALUE"""),793.61)</f>
        <v>793.61</v>
      </c>
      <c r="G985" s="11">
        <f>IFERROR(__xludf.DUMMYFUNCTION("""COMPUTED_VALUE"""),44476.66666666667)</f>
        <v>44476.66667</v>
      </c>
      <c r="H985" s="9">
        <f>IFERROR(__xludf.DUMMYFUNCTION("""COMPUTED_VALUE"""),2777.26)</f>
        <v>2777.26</v>
      </c>
      <c r="I985" s="11">
        <f>IFERROR(__xludf.DUMMYFUNCTION("""COMPUTED_VALUE"""),44476.66666666667)</f>
        <v>44476.66667</v>
      </c>
      <c r="J985" s="9">
        <f>IFERROR(__xludf.DUMMYFUNCTION("""COMPUTED_VALUE"""),2783.71)</f>
        <v>2783.71</v>
      </c>
      <c r="L985" s="11">
        <f>IFERROR(__xludf.DUMMYFUNCTION("""COMPUTED_VALUE"""),44476.66666666667)</f>
        <v>44476.66667</v>
      </c>
      <c r="M985" s="9">
        <f>IFERROR(__xludf.DUMMYFUNCTION("""COMPUTED_VALUE"""),143.06)</f>
        <v>143.06</v>
      </c>
      <c r="N985" s="11">
        <f>IFERROR(__xludf.DUMMYFUNCTION("""COMPUTED_VALUE"""),44476.66666666667)</f>
        <v>44476.66667</v>
      </c>
      <c r="O985" s="9">
        <f>IFERROR(__xludf.DUMMYFUNCTION("""COMPUTED_VALUE"""),143.29)</f>
        <v>143.29</v>
      </c>
      <c r="Q985" s="11">
        <f>IFERROR(__xludf.DUMMYFUNCTION("""COMPUTED_VALUE"""),44476.66666666667)</f>
        <v>44476.66667</v>
      </c>
      <c r="R985" s="9">
        <f>IFERROR(__xludf.DUMMYFUNCTION("""COMPUTED_VALUE"""),337.0)</f>
        <v>337</v>
      </c>
      <c r="S985" s="11">
        <f>IFERROR(__xludf.DUMMYFUNCTION("""COMPUTED_VALUE"""),44476.66666666667)</f>
        <v>44476.66667</v>
      </c>
      <c r="T985" s="9">
        <f>IFERROR(__xludf.DUMMYFUNCTION("""COMPUTED_VALUE"""),329.22)</f>
        <v>329.22</v>
      </c>
      <c r="V985" s="11">
        <f>IFERROR(__xludf.DUMMYFUNCTION("""COMPUTED_VALUE"""),44476.66666666667)</f>
        <v>44476.66667</v>
      </c>
      <c r="W985" s="9">
        <f>IFERROR(__xludf.DUMMYFUNCTION("""COMPUTED_VALUE"""),642.23)</f>
        <v>642.23</v>
      </c>
      <c r="X985" s="11">
        <f>IFERROR(__xludf.DUMMYFUNCTION("""COMPUTED_VALUE"""),44476.66666666667)</f>
        <v>44476.66667</v>
      </c>
      <c r="Y985" s="9">
        <f>IFERROR(__xludf.DUMMYFUNCTION("""COMPUTED_VALUE"""),631.85)</f>
        <v>631.85</v>
      </c>
      <c r="AA985" s="11">
        <f>IFERROR(__xludf.DUMMYFUNCTION("""COMPUTED_VALUE"""),44476.66666666667)</f>
        <v>44476.66667</v>
      </c>
      <c r="AB985" s="9">
        <f>IFERROR(__xludf.DUMMYFUNCTION("""COMPUTED_VALUE"""),3291.54)</f>
        <v>3291.54</v>
      </c>
      <c r="AC985" s="11">
        <f>IFERROR(__xludf.DUMMYFUNCTION("""COMPUTED_VALUE"""),44476.66666666667)</f>
        <v>44476.66667</v>
      </c>
      <c r="AD985" s="9">
        <f>IFERROR(__xludf.DUMMYFUNCTION("""COMPUTED_VALUE"""),3302.43)</f>
        <v>3302.43</v>
      </c>
    </row>
    <row r="986">
      <c r="B986" s="11">
        <f>IFERROR(__xludf.DUMMYFUNCTION("""COMPUTED_VALUE"""),44477.66666666667)</f>
        <v>44477.66667</v>
      </c>
      <c r="C986" s="9">
        <f>IFERROR(__xludf.DUMMYFUNCTION("""COMPUTED_VALUE"""),796.21)</f>
        <v>796.21</v>
      </c>
      <c r="D986" s="11">
        <f>IFERROR(__xludf.DUMMYFUNCTION("""COMPUTED_VALUE"""),44477.66666666667)</f>
        <v>44477.66667</v>
      </c>
      <c r="E986" s="9">
        <f>IFERROR(__xludf.DUMMYFUNCTION("""COMPUTED_VALUE"""),785.49)</f>
        <v>785.49</v>
      </c>
      <c r="G986" s="11">
        <f>IFERROR(__xludf.DUMMYFUNCTION("""COMPUTED_VALUE"""),44477.66666666667)</f>
        <v>44477.66667</v>
      </c>
      <c r="H986" s="9">
        <f>IFERROR(__xludf.DUMMYFUNCTION("""COMPUTED_VALUE"""),2798.12)</f>
        <v>2798.12</v>
      </c>
      <c r="I986" s="11">
        <f>IFERROR(__xludf.DUMMYFUNCTION("""COMPUTED_VALUE"""),44477.66666666667)</f>
        <v>44477.66667</v>
      </c>
      <c r="J986" s="9">
        <f>IFERROR(__xludf.DUMMYFUNCTION("""COMPUTED_VALUE"""),2801.12)</f>
        <v>2801.12</v>
      </c>
      <c r="L986" s="11">
        <f>IFERROR(__xludf.DUMMYFUNCTION("""COMPUTED_VALUE"""),44477.66666666667)</f>
        <v>44477.66667</v>
      </c>
      <c r="M986" s="9">
        <f>IFERROR(__xludf.DUMMYFUNCTION("""COMPUTED_VALUE"""),144.03)</f>
        <v>144.03</v>
      </c>
      <c r="N986" s="11">
        <f>IFERROR(__xludf.DUMMYFUNCTION("""COMPUTED_VALUE"""),44477.66666666667)</f>
        <v>44477.66667</v>
      </c>
      <c r="O986" s="9">
        <f>IFERROR(__xludf.DUMMYFUNCTION("""COMPUTED_VALUE"""),142.9)</f>
        <v>142.9</v>
      </c>
      <c r="Q986" s="11">
        <f>IFERROR(__xludf.DUMMYFUNCTION("""COMPUTED_VALUE"""),44477.66666666667)</f>
        <v>44477.66667</v>
      </c>
      <c r="R986" s="9">
        <f>IFERROR(__xludf.DUMMYFUNCTION("""COMPUTED_VALUE"""),331.51)</f>
        <v>331.51</v>
      </c>
      <c r="S986" s="11">
        <f>IFERROR(__xludf.DUMMYFUNCTION("""COMPUTED_VALUE"""),44477.66666666667)</f>
        <v>44477.66667</v>
      </c>
      <c r="T986" s="9">
        <f>IFERROR(__xludf.DUMMYFUNCTION("""COMPUTED_VALUE"""),330.05)</f>
        <v>330.05</v>
      </c>
      <c r="V986" s="11">
        <f>IFERROR(__xludf.DUMMYFUNCTION("""COMPUTED_VALUE"""),44477.66666666667)</f>
        <v>44477.66667</v>
      </c>
      <c r="W986" s="9">
        <f>IFERROR(__xludf.DUMMYFUNCTION("""COMPUTED_VALUE"""),634.17)</f>
        <v>634.17</v>
      </c>
      <c r="X986" s="11">
        <f>IFERROR(__xludf.DUMMYFUNCTION("""COMPUTED_VALUE"""),44477.66666666667)</f>
        <v>44477.66667</v>
      </c>
      <c r="Y986" s="9">
        <f>IFERROR(__xludf.DUMMYFUNCTION("""COMPUTED_VALUE"""),632.66)</f>
        <v>632.66</v>
      </c>
      <c r="AA986" s="11">
        <f>IFERROR(__xludf.DUMMYFUNCTION("""COMPUTED_VALUE"""),44477.66666666667)</f>
        <v>44477.66667</v>
      </c>
      <c r="AB986" s="9">
        <f>IFERROR(__xludf.DUMMYFUNCTION("""COMPUTED_VALUE"""),3317.0)</f>
        <v>3317</v>
      </c>
      <c r="AC986" s="11">
        <f>IFERROR(__xludf.DUMMYFUNCTION("""COMPUTED_VALUE"""),44477.66666666667)</f>
        <v>44477.66667</v>
      </c>
      <c r="AD986" s="9">
        <f>IFERROR(__xludf.DUMMYFUNCTION("""COMPUTED_VALUE"""),3288.62)</f>
        <v>3288.62</v>
      </c>
    </row>
    <row r="987">
      <c r="B987" s="11">
        <f>IFERROR(__xludf.DUMMYFUNCTION("""COMPUTED_VALUE"""),44480.66666666667)</f>
        <v>44480.66667</v>
      </c>
      <c r="C987" s="9">
        <f>IFERROR(__xludf.DUMMYFUNCTION("""COMPUTED_VALUE"""),787.65)</f>
        <v>787.65</v>
      </c>
      <c r="D987" s="11">
        <f>IFERROR(__xludf.DUMMYFUNCTION("""COMPUTED_VALUE"""),44480.66666666667)</f>
        <v>44480.66667</v>
      </c>
      <c r="E987" s="9">
        <f>IFERROR(__xludf.DUMMYFUNCTION("""COMPUTED_VALUE"""),791.94)</f>
        <v>791.94</v>
      </c>
      <c r="G987" s="11">
        <f>IFERROR(__xludf.DUMMYFUNCTION("""COMPUTED_VALUE"""),44480.66666666667)</f>
        <v>44480.66667</v>
      </c>
      <c r="H987" s="9">
        <f>IFERROR(__xludf.DUMMYFUNCTION("""COMPUTED_VALUE"""),2796.0)</f>
        <v>2796</v>
      </c>
      <c r="I987" s="11">
        <f>IFERROR(__xludf.DUMMYFUNCTION("""COMPUTED_VALUE"""),44480.66666666667)</f>
        <v>44480.66667</v>
      </c>
      <c r="J987" s="9">
        <f>IFERROR(__xludf.DUMMYFUNCTION("""COMPUTED_VALUE"""),2776.95)</f>
        <v>2776.95</v>
      </c>
      <c r="L987" s="11">
        <f>IFERROR(__xludf.DUMMYFUNCTION("""COMPUTED_VALUE"""),44480.66666666667)</f>
        <v>44480.66667</v>
      </c>
      <c r="M987" s="9">
        <f>IFERROR(__xludf.DUMMYFUNCTION("""COMPUTED_VALUE"""),142.27)</f>
        <v>142.27</v>
      </c>
      <c r="N987" s="11">
        <f>IFERROR(__xludf.DUMMYFUNCTION("""COMPUTED_VALUE"""),44480.66666666667)</f>
        <v>44480.66667</v>
      </c>
      <c r="O987" s="9">
        <f>IFERROR(__xludf.DUMMYFUNCTION("""COMPUTED_VALUE"""),142.81)</f>
        <v>142.81</v>
      </c>
      <c r="Q987" s="11">
        <f>IFERROR(__xludf.DUMMYFUNCTION("""COMPUTED_VALUE"""),44480.66666666667)</f>
        <v>44480.66667</v>
      </c>
      <c r="R987" s="9">
        <f>IFERROR(__xludf.DUMMYFUNCTION("""COMPUTED_VALUE"""),327.63)</f>
        <v>327.63</v>
      </c>
      <c r="S987" s="11">
        <f>IFERROR(__xludf.DUMMYFUNCTION("""COMPUTED_VALUE"""),44480.66666666667)</f>
        <v>44480.66667</v>
      </c>
      <c r="T987" s="9">
        <f>IFERROR(__xludf.DUMMYFUNCTION("""COMPUTED_VALUE"""),325.45)</f>
        <v>325.45</v>
      </c>
      <c r="V987" s="11">
        <f>IFERROR(__xludf.DUMMYFUNCTION("""COMPUTED_VALUE"""),44480.66666666667)</f>
        <v>44480.66667</v>
      </c>
      <c r="W987" s="9">
        <f>IFERROR(__xludf.DUMMYFUNCTION("""COMPUTED_VALUE"""),633.2)</f>
        <v>633.2</v>
      </c>
      <c r="X987" s="11">
        <f>IFERROR(__xludf.DUMMYFUNCTION("""COMPUTED_VALUE"""),44480.66666666667)</f>
        <v>44480.66667</v>
      </c>
      <c r="Y987" s="9">
        <f>IFERROR(__xludf.DUMMYFUNCTION("""COMPUTED_VALUE"""),627.04)</f>
        <v>627.04</v>
      </c>
      <c r="AA987" s="11">
        <f>IFERROR(__xludf.DUMMYFUNCTION("""COMPUTED_VALUE"""),44480.66666666667)</f>
        <v>44480.66667</v>
      </c>
      <c r="AB987" s="9">
        <f>IFERROR(__xludf.DUMMYFUNCTION("""COMPUTED_VALUE"""),3275.0)</f>
        <v>3275</v>
      </c>
      <c r="AC987" s="11">
        <f>IFERROR(__xludf.DUMMYFUNCTION("""COMPUTED_VALUE"""),44480.66666666667)</f>
        <v>44480.66667</v>
      </c>
      <c r="AD987" s="9">
        <f>IFERROR(__xludf.DUMMYFUNCTION("""COMPUTED_VALUE"""),3246.3)</f>
        <v>3246.3</v>
      </c>
    </row>
    <row r="988">
      <c r="B988" s="11">
        <f>IFERROR(__xludf.DUMMYFUNCTION("""COMPUTED_VALUE"""),44481.66666666667)</f>
        <v>44481.66667</v>
      </c>
      <c r="C988" s="9">
        <f>IFERROR(__xludf.DUMMYFUNCTION("""COMPUTED_VALUE"""),800.93)</f>
        <v>800.93</v>
      </c>
      <c r="D988" s="11">
        <f>IFERROR(__xludf.DUMMYFUNCTION("""COMPUTED_VALUE"""),44481.66666666667)</f>
        <v>44481.66667</v>
      </c>
      <c r="E988" s="9">
        <f>IFERROR(__xludf.DUMMYFUNCTION("""COMPUTED_VALUE"""),805.72)</f>
        <v>805.72</v>
      </c>
      <c r="G988" s="11">
        <f>IFERROR(__xludf.DUMMYFUNCTION("""COMPUTED_VALUE"""),44481.66666666667)</f>
        <v>44481.66667</v>
      </c>
      <c r="H988" s="9">
        <f>IFERROR(__xludf.DUMMYFUNCTION("""COMPUTED_VALUE"""),2792.75)</f>
        <v>2792.75</v>
      </c>
      <c r="I988" s="11">
        <f>IFERROR(__xludf.DUMMYFUNCTION("""COMPUTED_VALUE"""),44481.66666666667)</f>
        <v>44481.66667</v>
      </c>
      <c r="J988" s="9">
        <f>IFERROR(__xludf.DUMMYFUNCTION("""COMPUTED_VALUE"""),2734.26)</f>
        <v>2734.26</v>
      </c>
      <c r="L988" s="11">
        <f>IFERROR(__xludf.DUMMYFUNCTION("""COMPUTED_VALUE"""),44481.66666666667)</f>
        <v>44481.66667</v>
      </c>
      <c r="M988" s="9">
        <f>IFERROR(__xludf.DUMMYFUNCTION("""COMPUTED_VALUE"""),143.23)</f>
        <v>143.23</v>
      </c>
      <c r="N988" s="11">
        <f>IFERROR(__xludf.DUMMYFUNCTION("""COMPUTED_VALUE"""),44481.66666666667)</f>
        <v>44481.66667</v>
      </c>
      <c r="O988" s="9">
        <f>IFERROR(__xludf.DUMMYFUNCTION("""COMPUTED_VALUE"""),141.51)</f>
        <v>141.51</v>
      </c>
      <c r="Q988" s="11">
        <f>IFERROR(__xludf.DUMMYFUNCTION("""COMPUTED_VALUE"""),44481.66666666667)</f>
        <v>44481.66667</v>
      </c>
      <c r="R988" s="9">
        <f>IFERROR(__xludf.DUMMYFUNCTION("""COMPUTED_VALUE"""),323.03)</f>
        <v>323.03</v>
      </c>
      <c r="S988" s="11">
        <f>IFERROR(__xludf.DUMMYFUNCTION("""COMPUTED_VALUE"""),44481.66666666667)</f>
        <v>44481.66667</v>
      </c>
      <c r="T988" s="9">
        <f>IFERROR(__xludf.DUMMYFUNCTION("""COMPUTED_VALUE"""),323.77)</f>
        <v>323.77</v>
      </c>
      <c r="V988" s="11">
        <f>IFERROR(__xludf.DUMMYFUNCTION("""COMPUTED_VALUE"""),44481.66666666667)</f>
        <v>44481.66667</v>
      </c>
      <c r="W988" s="9">
        <f>IFERROR(__xludf.DUMMYFUNCTION("""COMPUTED_VALUE"""),633.02)</f>
        <v>633.02</v>
      </c>
      <c r="X988" s="11">
        <f>IFERROR(__xludf.DUMMYFUNCTION("""COMPUTED_VALUE"""),44481.66666666667)</f>
        <v>44481.66667</v>
      </c>
      <c r="Y988" s="9">
        <f>IFERROR(__xludf.DUMMYFUNCTION("""COMPUTED_VALUE"""),624.94)</f>
        <v>624.94</v>
      </c>
      <c r="AA988" s="11">
        <f>IFERROR(__xludf.DUMMYFUNCTION("""COMPUTED_VALUE"""),44481.66666666667)</f>
        <v>44481.66667</v>
      </c>
      <c r="AB988" s="9">
        <f>IFERROR(__xludf.DUMMYFUNCTION("""COMPUTED_VALUE"""),3257.0)</f>
        <v>3257</v>
      </c>
      <c r="AC988" s="11">
        <f>IFERROR(__xludf.DUMMYFUNCTION("""COMPUTED_VALUE"""),44481.66666666667)</f>
        <v>44481.66667</v>
      </c>
      <c r="AD988" s="9">
        <f>IFERROR(__xludf.DUMMYFUNCTION("""COMPUTED_VALUE"""),3247.33)</f>
        <v>3247.33</v>
      </c>
    </row>
    <row r="989">
      <c r="B989" s="11">
        <f>IFERROR(__xludf.DUMMYFUNCTION("""COMPUTED_VALUE"""),44482.66666666667)</f>
        <v>44482.66667</v>
      </c>
      <c r="C989" s="9">
        <f>IFERROR(__xludf.DUMMYFUNCTION("""COMPUTED_VALUE"""),810.47)</f>
        <v>810.47</v>
      </c>
      <c r="D989" s="11">
        <f>IFERROR(__xludf.DUMMYFUNCTION("""COMPUTED_VALUE"""),44482.66666666667)</f>
        <v>44482.66667</v>
      </c>
      <c r="E989" s="9">
        <f>IFERROR(__xludf.DUMMYFUNCTION("""COMPUTED_VALUE"""),811.08)</f>
        <v>811.08</v>
      </c>
      <c r="G989" s="11">
        <f>IFERROR(__xludf.DUMMYFUNCTION("""COMPUTED_VALUE"""),44482.66666666667)</f>
        <v>44482.66667</v>
      </c>
      <c r="H989" s="9">
        <f>IFERROR(__xludf.DUMMYFUNCTION("""COMPUTED_VALUE"""),2755.0)</f>
        <v>2755</v>
      </c>
      <c r="I989" s="11">
        <f>IFERROR(__xludf.DUMMYFUNCTION("""COMPUTED_VALUE"""),44482.66666666667)</f>
        <v>44482.66667</v>
      </c>
      <c r="J989" s="9">
        <f>IFERROR(__xludf.DUMMYFUNCTION("""COMPUTED_VALUE"""),2758.0)</f>
        <v>2758</v>
      </c>
      <c r="L989" s="11">
        <f>IFERROR(__xludf.DUMMYFUNCTION("""COMPUTED_VALUE"""),44482.66666666667)</f>
        <v>44482.66667</v>
      </c>
      <c r="M989" s="9">
        <f>IFERROR(__xludf.DUMMYFUNCTION("""COMPUTED_VALUE"""),141.24)</f>
        <v>141.24</v>
      </c>
      <c r="N989" s="11">
        <f>IFERROR(__xludf.DUMMYFUNCTION("""COMPUTED_VALUE"""),44482.66666666667)</f>
        <v>44482.66667</v>
      </c>
      <c r="O989" s="9">
        <f>IFERROR(__xludf.DUMMYFUNCTION("""COMPUTED_VALUE"""),140.91)</f>
        <v>140.91</v>
      </c>
      <c r="Q989" s="11">
        <f>IFERROR(__xludf.DUMMYFUNCTION("""COMPUTED_VALUE"""),44482.66666666667)</f>
        <v>44482.66667</v>
      </c>
      <c r="R989" s="9">
        <f>IFERROR(__xludf.DUMMYFUNCTION("""COMPUTED_VALUE"""),326.97)</f>
        <v>326.97</v>
      </c>
      <c r="S989" s="11">
        <f>IFERROR(__xludf.DUMMYFUNCTION("""COMPUTED_VALUE"""),44482.66666666667)</f>
        <v>44482.66667</v>
      </c>
      <c r="T989" s="9">
        <f>IFERROR(__xludf.DUMMYFUNCTION("""COMPUTED_VALUE"""),324.54)</f>
        <v>324.54</v>
      </c>
      <c r="V989" s="11">
        <f>IFERROR(__xludf.DUMMYFUNCTION("""COMPUTED_VALUE"""),44482.66666666667)</f>
        <v>44482.66667</v>
      </c>
      <c r="W989" s="9">
        <f>IFERROR(__xludf.DUMMYFUNCTION("""COMPUTED_VALUE"""),632.18)</f>
        <v>632.18</v>
      </c>
      <c r="X989" s="11">
        <f>IFERROR(__xludf.DUMMYFUNCTION("""COMPUTED_VALUE"""),44482.66666666667)</f>
        <v>44482.66667</v>
      </c>
      <c r="Y989" s="9">
        <f>IFERROR(__xludf.DUMMYFUNCTION("""COMPUTED_VALUE"""),629.76)</f>
        <v>629.76</v>
      </c>
      <c r="AA989" s="11">
        <f>IFERROR(__xludf.DUMMYFUNCTION("""COMPUTED_VALUE"""),44482.66666666667)</f>
        <v>44482.66667</v>
      </c>
      <c r="AB989" s="9">
        <f>IFERROR(__xludf.DUMMYFUNCTION("""COMPUTED_VALUE"""),3269.71)</f>
        <v>3269.71</v>
      </c>
      <c r="AC989" s="11">
        <f>IFERROR(__xludf.DUMMYFUNCTION("""COMPUTED_VALUE"""),44482.66666666667)</f>
        <v>44482.66667</v>
      </c>
      <c r="AD989" s="9">
        <f>IFERROR(__xludf.DUMMYFUNCTION("""COMPUTED_VALUE"""),3284.28)</f>
        <v>3284.28</v>
      </c>
    </row>
    <row r="990">
      <c r="B990" s="11">
        <f>IFERROR(__xludf.DUMMYFUNCTION("""COMPUTED_VALUE"""),44483.66666666667)</f>
        <v>44483.66667</v>
      </c>
      <c r="C990" s="9">
        <f>IFERROR(__xludf.DUMMYFUNCTION("""COMPUTED_VALUE"""),815.49)</f>
        <v>815.49</v>
      </c>
      <c r="D990" s="11">
        <f>IFERROR(__xludf.DUMMYFUNCTION("""COMPUTED_VALUE"""),44483.66666666667)</f>
        <v>44483.66667</v>
      </c>
      <c r="E990" s="9">
        <f>IFERROR(__xludf.DUMMYFUNCTION("""COMPUTED_VALUE"""),818.32)</f>
        <v>818.32</v>
      </c>
      <c r="G990" s="11">
        <f>IFERROR(__xludf.DUMMYFUNCTION("""COMPUTED_VALUE"""),44483.66666666667)</f>
        <v>44483.66667</v>
      </c>
      <c r="H990" s="9">
        <f>IFERROR(__xludf.DUMMYFUNCTION("""COMPUTED_VALUE"""),2799.04)</f>
        <v>2799.04</v>
      </c>
      <c r="I990" s="11">
        <f>IFERROR(__xludf.DUMMYFUNCTION("""COMPUTED_VALUE"""),44483.66666666667)</f>
        <v>44483.66667</v>
      </c>
      <c r="J990" s="9">
        <f>IFERROR(__xludf.DUMMYFUNCTION("""COMPUTED_VALUE"""),2828.24)</f>
        <v>2828.24</v>
      </c>
      <c r="L990" s="11">
        <f>IFERROR(__xludf.DUMMYFUNCTION("""COMPUTED_VALUE"""),44483.66666666667)</f>
        <v>44483.66667</v>
      </c>
      <c r="M990" s="9">
        <f>IFERROR(__xludf.DUMMYFUNCTION("""COMPUTED_VALUE"""),142.11)</f>
        <v>142.11</v>
      </c>
      <c r="N990" s="11">
        <f>IFERROR(__xludf.DUMMYFUNCTION("""COMPUTED_VALUE"""),44483.66666666667)</f>
        <v>44483.66667</v>
      </c>
      <c r="O990" s="9">
        <f>IFERROR(__xludf.DUMMYFUNCTION("""COMPUTED_VALUE"""),143.76)</f>
        <v>143.76</v>
      </c>
      <c r="Q990" s="11">
        <f>IFERROR(__xludf.DUMMYFUNCTION("""COMPUTED_VALUE"""),44483.66666666667)</f>
        <v>44483.66667</v>
      </c>
      <c r="R990" s="9">
        <f>IFERROR(__xludf.DUMMYFUNCTION("""COMPUTED_VALUE"""),328.36)</f>
        <v>328.36</v>
      </c>
      <c r="S990" s="11">
        <f>IFERROR(__xludf.DUMMYFUNCTION("""COMPUTED_VALUE"""),44483.66666666667)</f>
        <v>44483.66667</v>
      </c>
      <c r="T990" s="9">
        <f>IFERROR(__xludf.DUMMYFUNCTION("""COMPUTED_VALUE"""),328.53)</f>
        <v>328.53</v>
      </c>
      <c r="V990" s="11">
        <f>IFERROR(__xludf.DUMMYFUNCTION("""COMPUTED_VALUE"""),44483.66666666667)</f>
        <v>44483.66667</v>
      </c>
      <c r="W990" s="9">
        <f>IFERROR(__xludf.DUMMYFUNCTION("""COMPUTED_VALUE"""),632.23)</f>
        <v>632.23</v>
      </c>
      <c r="X990" s="11">
        <f>IFERROR(__xludf.DUMMYFUNCTION("""COMPUTED_VALUE"""),44483.66666666667)</f>
        <v>44483.66667</v>
      </c>
      <c r="Y990" s="9">
        <f>IFERROR(__xludf.DUMMYFUNCTION("""COMPUTED_VALUE"""),633.8)</f>
        <v>633.8</v>
      </c>
      <c r="AA990" s="11">
        <f>IFERROR(__xludf.DUMMYFUNCTION("""COMPUTED_VALUE"""),44483.66666666667)</f>
        <v>44483.66667</v>
      </c>
      <c r="AB990" s="9">
        <f>IFERROR(__xludf.DUMMYFUNCTION("""COMPUTED_VALUE"""),3302.45)</f>
        <v>3302.45</v>
      </c>
      <c r="AC990" s="11">
        <f>IFERROR(__xludf.DUMMYFUNCTION("""COMPUTED_VALUE"""),44483.66666666667)</f>
        <v>44483.66667</v>
      </c>
      <c r="AD990" s="9">
        <f>IFERROR(__xludf.DUMMYFUNCTION("""COMPUTED_VALUE"""),3299.86)</f>
        <v>3299.86</v>
      </c>
    </row>
    <row r="991">
      <c r="B991" s="11">
        <f>IFERROR(__xludf.DUMMYFUNCTION("""COMPUTED_VALUE"""),44484.66666666667)</f>
        <v>44484.66667</v>
      </c>
      <c r="C991" s="9">
        <f>IFERROR(__xludf.DUMMYFUNCTION("""COMPUTED_VALUE"""),823.74)</f>
        <v>823.74</v>
      </c>
      <c r="D991" s="11">
        <f>IFERROR(__xludf.DUMMYFUNCTION("""COMPUTED_VALUE"""),44484.66666666667)</f>
        <v>44484.66667</v>
      </c>
      <c r="E991" s="9">
        <f>IFERROR(__xludf.DUMMYFUNCTION("""COMPUTED_VALUE"""),843.03)</f>
        <v>843.03</v>
      </c>
      <c r="G991" s="11">
        <f>IFERROR(__xludf.DUMMYFUNCTION("""COMPUTED_VALUE"""),44484.66666666667)</f>
        <v>44484.66667</v>
      </c>
      <c r="H991" s="9">
        <f>IFERROR(__xludf.DUMMYFUNCTION("""COMPUTED_VALUE"""),2844.0)</f>
        <v>2844</v>
      </c>
      <c r="I991" s="11">
        <f>IFERROR(__xludf.DUMMYFUNCTION("""COMPUTED_VALUE"""),44484.66666666667)</f>
        <v>44484.66667</v>
      </c>
      <c r="J991" s="9">
        <f>IFERROR(__xludf.DUMMYFUNCTION("""COMPUTED_VALUE"""),2833.5)</f>
        <v>2833.5</v>
      </c>
      <c r="L991" s="11">
        <f>IFERROR(__xludf.DUMMYFUNCTION("""COMPUTED_VALUE"""),44484.66666666667)</f>
        <v>44484.66667</v>
      </c>
      <c r="M991" s="9">
        <f>IFERROR(__xludf.DUMMYFUNCTION("""COMPUTED_VALUE"""),143.77)</f>
        <v>143.77</v>
      </c>
      <c r="N991" s="11">
        <f>IFERROR(__xludf.DUMMYFUNCTION("""COMPUTED_VALUE"""),44484.66666666667)</f>
        <v>44484.66667</v>
      </c>
      <c r="O991" s="9">
        <f>IFERROR(__xludf.DUMMYFUNCTION("""COMPUTED_VALUE"""),144.84)</f>
        <v>144.84</v>
      </c>
      <c r="Q991" s="11">
        <f>IFERROR(__xludf.DUMMYFUNCTION("""COMPUTED_VALUE"""),44484.66666666667)</f>
        <v>44484.66667</v>
      </c>
      <c r="R991" s="9">
        <f>IFERROR(__xludf.DUMMYFUNCTION("""COMPUTED_VALUE"""),328.68)</f>
        <v>328.68</v>
      </c>
      <c r="S991" s="11">
        <f>IFERROR(__xludf.DUMMYFUNCTION("""COMPUTED_VALUE"""),44484.66666666667)</f>
        <v>44484.66667</v>
      </c>
      <c r="T991" s="9">
        <f>IFERROR(__xludf.DUMMYFUNCTION("""COMPUTED_VALUE"""),324.76)</f>
        <v>324.76</v>
      </c>
      <c r="V991" s="11">
        <f>IFERROR(__xludf.DUMMYFUNCTION("""COMPUTED_VALUE"""),44484.66666666667)</f>
        <v>44484.66667</v>
      </c>
      <c r="W991" s="9">
        <f>IFERROR(__xludf.DUMMYFUNCTION("""COMPUTED_VALUE"""),638.0)</f>
        <v>638</v>
      </c>
      <c r="X991" s="11">
        <f>IFERROR(__xludf.DUMMYFUNCTION("""COMPUTED_VALUE"""),44484.66666666667)</f>
        <v>44484.66667</v>
      </c>
      <c r="Y991" s="9">
        <f>IFERROR(__xludf.DUMMYFUNCTION("""COMPUTED_VALUE"""),628.29)</f>
        <v>628.29</v>
      </c>
      <c r="AA991" s="11">
        <f>IFERROR(__xludf.DUMMYFUNCTION("""COMPUTED_VALUE"""),44484.66666666667)</f>
        <v>44484.66667</v>
      </c>
      <c r="AB991" s="9">
        <f>IFERROR(__xludf.DUMMYFUNCTION("""COMPUTED_VALUE"""),3311.42)</f>
        <v>3311.42</v>
      </c>
      <c r="AC991" s="11">
        <f>IFERROR(__xludf.DUMMYFUNCTION("""COMPUTED_VALUE"""),44484.66666666667)</f>
        <v>44484.66667</v>
      </c>
      <c r="AD991" s="9">
        <f>IFERROR(__xludf.DUMMYFUNCTION("""COMPUTED_VALUE"""),3409.02)</f>
        <v>3409.02</v>
      </c>
    </row>
    <row r="992">
      <c r="B992" s="11">
        <f>IFERROR(__xludf.DUMMYFUNCTION("""COMPUTED_VALUE"""),44487.66666666667)</f>
        <v>44487.66667</v>
      </c>
      <c r="C992" s="9">
        <f>IFERROR(__xludf.DUMMYFUNCTION("""COMPUTED_VALUE"""),851.79)</f>
        <v>851.79</v>
      </c>
      <c r="D992" s="11">
        <f>IFERROR(__xludf.DUMMYFUNCTION("""COMPUTED_VALUE"""),44487.66666666667)</f>
        <v>44487.66667</v>
      </c>
      <c r="E992" s="9">
        <f>IFERROR(__xludf.DUMMYFUNCTION("""COMPUTED_VALUE"""),870.11)</f>
        <v>870.11</v>
      </c>
      <c r="G992" s="11">
        <f>IFERROR(__xludf.DUMMYFUNCTION("""COMPUTED_VALUE"""),44487.66666666667)</f>
        <v>44487.66667</v>
      </c>
      <c r="H992" s="9">
        <f>IFERROR(__xludf.DUMMYFUNCTION("""COMPUTED_VALUE"""),2824.27)</f>
        <v>2824.27</v>
      </c>
      <c r="I992" s="11">
        <f>IFERROR(__xludf.DUMMYFUNCTION("""COMPUTED_VALUE"""),44487.66666666667)</f>
        <v>44487.66667</v>
      </c>
      <c r="J992" s="9">
        <f>IFERROR(__xludf.DUMMYFUNCTION("""COMPUTED_VALUE"""),2859.21)</f>
        <v>2859.21</v>
      </c>
      <c r="L992" s="11">
        <f>IFERROR(__xludf.DUMMYFUNCTION("""COMPUTED_VALUE"""),44487.66666666667)</f>
        <v>44487.66667</v>
      </c>
      <c r="M992" s="9">
        <f>IFERROR(__xludf.DUMMYFUNCTION("""COMPUTED_VALUE"""),143.45)</f>
        <v>143.45</v>
      </c>
      <c r="N992" s="11">
        <f>IFERROR(__xludf.DUMMYFUNCTION("""COMPUTED_VALUE"""),44487.66666666667)</f>
        <v>44487.66667</v>
      </c>
      <c r="O992" s="9">
        <f>IFERROR(__xludf.DUMMYFUNCTION("""COMPUTED_VALUE"""),146.55)</f>
        <v>146.55</v>
      </c>
      <c r="Q992" s="11">
        <f>IFERROR(__xludf.DUMMYFUNCTION("""COMPUTED_VALUE"""),44487.66666666667)</f>
        <v>44487.66667</v>
      </c>
      <c r="R992" s="9">
        <f>IFERROR(__xludf.DUMMYFUNCTION("""COMPUTED_VALUE"""),328.95)</f>
        <v>328.95</v>
      </c>
      <c r="S992" s="11">
        <f>IFERROR(__xludf.DUMMYFUNCTION("""COMPUTED_VALUE"""),44487.66666666667)</f>
        <v>44487.66667</v>
      </c>
      <c r="T992" s="9">
        <f>IFERROR(__xludf.DUMMYFUNCTION("""COMPUTED_VALUE"""),335.34)</f>
        <v>335.34</v>
      </c>
      <c r="V992" s="11">
        <f>IFERROR(__xludf.DUMMYFUNCTION("""COMPUTED_VALUE"""),44487.66666666667)</f>
        <v>44487.66667</v>
      </c>
      <c r="W992" s="9">
        <f>IFERROR(__xludf.DUMMYFUNCTION("""COMPUTED_VALUE"""),632.1)</f>
        <v>632.1</v>
      </c>
      <c r="X992" s="11">
        <f>IFERROR(__xludf.DUMMYFUNCTION("""COMPUTED_VALUE"""),44487.66666666667)</f>
        <v>44487.66667</v>
      </c>
      <c r="Y992" s="9">
        <f>IFERROR(__xludf.DUMMYFUNCTION("""COMPUTED_VALUE"""),637.97)</f>
        <v>637.97</v>
      </c>
      <c r="AA992" s="11">
        <f>IFERROR(__xludf.DUMMYFUNCTION("""COMPUTED_VALUE"""),44487.66666666667)</f>
        <v>44487.66667</v>
      </c>
      <c r="AB992" s="9">
        <f>IFERROR(__xludf.DUMMYFUNCTION("""COMPUTED_VALUE"""),3388.36)</f>
        <v>3388.36</v>
      </c>
      <c r="AC992" s="11">
        <f>IFERROR(__xludf.DUMMYFUNCTION("""COMPUTED_VALUE"""),44487.66666666667)</f>
        <v>44487.66667</v>
      </c>
      <c r="AD992" s="9">
        <f>IFERROR(__xludf.DUMMYFUNCTION("""COMPUTED_VALUE"""),3446.74)</f>
        <v>3446.74</v>
      </c>
    </row>
    <row r="993">
      <c r="B993" s="11">
        <f>IFERROR(__xludf.DUMMYFUNCTION("""COMPUTED_VALUE"""),44488.66666666667)</f>
        <v>44488.66667</v>
      </c>
      <c r="C993" s="9">
        <f>IFERROR(__xludf.DUMMYFUNCTION("""COMPUTED_VALUE"""),877.53)</f>
        <v>877.53</v>
      </c>
      <c r="D993" s="11">
        <f>IFERROR(__xludf.DUMMYFUNCTION("""COMPUTED_VALUE"""),44488.66666666667)</f>
        <v>44488.66667</v>
      </c>
      <c r="E993" s="9">
        <f>IFERROR(__xludf.DUMMYFUNCTION("""COMPUTED_VALUE"""),864.27)</f>
        <v>864.27</v>
      </c>
      <c r="G993" s="11">
        <f>IFERROR(__xludf.DUMMYFUNCTION("""COMPUTED_VALUE"""),44488.66666666667)</f>
        <v>44488.66667</v>
      </c>
      <c r="H993" s="9">
        <f>IFERROR(__xludf.DUMMYFUNCTION("""COMPUTED_VALUE"""),2865.83)</f>
        <v>2865.83</v>
      </c>
      <c r="I993" s="11">
        <f>IFERROR(__xludf.DUMMYFUNCTION("""COMPUTED_VALUE"""),44488.66666666667)</f>
        <v>44488.66667</v>
      </c>
      <c r="J993" s="9">
        <f>IFERROR(__xludf.DUMMYFUNCTION("""COMPUTED_VALUE"""),2876.44)</f>
        <v>2876.44</v>
      </c>
      <c r="L993" s="11">
        <f>IFERROR(__xludf.DUMMYFUNCTION("""COMPUTED_VALUE"""),44488.66666666667)</f>
        <v>44488.66667</v>
      </c>
      <c r="M993" s="9">
        <f>IFERROR(__xludf.DUMMYFUNCTION("""COMPUTED_VALUE"""),147.01)</f>
        <v>147.01</v>
      </c>
      <c r="N993" s="11">
        <f>IFERROR(__xludf.DUMMYFUNCTION("""COMPUTED_VALUE"""),44488.66666666667)</f>
        <v>44488.66667</v>
      </c>
      <c r="O993" s="9">
        <f>IFERROR(__xludf.DUMMYFUNCTION("""COMPUTED_VALUE"""),148.76)</f>
        <v>148.76</v>
      </c>
      <c r="Q993" s="11">
        <f>IFERROR(__xludf.DUMMYFUNCTION("""COMPUTED_VALUE"""),44488.66666666667)</f>
        <v>44488.66667</v>
      </c>
      <c r="R993" s="9">
        <f>IFERROR(__xludf.DUMMYFUNCTION("""COMPUTED_VALUE"""),339.65)</f>
        <v>339.65</v>
      </c>
      <c r="S993" s="11">
        <f>IFERROR(__xludf.DUMMYFUNCTION("""COMPUTED_VALUE"""),44488.66666666667)</f>
        <v>44488.66667</v>
      </c>
      <c r="T993" s="9">
        <f>IFERROR(__xludf.DUMMYFUNCTION("""COMPUTED_VALUE"""),339.99)</f>
        <v>339.99</v>
      </c>
      <c r="V993" s="11">
        <f>IFERROR(__xludf.DUMMYFUNCTION("""COMPUTED_VALUE"""),44488.66666666667)</f>
        <v>44488.66667</v>
      </c>
      <c r="W993" s="9">
        <f>IFERROR(__xludf.DUMMYFUNCTION("""COMPUTED_VALUE"""),636.97)</f>
        <v>636.97</v>
      </c>
      <c r="X993" s="11">
        <f>IFERROR(__xludf.DUMMYFUNCTION("""COMPUTED_VALUE"""),44488.66666666667)</f>
        <v>44488.66667</v>
      </c>
      <c r="Y993" s="9">
        <f>IFERROR(__xludf.DUMMYFUNCTION("""COMPUTED_VALUE"""),639.0)</f>
        <v>639</v>
      </c>
      <c r="AA993" s="11">
        <f>IFERROR(__xludf.DUMMYFUNCTION("""COMPUTED_VALUE"""),44488.66666666667)</f>
        <v>44488.66667</v>
      </c>
      <c r="AB993" s="9">
        <f>IFERROR(__xludf.DUMMYFUNCTION("""COMPUTED_VALUE"""),3434.29)</f>
        <v>3434.29</v>
      </c>
      <c r="AC993" s="11">
        <f>IFERROR(__xludf.DUMMYFUNCTION("""COMPUTED_VALUE"""),44488.66666666667)</f>
        <v>44488.66667</v>
      </c>
      <c r="AD993" s="9">
        <f>IFERROR(__xludf.DUMMYFUNCTION("""COMPUTED_VALUE"""),3444.15)</f>
        <v>3444.15</v>
      </c>
    </row>
    <row r="994">
      <c r="B994" s="11">
        <f>IFERROR(__xludf.DUMMYFUNCTION("""COMPUTED_VALUE"""),44489.66666666667)</f>
        <v>44489.66667</v>
      </c>
      <c r="C994" s="9">
        <f>IFERROR(__xludf.DUMMYFUNCTION("""COMPUTED_VALUE"""),865.35)</f>
        <v>865.35</v>
      </c>
      <c r="D994" s="11">
        <f>IFERROR(__xludf.DUMMYFUNCTION("""COMPUTED_VALUE"""),44489.66666666667)</f>
        <v>44489.66667</v>
      </c>
      <c r="E994" s="9">
        <f>IFERROR(__xludf.DUMMYFUNCTION("""COMPUTED_VALUE"""),865.8)</f>
        <v>865.8</v>
      </c>
      <c r="G994" s="11">
        <f>IFERROR(__xludf.DUMMYFUNCTION("""COMPUTED_VALUE"""),44489.66666666667)</f>
        <v>44489.66667</v>
      </c>
      <c r="H994" s="9">
        <f>IFERROR(__xludf.DUMMYFUNCTION("""COMPUTED_VALUE"""),2884.45)</f>
        <v>2884.45</v>
      </c>
      <c r="I994" s="11">
        <f>IFERROR(__xludf.DUMMYFUNCTION("""COMPUTED_VALUE"""),44489.66666666667)</f>
        <v>44489.66667</v>
      </c>
      <c r="J994" s="9">
        <f>IFERROR(__xludf.DUMMYFUNCTION("""COMPUTED_VALUE"""),2848.3)</f>
        <v>2848.3</v>
      </c>
      <c r="L994" s="11">
        <f>IFERROR(__xludf.DUMMYFUNCTION("""COMPUTED_VALUE"""),44489.66666666667)</f>
        <v>44489.66667</v>
      </c>
      <c r="M994" s="9">
        <f>IFERROR(__xludf.DUMMYFUNCTION("""COMPUTED_VALUE"""),148.7)</f>
        <v>148.7</v>
      </c>
      <c r="N994" s="11">
        <f>IFERROR(__xludf.DUMMYFUNCTION("""COMPUTED_VALUE"""),44489.66666666667)</f>
        <v>44489.66667</v>
      </c>
      <c r="O994" s="9">
        <f>IFERROR(__xludf.DUMMYFUNCTION("""COMPUTED_VALUE"""),149.26)</f>
        <v>149.26</v>
      </c>
      <c r="Q994" s="11">
        <f>IFERROR(__xludf.DUMMYFUNCTION("""COMPUTED_VALUE"""),44489.66666666667)</f>
        <v>44489.66667</v>
      </c>
      <c r="R994" s="9">
        <f>IFERROR(__xludf.DUMMYFUNCTION("""COMPUTED_VALUE"""),343.45)</f>
        <v>343.45</v>
      </c>
      <c r="S994" s="11">
        <f>IFERROR(__xludf.DUMMYFUNCTION("""COMPUTED_VALUE"""),44489.66666666667)</f>
        <v>44489.66667</v>
      </c>
      <c r="T994" s="9">
        <f>IFERROR(__xludf.DUMMYFUNCTION("""COMPUTED_VALUE"""),340.78)</f>
        <v>340.78</v>
      </c>
      <c r="V994" s="11">
        <f>IFERROR(__xludf.DUMMYFUNCTION("""COMPUTED_VALUE"""),44489.66666666667)</f>
        <v>44489.66667</v>
      </c>
      <c r="W994" s="9">
        <f>IFERROR(__xludf.DUMMYFUNCTION("""COMPUTED_VALUE"""),625.57)</f>
        <v>625.57</v>
      </c>
      <c r="X994" s="11">
        <f>IFERROR(__xludf.DUMMYFUNCTION("""COMPUTED_VALUE"""),44489.66666666667)</f>
        <v>44489.66667</v>
      </c>
      <c r="Y994" s="9">
        <f>IFERROR(__xludf.DUMMYFUNCTION("""COMPUTED_VALUE"""),625.14)</f>
        <v>625.14</v>
      </c>
      <c r="AA994" s="11">
        <f>IFERROR(__xludf.DUMMYFUNCTION("""COMPUTED_VALUE"""),44489.66666666667)</f>
        <v>44489.66667</v>
      </c>
      <c r="AB994" s="9">
        <f>IFERROR(__xludf.DUMMYFUNCTION("""COMPUTED_VALUE"""),3452.66)</f>
        <v>3452.66</v>
      </c>
      <c r="AC994" s="11">
        <f>IFERROR(__xludf.DUMMYFUNCTION("""COMPUTED_VALUE"""),44489.66666666667)</f>
        <v>44489.66667</v>
      </c>
      <c r="AD994" s="9">
        <f>IFERROR(__xludf.DUMMYFUNCTION("""COMPUTED_VALUE"""),3415.06)</f>
        <v>3415.06</v>
      </c>
    </row>
    <row r="995">
      <c r="B995" s="11">
        <f>IFERROR(__xludf.DUMMYFUNCTION("""COMPUTED_VALUE"""),44490.66666666667)</f>
        <v>44490.66667</v>
      </c>
      <c r="C995" s="9">
        <f>IFERROR(__xludf.DUMMYFUNCTION("""COMPUTED_VALUE"""),856.0)</f>
        <v>856</v>
      </c>
      <c r="D995" s="11">
        <f>IFERROR(__xludf.DUMMYFUNCTION("""COMPUTED_VALUE"""),44490.66666666667)</f>
        <v>44490.66667</v>
      </c>
      <c r="E995" s="9">
        <f>IFERROR(__xludf.DUMMYFUNCTION("""COMPUTED_VALUE"""),894.0)</f>
        <v>894</v>
      </c>
      <c r="G995" s="11">
        <f>IFERROR(__xludf.DUMMYFUNCTION("""COMPUTED_VALUE"""),44490.66666666667)</f>
        <v>44490.66667</v>
      </c>
      <c r="H995" s="9">
        <f>IFERROR(__xludf.DUMMYFUNCTION("""COMPUTED_VALUE"""),2843.84)</f>
        <v>2843.84</v>
      </c>
      <c r="I995" s="11">
        <f>IFERROR(__xludf.DUMMYFUNCTION("""COMPUTED_VALUE"""),44490.66666666667)</f>
        <v>44490.66667</v>
      </c>
      <c r="J995" s="9">
        <f>IFERROR(__xludf.DUMMYFUNCTION("""COMPUTED_VALUE"""),2855.61)</f>
        <v>2855.61</v>
      </c>
      <c r="L995" s="11">
        <f>IFERROR(__xludf.DUMMYFUNCTION("""COMPUTED_VALUE"""),44490.66666666667)</f>
        <v>44490.66667</v>
      </c>
      <c r="M995" s="9">
        <f>IFERROR(__xludf.DUMMYFUNCTION("""COMPUTED_VALUE"""),148.81)</f>
        <v>148.81</v>
      </c>
      <c r="N995" s="11">
        <f>IFERROR(__xludf.DUMMYFUNCTION("""COMPUTED_VALUE"""),44490.66666666667)</f>
        <v>44490.66667</v>
      </c>
      <c r="O995" s="9">
        <f>IFERROR(__xludf.DUMMYFUNCTION("""COMPUTED_VALUE"""),149.48)</f>
        <v>149.48</v>
      </c>
      <c r="Q995" s="11">
        <f>IFERROR(__xludf.DUMMYFUNCTION("""COMPUTED_VALUE"""),44490.66666666667)</f>
        <v>44490.66667</v>
      </c>
      <c r="R995" s="9">
        <f>IFERROR(__xludf.DUMMYFUNCTION("""COMPUTED_VALUE"""),340.28)</f>
        <v>340.28</v>
      </c>
      <c r="S995" s="11">
        <f>IFERROR(__xludf.DUMMYFUNCTION("""COMPUTED_VALUE"""),44490.66666666667)</f>
        <v>44490.66667</v>
      </c>
      <c r="T995" s="9">
        <f>IFERROR(__xludf.DUMMYFUNCTION("""COMPUTED_VALUE"""),341.88)</f>
        <v>341.88</v>
      </c>
      <c r="V995" s="11">
        <f>IFERROR(__xludf.DUMMYFUNCTION("""COMPUTED_VALUE"""),44490.66666666667)</f>
        <v>44490.66667</v>
      </c>
      <c r="W995" s="9">
        <f>IFERROR(__xludf.DUMMYFUNCTION("""COMPUTED_VALUE"""),628.89)</f>
        <v>628.89</v>
      </c>
      <c r="X995" s="11">
        <f>IFERROR(__xludf.DUMMYFUNCTION("""COMPUTED_VALUE"""),44490.66666666667)</f>
        <v>44490.66667</v>
      </c>
      <c r="Y995" s="9">
        <f>IFERROR(__xludf.DUMMYFUNCTION("""COMPUTED_VALUE"""),653.16)</f>
        <v>653.16</v>
      </c>
      <c r="AA995" s="11">
        <f>IFERROR(__xludf.DUMMYFUNCTION("""COMPUTED_VALUE"""),44490.66666666667)</f>
        <v>44490.66667</v>
      </c>
      <c r="AB995" s="9">
        <f>IFERROR(__xludf.DUMMYFUNCTION("""COMPUTED_VALUE"""),3414.25)</f>
        <v>3414.25</v>
      </c>
      <c r="AC995" s="11">
        <f>IFERROR(__xludf.DUMMYFUNCTION("""COMPUTED_VALUE"""),44490.66666666667)</f>
        <v>44490.66667</v>
      </c>
      <c r="AD995" s="9">
        <f>IFERROR(__xludf.DUMMYFUNCTION("""COMPUTED_VALUE"""),3435.01)</f>
        <v>3435.01</v>
      </c>
    </row>
    <row r="996">
      <c r="B996" s="11">
        <f>IFERROR(__xludf.DUMMYFUNCTION("""COMPUTED_VALUE"""),44491.66666666667)</f>
        <v>44491.66667</v>
      </c>
      <c r="C996" s="9">
        <f>IFERROR(__xludf.DUMMYFUNCTION("""COMPUTED_VALUE"""),895.5)</f>
        <v>895.5</v>
      </c>
      <c r="D996" s="11">
        <f>IFERROR(__xludf.DUMMYFUNCTION("""COMPUTED_VALUE"""),44491.66666666667)</f>
        <v>44491.66667</v>
      </c>
      <c r="E996" s="9">
        <f>IFERROR(__xludf.DUMMYFUNCTION("""COMPUTED_VALUE"""),909.68)</f>
        <v>909.68</v>
      </c>
      <c r="G996" s="11">
        <f>IFERROR(__xludf.DUMMYFUNCTION("""COMPUTED_VALUE"""),44491.66666666667)</f>
        <v>44491.66667</v>
      </c>
      <c r="H996" s="9">
        <f>IFERROR(__xludf.DUMMYFUNCTION("""COMPUTED_VALUE"""),2807.02)</f>
        <v>2807.02</v>
      </c>
      <c r="I996" s="11">
        <f>IFERROR(__xludf.DUMMYFUNCTION("""COMPUTED_VALUE"""),44491.66666666667)</f>
        <v>44491.66667</v>
      </c>
      <c r="J996" s="9">
        <f>IFERROR(__xludf.DUMMYFUNCTION("""COMPUTED_VALUE"""),2772.5)</f>
        <v>2772.5</v>
      </c>
      <c r="L996" s="11">
        <f>IFERROR(__xludf.DUMMYFUNCTION("""COMPUTED_VALUE"""),44491.66666666667)</f>
        <v>44491.66667</v>
      </c>
      <c r="M996" s="9">
        <f>IFERROR(__xludf.DUMMYFUNCTION("""COMPUTED_VALUE"""),149.69)</f>
        <v>149.69</v>
      </c>
      <c r="N996" s="11">
        <f>IFERROR(__xludf.DUMMYFUNCTION("""COMPUTED_VALUE"""),44491.66666666667)</f>
        <v>44491.66667</v>
      </c>
      <c r="O996" s="9">
        <f>IFERROR(__xludf.DUMMYFUNCTION("""COMPUTED_VALUE"""),148.69)</f>
        <v>148.69</v>
      </c>
      <c r="Q996" s="11">
        <f>IFERROR(__xludf.DUMMYFUNCTION("""COMPUTED_VALUE"""),44491.66666666667)</f>
        <v>44491.66667</v>
      </c>
      <c r="R996" s="9">
        <f>IFERROR(__xludf.DUMMYFUNCTION("""COMPUTED_VALUE"""),326.35)</f>
        <v>326.35</v>
      </c>
      <c r="S996" s="11">
        <f>IFERROR(__xludf.DUMMYFUNCTION("""COMPUTED_VALUE"""),44491.66666666667)</f>
        <v>44491.66667</v>
      </c>
      <c r="T996" s="9">
        <f>IFERROR(__xludf.DUMMYFUNCTION("""COMPUTED_VALUE"""),324.61)</f>
        <v>324.61</v>
      </c>
      <c r="V996" s="11">
        <f>IFERROR(__xludf.DUMMYFUNCTION("""COMPUTED_VALUE"""),44491.66666666667)</f>
        <v>44491.66667</v>
      </c>
      <c r="W996" s="9">
        <f>IFERROR(__xludf.DUMMYFUNCTION("""COMPUTED_VALUE"""),651.81)</f>
        <v>651.81</v>
      </c>
      <c r="X996" s="11">
        <f>IFERROR(__xludf.DUMMYFUNCTION("""COMPUTED_VALUE"""),44491.66666666667)</f>
        <v>44491.66667</v>
      </c>
      <c r="Y996" s="9">
        <f>IFERROR(__xludf.DUMMYFUNCTION("""COMPUTED_VALUE"""),664.78)</f>
        <v>664.78</v>
      </c>
      <c r="AA996" s="11">
        <f>IFERROR(__xludf.DUMMYFUNCTION("""COMPUTED_VALUE"""),44491.66666666667)</f>
        <v>44491.66667</v>
      </c>
      <c r="AB996" s="9">
        <f>IFERROR(__xludf.DUMMYFUNCTION("""COMPUTED_VALUE"""),3421.0)</f>
        <v>3421</v>
      </c>
      <c r="AC996" s="11">
        <f>IFERROR(__xludf.DUMMYFUNCTION("""COMPUTED_VALUE"""),44491.66666666667)</f>
        <v>44491.66667</v>
      </c>
      <c r="AD996" s="9">
        <f>IFERROR(__xludf.DUMMYFUNCTION("""COMPUTED_VALUE"""),3335.55)</f>
        <v>3335.55</v>
      </c>
    </row>
    <row r="997">
      <c r="B997" s="11">
        <f>IFERROR(__xludf.DUMMYFUNCTION("""COMPUTED_VALUE"""),44494.66666666667)</f>
        <v>44494.66667</v>
      </c>
      <c r="C997" s="9">
        <f>IFERROR(__xludf.DUMMYFUNCTION("""COMPUTED_VALUE"""),950.53)</f>
        <v>950.53</v>
      </c>
      <c r="D997" s="11">
        <f>IFERROR(__xludf.DUMMYFUNCTION("""COMPUTED_VALUE"""),44494.66666666667)</f>
        <v>44494.66667</v>
      </c>
      <c r="E997" s="9">
        <f>IFERROR(__xludf.DUMMYFUNCTION("""COMPUTED_VALUE"""),1024.86)</f>
        <v>1024.86</v>
      </c>
      <c r="G997" s="11">
        <f>IFERROR(__xludf.DUMMYFUNCTION("""COMPUTED_VALUE"""),44494.66666666667)</f>
        <v>44494.66667</v>
      </c>
      <c r="H997" s="9">
        <f>IFERROR(__xludf.DUMMYFUNCTION("""COMPUTED_VALUE"""),2776.21)</f>
        <v>2776.21</v>
      </c>
      <c r="I997" s="11">
        <f>IFERROR(__xludf.DUMMYFUNCTION("""COMPUTED_VALUE"""),44494.66666666667)</f>
        <v>44494.66667</v>
      </c>
      <c r="J997" s="9">
        <f>IFERROR(__xludf.DUMMYFUNCTION("""COMPUTED_VALUE"""),2775.46)</f>
        <v>2775.46</v>
      </c>
      <c r="L997" s="11">
        <f>IFERROR(__xludf.DUMMYFUNCTION("""COMPUTED_VALUE"""),44494.66666666667)</f>
        <v>44494.66667</v>
      </c>
      <c r="M997" s="9">
        <f>IFERROR(__xludf.DUMMYFUNCTION("""COMPUTED_VALUE"""),148.68)</f>
        <v>148.68</v>
      </c>
      <c r="N997" s="11">
        <f>IFERROR(__xludf.DUMMYFUNCTION("""COMPUTED_VALUE"""),44494.66666666667)</f>
        <v>44494.66667</v>
      </c>
      <c r="O997" s="9">
        <f>IFERROR(__xludf.DUMMYFUNCTION("""COMPUTED_VALUE"""),148.64)</f>
        <v>148.64</v>
      </c>
      <c r="Q997" s="11">
        <f>IFERROR(__xludf.DUMMYFUNCTION("""COMPUTED_VALUE"""),44494.66666666667)</f>
        <v>44494.66667</v>
      </c>
      <c r="R997" s="9">
        <f>IFERROR(__xludf.DUMMYFUNCTION("""COMPUTED_VALUE"""),320.3)</f>
        <v>320.3</v>
      </c>
      <c r="S997" s="11">
        <f>IFERROR(__xludf.DUMMYFUNCTION("""COMPUTED_VALUE"""),44494.66666666667)</f>
        <v>44494.66667</v>
      </c>
      <c r="T997" s="9">
        <f>IFERROR(__xludf.DUMMYFUNCTION("""COMPUTED_VALUE"""),328.69)</f>
        <v>328.69</v>
      </c>
      <c r="V997" s="11">
        <f>IFERROR(__xludf.DUMMYFUNCTION("""COMPUTED_VALUE"""),44494.66666666667)</f>
        <v>44494.66667</v>
      </c>
      <c r="W997" s="9">
        <f>IFERROR(__xludf.DUMMYFUNCTION("""COMPUTED_VALUE"""),663.74)</f>
        <v>663.74</v>
      </c>
      <c r="X997" s="11">
        <f>IFERROR(__xludf.DUMMYFUNCTION("""COMPUTED_VALUE"""),44494.66666666667)</f>
        <v>44494.66667</v>
      </c>
      <c r="Y997" s="9">
        <f>IFERROR(__xludf.DUMMYFUNCTION("""COMPUTED_VALUE"""),671.66)</f>
        <v>671.66</v>
      </c>
      <c r="AA997" s="11">
        <f>IFERROR(__xludf.DUMMYFUNCTION("""COMPUTED_VALUE"""),44494.66666666667)</f>
        <v>44494.66667</v>
      </c>
      <c r="AB997" s="9">
        <f>IFERROR(__xludf.DUMMYFUNCTION("""COMPUTED_VALUE"""),3335.0)</f>
        <v>3335</v>
      </c>
      <c r="AC997" s="11">
        <f>IFERROR(__xludf.DUMMYFUNCTION("""COMPUTED_VALUE"""),44494.66666666667)</f>
        <v>44494.66667</v>
      </c>
      <c r="AD997" s="9">
        <f>IFERROR(__xludf.DUMMYFUNCTION("""COMPUTED_VALUE"""),3320.37)</f>
        <v>3320.37</v>
      </c>
    </row>
    <row r="998">
      <c r="B998" s="11">
        <f>IFERROR(__xludf.DUMMYFUNCTION("""COMPUTED_VALUE"""),44495.66666666667)</f>
        <v>44495.66667</v>
      </c>
      <c r="C998" s="9">
        <f>IFERROR(__xludf.DUMMYFUNCTION("""COMPUTED_VALUE"""),1024.69)</f>
        <v>1024.69</v>
      </c>
      <c r="D998" s="11">
        <f>IFERROR(__xludf.DUMMYFUNCTION("""COMPUTED_VALUE"""),44495.66666666667)</f>
        <v>44495.66667</v>
      </c>
      <c r="E998" s="9">
        <f>IFERROR(__xludf.DUMMYFUNCTION("""COMPUTED_VALUE"""),1018.43)</f>
        <v>1018.43</v>
      </c>
      <c r="G998" s="11">
        <f>IFERROR(__xludf.DUMMYFUNCTION("""COMPUTED_VALUE"""),44495.66666666667)</f>
        <v>44495.66667</v>
      </c>
      <c r="H998" s="9">
        <f>IFERROR(__xludf.DUMMYFUNCTION("""COMPUTED_VALUE"""),2812.12)</f>
        <v>2812.12</v>
      </c>
      <c r="I998" s="11">
        <f>IFERROR(__xludf.DUMMYFUNCTION("""COMPUTED_VALUE"""),44495.66666666667)</f>
        <v>44495.66667</v>
      </c>
      <c r="J998" s="9">
        <f>IFERROR(__xludf.DUMMYFUNCTION("""COMPUTED_VALUE"""),2793.44)</f>
        <v>2793.44</v>
      </c>
      <c r="L998" s="11">
        <f>IFERROR(__xludf.DUMMYFUNCTION("""COMPUTED_VALUE"""),44495.66666666667)</f>
        <v>44495.66667</v>
      </c>
      <c r="M998" s="9">
        <f>IFERROR(__xludf.DUMMYFUNCTION("""COMPUTED_VALUE"""),149.33)</f>
        <v>149.33</v>
      </c>
      <c r="N998" s="11">
        <f>IFERROR(__xludf.DUMMYFUNCTION("""COMPUTED_VALUE"""),44495.66666666667)</f>
        <v>44495.66667</v>
      </c>
      <c r="O998" s="9">
        <f>IFERROR(__xludf.DUMMYFUNCTION("""COMPUTED_VALUE"""),149.32)</f>
        <v>149.32</v>
      </c>
      <c r="Q998" s="11">
        <f>IFERROR(__xludf.DUMMYFUNCTION("""COMPUTED_VALUE"""),44495.66666666667)</f>
        <v>44495.66667</v>
      </c>
      <c r="R998" s="9">
        <f>IFERROR(__xludf.DUMMYFUNCTION("""COMPUTED_VALUE"""),328.26)</f>
        <v>328.26</v>
      </c>
      <c r="S998" s="11">
        <f>IFERROR(__xludf.DUMMYFUNCTION("""COMPUTED_VALUE"""),44495.66666666667)</f>
        <v>44495.66667</v>
      </c>
      <c r="T998" s="9">
        <f>IFERROR(__xludf.DUMMYFUNCTION("""COMPUTED_VALUE"""),315.81)</f>
        <v>315.81</v>
      </c>
      <c r="V998" s="11">
        <f>IFERROR(__xludf.DUMMYFUNCTION("""COMPUTED_VALUE"""),44495.66666666667)</f>
        <v>44495.66667</v>
      </c>
      <c r="W998" s="9">
        <f>IFERROR(__xludf.DUMMYFUNCTION("""COMPUTED_VALUE"""),673.76)</f>
        <v>673.76</v>
      </c>
      <c r="X998" s="11">
        <f>IFERROR(__xludf.DUMMYFUNCTION("""COMPUTED_VALUE"""),44495.66666666667)</f>
        <v>44495.66667</v>
      </c>
      <c r="Y998" s="9">
        <f>IFERROR(__xludf.DUMMYFUNCTION("""COMPUTED_VALUE"""),668.52)</f>
        <v>668.52</v>
      </c>
      <c r="AA998" s="11">
        <f>IFERROR(__xludf.DUMMYFUNCTION("""COMPUTED_VALUE"""),44495.66666666667)</f>
        <v>44495.66667</v>
      </c>
      <c r="AB998" s="9">
        <f>IFERROR(__xludf.DUMMYFUNCTION("""COMPUTED_VALUE"""),3349.51)</f>
        <v>3349.51</v>
      </c>
      <c r="AC998" s="11">
        <f>IFERROR(__xludf.DUMMYFUNCTION("""COMPUTED_VALUE"""),44495.66666666667)</f>
        <v>44495.66667</v>
      </c>
      <c r="AD998" s="9">
        <f>IFERROR(__xludf.DUMMYFUNCTION("""COMPUTED_VALUE"""),3376.07)</f>
        <v>3376.07</v>
      </c>
    </row>
    <row r="999">
      <c r="B999" s="11">
        <f>IFERROR(__xludf.DUMMYFUNCTION("""COMPUTED_VALUE"""),44496.66666666667)</f>
        <v>44496.66667</v>
      </c>
      <c r="C999" s="9">
        <f>IFERROR(__xludf.DUMMYFUNCTION("""COMPUTED_VALUE"""),1039.66)</f>
        <v>1039.66</v>
      </c>
      <c r="D999" s="11">
        <f>IFERROR(__xludf.DUMMYFUNCTION("""COMPUTED_VALUE"""),44496.66666666667)</f>
        <v>44496.66667</v>
      </c>
      <c r="E999" s="9">
        <f>IFERROR(__xludf.DUMMYFUNCTION("""COMPUTED_VALUE"""),1037.86)</f>
        <v>1037.86</v>
      </c>
      <c r="G999" s="11">
        <f>IFERROR(__xludf.DUMMYFUNCTION("""COMPUTED_VALUE"""),44496.66666666667)</f>
        <v>44496.66667</v>
      </c>
      <c r="H999" s="9">
        <f>IFERROR(__xludf.DUMMYFUNCTION("""COMPUTED_VALUE"""),2798.05)</f>
        <v>2798.05</v>
      </c>
      <c r="I999" s="11">
        <f>IFERROR(__xludf.DUMMYFUNCTION("""COMPUTED_VALUE"""),44496.66666666667)</f>
        <v>44496.66667</v>
      </c>
      <c r="J999" s="9">
        <f>IFERROR(__xludf.DUMMYFUNCTION("""COMPUTED_VALUE"""),2928.55)</f>
        <v>2928.55</v>
      </c>
      <c r="L999" s="11">
        <f>IFERROR(__xludf.DUMMYFUNCTION("""COMPUTED_VALUE"""),44496.66666666667)</f>
        <v>44496.66667</v>
      </c>
      <c r="M999" s="9">
        <f>IFERROR(__xludf.DUMMYFUNCTION("""COMPUTED_VALUE"""),149.36)</f>
        <v>149.36</v>
      </c>
      <c r="N999" s="11">
        <f>IFERROR(__xludf.DUMMYFUNCTION("""COMPUTED_VALUE"""),44496.66666666667)</f>
        <v>44496.66667</v>
      </c>
      <c r="O999" s="9">
        <f>IFERROR(__xludf.DUMMYFUNCTION("""COMPUTED_VALUE"""),148.85)</f>
        <v>148.85</v>
      </c>
      <c r="Q999" s="11">
        <f>IFERROR(__xludf.DUMMYFUNCTION("""COMPUTED_VALUE"""),44496.66666666667)</f>
        <v>44496.66667</v>
      </c>
      <c r="R999" s="9">
        <f>IFERROR(__xludf.DUMMYFUNCTION("""COMPUTED_VALUE"""),314.19)</f>
        <v>314.19</v>
      </c>
      <c r="S999" s="11">
        <f>IFERROR(__xludf.DUMMYFUNCTION("""COMPUTED_VALUE"""),44496.66666666667)</f>
        <v>44496.66667</v>
      </c>
      <c r="T999" s="9">
        <f>IFERROR(__xludf.DUMMYFUNCTION("""COMPUTED_VALUE"""),312.22)</f>
        <v>312.22</v>
      </c>
      <c r="V999" s="11">
        <f>IFERROR(__xludf.DUMMYFUNCTION("""COMPUTED_VALUE"""),44496.66666666667)</f>
        <v>44496.66667</v>
      </c>
      <c r="W999" s="9">
        <f>IFERROR(__xludf.DUMMYFUNCTION("""COMPUTED_VALUE"""),669.0)</f>
        <v>669</v>
      </c>
      <c r="X999" s="11">
        <f>IFERROR(__xludf.DUMMYFUNCTION("""COMPUTED_VALUE"""),44496.66666666667)</f>
        <v>44496.66667</v>
      </c>
      <c r="Y999" s="9">
        <f>IFERROR(__xludf.DUMMYFUNCTION("""COMPUTED_VALUE"""),662.92)</f>
        <v>662.92</v>
      </c>
      <c r="AA999" s="11">
        <f>IFERROR(__xludf.DUMMYFUNCTION("""COMPUTED_VALUE"""),44496.66666666667)</f>
        <v>44496.66667</v>
      </c>
      <c r="AB999" s="9">
        <f>IFERROR(__xludf.DUMMYFUNCTION("""COMPUTED_VALUE"""),3388.0)</f>
        <v>3388</v>
      </c>
      <c r="AC999" s="11">
        <f>IFERROR(__xludf.DUMMYFUNCTION("""COMPUTED_VALUE"""),44496.66666666667)</f>
        <v>44496.66667</v>
      </c>
      <c r="AD999" s="9">
        <f>IFERROR(__xludf.DUMMYFUNCTION("""COMPUTED_VALUE"""),3392.49)</f>
        <v>3392.49</v>
      </c>
    </row>
    <row r="1000">
      <c r="B1000" s="11">
        <f>IFERROR(__xludf.DUMMYFUNCTION("""COMPUTED_VALUE"""),44497.66666666667)</f>
        <v>44497.66667</v>
      </c>
      <c r="C1000" s="9">
        <f>IFERROR(__xludf.DUMMYFUNCTION("""COMPUTED_VALUE"""),1068.31)</f>
        <v>1068.31</v>
      </c>
      <c r="D1000" s="11">
        <f>IFERROR(__xludf.DUMMYFUNCTION("""COMPUTED_VALUE"""),44497.66666666667)</f>
        <v>44497.66667</v>
      </c>
      <c r="E1000" s="9">
        <f>IFERROR(__xludf.DUMMYFUNCTION("""COMPUTED_VALUE"""),1077.04)</f>
        <v>1077.04</v>
      </c>
      <c r="G1000" s="11">
        <f>IFERROR(__xludf.DUMMYFUNCTION("""COMPUTED_VALUE"""),44497.66666666667)</f>
        <v>44497.66667</v>
      </c>
      <c r="H1000" s="9">
        <f>IFERROR(__xludf.DUMMYFUNCTION("""COMPUTED_VALUE"""),2945.98)</f>
        <v>2945.98</v>
      </c>
      <c r="I1000" s="11">
        <f>IFERROR(__xludf.DUMMYFUNCTION("""COMPUTED_VALUE"""),44497.66666666667)</f>
        <v>44497.66667</v>
      </c>
      <c r="J1000" s="9">
        <f>IFERROR(__xludf.DUMMYFUNCTION("""COMPUTED_VALUE"""),2922.58)</f>
        <v>2922.58</v>
      </c>
      <c r="L1000" s="11">
        <f>IFERROR(__xludf.DUMMYFUNCTION("""COMPUTED_VALUE"""),44497.66666666667)</f>
        <v>44497.66667</v>
      </c>
      <c r="M1000" s="9">
        <f>IFERROR(__xludf.DUMMYFUNCTION("""COMPUTED_VALUE"""),149.82)</f>
        <v>149.82</v>
      </c>
      <c r="N1000" s="11">
        <f>IFERROR(__xludf.DUMMYFUNCTION("""COMPUTED_VALUE"""),44497.66666666667)</f>
        <v>44497.66667</v>
      </c>
      <c r="O1000" s="9">
        <f>IFERROR(__xludf.DUMMYFUNCTION("""COMPUTED_VALUE"""),152.57)</f>
        <v>152.57</v>
      </c>
      <c r="Q1000" s="11">
        <f>IFERROR(__xludf.DUMMYFUNCTION("""COMPUTED_VALUE"""),44497.66666666667)</f>
        <v>44497.66667</v>
      </c>
      <c r="R1000" s="9">
        <f>IFERROR(__xludf.DUMMYFUNCTION("""COMPUTED_VALUE"""),312.99)</f>
        <v>312.99</v>
      </c>
      <c r="S1000" s="11">
        <f>IFERROR(__xludf.DUMMYFUNCTION("""COMPUTED_VALUE"""),44497.66666666667)</f>
        <v>44497.66667</v>
      </c>
      <c r="T1000" s="9">
        <f>IFERROR(__xludf.DUMMYFUNCTION("""COMPUTED_VALUE"""),316.92)</f>
        <v>316.92</v>
      </c>
      <c r="V1000" s="11">
        <f>IFERROR(__xludf.DUMMYFUNCTION("""COMPUTED_VALUE"""),44497.66666666667)</f>
        <v>44497.66667</v>
      </c>
      <c r="W1000" s="9">
        <f>IFERROR(__xludf.DUMMYFUNCTION("""COMPUTED_VALUE"""),670.95)</f>
        <v>670.95</v>
      </c>
      <c r="X1000" s="11">
        <f>IFERROR(__xludf.DUMMYFUNCTION("""COMPUTED_VALUE"""),44497.66666666667)</f>
        <v>44497.66667</v>
      </c>
      <c r="Y1000" s="9">
        <f>IFERROR(__xludf.DUMMYFUNCTION("""COMPUTED_VALUE"""),674.05)</f>
        <v>674.05</v>
      </c>
      <c r="AA1000" s="11">
        <f>IFERROR(__xludf.DUMMYFUNCTION("""COMPUTED_VALUE"""),44497.66666666667)</f>
        <v>44497.66667</v>
      </c>
      <c r="AB1000" s="9">
        <f>IFERROR(__xludf.DUMMYFUNCTION("""COMPUTED_VALUE"""),3402.1)</f>
        <v>3402.1</v>
      </c>
      <c r="AC1000" s="11">
        <f>IFERROR(__xludf.DUMMYFUNCTION("""COMPUTED_VALUE"""),44497.66666666667)</f>
        <v>44497.66667</v>
      </c>
      <c r="AD1000" s="9">
        <f>IFERROR(__xludf.DUMMYFUNCTION("""COMPUTED_VALUE"""),3446.57)</f>
        <v>3446.57</v>
      </c>
    </row>
    <row r="1001">
      <c r="B1001" s="11">
        <f>IFERROR(__xludf.DUMMYFUNCTION("""COMPUTED_VALUE"""),44498.66666666667)</f>
        <v>44498.66667</v>
      </c>
      <c r="C1001" s="9">
        <f>IFERROR(__xludf.DUMMYFUNCTION("""COMPUTED_VALUE"""),1081.86)</f>
        <v>1081.86</v>
      </c>
      <c r="D1001" s="11">
        <f>IFERROR(__xludf.DUMMYFUNCTION("""COMPUTED_VALUE"""),44498.66666666667)</f>
        <v>44498.66667</v>
      </c>
      <c r="E1001" s="9">
        <f>IFERROR(__xludf.DUMMYFUNCTION("""COMPUTED_VALUE"""),1114.0)</f>
        <v>1114</v>
      </c>
      <c r="G1001" s="11">
        <f>IFERROR(__xludf.DUMMYFUNCTION("""COMPUTED_VALUE"""),44498.66666666667)</f>
        <v>44498.66667</v>
      </c>
      <c r="H1001" s="9">
        <f>IFERROR(__xludf.DUMMYFUNCTION("""COMPUTED_VALUE"""),2910.4)</f>
        <v>2910.4</v>
      </c>
      <c r="I1001" s="11">
        <f>IFERROR(__xludf.DUMMYFUNCTION("""COMPUTED_VALUE"""),44498.66666666667)</f>
        <v>44498.66667</v>
      </c>
      <c r="J1001" s="9">
        <f>IFERROR(__xludf.DUMMYFUNCTION("""COMPUTED_VALUE"""),2965.41)</f>
        <v>2965.41</v>
      </c>
      <c r="L1001" s="11">
        <f>IFERROR(__xludf.DUMMYFUNCTION("""COMPUTED_VALUE"""),44498.66666666667)</f>
        <v>44498.66667</v>
      </c>
      <c r="M1001" s="9">
        <f>IFERROR(__xludf.DUMMYFUNCTION("""COMPUTED_VALUE"""),147.22)</f>
        <v>147.22</v>
      </c>
      <c r="N1001" s="11">
        <f>IFERROR(__xludf.DUMMYFUNCTION("""COMPUTED_VALUE"""),44498.66666666667)</f>
        <v>44498.66667</v>
      </c>
      <c r="O1001" s="9">
        <f>IFERROR(__xludf.DUMMYFUNCTION("""COMPUTED_VALUE"""),149.8)</f>
        <v>149.8</v>
      </c>
      <c r="Q1001" s="11">
        <f>IFERROR(__xludf.DUMMYFUNCTION("""COMPUTED_VALUE"""),44498.66666666667)</f>
        <v>44498.66667</v>
      </c>
      <c r="R1001" s="9">
        <f>IFERROR(__xludf.DUMMYFUNCTION("""COMPUTED_VALUE"""),320.19)</f>
        <v>320.19</v>
      </c>
      <c r="S1001" s="11">
        <f>IFERROR(__xludf.DUMMYFUNCTION("""COMPUTED_VALUE"""),44498.66666666667)</f>
        <v>44498.66667</v>
      </c>
      <c r="T1001" s="9">
        <f>IFERROR(__xludf.DUMMYFUNCTION("""COMPUTED_VALUE"""),323.57)</f>
        <v>323.57</v>
      </c>
      <c r="V1001" s="11">
        <f>IFERROR(__xludf.DUMMYFUNCTION("""COMPUTED_VALUE"""),44498.66666666667)</f>
        <v>44498.66667</v>
      </c>
      <c r="W1001" s="9">
        <f>IFERROR(__xludf.DUMMYFUNCTION("""COMPUTED_VALUE"""),673.06)</f>
        <v>673.06</v>
      </c>
      <c r="X1001" s="11">
        <f>IFERROR(__xludf.DUMMYFUNCTION("""COMPUTED_VALUE"""),44498.66666666667)</f>
        <v>44498.66667</v>
      </c>
      <c r="Y1001" s="9">
        <f>IFERROR(__xludf.DUMMYFUNCTION("""COMPUTED_VALUE"""),690.31)</f>
        <v>690.31</v>
      </c>
      <c r="AA1001" s="11">
        <f>IFERROR(__xludf.DUMMYFUNCTION("""COMPUTED_VALUE"""),44498.66666666667)</f>
        <v>44498.66667</v>
      </c>
      <c r="AB1001" s="9">
        <f>IFERROR(__xludf.DUMMYFUNCTION("""COMPUTED_VALUE"""),3300.02)</f>
        <v>3300.02</v>
      </c>
      <c r="AC1001" s="11">
        <f>IFERROR(__xludf.DUMMYFUNCTION("""COMPUTED_VALUE"""),44498.66666666667)</f>
        <v>44498.66667</v>
      </c>
      <c r="AD1001" s="9">
        <f>IFERROR(__xludf.DUMMYFUNCTION("""COMPUTED_VALUE"""),3372.43)</f>
        <v>3372.43</v>
      </c>
    </row>
    <row r="1002">
      <c r="B1002" s="11">
        <f>IFERROR(__xludf.DUMMYFUNCTION("""COMPUTED_VALUE"""),44501.66666666667)</f>
        <v>44501.66667</v>
      </c>
      <c r="C1002" s="9">
        <f>IFERROR(__xludf.DUMMYFUNCTION("""COMPUTED_VALUE"""),1145.0)</f>
        <v>1145</v>
      </c>
      <c r="D1002" s="11">
        <f>IFERROR(__xludf.DUMMYFUNCTION("""COMPUTED_VALUE"""),44501.66666666667)</f>
        <v>44501.66667</v>
      </c>
      <c r="E1002" s="9">
        <f>IFERROR(__xludf.DUMMYFUNCTION("""COMPUTED_VALUE"""),1208.59)</f>
        <v>1208.59</v>
      </c>
      <c r="G1002" s="11">
        <f>IFERROR(__xludf.DUMMYFUNCTION("""COMPUTED_VALUE"""),44501.66666666667)</f>
        <v>44501.66667</v>
      </c>
      <c r="H1002" s="9">
        <f>IFERROR(__xludf.DUMMYFUNCTION("""COMPUTED_VALUE"""),2963.3)</f>
        <v>2963.3</v>
      </c>
      <c r="I1002" s="11">
        <f>IFERROR(__xludf.DUMMYFUNCTION("""COMPUTED_VALUE"""),44501.66666666667)</f>
        <v>44501.66667</v>
      </c>
      <c r="J1002" s="9">
        <f>IFERROR(__xludf.DUMMYFUNCTION("""COMPUTED_VALUE"""),2875.48)</f>
        <v>2875.48</v>
      </c>
      <c r="L1002" s="11">
        <f>IFERROR(__xludf.DUMMYFUNCTION("""COMPUTED_VALUE"""),44501.66666666667)</f>
        <v>44501.66667</v>
      </c>
      <c r="M1002" s="9">
        <f>IFERROR(__xludf.DUMMYFUNCTION("""COMPUTED_VALUE"""),148.99)</f>
        <v>148.99</v>
      </c>
      <c r="N1002" s="11">
        <f>IFERROR(__xludf.DUMMYFUNCTION("""COMPUTED_VALUE"""),44501.66666666667)</f>
        <v>44501.66667</v>
      </c>
      <c r="O1002" s="9">
        <f>IFERROR(__xludf.DUMMYFUNCTION("""COMPUTED_VALUE"""),148.96)</f>
        <v>148.96</v>
      </c>
      <c r="Q1002" s="11">
        <f>IFERROR(__xludf.DUMMYFUNCTION("""COMPUTED_VALUE"""),44501.66666666667)</f>
        <v>44501.66667</v>
      </c>
      <c r="R1002" s="9">
        <f>IFERROR(__xludf.DUMMYFUNCTION("""COMPUTED_VALUE"""),326.04)</f>
        <v>326.04</v>
      </c>
      <c r="S1002" s="11">
        <f>IFERROR(__xludf.DUMMYFUNCTION("""COMPUTED_VALUE"""),44501.66666666667)</f>
        <v>44501.66667</v>
      </c>
      <c r="T1002" s="9">
        <f>IFERROR(__xludf.DUMMYFUNCTION("""COMPUTED_VALUE"""),329.98)</f>
        <v>329.98</v>
      </c>
      <c r="V1002" s="11">
        <f>IFERROR(__xludf.DUMMYFUNCTION("""COMPUTED_VALUE"""),44501.66666666667)</f>
        <v>44501.66667</v>
      </c>
      <c r="W1002" s="9">
        <f>IFERROR(__xludf.DUMMYFUNCTION("""COMPUTED_VALUE"""),689.06)</f>
        <v>689.06</v>
      </c>
      <c r="X1002" s="11">
        <f>IFERROR(__xludf.DUMMYFUNCTION("""COMPUTED_VALUE"""),44501.66666666667)</f>
        <v>44501.66667</v>
      </c>
      <c r="Y1002" s="9">
        <f>IFERROR(__xludf.DUMMYFUNCTION("""COMPUTED_VALUE"""),681.17)</f>
        <v>681.17</v>
      </c>
      <c r="AA1002" s="11">
        <f>IFERROR(__xludf.DUMMYFUNCTION("""COMPUTED_VALUE"""),44501.66666666667)</f>
        <v>44501.66667</v>
      </c>
      <c r="AB1002" s="9">
        <f>IFERROR(__xludf.DUMMYFUNCTION("""COMPUTED_VALUE"""),3361.8)</f>
        <v>3361.8</v>
      </c>
      <c r="AC1002" s="11">
        <f>IFERROR(__xludf.DUMMYFUNCTION("""COMPUTED_VALUE"""),44501.66666666667)</f>
        <v>44501.66667</v>
      </c>
      <c r="AD1002" s="9">
        <f>IFERROR(__xludf.DUMMYFUNCTION("""COMPUTED_VALUE"""),3318.11)</f>
        <v>3318.11</v>
      </c>
    </row>
    <row r="1003">
      <c r="B1003" s="11">
        <f>IFERROR(__xludf.DUMMYFUNCTION("""COMPUTED_VALUE"""),44502.66666666667)</f>
        <v>44502.66667</v>
      </c>
      <c r="C1003" s="9">
        <f>IFERROR(__xludf.DUMMYFUNCTION("""COMPUTED_VALUE"""),1159.36)</f>
        <v>1159.36</v>
      </c>
      <c r="D1003" s="11">
        <f>IFERROR(__xludf.DUMMYFUNCTION("""COMPUTED_VALUE"""),44502.66666666667)</f>
        <v>44502.66667</v>
      </c>
      <c r="E1003" s="9">
        <f>IFERROR(__xludf.DUMMYFUNCTION("""COMPUTED_VALUE"""),1172.0)</f>
        <v>1172</v>
      </c>
      <c r="G1003" s="11">
        <f>IFERROR(__xludf.DUMMYFUNCTION("""COMPUTED_VALUE"""),44502.66666666667)</f>
        <v>44502.66667</v>
      </c>
      <c r="H1003" s="9">
        <f>IFERROR(__xludf.DUMMYFUNCTION("""COMPUTED_VALUE"""),2896.19)</f>
        <v>2896.19</v>
      </c>
      <c r="I1003" s="11">
        <f>IFERROR(__xludf.DUMMYFUNCTION("""COMPUTED_VALUE"""),44502.66666666667)</f>
        <v>44502.66667</v>
      </c>
      <c r="J1003" s="9">
        <f>IFERROR(__xludf.DUMMYFUNCTION("""COMPUTED_VALUE"""),2917.26)</f>
        <v>2917.26</v>
      </c>
      <c r="L1003" s="11">
        <f>IFERROR(__xludf.DUMMYFUNCTION("""COMPUTED_VALUE"""),44502.66666666667)</f>
        <v>44502.66667</v>
      </c>
      <c r="M1003" s="9">
        <f>IFERROR(__xludf.DUMMYFUNCTION("""COMPUTED_VALUE"""),148.66)</f>
        <v>148.66</v>
      </c>
      <c r="N1003" s="11">
        <f>IFERROR(__xludf.DUMMYFUNCTION("""COMPUTED_VALUE"""),44502.66666666667)</f>
        <v>44502.66667</v>
      </c>
      <c r="O1003" s="9">
        <f>IFERROR(__xludf.DUMMYFUNCTION("""COMPUTED_VALUE"""),150.02)</f>
        <v>150.02</v>
      </c>
      <c r="Q1003" s="11">
        <f>IFERROR(__xludf.DUMMYFUNCTION("""COMPUTED_VALUE"""),44502.66666666667)</f>
        <v>44502.66667</v>
      </c>
      <c r="R1003" s="9">
        <f>IFERROR(__xludf.DUMMYFUNCTION("""COMPUTED_VALUE"""),331.38)</f>
        <v>331.38</v>
      </c>
      <c r="S1003" s="11">
        <f>IFERROR(__xludf.DUMMYFUNCTION("""COMPUTED_VALUE"""),44502.66666666667)</f>
        <v>44502.66667</v>
      </c>
      <c r="T1003" s="9">
        <f>IFERROR(__xludf.DUMMYFUNCTION("""COMPUTED_VALUE"""),328.08)</f>
        <v>328.08</v>
      </c>
      <c r="V1003" s="11">
        <f>IFERROR(__xludf.DUMMYFUNCTION("""COMPUTED_VALUE"""),44502.66666666667)</f>
        <v>44502.66667</v>
      </c>
      <c r="W1003" s="9">
        <f>IFERROR(__xludf.DUMMYFUNCTION("""COMPUTED_VALUE"""),683.11)</f>
        <v>683.11</v>
      </c>
      <c r="X1003" s="11">
        <f>IFERROR(__xludf.DUMMYFUNCTION("""COMPUTED_VALUE"""),44502.66666666667)</f>
        <v>44502.66667</v>
      </c>
      <c r="Y1003" s="9">
        <f>IFERROR(__xludf.DUMMYFUNCTION("""COMPUTED_VALUE"""),677.72)</f>
        <v>677.72</v>
      </c>
      <c r="AA1003" s="11">
        <f>IFERROR(__xludf.DUMMYFUNCTION("""COMPUTED_VALUE"""),44502.66666666667)</f>
        <v>44502.66667</v>
      </c>
      <c r="AB1003" s="9">
        <f>IFERROR(__xludf.DUMMYFUNCTION("""COMPUTED_VALUE"""),3315.01)</f>
        <v>3315.01</v>
      </c>
      <c r="AC1003" s="11">
        <f>IFERROR(__xludf.DUMMYFUNCTION("""COMPUTED_VALUE"""),44502.66666666667)</f>
        <v>44502.66667</v>
      </c>
      <c r="AD1003" s="9">
        <f>IFERROR(__xludf.DUMMYFUNCTION("""COMPUTED_VALUE"""),3312.75)</f>
        <v>3312.75</v>
      </c>
    </row>
    <row r="1004">
      <c r="B1004" s="11">
        <f>IFERROR(__xludf.DUMMYFUNCTION("""COMPUTED_VALUE"""),44503.66666666667)</f>
        <v>44503.66667</v>
      </c>
      <c r="C1004" s="9">
        <f>IFERROR(__xludf.DUMMYFUNCTION("""COMPUTED_VALUE"""),1177.33)</f>
        <v>1177.33</v>
      </c>
      <c r="D1004" s="11">
        <f>IFERROR(__xludf.DUMMYFUNCTION("""COMPUTED_VALUE"""),44503.66666666667)</f>
        <v>44503.66667</v>
      </c>
      <c r="E1004" s="9">
        <f>IFERROR(__xludf.DUMMYFUNCTION("""COMPUTED_VALUE"""),1213.86)</f>
        <v>1213.86</v>
      </c>
      <c r="G1004" s="11">
        <f>IFERROR(__xludf.DUMMYFUNCTION("""COMPUTED_VALUE"""),44503.66666666667)</f>
        <v>44503.66667</v>
      </c>
      <c r="H1004" s="9">
        <f>IFERROR(__xludf.DUMMYFUNCTION("""COMPUTED_VALUE"""),2925.5)</f>
        <v>2925.5</v>
      </c>
      <c r="I1004" s="11">
        <f>IFERROR(__xludf.DUMMYFUNCTION("""COMPUTED_VALUE"""),44503.66666666667)</f>
        <v>44503.66667</v>
      </c>
      <c r="J1004" s="9">
        <f>IFERROR(__xludf.DUMMYFUNCTION("""COMPUTED_VALUE"""),2935.8)</f>
        <v>2935.8</v>
      </c>
      <c r="L1004" s="11">
        <f>IFERROR(__xludf.DUMMYFUNCTION("""COMPUTED_VALUE"""),44503.66666666667)</f>
        <v>44503.66667</v>
      </c>
      <c r="M1004" s="9">
        <f>IFERROR(__xludf.DUMMYFUNCTION("""COMPUTED_VALUE"""),150.39)</f>
        <v>150.39</v>
      </c>
      <c r="N1004" s="11">
        <f>IFERROR(__xludf.DUMMYFUNCTION("""COMPUTED_VALUE"""),44503.66666666667)</f>
        <v>44503.66667</v>
      </c>
      <c r="O1004" s="9">
        <f>IFERROR(__xludf.DUMMYFUNCTION("""COMPUTED_VALUE"""),151.49)</f>
        <v>151.49</v>
      </c>
      <c r="Q1004" s="11">
        <f>IFERROR(__xludf.DUMMYFUNCTION("""COMPUTED_VALUE"""),44503.66666666667)</f>
        <v>44503.66667</v>
      </c>
      <c r="R1004" s="9">
        <f>IFERROR(__xludf.DUMMYFUNCTION("""COMPUTED_VALUE"""),327.49)</f>
        <v>327.49</v>
      </c>
      <c r="S1004" s="11">
        <f>IFERROR(__xludf.DUMMYFUNCTION("""COMPUTED_VALUE"""),44503.66666666667)</f>
        <v>44503.66667</v>
      </c>
      <c r="T1004" s="9">
        <f>IFERROR(__xludf.DUMMYFUNCTION("""COMPUTED_VALUE"""),331.62)</f>
        <v>331.62</v>
      </c>
      <c r="V1004" s="11">
        <f>IFERROR(__xludf.DUMMYFUNCTION("""COMPUTED_VALUE"""),44503.66666666667)</f>
        <v>44503.66667</v>
      </c>
      <c r="W1004" s="9">
        <f>IFERROR(__xludf.DUMMYFUNCTION("""COMPUTED_VALUE"""),677.27)</f>
        <v>677.27</v>
      </c>
      <c r="X1004" s="11">
        <f>IFERROR(__xludf.DUMMYFUNCTION("""COMPUTED_VALUE"""),44503.66666666667)</f>
        <v>44503.66667</v>
      </c>
      <c r="Y1004" s="9">
        <f>IFERROR(__xludf.DUMMYFUNCTION("""COMPUTED_VALUE"""),688.29)</f>
        <v>688.29</v>
      </c>
      <c r="AA1004" s="11">
        <f>IFERROR(__xludf.DUMMYFUNCTION("""COMPUTED_VALUE"""),44503.66666666667)</f>
        <v>44503.66667</v>
      </c>
      <c r="AB1004" s="9">
        <f>IFERROR(__xludf.DUMMYFUNCTION("""COMPUTED_VALUE"""),3309.0)</f>
        <v>3309</v>
      </c>
      <c r="AC1004" s="11">
        <f>IFERROR(__xludf.DUMMYFUNCTION("""COMPUTED_VALUE"""),44503.66666666667)</f>
        <v>44503.66667</v>
      </c>
      <c r="AD1004" s="9">
        <f>IFERROR(__xludf.DUMMYFUNCTION("""COMPUTED_VALUE"""),3384.0)</f>
        <v>3384</v>
      </c>
    </row>
    <row r="1005">
      <c r="B1005" s="11">
        <f>IFERROR(__xludf.DUMMYFUNCTION("""COMPUTED_VALUE"""),44504.66666666667)</f>
        <v>44504.66667</v>
      </c>
      <c r="C1005" s="9">
        <f>IFERROR(__xludf.DUMMYFUNCTION("""COMPUTED_VALUE"""),1234.41)</f>
        <v>1234.41</v>
      </c>
      <c r="D1005" s="11">
        <f>IFERROR(__xludf.DUMMYFUNCTION("""COMPUTED_VALUE"""),44504.66666666667)</f>
        <v>44504.66667</v>
      </c>
      <c r="E1005" s="9">
        <f>IFERROR(__xludf.DUMMYFUNCTION("""COMPUTED_VALUE"""),1229.91)</f>
        <v>1229.91</v>
      </c>
      <c r="G1005" s="11">
        <f>IFERROR(__xludf.DUMMYFUNCTION("""COMPUTED_VALUE"""),44504.66666666667)</f>
        <v>44504.66667</v>
      </c>
      <c r="H1005" s="9">
        <f>IFERROR(__xludf.DUMMYFUNCTION("""COMPUTED_VALUE"""),2944.0)</f>
        <v>2944</v>
      </c>
      <c r="I1005" s="11">
        <f>IFERROR(__xludf.DUMMYFUNCTION("""COMPUTED_VALUE"""),44504.66666666667)</f>
        <v>44504.66667</v>
      </c>
      <c r="J1005" s="9">
        <f>IFERROR(__xludf.DUMMYFUNCTION("""COMPUTED_VALUE"""),2973.66)</f>
        <v>2973.66</v>
      </c>
      <c r="L1005" s="11">
        <f>IFERROR(__xludf.DUMMYFUNCTION("""COMPUTED_VALUE"""),44504.66666666667)</f>
        <v>44504.66667</v>
      </c>
      <c r="M1005" s="9">
        <f>IFERROR(__xludf.DUMMYFUNCTION("""COMPUTED_VALUE"""),151.58)</f>
        <v>151.58</v>
      </c>
      <c r="N1005" s="11">
        <f>IFERROR(__xludf.DUMMYFUNCTION("""COMPUTED_VALUE"""),44504.66666666667)</f>
        <v>44504.66667</v>
      </c>
      <c r="O1005" s="9">
        <f>IFERROR(__xludf.DUMMYFUNCTION("""COMPUTED_VALUE"""),150.96)</f>
        <v>150.96</v>
      </c>
      <c r="Q1005" s="11">
        <f>IFERROR(__xludf.DUMMYFUNCTION("""COMPUTED_VALUE"""),44504.66666666667)</f>
        <v>44504.66667</v>
      </c>
      <c r="R1005" s="9">
        <f>IFERROR(__xludf.DUMMYFUNCTION("""COMPUTED_VALUE"""),334.01)</f>
        <v>334.01</v>
      </c>
      <c r="S1005" s="11">
        <f>IFERROR(__xludf.DUMMYFUNCTION("""COMPUTED_VALUE"""),44504.66666666667)</f>
        <v>44504.66667</v>
      </c>
      <c r="T1005" s="9">
        <f>IFERROR(__xludf.DUMMYFUNCTION("""COMPUTED_VALUE"""),335.85)</f>
        <v>335.85</v>
      </c>
      <c r="V1005" s="11">
        <f>IFERROR(__xludf.DUMMYFUNCTION("""COMPUTED_VALUE"""),44504.66666666667)</f>
        <v>44504.66667</v>
      </c>
      <c r="W1005" s="9">
        <f>IFERROR(__xludf.DUMMYFUNCTION("""COMPUTED_VALUE"""),685.89)</f>
        <v>685.89</v>
      </c>
      <c r="X1005" s="11">
        <f>IFERROR(__xludf.DUMMYFUNCTION("""COMPUTED_VALUE"""),44504.66666666667)</f>
        <v>44504.66667</v>
      </c>
      <c r="Y1005" s="9">
        <f>IFERROR(__xludf.DUMMYFUNCTION("""COMPUTED_VALUE"""),668.4)</f>
        <v>668.4</v>
      </c>
      <c r="AA1005" s="11">
        <f>IFERROR(__xludf.DUMMYFUNCTION("""COMPUTED_VALUE"""),44504.66666666667)</f>
        <v>44504.66667</v>
      </c>
      <c r="AB1005" s="9">
        <f>IFERROR(__xludf.DUMMYFUNCTION("""COMPUTED_VALUE"""),3370.0)</f>
        <v>3370</v>
      </c>
      <c r="AC1005" s="11">
        <f>IFERROR(__xludf.DUMMYFUNCTION("""COMPUTED_VALUE"""),44504.66666666667)</f>
        <v>44504.66667</v>
      </c>
      <c r="AD1005" s="9">
        <f>IFERROR(__xludf.DUMMYFUNCTION("""COMPUTED_VALUE"""),3477.0)</f>
        <v>3477</v>
      </c>
    </row>
    <row r="1006">
      <c r="B1006" s="11">
        <f>IFERROR(__xludf.DUMMYFUNCTION("""COMPUTED_VALUE"""),44505.66666666667)</f>
        <v>44505.66667</v>
      </c>
      <c r="C1006" s="9">
        <f>IFERROR(__xludf.DUMMYFUNCTION("""COMPUTED_VALUE"""),1228.0)</f>
        <v>1228</v>
      </c>
      <c r="D1006" s="11">
        <f>IFERROR(__xludf.DUMMYFUNCTION("""COMPUTED_VALUE"""),44505.66666666667)</f>
        <v>44505.66667</v>
      </c>
      <c r="E1006" s="9">
        <f>IFERROR(__xludf.DUMMYFUNCTION("""COMPUTED_VALUE"""),1222.09)</f>
        <v>1222.09</v>
      </c>
      <c r="G1006" s="11">
        <f>IFERROR(__xludf.DUMMYFUNCTION("""COMPUTED_VALUE"""),44505.66666666667)</f>
        <v>44505.66667</v>
      </c>
      <c r="H1006" s="9">
        <f>IFERROR(__xludf.DUMMYFUNCTION("""COMPUTED_VALUE"""),2987.07)</f>
        <v>2987.07</v>
      </c>
      <c r="I1006" s="11">
        <f>IFERROR(__xludf.DUMMYFUNCTION("""COMPUTED_VALUE"""),44505.66666666667)</f>
        <v>44505.66667</v>
      </c>
      <c r="J1006" s="9">
        <f>IFERROR(__xludf.DUMMYFUNCTION("""COMPUTED_VALUE"""),2984.82)</f>
        <v>2984.82</v>
      </c>
      <c r="L1006" s="11">
        <f>IFERROR(__xludf.DUMMYFUNCTION("""COMPUTED_VALUE"""),44505.66666666667)</f>
        <v>44505.66667</v>
      </c>
      <c r="M1006" s="9">
        <f>IFERROR(__xludf.DUMMYFUNCTION("""COMPUTED_VALUE"""),151.89)</f>
        <v>151.89</v>
      </c>
      <c r="N1006" s="11">
        <f>IFERROR(__xludf.DUMMYFUNCTION("""COMPUTED_VALUE"""),44505.66666666667)</f>
        <v>44505.66667</v>
      </c>
      <c r="O1006" s="9">
        <f>IFERROR(__xludf.DUMMYFUNCTION("""COMPUTED_VALUE"""),151.28)</f>
        <v>151.28</v>
      </c>
      <c r="Q1006" s="11">
        <f>IFERROR(__xludf.DUMMYFUNCTION("""COMPUTED_VALUE"""),44505.66666666667)</f>
        <v>44505.66667</v>
      </c>
      <c r="R1006" s="9">
        <f>IFERROR(__xludf.DUMMYFUNCTION("""COMPUTED_VALUE"""),340.31)</f>
        <v>340.31</v>
      </c>
      <c r="S1006" s="11">
        <f>IFERROR(__xludf.DUMMYFUNCTION("""COMPUTED_VALUE"""),44505.66666666667)</f>
        <v>44505.66667</v>
      </c>
      <c r="T1006" s="9">
        <f>IFERROR(__xludf.DUMMYFUNCTION("""COMPUTED_VALUE"""),341.13)</f>
        <v>341.13</v>
      </c>
      <c r="V1006" s="11">
        <f>IFERROR(__xludf.DUMMYFUNCTION("""COMPUTED_VALUE"""),44505.66666666667)</f>
        <v>44505.66667</v>
      </c>
      <c r="W1006" s="9">
        <f>IFERROR(__xludf.DUMMYFUNCTION("""COMPUTED_VALUE"""),663.97)</f>
        <v>663.97</v>
      </c>
      <c r="X1006" s="11">
        <f>IFERROR(__xludf.DUMMYFUNCTION("""COMPUTED_VALUE"""),44505.66666666667)</f>
        <v>44505.66667</v>
      </c>
      <c r="Y1006" s="9">
        <f>IFERROR(__xludf.DUMMYFUNCTION("""COMPUTED_VALUE"""),645.72)</f>
        <v>645.72</v>
      </c>
      <c r="AA1006" s="11">
        <f>IFERROR(__xludf.DUMMYFUNCTION("""COMPUTED_VALUE"""),44505.66666666667)</f>
        <v>44505.66667</v>
      </c>
      <c r="AB1006" s="9">
        <f>IFERROR(__xludf.DUMMYFUNCTION("""COMPUTED_VALUE"""),3477.0)</f>
        <v>3477</v>
      </c>
      <c r="AC1006" s="11">
        <f>IFERROR(__xludf.DUMMYFUNCTION("""COMPUTED_VALUE"""),44505.66666666667)</f>
        <v>44505.66667</v>
      </c>
      <c r="AD1006" s="9">
        <f>IFERROR(__xludf.DUMMYFUNCTION("""COMPUTED_VALUE"""),3518.99)</f>
        <v>3518.99</v>
      </c>
    </row>
    <row r="1007">
      <c r="B1007" s="11">
        <f>IFERROR(__xludf.DUMMYFUNCTION("""COMPUTED_VALUE"""),44508.66666666667)</f>
        <v>44508.66667</v>
      </c>
      <c r="C1007" s="9">
        <f>IFERROR(__xludf.DUMMYFUNCTION("""COMPUTED_VALUE"""),1149.79)</f>
        <v>1149.79</v>
      </c>
      <c r="D1007" s="11">
        <f>IFERROR(__xludf.DUMMYFUNCTION("""COMPUTED_VALUE"""),44508.66666666667)</f>
        <v>44508.66667</v>
      </c>
      <c r="E1007" s="9">
        <f>IFERROR(__xludf.DUMMYFUNCTION("""COMPUTED_VALUE"""),1162.94)</f>
        <v>1162.94</v>
      </c>
      <c r="G1007" s="11">
        <f>IFERROR(__xludf.DUMMYFUNCTION("""COMPUTED_VALUE"""),44508.66666666667)</f>
        <v>44508.66667</v>
      </c>
      <c r="H1007" s="9">
        <f>IFERROR(__xludf.DUMMYFUNCTION("""COMPUTED_VALUE"""),3000.0)</f>
        <v>3000</v>
      </c>
      <c r="I1007" s="11">
        <f>IFERROR(__xludf.DUMMYFUNCTION("""COMPUTED_VALUE"""),44508.66666666667)</f>
        <v>44508.66667</v>
      </c>
      <c r="J1007" s="9">
        <f>IFERROR(__xludf.DUMMYFUNCTION("""COMPUTED_VALUE"""),2987.03)</f>
        <v>2987.03</v>
      </c>
      <c r="L1007" s="11">
        <f>IFERROR(__xludf.DUMMYFUNCTION("""COMPUTED_VALUE"""),44508.66666666667)</f>
        <v>44508.66667</v>
      </c>
      <c r="M1007" s="9">
        <f>IFERROR(__xludf.DUMMYFUNCTION("""COMPUTED_VALUE"""),151.41)</f>
        <v>151.41</v>
      </c>
      <c r="N1007" s="11">
        <f>IFERROR(__xludf.DUMMYFUNCTION("""COMPUTED_VALUE"""),44508.66666666667)</f>
        <v>44508.66667</v>
      </c>
      <c r="O1007" s="9">
        <f>IFERROR(__xludf.DUMMYFUNCTION("""COMPUTED_VALUE"""),150.44)</f>
        <v>150.44</v>
      </c>
      <c r="Q1007" s="11">
        <f>IFERROR(__xludf.DUMMYFUNCTION("""COMPUTED_VALUE"""),44508.66666666667)</f>
        <v>44508.66667</v>
      </c>
      <c r="R1007" s="9">
        <f>IFERROR(__xludf.DUMMYFUNCTION("""COMPUTED_VALUE"""),344.42)</f>
        <v>344.42</v>
      </c>
      <c r="S1007" s="11">
        <f>IFERROR(__xludf.DUMMYFUNCTION("""COMPUTED_VALUE"""),44508.66666666667)</f>
        <v>44508.66667</v>
      </c>
      <c r="T1007" s="9">
        <f>IFERROR(__xludf.DUMMYFUNCTION("""COMPUTED_VALUE"""),338.62)</f>
        <v>338.62</v>
      </c>
      <c r="V1007" s="11">
        <f>IFERROR(__xludf.DUMMYFUNCTION("""COMPUTED_VALUE"""),44508.66666666667)</f>
        <v>44508.66667</v>
      </c>
      <c r="W1007" s="9">
        <f>IFERROR(__xludf.DUMMYFUNCTION("""COMPUTED_VALUE"""),650.29)</f>
        <v>650.29</v>
      </c>
      <c r="X1007" s="11">
        <f>IFERROR(__xludf.DUMMYFUNCTION("""COMPUTED_VALUE"""),44508.66666666667)</f>
        <v>44508.66667</v>
      </c>
      <c r="Y1007" s="9">
        <f>IFERROR(__xludf.DUMMYFUNCTION("""COMPUTED_VALUE"""),651.45)</f>
        <v>651.45</v>
      </c>
      <c r="AA1007" s="11">
        <f>IFERROR(__xludf.DUMMYFUNCTION("""COMPUTED_VALUE"""),44508.66666666667)</f>
        <v>44508.66667</v>
      </c>
      <c r="AB1007" s="9">
        <f>IFERROR(__xludf.DUMMYFUNCTION("""COMPUTED_VALUE"""),3523.24)</f>
        <v>3523.24</v>
      </c>
      <c r="AC1007" s="11">
        <f>IFERROR(__xludf.DUMMYFUNCTION("""COMPUTED_VALUE"""),44508.66666666667)</f>
        <v>44508.66667</v>
      </c>
      <c r="AD1007" s="9">
        <f>IFERROR(__xludf.DUMMYFUNCTION("""COMPUTED_VALUE"""),3488.98)</f>
        <v>3488.98</v>
      </c>
    </row>
    <row r="1008">
      <c r="B1008" s="11">
        <f>IFERROR(__xludf.DUMMYFUNCTION("""COMPUTED_VALUE"""),44509.66666666667)</f>
        <v>44509.66667</v>
      </c>
      <c r="C1008" s="9">
        <f>IFERROR(__xludf.DUMMYFUNCTION("""COMPUTED_VALUE"""),1173.6)</f>
        <v>1173.6</v>
      </c>
      <c r="D1008" s="11">
        <f>IFERROR(__xludf.DUMMYFUNCTION("""COMPUTED_VALUE"""),44509.66666666667)</f>
        <v>44509.66667</v>
      </c>
      <c r="E1008" s="9">
        <f>IFERROR(__xludf.DUMMYFUNCTION("""COMPUTED_VALUE"""),1023.5)</f>
        <v>1023.5</v>
      </c>
      <c r="G1008" s="11">
        <f>IFERROR(__xludf.DUMMYFUNCTION("""COMPUTED_VALUE"""),44509.66666666667)</f>
        <v>44509.66667</v>
      </c>
      <c r="H1008" s="9">
        <f>IFERROR(__xludf.DUMMYFUNCTION("""COMPUTED_VALUE"""),2994.92)</f>
        <v>2994.92</v>
      </c>
      <c r="I1008" s="11">
        <f>IFERROR(__xludf.DUMMYFUNCTION("""COMPUTED_VALUE"""),44509.66666666667)</f>
        <v>44509.66667</v>
      </c>
      <c r="J1008" s="9">
        <f>IFERROR(__xludf.DUMMYFUNCTION("""COMPUTED_VALUE"""),2984.97)</f>
        <v>2984.97</v>
      </c>
      <c r="L1008" s="11">
        <f>IFERROR(__xludf.DUMMYFUNCTION("""COMPUTED_VALUE"""),44509.66666666667)</f>
        <v>44509.66667</v>
      </c>
      <c r="M1008" s="9">
        <f>IFERROR(__xludf.DUMMYFUNCTION("""COMPUTED_VALUE"""),150.2)</f>
        <v>150.2</v>
      </c>
      <c r="N1008" s="11">
        <f>IFERROR(__xludf.DUMMYFUNCTION("""COMPUTED_VALUE"""),44509.66666666667)</f>
        <v>44509.66667</v>
      </c>
      <c r="O1008" s="9">
        <f>IFERROR(__xludf.DUMMYFUNCTION("""COMPUTED_VALUE"""),150.81)</f>
        <v>150.81</v>
      </c>
      <c r="Q1008" s="11">
        <f>IFERROR(__xludf.DUMMYFUNCTION("""COMPUTED_VALUE"""),44509.66666666667)</f>
        <v>44509.66667</v>
      </c>
      <c r="R1008" s="9">
        <f>IFERROR(__xludf.DUMMYFUNCTION("""COMPUTED_VALUE"""),340.0)</f>
        <v>340</v>
      </c>
      <c r="S1008" s="11">
        <f>IFERROR(__xludf.DUMMYFUNCTION("""COMPUTED_VALUE"""),44509.66666666667)</f>
        <v>44509.66667</v>
      </c>
      <c r="T1008" s="9">
        <f>IFERROR(__xludf.DUMMYFUNCTION("""COMPUTED_VALUE"""),335.37)</f>
        <v>335.37</v>
      </c>
      <c r="V1008" s="11">
        <f>IFERROR(__xludf.DUMMYFUNCTION("""COMPUTED_VALUE"""),44509.66666666667)</f>
        <v>44509.66667</v>
      </c>
      <c r="W1008" s="9">
        <f>IFERROR(__xludf.DUMMYFUNCTION("""COMPUTED_VALUE"""),653.7)</f>
        <v>653.7</v>
      </c>
      <c r="X1008" s="11">
        <f>IFERROR(__xludf.DUMMYFUNCTION("""COMPUTED_VALUE"""),44509.66666666667)</f>
        <v>44509.66667</v>
      </c>
      <c r="Y1008" s="9">
        <f>IFERROR(__xludf.DUMMYFUNCTION("""COMPUTED_VALUE"""),655.99)</f>
        <v>655.99</v>
      </c>
      <c r="AA1008" s="11">
        <f>IFERROR(__xludf.DUMMYFUNCTION("""COMPUTED_VALUE"""),44509.66666666667)</f>
        <v>44509.66667</v>
      </c>
      <c r="AB1008" s="9">
        <f>IFERROR(__xludf.DUMMYFUNCTION("""COMPUTED_VALUE"""),3515.25)</f>
        <v>3515.25</v>
      </c>
      <c r="AC1008" s="11">
        <f>IFERROR(__xludf.DUMMYFUNCTION("""COMPUTED_VALUE"""),44509.66666666667)</f>
        <v>44509.66667</v>
      </c>
      <c r="AD1008" s="9">
        <f>IFERROR(__xludf.DUMMYFUNCTION("""COMPUTED_VALUE"""),3576.23)</f>
        <v>3576.23</v>
      </c>
    </row>
    <row r="1009">
      <c r="B1009" s="11">
        <f>IFERROR(__xludf.DUMMYFUNCTION("""COMPUTED_VALUE"""),44510.66666666667)</f>
        <v>44510.66667</v>
      </c>
      <c r="C1009" s="9">
        <f>IFERROR(__xludf.DUMMYFUNCTION("""COMPUTED_VALUE"""),1010.41)</f>
        <v>1010.41</v>
      </c>
      <c r="D1009" s="11">
        <f>IFERROR(__xludf.DUMMYFUNCTION("""COMPUTED_VALUE"""),44510.66666666667)</f>
        <v>44510.66667</v>
      </c>
      <c r="E1009" s="9">
        <f>IFERROR(__xludf.DUMMYFUNCTION("""COMPUTED_VALUE"""),1067.95)</f>
        <v>1067.95</v>
      </c>
      <c r="G1009" s="11">
        <f>IFERROR(__xludf.DUMMYFUNCTION("""COMPUTED_VALUE"""),44510.66666666667)</f>
        <v>44510.66667</v>
      </c>
      <c r="H1009" s="9">
        <f>IFERROR(__xludf.DUMMYFUNCTION("""COMPUTED_VALUE"""),2960.2)</f>
        <v>2960.2</v>
      </c>
      <c r="I1009" s="11">
        <f>IFERROR(__xludf.DUMMYFUNCTION("""COMPUTED_VALUE"""),44510.66666666667)</f>
        <v>44510.66667</v>
      </c>
      <c r="J1009" s="9">
        <f>IFERROR(__xludf.DUMMYFUNCTION("""COMPUTED_VALUE"""),2932.52)</f>
        <v>2932.52</v>
      </c>
      <c r="L1009" s="11">
        <f>IFERROR(__xludf.DUMMYFUNCTION("""COMPUTED_VALUE"""),44510.66666666667)</f>
        <v>44510.66667</v>
      </c>
      <c r="M1009" s="9">
        <f>IFERROR(__xludf.DUMMYFUNCTION("""COMPUTED_VALUE"""),150.02)</f>
        <v>150.02</v>
      </c>
      <c r="N1009" s="11">
        <f>IFERROR(__xludf.DUMMYFUNCTION("""COMPUTED_VALUE"""),44510.66666666667)</f>
        <v>44510.66667</v>
      </c>
      <c r="O1009" s="9">
        <f>IFERROR(__xludf.DUMMYFUNCTION("""COMPUTED_VALUE"""),147.92)</f>
        <v>147.92</v>
      </c>
      <c r="Q1009" s="11">
        <f>IFERROR(__xludf.DUMMYFUNCTION("""COMPUTED_VALUE"""),44510.66666666667)</f>
        <v>44510.66667</v>
      </c>
      <c r="R1009" s="9">
        <f>IFERROR(__xludf.DUMMYFUNCTION("""COMPUTED_VALUE"""),332.49)</f>
        <v>332.49</v>
      </c>
      <c r="S1009" s="11">
        <f>IFERROR(__xludf.DUMMYFUNCTION("""COMPUTED_VALUE"""),44510.66666666667)</f>
        <v>44510.66667</v>
      </c>
      <c r="T1009" s="9">
        <f>IFERROR(__xludf.DUMMYFUNCTION("""COMPUTED_VALUE"""),327.64)</f>
        <v>327.64</v>
      </c>
      <c r="V1009" s="11">
        <f>IFERROR(__xludf.DUMMYFUNCTION("""COMPUTED_VALUE"""),44510.66666666667)</f>
        <v>44510.66667</v>
      </c>
      <c r="W1009" s="9">
        <f>IFERROR(__xludf.DUMMYFUNCTION("""COMPUTED_VALUE"""),653.01)</f>
        <v>653.01</v>
      </c>
      <c r="X1009" s="11">
        <f>IFERROR(__xludf.DUMMYFUNCTION("""COMPUTED_VALUE"""),44510.66666666667)</f>
        <v>44510.66667</v>
      </c>
      <c r="Y1009" s="9">
        <f>IFERROR(__xludf.DUMMYFUNCTION("""COMPUTED_VALUE"""),646.91)</f>
        <v>646.91</v>
      </c>
      <c r="AA1009" s="11">
        <f>IFERROR(__xludf.DUMMYFUNCTION("""COMPUTED_VALUE"""),44510.66666666667)</f>
        <v>44510.66667</v>
      </c>
      <c r="AB1009" s="9">
        <f>IFERROR(__xludf.DUMMYFUNCTION("""COMPUTED_VALUE"""),3563.87)</f>
        <v>3563.87</v>
      </c>
      <c r="AC1009" s="11">
        <f>IFERROR(__xludf.DUMMYFUNCTION("""COMPUTED_VALUE"""),44510.66666666667)</f>
        <v>44510.66667</v>
      </c>
      <c r="AD1009" s="9">
        <f>IFERROR(__xludf.DUMMYFUNCTION("""COMPUTED_VALUE"""),3482.05)</f>
        <v>3482.05</v>
      </c>
    </row>
    <row r="1010">
      <c r="B1010" s="11">
        <f>IFERROR(__xludf.DUMMYFUNCTION("""COMPUTED_VALUE"""),44511.66666666667)</f>
        <v>44511.66667</v>
      </c>
      <c r="C1010" s="9">
        <f>IFERROR(__xludf.DUMMYFUNCTION("""COMPUTED_VALUE"""),1102.77)</f>
        <v>1102.77</v>
      </c>
      <c r="D1010" s="11">
        <f>IFERROR(__xludf.DUMMYFUNCTION("""COMPUTED_VALUE"""),44511.66666666667)</f>
        <v>44511.66667</v>
      </c>
      <c r="E1010" s="9">
        <f>IFERROR(__xludf.DUMMYFUNCTION("""COMPUTED_VALUE"""),1063.51)</f>
        <v>1063.51</v>
      </c>
      <c r="G1010" s="11">
        <f>IFERROR(__xludf.DUMMYFUNCTION("""COMPUTED_VALUE"""),44511.66666666667)</f>
        <v>44511.66667</v>
      </c>
      <c r="H1010" s="9">
        <f>IFERROR(__xludf.DUMMYFUNCTION("""COMPUTED_VALUE"""),2942.14)</f>
        <v>2942.14</v>
      </c>
      <c r="I1010" s="11">
        <f>IFERROR(__xludf.DUMMYFUNCTION("""COMPUTED_VALUE"""),44511.66666666667)</f>
        <v>44511.66667</v>
      </c>
      <c r="J1010" s="9">
        <f>IFERROR(__xludf.DUMMYFUNCTION("""COMPUTED_VALUE"""),2934.96)</f>
        <v>2934.96</v>
      </c>
      <c r="L1010" s="11">
        <f>IFERROR(__xludf.DUMMYFUNCTION("""COMPUTED_VALUE"""),44511.66666666667)</f>
        <v>44511.66667</v>
      </c>
      <c r="M1010" s="9">
        <f>IFERROR(__xludf.DUMMYFUNCTION("""COMPUTED_VALUE"""),148.96)</f>
        <v>148.96</v>
      </c>
      <c r="N1010" s="11">
        <f>IFERROR(__xludf.DUMMYFUNCTION("""COMPUTED_VALUE"""),44511.66666666667)</f>
        <v>44511.66667</v>
      </c>
      <c r="O1010" s="9">
        <f>IFERROR(__xludf.DUMMYFUNCTION("""COMPUTED_VALUE"""),147.87)</f>
        <v>147.87</v>
      </c>
      <c r="Q1010" s="11">
        <f>IFERROR(__xludf.DUMMYFUNCTION("""COMPUTED_VALUE"""),44511.66666666667)</f>
        <v>44511.66667</v>
      </c>
      <c r="R1010" s="9">
        <f>IFERROR(__xludf.DUMMYFUNCTION("""COMPUTED_VALUE"""),329.82)</f>
        <v>329.82</v>
      </c>
      <c r="S1010" s="11">
        <f>IFERROR(__xludf.DUMMYFUNCTION("""COMPUTED_VALUE"""),44511.66666666667)</f>
        <v>44511.66667</v>
      </c>
      <c r="T1010" s="9">
        <f>IFERROR(__xludf.DUMMYFUNCTION("""COMPUTED_VALUE"""),327.74)</f>
        <v>327.74</v>
      </c>
      <c r="V1010" s="11">
        <f>IFERROR(__xludf.DUMMYFUNCTION("""COMPUTED_VALUE"""),44511.66666666667)</f>
        <v>44511.66667</v>
      </c>
      <c r="W1010" s="9">
        <f>IFERROR(__xludf.DUMMYFUNCTION("""COMPUTED_VALUE"""),650.24)</f>
        <v>650.24</v>
      </c>
      <c r="X1010" s="11">
        <f>IFERROR(__xludf.DUMMYFUNCTION("""COMPUTED_VALUE"""),44511.66666666667)</f>
        <v>44511.66667</v>
      </c>
      <c r="Y1010" s="9">
        <f>IFERROR(__xludf.DUMMYFUNCTION("""COMPUTED_VALUE"""),657.58)</f>
        <v>657.58</v>
      </c>
      <c r="AA1010" s="11">
        <f>IFERROR(__xludf.DUMMYFUNCTION("""COMPUTED_VALUE"""),44511.66666666667)</f>
        <v>44511.66667</v>
      </c>
      <c r="AB1010" s="9">
        <f>IFERROR(__xludf.DUMMYFUNCTION("""COMPUTED_VALUE"""),3513.0)</f>
        <v>3513</v>
      </c>
      <c r="AC1010" s="11">
        <f>IFERROR(__xludf.DUMMYFUNCTION("""COMPUTED_VALUE"""),44511.66666666667)</f>
        <v>44511.66667</v>
      </c>
      <c r="AD1010" s="9">
        <f>IFERROR(__xludf.DUMMYFUNCTION("""COMPUTED_VALUE"""),3472.5)</f>
        <v>3472.5</v>
      </c>
    </row>
    <row r="1011">
      <c r="B1011" s="11">
        <f>IFERROR(__xludf.DUMMYFUNCTION("""COMPUTED_VALUE"""),44512.66666666667)</f>
        <v>44512.66667</v>
      </c>
      <c r="C1011" s="9">
        <f>IFERROR(__xludf.DUMMYFUNCTION("""COMPUTED_VALUE"""),1047.5)</f>
        <v>1047.5</v>
      </c>
      <c r="D1011" s="11">
        <f>IFERROR(__xludf.DUMMYFUNCTION("""COMPUTED_VALUE"""),44512.66666666667)</f>
        <v>44512.66667</v>
      </c>
      <c r="E1011" s="9">
        <f>IFERROR(__xludf.DUMMYFUNCTION("""COMPUTED_VALUE"""),1033.42)</f>
        <v>1033.42</v>
      </c>
      <c r="G1011" s="11">
        <f>IFERROR(__xludf.DUMMYFUNCTION("""COMPUTED_VALUE"""),44512.66666666667)</f>
        <v>44512.66667</v>
      </c>
      <c r="H1011" s="9">
        <f>IFERROR(__xludf.DUMMYFUNCTION("""COMPUTED_VALUE"""),2956.63)</f>
        <v>2956.63</v>
      </c>
      <c r="I1011" s="11">
        <f>IFERROR(__xludf.DUMMYFUNCTION("""COMPUTED_VALUE"""),44512.66666666667)</f>
        <v>44512.66667</v>
      </c>
      <c r="J1011" s="9">
        <f>IFERROR(__xludf.DUMMYFUNCTION("""COMPUTED_VALUE"""),2992.91)</f>
        <v>2992.91</v>
      </c>
      <c r="L1011" s="11">
        <f>IFERROR(__xludf.DUMMYFUNCTION("""COMPUTED_VALUE"""),44512.66666666667)</f>
        <v>44512.66667</v>
      </c>
      <c r="M1011" s="9">
        <f>IFERROR(__xludf.DUMMYFUNCTION("""COMPUTED_VALUE"""),148.43)</f>
        <v>148.43</v>
      </c>
      <c r="N1011" s="11">
        <f>IFERROR(__xludf.DUMMYFUNCTION("""COMPUTED_VALUE"""),44512.66666666667)</f>
        <v>44512.66667</v>
      </c>
      <c r="O1011" s="9">
        <f>IFERROR(__xludf.DUMMYFUNCTION("""COMPUTED_VALUE"""),149.99)</f>
        <v>149.99</v>
      </c>
      <c r="Q1011" s="11">
        <f>IFERROR(__xludf.DUMMYFUNCTION("""COMPUTED_VALUE"""),44512.66666666667)</f>
        <v>44512.66667</v>
      </c>
      <c r="R1011" s="9">
        <f>IFERROR(__xludf.DUMMYFUNCTION("""COMPUTED_VALUE"""),330.18)</f>
        <v>330.18</v>
      </c>
      <c r="S1011" s="11">
        <f>IFERROR(__xludf.DUMMYFUNCTION("""COMPUTED_VALUE"""),44512.66666666667)</f>
        <v>44512.66667</v>
      </c>
      <c r="T1011" s="9">
        <f>IFERROR(__xludf.DUMMYFUNCTION("""COMPUTED_VALUE"""),340.89)</f>
        <v>340.89</v>
      </c>
      <c r="V1011" s="11">
        <f>IFERROR(__xludf.DUMMYFUNCTION("""COMPUTED_VALUE"""),44512.66666666667)</f>
        <v>44512.66667</v>
      </c>
      <c r="W1011" s="9">
        <f>IFERROR(__xludf.DUMMYFUNCTION("""COMPUTED_VALUE"""),660.01)</f>
        <v>660.01</v>
      </c>
      <c r="X1011" s="11">
        <f>IFERROR(__xludf.DUMMYFUNCTION("""COMPUTED_VALUE"""),44512.66666666667)</f>
        <v>44512.66667</v>
      </c>
      <c r="Y1011" s="9">
        <f>IFERROR(__xludf.DUMMYFUNCTION("""COMPUTED_VALUE"""),682.61)</f>
        <v>682.61</v>
      </c>
      <c r="AA1011" s="11">
        <f>IFERROR(__xludf.DUMMYFUNCTION("""COMPUTED_VALUE"""),44512.66666666667)</f>
        <v>44512.66667</v>
      </c>
      <c r="AB1011" s="9">
        <f>IFERROR(__xludf.DUMMYFUNCTION("""COMPUTED_VALUE"""),3485.0)</f>
        <v>3485</v>
      </c>
      <c r="AC1011" s="11">
        <f>IFERROR(__xludf.DUMMYFUNCTION("""COMPUTED_VALUE"""),44512.66666666667)</f>
        <v>44512.66667</v>
      </c>
      <c r="AD1011" s="9">
        <f>IFERROR(__xludf.DUMMYFUNCTION("""COMPUTED_VALUE"""),3525.15)</f>
        <v>3525.15</v>
      </c>
    </row>
    <row r="1012">
      <c r="B1012" s="11">
        <f>IFERROR(__xludf.DUMMYFUNCTION("""COMPUTED_VALUE"""),44515.66666666667)</f>
        <v>44515.66667</v>
      </c>
      <c r="C1012" s="9">
        <f>IFERROR(__xludf.DUMMYFUNCTION("""COMPUTED_VALUE"""),1017.63)</f>
        <v>1017.63</v>
      </c>
      <c r="D1012" s="11">
        <f>IFERROR(__xludf.DUMMYFUNCTION("""COMPUTED_VALUE"""),44515.66666666667)</f>
        <v>44515.66667</v>
      </c>
      <c r="E1012" s="9">
        <f>IFERROR(__xludf.DUMMYFUNCTION("""COMPUTED_VALUE"""),1013.39)</f>
        <v>1013.39</v>
      </c>
      <c r="G1012" s="11">
        <f>IFERROR(__xludf.DUMMYFUNCTION("""COMPUTED_VALUE"""),44515.66666666667)</f>
        <v>44515.66667</v>
      </c>
      <c r="H1012" s="9">
        <f>IFERROR(__xludf.DUMMYFUNCTION("""COMPUTED_VALUE"""),3000.0)</f>
        <v>3000</v>
      </c>
      <c r="I1012" s="11">
        <f>IFERROR(__xludf.DUMMYFUNCTION("""COMPUTED_VALUE"""),44515.66666666667)</f>
        <v>44515.66667</v>
      </c>
      <c r="J1012" s="9">
        <f>IFERROR(__xludf.DUMMYFUNCTION("""COMPUTED_VALUE"""),2987.76)</f>
        <v>2987.76</v>
      </c>
      <c r="L1012" s="11">
        <f>IFERROR(__xludf.DUMMYFUNCTION("""COMPUTED_VALUE"""),44515.66666666667)</f>
        <v>44515.66667</v>
      </c>
      <c r="M1012" s="9">
        <f>IFERROR(__xludf.DUMMYFUNCTION("""COMPUTED_VALUE"""),150.37)</f>
        <v>150.37</v>
      </c>
      <c r="N1012" s="11">
        <f>IFERROR(__xludf.DUMMYFUNCTION("""COMPUTED_VALUE"""),44515.66666666667)</f>
        <v>44515.66667</v>
      </c>
      <c r="O1012" s="9">
        <f>IFERROR(__xludf.DUMMYFUNCTION("""COMPUTED_VALUE"""),150.0)</f>
        <v>150</v>
      </c>
      <c r="Q1012" s="11">
        <f>IFERROR(__xludf.DUMMYFUNCTION("""COMPUTED_VALUE"""),44515.66666666667)</f>
        <v>44515.66667</v>
      </c>
      <c r="R1012" s="9">
        <f>IFERROR(__xludf.DUMMYFUNCTION("""COMPUTED_VALUE"""),344.34)</f>
        <v>344.34</v>
      </c>
      <c r="S1012" s="11">
        <f>IFERROR(__xludf.DUMMYFUNCTION("""COMPUTED_VALUE"""),44515.66666666667)</f>
        <v>44515.66667</v>
      </c>
      <c r="T1012" s="9">
        <f>IFERROR(__xludf.DUMMYFUNCTION("""COMPUTED_VALUE"""),347.56)</f>
        <v>347.56</v>
      </c>
      <c r="V1012" s="11">
        <f>IFERROR(__xludf.DUMMYFUNCTION("""COMPUTED_VALUE"""),44515.66666666667)</f>
        <v>44515.66667</v>
      </c>
      <c r="W1012" s="9">
        <f>IFERROR(__xludf.DUMMYFUNCTION("""COMPUTED_VALUE"""),681.24)</f>
        <v>681.24</v>
      </c>
      <c r="X1012" s="11">
        <f>IFERROR(__xludf.DUMMYFUNCTION("""COMPUTED_VALUE"""),44515.66666666667)</f>
        <v>44515.66667</v>
      </c>
      <c r="Y1012" s="9">
        <f>IFERROR(__xludf.DUMMYFUNCTION("""COMPUTED_VALUE"""),679.33)</f>
        <v>679.33</v>
      </c>
      <c r="AA1012" s="11">
        <f>IFERROR(__xludf.DUMMYFUNCTION("""COMPUTED_VALUE"""),44515.66666666667)</f>
        <v>44515.66667</v>
      </c>
      <c r="AB1012" s="9">
        <f>IFERROR(__xludf.DUMMYFUNCTION("""COMPUTED_VALUE"""),3537.0)</f>
        <v>3537</v>
      </c>
      <c r="AC1012" s="11">
        <f>IFERROR(__xludf.DUMMYFUNCTION("""COMPUTED_VALUE"""),44515.66666666667)</f>
        <v>44515.66667</v>
      </c>
      <c r="AD1012" s="9">
        <f>IFERROR(__xludf.DUMMYFUNCTION("""COMPUTED_VALUE"""),3545.68)</f>
        <v>3545.68</v>
      </c>
    </row>
    <row r="1013">
      <c r="B1013" s="11">
        <f>IFERROR(__xludf.DUMMYFUNCTION("""COMPUTED_VALUE"""),44516.66666666667)</f>
        <v>44516.66667</v>
      </c>
      <c r="C1013" s="9">
        <f>IFERROR(__xludf.DUMMYFUNCTION("""COMPUTED_VALUE"""),1003.31)</f>
        <v>1003.31</v>
      </c>
      <c r="D1013" s="11">
        <f>IFERROR(__xludf.DUMMYFUNCTION("""COMPUTED_VALUE"""),44516.66666666667)</f>
        <v>44516.66667</v>
      </c>
      <c r="E1013" s="9">
        <f>IFERROR(__xludf.DUMMYFUNCTION("""COMPUTED_VALUE"""),1054.73)</f>
        <v>1054.73</v>
      </c>
      <c r="G1013" s="11">
        <f>IFERROR(__xludf.DUMMYFUNCTION("""COMPUTED_VALUE"""),44516.66666666667)</f>
        <v>44516.66667</v>
      </c>
      <c r="H1013" s="9">
        <f>IFERROR(__xludf.DUMMYFUNCTION("""COMPUTED_VALUE"""),2983.41)</f>
        <v>2983.41</v>
      </c>
      <c r="I1013" s="11">
        <f>IFERROR(__xludf.DUMMYFUNCTION("""COMPUTED_VALUE"""),44516.66666666667)</f>
        <v>44516.66667</v>
      </c>
      <c r="J1013" s="9">
        <f>IFERROR(__xludf.DUMMYFUNCTION("""COMPUTED_VALUE"""),2981.52)</f>
        <v>2981.52</v>
      </c>
      <c r="L1013" s="11">
        <f>IFERROR(__xludf.DUMMYFUNCTION("""COMPUTED_VALUE"""),44516.66666666667)</f>
        <v>44516.66667</v>
      </c>
      <c r="M1013" s="9">
        <f>IFERROR(__xludf.DUMMYFUNCTION("""COMPUTED_VALUE"""),149.94)</f>
        <v>149.94</v>
      </c>
      <c r="N1013" s="11">
        <f>IFERROR(__xludf.DUMMYFUNCTION("""COMPUTED_VALUE"""),44516.66666666667)</f>
        <v>44516.66667</v>
      </c>
      <c r="O1013" s="9">
        <f>IFERROR(__xludf.DUMMYFUNCTION("""COMPUTED_VALUE"""),151.0)</f>
        <v>151</v>
      </c>
      <c r="Q1013" s="11">
        <f>IFERROR(__xludf.DUMMYFUNCTION("""COMPUTED_VALUE"""),44516.66666666667)</f>
        <v>44516.66667</v>
      </c>
      <c r="R1013" s="9">
        <f>IFERROR(__xludf.DUMMYFUNCTION("""COMPUTED_VALUE"""),343.83)</f>
        <v>343.83</v>
      </c>
      <c r="S1013" s="11">
        <f>IFERROR(__xludf.DUMMYFUNCTION("""COMPUTED_VALUE"""),44516.66666666667)</f>
        <v>44516.66667</v>
      </c>
      <c r="T1013" s="9">
        <f>IFERROR(__xludf.DUMMYFUNCTION("""COMPUTED_VALUE"""),342.96)</f>
        <v>342.96</v>
      </c>
      <c r="V1013" s="11">
        <f>IFERROR(__xludf.DUMMYFUNCTION("""COMPUTED_VALUE"""),44516.66666666667)</f>
        <v>44516.66667</v>
      </c>
      <c r="W1013" s="9">
        <f>IFERROR(__xludf.DUMMYFUNCTION("""COMPUTED_VALUE"""),678.27)</f>
        <v>678.27</v>
      </c>
      <c r="X1013" s="11">
        <f>IFERROR(__xludf.DUMMYFUNCTION("""COMPUTED_VALUE"""),44516.66666666667)</f>
        <v>44516.66667</v>
      </c>
      <c r="Y1013" s="9">
        <f>IFERROR(__xludf.DUMMYFUNCTION("""COMPUTED_VALUE"""),687.4)</f>
        <v>687.4</v>
      </c>
      <c r="AA1013" s="11">
        <f>IFERROR(__xludf.DUMMYFUNCTION("""COMPUTED_VALUE"""),44516.66666666667)</f>
        <v>44516.66667</v>
      </c>
      <c r="AB1013" s="9">
        <f>IFERROR(__xludf.DUMMYFUNCTION("""COMPUTED_VALUE"""),3539.0)</f>
        <v>3539</v>
      </c>
      <c r="AC1013" s="11">
        <f>IFERROR(__xludf.DUMMYFUNCTION("""COMPUTED_VALUE"""),44516.66666666667)</f>
        <v>44516.66667</v>
      </c>
      <c r="AD1013" s="9">
        <f>IFERROR(__xludf.DUMMYFUNCTION("""COMPUTED_VALUE"""),3540.7)</f>
        <v>3540.7</v>
      </c>
    </row>
    <row r="1014">
      <c r="B1014" s="11">
        <f>IFERROR(__xludf.DUMMYFUNCTION("""COMPUTED_VALUE"""),44517.66666666667)</f>
        <v>44517.66667</v>
      </c>
      <c r="C1014" s="9">
        <f>IFERROR(__xludf.DUMMYFUNCTION("""COMPUTED_VALUE"""),1063.51)</f>
        <v>1063.51</v>
      </c>
      <c r="D1014" s="11">
        <f>IFERROR(__xludf.DUMMYFUNCTION("""COMPUTED_VALUE"""),44517.66666666667)</f>
        <v>44517.66667</v>
      </c>
      <c r="E1014" s="9">
        <f>IFERROR(__xludf.DUMMYFUNCTION("""COMPUTED_VALUE"""),1089.01)</f>
        <v>1089.01</v>
      </c>
      <c r="G1014" s="11">
        <f>IFERROR(__xludf.DUMMYFUNCTION("""COMPUTED_VALUE"""),44517.66666666667)</f>
        <v>44517.66667</v>
      </c>
      <c r="H1014" s="9">
        <f>IFERROR(__xludf.DUMMYFUNCTION("""COMPUTED_VALUE"""),2984.58)</f>
        <v>2984.58</v>
      </c>
      <c r="I1014" s="11">
        <f>IFERROR(__xludf.DUMMYFUNCTION("""COMPUTED_VALUE"""),44517.66666666667)</f>
        <v>44517.66667</v>
      </c>
      <c r="J1014" s="9">
        <f>IFERROR(__xludf.DUMMYFUNCTION("""COMPUTED_VALUE"""),2981.24)</f>
        <v>2981.24</v>
      </c>
      <c r="L1014" s="11">
        <f>IFERROR(__xludf.DUMMYFUNCTION("""COMPUTED_VALUE"""),44517.66666666667)</f>
        <v>44517.66667</v>
      </c>
      <c r="M1014" s="9">
        <f>IFERROR(__xludf.DUMMYFUNCTION("""COMPUTED_VALUE"""),151.0)</f>
        <v>151</v>
      </c>
      <c r="N1014" s="11">
        <f>IFERROR(__xludf.DUMMYFUNCTION("""COMPUTED_VALUE"""),44517.66666666667)</f>
        <v>44517.66667</v>
      </c>
      <c r="O1014" s="9">
        <f>IFERROR(__xludf.DUMMYFUNCTION("""COMPUTED_VALUE"""),153.49)</f>
        <v>153.49</v>
      </c>
      <c r="Q1014" s="11">
        <f>IFERROR(__xludf.DUMMYFUNCTION("""COMPUTED_VALUE"""),44517.66666666667)</f>
        <v>44517.66667</v>
      </c>
      <c r="R1014" s="9">
        <f>IFERROR(__xludf.DUMMYFUNCTION("""COMPUTED_VALUE"""),344.24)</f>
        <v>344.24</v>
      </c>
      <c r="S1014" s="11">
        <f>IFERROR(__xludf.DUMMYFUNCTION("""COMPUTED_VALUE"""),44517.66666666667)</f>
        <v>44517.66667</v>
      </c>
      <c r="T1014" s="9">
        <f>IFERROR(__xludf.DUMMYFUNCTION("""COMPUTED_VALUE"""),340.77)</f>
        <v>340.77</v>
      </c>
      <c r="V1014" s="11">
        <f>IFERROR(__xludf.DUMMYFUNCTION("""COMPUTED_VALUE"""),44517.66666666667)</f>
        <v>44517.66667</v>
      </c>
      <c r="W1014" s="9">
        <f>IFERROR(__xludf.DUMMYFUNCTION("""COMPUTED_VALUE"""),690.0)</f>
        <v>690</v>
      </c>
      <c r="X1014" s="11">
        <f>IFERROR(__xludf.DUMMYFUNCTION("""COMPUTED_VALUE"""),44517.66666666667)</f>
        <v>44517.66667</v>
      </c>
      <c r="Y1014" s="9">
        <f>IFERROR(__xludf.DUMMYFUNCTION("""COMPUTED_VALUE"""),691.69)</f>
        <v>691.69</v>
      </c>
      <c r="AA1014" s="11">
        <f>IFERROR(__xludf.DUMMYFUNCTION("""COMPUTED_VALUE"""),44517.66666666667)</f>
        <v>44517.66667</v>
      </c>
      <c r="AB1014" s="9">
        <f>IFERROR(__xludf.DUMMYFUNCTION("""COMPUTED_VALUE"""),3564.72)</f>
        <v>3564.72</v>
      </c>
      <c r="AC1014" s="11">
        <f>IFERROR(__xludf.DUMMYFUNCTION("""COMPUTED_VALUE"""),44517.66666666667)</f>
        <v>44517.66667</v>
      </c>
      <c r="AD1014" s="9">
        <f>IFERROR(__xludf.DUMMYFUNCTION("""COMPUTED_VALUE"""),3549.0)</f>
        <v>3549</v>
      </c>
    </row>
    <row r="1015">
      <c r="B1015" s="11">
        <f>IFERROR(__xludf.DUMMYFUNCTION("""COMPUTED_VALUE"""),44518.66666666667)</f>
        <v>44518.66667</v>
      </c>
      <c r="C1015" s="9">
        <f>IFERROR(__xludf.DUMMYFUNCTION("""COMPUTED_VALUE"""),1106.55)</f>
        <v>1106.55</v>
      </c>
      <c r="D1015" s="11">
        <f>IFERROR(__xludf.DUMMYFUNCTION("""COMPUTED_VALUE"""),44518.66666666667)</f>
        <v>44518.66667</v>
      </c>
      <c r="E1015" s="9">
        <f>IFERROR(__xludf.DUMMYFUNCTION("""COMPUTED_VALUE"""),1096.38)</f>
        <v>1096.38</v>
      </c>
      <c r="G1015" s="11">
        <f>IFERROR(__xludf.DUMMYFUNCTION("""COMPUTED_VALUE"""),44518.66666666667)</f>
        <v>44518.66667</v>
      </c>
      <c r="H1015" s="9">
        <f>IFERROR(__xludf.DUMMYFUNCTION("""COMPUTED_VALUE"""),2982.92)</f>
        <v>2982.92</v>
      </c>
      <c r="I1015" s="11">
        <f>IFERROR(__xludf.DUMMYFUNCTION("""COMPUTED_VALUE"""),44518.66666666667)</f>
        <v>44518.66667</v>
      </c>
      <c r="J1015" s="9">
        <f>IFERROR(__xludf.DUMMYFUNCTION("""COMPUTED_VALUE"""),3014.18)</f>
        <v>3014.18</v>
      </c>
      <c r="L1015" s="11">
        <f>IFERROR(__xludf.DUMMYFUNCTION("""COMPUTED_VALUE"""),44518.66666666667)</f>
        <v>44518.66667</v>
      </c>
      <c r="M1015" s="9">
        <f>IFERROR(__xludf.DUMMYFUNCTION("""COMPUTED_VALUE"""),153.71)</f>
        <v>153.71</v>
      </c>
      <c r="N1015" s="11">
        <f>IFERROR(__xludf.DUMMYFUNCTION("""COMPUTED_VALUE"""),44518.66666666667)</f>
        <v>44518.66667</v>
      </c>
      <c r="O1015" s="9">
        <f>IFERROR(__xludf.DUMMYFUNCTION("""COMPUTED_VALUE"""),157.87)</f>
        <v>157.87</v>
      </c>
      <c r="Q1015" s="11">
        <f>IFERROR(__xludf.DUMMYFUNCTION("""COMPUTED_VALUE"""),44518.66666666667)</f>
        <v>44518.66667</v>
      </c>
      <c r="R1015" s="9">
        <f>IFERROR(__xludf.DUMMYFUNCTION("""COMPUTED_VALUE"""),339.72)</f>
        <v>339.72</v>
      </c>
      <c r="S1015" s="11">
        <f>IFERROR(__xludf.DUMMYFUNCTION("""COMPUTED_VALUE"""),44518.66666666667)</f>
        <v>44518.66667</v>
      </c>
      <c r="T1015" s="9">
        <f>IFERROR(__xludf.DUMMYFUNCTION("""COMPUTED_VALUE"""),338.69)</f>
        <v>338.69</v>
      </c>
      <c r="V1015" s="11">
        <f>IFERROR(__xludf.DUMMYFUNCTION("""COMPUTED_VALUE"""),44518.66666666667)</f>
        <v>44518.66667</v>
      </c>
      <c r="W1015" s="9">
        <f>IFERROR(__xludf.DUMMYFUNCTION("""COMPUTED_VALUE"""),691.61)</f>
        <v>691.61</v>
      </c>
      <c r="X1015" s="11">
        <f>IFERROR(__xludf.DUMMYFUNCTION("""COMPUTED_VALUE"""),44518.66666666667)</f>
        <v>44518.66667</v>
      </c>
      <c r="Y1015" s="9">
        <f>IFERROR(__xludf.DUMMYFUNCTION("""COMPUTED_VALUE"""),682.02)</f>
        <v>682.02</v>
      </c>
      <c r="AA1015" s="11">
        <f>IFERROR(__xludf.DUMMYFUNCTION("""COMPUTED_VALUE"""),44518.66666666667)</f>
        <v>44518.66667</v>
      </c>
      <c r="AB1015" s="9">
        <f>IFERROR(__xludf.DUMMYFUNCTION("""COMPUTED_VALUE"""),3566.35)</f>
        <v>3566.35</v>
      </c>
      <c r="AC1015" s="11">
        <f>IFERROR(__xludf.DUMMYFUNCTION("""COMPUTED_VALUE"""),44518.66666666667)</f>
        <v>44518.66667</v>
      </c>
      <c r="AD1015" s="9">
        <f>IFERROR(__xludf.DUMMYFUNCTION("""COMPUTED_VALUE"""),3696.06)</f>
        <v>3696.06</v>
      </c>
    </row>
    <row r="1016">
      <c r="B1016" s="11">
        <f>IFERROR(__xludf.DUMMYFUNCTION("""COMPUTED_VALUE"""),44519.66666666667)</f>
        <v>44519.66667</v>
      </c>
      <c r="C1016" s="9">
        <f>IFERROR(__xludf.DUMMYFUNCTION("""COMPUTED_VALUE"""),1098.87)</f>
        <v>1098.87</v>
      </c>
      <c r="D1016" s="11">
        <f>IFERROR(__xludf.DUMMYFUNCTION("""COMPUTED_VALUE"""),44519.66666666667)</f>
        <v>44519.66667</v>
      </c>
      <c r="E1016" s="9">
        <f>IFERROR(__xludf.DUMMYFUNCTION("""COMPUTED_VALUE"""),1137.06)</f>
        <v>1137.06</v>
      </c>
      <c r="G1016" s="11">
        <f>IFERROR(__xludf.DUMMYFUNCTION("""COMPUTED_VALUE"""),44519.66666666667)</f>
        <v>44519.66667</v>
      </c>
      <c r="H1016" s="9">
        <f>IFERROR(__xludf.DUMMYFUNCTION("""COMPUTED_VALUE"""),3020.0)</f>
        <v>3020</v>
      </c>
      <c r="I1016" s="11">
        <f>IFERROR(__xludf.DUMMYFUNCTION("""COMPUTED_VALUE"""),44519.66666666667)</f>
        <v>44519.66667</v>
      </c>
      <c r="J1016" s="9">
        <f>IFERROR(__xludf.DUMMYFUNCTION("""COMPUTED_VALUE"""),2999.05)</f>
        <v>2999.05</v>
      </c>
      <c r="L1016" s="11">
        <f>IFERROR(__xludf.DUMMYFUNCTION("""COMPUTED_VALUE"""),44519.66666666667)</f>
        <v>44519.66667</v>
      </c>
      <c r="M1016" s="9">
        <f>IFERROR(__xludf.DUMMYFUNCTION("""COMPUTED_VALUE"""),157.65)</f>
        <v>157.65</v>
      </c>
      <c r="N1016" s="11">
        <f>IFERROR(__xludf.DUMMYFUNCTION("""COMPUTED_VALUE"""),44519.66666666667)</f>
        <v>44519.66667</v>
      </c>
      <c r="O1016" s="9">
        <f>IFERROR(__xludf.DUMMYFUNCTION("""COMPUTED_VALUE"""),160.55)</f>
        <v>160.55</v>
      </c>
      <c r="Q1016" s="11">
        <f>IFERROR(__xludf.DUMMYFUNCTION("""COMPUTED_VALUE"""),44519.66666666667)</f>
        <v>44519.66667</v>
      </c>
      <c r="R1016" s="9">
        <f>IFERROR(__xludf.DUMMYFUNCTION("""COMPUTED_VALUE"""),342.2)</f>
        <v>342.2</v>
      </c>
      <c r="S1016" s="11">
        <f>IFERROR(__xludf.DUMMYFUNCTION("""COMPUTED_VALUE"""),44519.66666666667)</f>
        <v>44519.66667</v>
      </c>
      <c r="T1016" s="9">
        <f>IFERROR(__xludf.DUMMYFUNCTION("""COMPUTED_VALUE"""),345.3)</f>
        <v>345.3</v>
      </c>
      <c r="V1016" s="11">
        <f>IFERROR(__xludf.DUMMYFUNCTION("""COMPUTED_VALUE"""),44519.66666666667)</f>
        <v>44519.66667</v>
      </c>
      <c r="W1016" s="9">
        <f>IFERROR(__xludf.DUMMYFUNCTION("""COMPUTED_VALUE"""),692.35)</f>
        <v>692.35</v>
      </c>
      <c r="X1016" s="11">
        <f>IFERROR(__xludf.DUMMYFUNCTION("""COMPUTED_VALUE"""),44519.66666666667)</f>
        <v>44519.66667</v>
      </c>
      <c r="Y1016" s="9">
        <f>IFERROR(__xludf.DUMMYFUNCTION("""COMPUTED_VALUE"""),678.8)</f>
        <v>678.8</v>
      </c>
      <c r="AA1016" s="11">
        <f>IFERROR(__xludf.DUMMYFUNCTION("""COMPUTED_VALUE"""),44519.66666666667)</f>
        <v>44519.66667</v>
      </c>
      <c r="AB1016" s="9">
        <f>IFERROR(__xludf.DUMMYFUNCTION("""COMPUTED_VALUE"""),3712.69)</f>
        <v>3712.69</v>
      </c>
      <c r="AC1016" s="11">
        <f>IFERROR(__xludf.DUMMYFUNCTION("""COMPUTED_VALUE"""),44519.66666666667)</f>
        <v>44519.66667</v>
      </c>
      <c r="AD1016" s="9">
        <f>IFERROR(__xludf.DUMMYFUNCTION("""COMPUTED_VALUE"""),3676.57)</f>
        <v>3676.57</v>
      </c>
    </row>
    <row r="1017">
      <c r="B1017" s="11">
        <f>IFERROR(__xludf.DUMMYFUNCTION("""COMPUTED_VALUE"""),44522.66666666667)</f>
        <v>44522.66667</v>
      </c>
      <c r="C1017" s="9">
        <f>IFERROR(__xludf.DUMMYFUNCTION("""COMPUTED_VALUE"""),1162.33)</f>
        <v>1162.33</v>
      </c>
      <c r="D1017" s="11">
        <f>IFERROR(__xludf.DUMMYFUNCTION("""COMPUTED_VALUE"""),44522.66666666667)</f>
        <v>44522.66667</v>
      </c>
      <c r="E1017" s="9">
        <f>IFERROR(__xludf.DUMMYFUNCTION("""COMPUTED_VALUE"""),1156.87)</f>
        <v>1156.87</v>
      </c>
      <c r="G1017" s="11">
        <f>IFERROR(__xludf.DUMMYFUNCTION("""COMPUTED_VALUE"""),44522.66666666667)</f>
        <v>44522.66667</v>
      </c>
      <c r="H1017" s="9">
        <f>IFERROR(__xludf.DUMMYFUNCTION("""COMPUTED_VALUE"""),3002.84)</f>
        <v>3002.84</v>
      </c>
      <c r="I1017" s="11">
        <f>IFERROR(__xludf.DUMMYFUNCTION("""COMPUTED_VALUE"""),44522.66666666667)</f>
        <v>44522.66667</v>
      </c>
      <c r="J1017" s="9">
        <f>IFERROR(__xludf.DUMMYFUNCTION("""COMPUTED_VALUE"""),2941.57)</f>
        <v>2941.57</v>
      </c>
      <c r="L1017" s="11">
        <f>IFERROR(__xludf.DUMMYFUNCTION("""COMPUTED_VALUE"""),44522.66666666667)</f>
        <v>44522.66667</v>
      </c>
      <c r="M1017" s="9">
        <f>IFERROR(__xludf.DUMMYFUNCTION("""COMPUTED_VALUE"""),161.68)</f>
        <v>161.68</v>
      </c>
      <c r="N1017" s="11">
        <f>IFERROR(__xludf.DUMMYFUNCTION("""COMPUTED_VALUE"""),44522.66666666667)</f>
        <v>44522.66667</v>
      </c>
      <c r="O1017" s="9">
        <f>IFERROR(__xludf.DUMMYFUNCTION("""COMPUTED_VALUE"""),161.02)</f>
        <v>161.02</v>
      </c>
      <c r="Q1017" s="11">
        <f>IFERROR(__xludf.DUMMYFUNCTION("""COMPUTED_VALUE"""),44522.66666666667)</f>
        <v>44522.66667</v>
      </c>
      <c r="R1017" s="9">
        <f>IFERROR(__xludf.DUMMYFUNCTION("""COMPUTED_VALUE"""),349.05)</f>
        <v>349.05</v>
      </c>
      <c r="S1017" s="11">
        <f>IFERROR(__xludf.DUMMYFUNCTION("""COMPUTED_VALUE"""),44522.66666666667)</f>
        <v>44522.66667</v>
      </c>
      <c r="T1017" s="9">
        <f>IFERROR(__xludf.DUMMYFUNCTION("""COMPUTED_VALUE"""),341.01)</f>
        <v>341.01</v>
      </c>
      <c r="V1017" s="11">
        <f>IFERROR(__xludf.DUMMYFUNCTION("""COMPUTED_VALUE"""),44522.66666666667)</f>
        <v>44522.66667</v>
      </c>
      <c r="W1017" s="9">
        <f>IFERROR(__xludf.DUMMYFUNCTION("""COMPUTED_VALUE"""),676.02)</f>
        <v>676.02</v>
      </c>
      <c r="X1017" s="11">
        <f>IFERROR(__xludf.DUMMYFUNCTION("""COMPUTED_VALUE"""),44522.66666666667)</f>
        <v>44522.66667</v>
      </c>
      <c r="Y1017" s="9">
        <f>IFERROR(__xludf.DUMMYFUNCTION("""COMPUTED_VALUE"""),659.2)</f>
        <v>659.2</v>
      </c>
      <c r="AA1017" s="11">
        <f>IFERROR(__xludf.DUMMYFUNCTION("""COMPUTED_VALUE"""),44522.66666666667)</f>
        <v>44522.66667</v>
      </c>
      <c r="AB1017" s="9">
        <f>IFERROR(__xludf.DUMMYFUNCTION("""COMPUTED_VALUE"""),3676.38)</f>
        <v>3676.38</v>
      </c>
      <c r="AC1017" s="11">
        <f>IFERROR(__xludf.DUMMYFUNCTION("""COMPUTED_VALUE"""),44522.66666666667)</f>
        <v>44522.66667</v>
      </c>
      <c r="AD1017" s="9">
        <f>IFERROR(__xludf.DUMMYFUNCTION("""COMPUTED_VALUE"""),3572.57)</f>
        <v>3572.57</v>
      </c>
    </row>
    <row r="1018">
      <c r="B1018" s="11">
        <f>IFERROR(__xludf.DUMMYFUNCTION("""COMPUTED_VALUE"""),44523.66666666667)</f>
        <v>44523.66667</v>
      </c>
      <c r="C1018" s="9">
        <f>IFERROR(__xludf.DUMMYFUNCTION("""COMPUTED_VALUE"""),1167.51)</f>
        <v>1167.51</v>
      </c>
      <c r="D1018" s="11">
        <f>IFERROR(__xludf.DUMMYFUNCTION("""COMPUTED_VALUE"""),44523.66666666667)</f>
        <v>44523.66667</v>
      </c>
      <c r="E1018" s="9">
        <f>IFERROR(__xludf.DUMMYFUNCTION("""COMPUTED_VALUE"""),1109.03)</f>
        <v>1109.03</v>
      </c>
      <c r="G1018" s="11">
        <f>IFERROR(__xludf.DUMMYFUNCTION("""COMPUTED_VALUE"""),44523.66666666667)</f>
        <v>44523.66667</v>
      </c>
      <c r="H1018" s="9">
        <f>IFERROR(__xludf.DUMMYFUNCTION("""COMPUTED_VALUE"""),2942.26)</f>
        <v>2942.26</v>
      </c>
      <c r="I1018" s="11">
        <f>IFERROR(__xludf.DUMMYFUNCTION("""COMPUTED_VALUE"""),44523.66666666667)</f>
        <v>44523.66667</v>
      </c>
      <c r="J1018" s="9">
        <f>IFERROR(__xludf.DUMMYFUNCTION("""COMPUTED_VALUE"""),2935.14)</f>
        <v>2935.14</v>
      </c>
      <c r="L1018" s="11">
        <f>IFERROR(__xludf.DUMMYFUNCTION("""COMPUTED_VALUE"""),44523.66666666667)</f>
        <v>44523.66667</v>
      </c>
      <c r="M1018" s="9">
        <f>IFERROR(__xludf.DUMMYFUNCTION("""COMPUTED_VALUE"""),161.12)</f>
        <v>161.12</v>
      </c>
      <c r="N1018" s="11">
        <f>IFERROR(__xludf.DUMMYFUNCTION("""COMPUTED_VALUE"""),44523.66666666667)</f>
        <v>44523.66667</v>
      </c>
      <c r="O1018" s="9">
        <f>IFERROR(__xludf.DUMMYFUNCTION("""COMPUTED_VALUE"""),161.41)</f>
        <v>161.41</v>
      </c>
      <c r="Q1018" s="11">
        <f>IFERROR(__xludf.DUMMYFUNCTION("""COMPUTED_VALUE"""),44523.66666666667)</f>
        <v>44523.66667</v>
      </c>
      <c r="R1018" s="9">
        <f>IFERROR(__xludf.DUMMYFUNCTION("""COMPUTED_VALUE"""),338.93)</f>
        <v>338.93</v>
      </c>
      <c r="S1018" s="11">
        <f>IFERROR(__xludf.DUMMYFUNCTION("""COMPUTED_VALUE"""),44523.66666666667)</f>
        <v>44523.66667</v>
      </c>
      <c r="T1018" s="9">
        <f>IFERROR(__xludf.DUMMYFUNCTION("""COMPUTED_VALUE"""),337.25)</f>
        <v>337.25</v>
      </c>
      <c r="V1018" s="11">
        <f>IFERROR(__xludf.DUMMYFUNCTION("""COMPUTED_VALUE"""),44523.66666666667)</f>
        <v>44523.66667</v>
      </c>
      <c r="W1018" s="9">
        <f>IFERROR(__xludf.DUMMYFUNCTION("""COMPUTED_VALUE"""),658.18)</f>
        <v>658.18</v>
      </c>
      <c r="X1018" s="11">
        <f>IFERROR(__xludf.DUMMYFUNCTION("""COMPUTED_VALUE"""),44523.66666666667)</f>
        <v>44523.66667</v>
      </c>
      <c r="Y1018" s="9">
        <f>IFERROR(__xludf.DUMMYFUNCTION("""COMPUTED_VALUE"""),654.06)</f>
        <v>654.06</v>
      </c>
      <c r="AA1018" s="11">
        <f>IFERROR(__xludf.DUMMYFUNCTION("""COMPUTED_VALUE"""),44523.66666666667)</f>
        <v>44523.66667</v>
      </c>
      <c r="AB1018" s="9">
        <f>IFERROR(__xludf.DUMMYFUNCTION("""COMPUTED_VALUE"""),3585.04)</f>
        <v>3585.04</v>
      </c>
      <c r="AC1018" s="11">
        <f>IFERROR(__xludf.DUMMYFUNCTION("""COMPUTED_VALUE"""),44523.66666666667)</f>
        <v>44523.66667</v>
      </c>
      <c r="AD1018" s="9">
        <f>IFERROR(__xludf.DUMMYFUNCTION("""COMPUTED_VALUE"""),3580.04)</f>
        <v>3580.04</v>
      </c>
    </row>
    <row r="1019">
      <c r="B1019" s="11">
        <f>IFERROR(__xludf.DUMMYFUNCTION("""COMPUTED_VALUE"""),44524.66666666667)</f>
        <v>44524.66667</v>
      </c>
      <c r="C1019" s="9">
        <f>IFERROR(__xludf.DUMMYFUNCTION("""COMPUTED_VALUE"""),1080.39)</f>
        <v>1080.39</v>
      </c>
      <c r="D1019" s="11">
        <f>IFERROR(__xludf.DUMMYFUNCTION("""COMPUTED_VALUE"""),44524.66666666667)</f>
        <v>44524.66667</v>
      </c>
      <c r="E1019" s="9">
        <f>IFERROR(__xludf.DUMMYFUNCTION("""COMPUTED_VALUE"""),1116.0)</f>
        <v>1116</v>
      </c>
      <c r="G1019" s="11">
        <f>IFERROR(__xludf.DUMMYFUNCTION("""COMPUTED_VALUE"""),44524.66666666667)</f>
        <v>44524.66667</v>
      </c>
      <c r="H1019" s="9">
        <f>IFERROR(__xludf.DUMMYFUNCTION("""COMPUTED_VALUE"""),2927.0)</f>
        <v>2927</v>
      </c>
      <c r="I1019" s="11">
        <f>IFERROR(__xludf.DUMMYFUNCTION("""COMPUTED_VALUE"""),44524.66666666667)</f>
        <v>44524.66667</v>
      </c>
      <c r="J1019" s="9">
        <f>IFERROR(__xludf.DUMMYFUNCTION("""COMPUTED_VALUE"""),2934.35)</f>
        <v>2934.35</v>
      </c>
      <c r="L1019" s="11">
        <f>IFERROR(__xludf.DUMMYFUNCTION("""COMPUTED_VALUE"""),44524.66666666667)</f>
        <v>44524.66667</v>
      </c>
      <c r="M1019" s="9">
        <f>IFERROR(__xludf.DUMMYFUNCTION("""COMPUTED_VALUE"""),160.75)</f>
        <v>160.75</v>
      </c>
      <c r="N1019" s="11">
        <f>IFERROR(__xludf.DUMMYFUNCTION("""COMPUTED_VALUE"""),44524.66666666667)</f>
        <v>44524.66667</v>
      </c>
      <c r="O1019" s="9">
        <f>IFERROR(__xludf.DUMMYFUNCTION("""COMPUTED_VALUE"""),161.94)</f>
        <v>161.94</v>
      </c>
      <c r="Q1019" s="11">
        <f>IFERROR(__xludf.DUMMYFUNCTION("""COMPUTED_VALUE"""),44524.66666666667)</f>
        <v>44524.66667</v>
      </c>
      <c r="R1019" s="9">
        <f>IFERROR(__xludf.DUMMYFUNCTION("""COMPUTED_VALUE"""),336.0)</f>
        <v>336</v>
      </c>
      <c r="S1019" s="11">
        <f>IFERROR(__xludf.DUMMYFUNCTION("""COMPUTED_VALUE"""),44524.66666666667)</f>
        <v>44524.66667</v>
      </c>
      <c r="T1019" s="9">
        <f>IFERROR(__xludf.DUMMYFUNCTION("""COMPUTED_VALUE"""),341.06)</f>
        <v>341.06</v>
      </c>
      <c r="V1019" s="11">
        <f>IFERROR(__xludf.DUMMYFUNCTION("""COMPUTED_VALUE"""),44524.66666666667)</f>
        <v>44524.66667</v>
      </c>
      <c r="W1019" s="9">
        <f>IFERROR(__xludf.DUMMYFUNCTION("""COMPUTED_VALUE"""),658.01)</f>
        <v>658.01</v>
      </c>
      <c r="X1019" s="11">
        <f>IFERROR(__xludf.DUMMYFUNCTION("""COMPUTED_VALUE"""),44524.66666666667)</f>
        <v>44524.66667</v>
      </c>
      <c r="Y1019" s="9">
        <f>IFERROR(__xludf.DUMMYFUNCTION("""COMPUTED_VALUE"""),658.29)</f>
        <v>658.29</v>
      </c>
      <c r="AA1019" s="11">
        <f>IFERROR(__xludf.DUMMYFUNCTION("""COMPUTED_VALUE"""),44524.66666666667)</f>
        <v>44524.66667</v>
      </c>
      <c r="AB1019" s="9">
        <f>IFERROR(__xludf.DUMMYFUNCTION("""COMPUTED_VALUE"""),3562.67)</f>
        <v>3562.67</v>
      </c>
      <c r="AC1019" s="11">
        <f>IFERROR(__xludf.DUMMYFUNCTION("""COMPUTED_VALUE"""),44524.66666666667)</f>
        <v>44524.66667</v>
      </c>
      <c r="AD1019" s="9">
        <f>IFERROR(__xludf.DUMMYFUNCTION("""COMPUTED_VALUE"""),3580.41)</f>
        <v>3580.41</v>
      </c>
    </row>
    <row r="1020">
      <c r="B1020" s="11">
        <f>IFERROR(__xludf.DUMMYFUNCTION("""COMPUTED_VALUE"""),44526.54166666667)</f>
        <v>44526.54167</v>
      </c>
      <c r="C1020" s="9">
        <f>IFERROR(__xludf.DUMMYFUNCTION("""COMPUTED_VALUE"""),1099.47)</f>
        <v>1099.47</v>
      </c>
      <c r="D1020" s="11">
        <f>IFERROR(__xludf.DUMMYFUNCTION("""COMPUTED_VALUE"""),44526.54166666667)</f>
        <v>44526.54167</v>
      </c>
      <c r="E1020" s="9">
        <f>IFERROR(__xludf.DUMMYFUNCTION("""COMPUTED_VALUE"""),1081.92)</f>
        <v>1081.92</v>
      </c>
      <c r="G1020" s="11">
        <f>IFERROR(__xludf.DUMMYFUNCTION("""COMPUTED_VALUE"""),44526.54166666667)</f>
        <v>44526.54167</v>
      </c>
      <c r="H1020" s="9">
        <f>IFERROR(__xludf.DUMMYFUNCTION("""COMPUTED_VALUE"""),2900.31)</f>
        <v>2900.31</v>
      </c>
      <c r="I1020" s="11">
        <f>IFERROR(__xludf.DUMMYFUNCTION("""COMPUTED_VALUE"""),44526.54166666667)</f>
        <v>44526.54167</v>
      </c>
      <c r="J1020" s="9">
        <f>IFERROR(__xludf.DUMMYFUNCTION("""COMPUTED_VALUE"""),2856.12)</f>
        <v>2856.12</v>
      </c>
      <c r="L1020" s="11">
        <f>IFERROR(__xludf.DUMMYFUNCTION("""COMPUTED_VALUE"""),44526.54166666667)</f>
        <v>44526.54167</v>
      </c>
      <c r="M1020" s="9">
        <f>IFERROR(__xludf.DUMMYFUNCTION("""COMPUTED_VALUE"""),159.57)</f>
        <v>159.57</v>
      </c>
      <c r="N1020" s="11">
        <f>IFERROR(__xludf.DUMMYFUNCTION("""COMPUTED_VALUE"""),44526.54166666667)</f>
        <v>44526.54167</v>
      </c>
      <c r="O1020" s="9">
        <f>IFERROR(__xludf.DUMMYFUNCTION("""COMPUTED_VALUE"""),156.81)</f>
        <v>156.81</v>
      </c>
      <c r="Q1020" s="11">
        <f>IFERROR(__xludf.DUMMYFUNCTION("""COMPUTED_VALUE"""),44526.54166666667)</f>
        <v>44526.54167</v>
      </c>
      <c r="R1020" s="9">
        <f>IFERROR(__xludf.DUMMYFUNCTION("""COMPUTED_VALUE"""),335.8)</f>
        <v>335.8</v>
      </c>
      <c r="S1020" s="11">
        <f>IFERROR(__xludf.DUMMYFUNCTION("""COMPUTED_VALUE"""),44526.54166666667)</f>
        <v>44526.54167</v>
      </c>
      <c r="T1020" s="9">
        <f>IFERROR(__xludf.DUMMYFUNCTION("""COMPUTED_VALUE"""),333.12)</f>
        <v>333.12</v>
      </c>
      <c r="V1020" s="11">
        <f>IFERROR(__xludf.DUMMYFUNCTION("""COMPUTED_VALUE"""),44526.54166666667)</f>
        <v>44526.54167</v>
      </c>
      <c r="W1020" s="9">
        <f>IFERROR(__xludf.DUMMYFUNCTION("""COMPUTED_VALUE"""),675.0)</f>
        <v>675</v>
      </c>
      <c r="X1020" s="11">
        <f>IFERROR(__xludf.DUMMYFUNCTION("""COMPUTED_VALUE"""),44526.54166666667)</f>
        <v>44526.54167</v>
      </c>
      <c r="Y1020" s="9">
        <f>IFERROR(__xludf.DUMMYFUNCTION("""COMPUTED_VALUE"""),665.64)</f>
        <v>665.64</v>
      </c>
      <c r="AA1020" s="11">
        <f>IFERROR(__xludf.DUMMYFUNCTION("""COMPUTED_VALUE"""),44526.54166666667)</f>
        <v>44526.54167</v>
      </c>
      <c r="AB1020" s="9">
        <f>IFERROR(__xludf.DUMMYFUNCTION("""COMPUTED_VALUE"""),3602.1)</f>
        <v>3602.1</v>
      </c>
      <c r="AC1020" s="11">
        <f>IFERROR(__xludf.DUMMYFUNCTION("""COMPUTED_VALUE"""),44526.54166666667)</f>
        <v>44526.54167</v>
      </c>
      <c r="AD1020" s="9">
        <f>IFERROR(__xludf.DUMMYFUNCTION("""COMPUTED_VALUE"""),3504.56)</f>
        <v>3504.56</v>
      </c>
    </row>
    <row r="1021">
      <c r="B1021" s="11">
        <f>IFERROR(__xludf.DUMMYFUNCTION("""COMPUTED_VALUE"""),44529.66666666667)</f>
        <v>44529.66667</v>
      </c>
      <c r="C1021" s="9">
        <f>IFERROR(__xludf.DUMMYFUNCTION("""COMPUTED_VALUE"""),1100.99)</f>
        <v>1100.99</v>
      </c>
      <c r="D1021" s="11">
        <f>IFERROR(__xludf.DUMMYFUNCTION("""COMPUTED_VALUE"""),44529.66666666667)</f>
        <v>44529.66667</v>
      </c>
      <c r="E1021" s="9">
        <f>IFERROR(__xludf.DUMMYFUNCTION("""COMPUTED_VALUE"""),1136.99)</f>
        <v>1136.99</v>
      </c>
      <c r="G1021" s="11">
        <f>IFERROR(__xludf.DUMMYFUNCTION("""COMPUTED_VALUE"""),44529.66666666667)</f>
        <v>44529.66667</v>
      </c>
      <c r="H1021" s="9">
        <f>IFERROR(__xludf.DUMMYFUNCTION("""COMPUTED_VALUE"""),2885.97)</f>
        <v>2885.97</v>
      </c>
      <c r="I1021" s="11">
        <f>IFERROR(__xludf.DUMMYFUNCTION("""COMPUTED_VALUE"""),44529.66666666667)</f>
        <v>44529.66667</v>
      </c>
      <c r="J1021" s="9">
        <f>IFERROR(__xludf.DUMMYFUNCTION("""COMPUTED_VALUE"""),2922.28)</f>
        <v>2922.28</v>
      </c>
      <c r="L1021" s="11">
        <f>IFERROR(__xludf.DUMMYFUNCTION("""COMPUTED_VALUE"""),44529.66666666667)</f>
        <v>44529.66667</v>
      </c>
      <c r="M1021" s="9">
        <f>IFERROR(__xludf.DUMMYFUNCTION("""COMPUTED_VALUE"""),159.37)</f>
        <v>159.37</v>
      </c>
      <c r="N1021" s="11">
        <f>IFERROR(__xludf.DUMMYFUNCTION("""COMPUTED_VALUE"""),44529.66666666667)</f>
        <v>44529.66667</v>
      </c>
      <c r="O1021" s="9">
        <f>IFERROR(__xludf.DUMMYFUNCTION("""COMPUTED_VALUE"""),160.24)</f>
        <v>160.24</v>
      </c>
      <c r="Q1021" s="11">
        <f>IFERROR(__xludf.DUMMYFUNCTION("""COMPUTED_VALUE"""),44529.66666666667)</f>
        <v>44529.66667</v>
      </c>
      <c r="R1021" s="9">
        <f>IFERROR(__xludf.DUMMYFUNCTION("""COMPUTED_VALUE"""),336.89)</f>
        <v>336.89</v>
      </c>
      <c r="S1021" s="11">
        <f>IFERROR(__xludf.DUMMYFUNCTION("""COMPUTED_VALUE"""),44529.66666666667)</f>
        <v>44529.66667</v>
      </c>
      <c r="T1021" s="9">
        <f>IFERROR(__xludf.DUMMYFUNCTION("""COMPUTED_VALUE"""),338.03)</f>
        <v>338.03</v>
      </c>
      <c r="V1021" s="11">
        <f>IFERROR(__xludf.DUMMYFUNCTION("""COMPUTED_VALUE"""),44529.66666666667)</f>
        <v>44529.66667</v>
      </c>
      <c r="W1021" s="9">
        <f>IFERROR(__xludf.DUMMYFUNCTION("""COMPUTED_VALUE"""),663.2)</f>
        <v>663.2</v>
      </c>
      <c r="X1021" s="11">
        <f>IFERROR(__xludf.DUMMYFUNCTION("""COMPUTED_VALUE"""),44529.66666666667)</f>
        <v>44529.66667</v>
      </c>
      <c r="Y1021" s="9">
        <f>IFERROR(__xludf.DUMMYFUNCTION("""COMPUTED_VALUE"""),663.84)</f>
        <v>663.84</v>
      </c>
      <c r="AA1021" s="11">
        <f>IFERROR(__xludf.DUMMYFUNCTION("""COMPUTED_VALUE"""),44529.66666666667)</f>
        <v>44529.66667</v>
      </c>
      <c r="AB1021" s="9">
        <f>IFERROR(__xludf.DUMMYFUNCTION("""COMPUTED_VALUE"""),3547.64)</f>
        <v>3547.64</v>
      </c>
      <c r="AC1021" s="11">
        <f>IFERROR(__xludf.DUMMYFUNCTION("""COMPUTED_VALUE"""),44529.66666666667)</f>
        <v>44529.66667</v>
      </c>
      <c r="AD1021" s="9">
        <f>IFERROR(__xludf.DUMMYFUNCTION("""COMPUTED_VALUE"""),3561.57)</f>
        <v>3561.57</v>
      </c>
    </row>
    <row r="1022">
      <c r="B1022" s="11">
        <f>IFERROR(__xludf.DUMMYFUNCTION("""COMPUTED_VALUE"""),44530.66666666667)</f>
        <v>44530.66667</v>
      </c>
      <c r="C1022" s="9">
        <f>IFERROR(__xludf.DUMMYFUNCTION("""COMPUTED_VALUE"""),1144.37)</f>
        <v>1144.37</v>
      </c>
      <c r="D1022" s="11">
        <f>IFERROR(__xludf.DUMMYFUNCTION("""COMPUTED_VALUE"""),44530.66666666667)</f>
        <v>44530.66667</v>
      </c>
      <c r="E1022" s="9">
        <f>IFERROR(__xludf.DUMMYFUNCTION("""COMPUTED_VALUE"""),1144.76)</f>
        <v>1144.76</v>
      </c>
      <c r="G1022" s="11">
        <f>IFERROR(__xludf.DUMMYFUNCTION("""COMPUTED_VALUE"""),44530.66666666667)</f>
        <v>44530.66667</v>
      </c>
      <c r="H1022" s="9">
        <f>IFERROR(__xludf.DUMMYFUNCTION("""COMPUTED_VALUE"""),2909.01)</f>
        <v>2909.01</v>
      </c>
      <c r="I1022" s="11">
        <f>IFERROR(__xludf.DUMMYFUNCTION("""COMPUTED_VALUE"""),44530.66666666667)</f>
        <v>44530.66667</v>
      </c>
      <c r="J1022" s="9">
        <f>IFERROR(__xludf.DUMMYFUNCTION("""COMPUTED_VALUE"""),2849.04)</f>
        <v>2849.04</v>
      </c>
      <c r="L1022" s="11">
        <f>IFERROR(__xludf.DUMMYFUNCTION("""COMPUTED_VALUE"""),44530.66666666667)</f>
        <v>44530.66667</v>
      </c>
      <c r="M1022" s="9">
        <f>IFERROR(__xludf.DUMMYFUNCTION("""COMPUTED_VALUE"""),159.99)</f>
        <v>159.99</v>
      </c>
      <c r="N1022" s="11">
        <f>IFERROR(__xludf.DUMMYFUNCTION("""COMPUTED_VALUE"""),44530.66666666667)</f>
        <v>44530.66667</v>
      </c>
      <c r="O1022" s="9">
        <f>IFERROR(__xludf.DUMMYFUNCTION("""COMPUTED_VALUE"""),165.3)</f>
        <v>165.3</v>
      </c>
      <c r="Q1022" s="11">
        <f>IFERROR(__xludf.DUMMYFUNCTION("""COMPUTED_VALUE"""),44530.66666666667)</f>
        <v>44530.66667</v>
      </c>
      <c r="R1022" s="9">
        <f>IFERROR(__xludf.DUMMYFUNCTION("""COMPUTED_VALUE"""),335.0)</f>
        <v>335</v>
      </c>
      <c r="S1022" s="11">
        <f>IFERROR(__xludf.DUMMYFUNCTION("""COMPUTED_VALUE"""),44530.66666666667)</f>
        <v>44530.66667</v>
      </c>
      <c r="T1022" s="9">
        <f>IFERROR(__xludf.DUMMYFUNCTION("""COMPUTED_VALUE"""),324.46)</f>
        <v>324.46</v>
      </c>
      <c r="V1022" s="11">
        <f>IFERROR(__xludf.DUMMYFUNCTION("""COMPUTED_VALUE"""),44530.66666666667)</f>
        <v>44530.66667</v>
      </c>
      <c r="W1022" s="9">
        <f>IFERROR(__xludf.DUMMYFUNCTION("""COMPUTED_VALUE"""),668.2)</f>
        <v>668.2</v>
      </c>
      <c r="X1022" s="11">
        <f>IFERROR(__xludf.DUMMYFUNCTION("""COMPUTED_VALUE"""),44530.66666666667)</f>
        <v>44530.66667</v>
      </c>
      <c r="Y1022" s="9">
        <f>IFERROR(__xludf.DUMMYFUNCTION("""COMPUTED_VALUE"""),641.9)</f>
        <v>641.9</v>
      </c>
      <c r="AA1022" s="11">
        <f>IFERROR(__xludf.DUMMYFUNCTION("""COMPUTED_VALUE"""),44530.66666666667)</f>
        <v>44530.66667</v>
      </c>
      <c r="AB1022" s="9">
        <f>IFERROR(__xludf.DUMMYFUNCTION("""COMPUTED_VALUE"""),3563.5)</f>
        <v>3563.5</v>
      </c>
      <c r="AC1022" s="11">
        <f>IFERROR(__xludf.DUMMYFUNCTION("""COMPUTED_VALUE"""),44530.66666666667)</f>
        <v>44530.66667</v>
      </c>
      <c r="AD1022" s="9">
        <f>IFERROR(__xludf.DUMMYFUNCTION("""COMPUTED_VALUE"""),3507.07)</f>
        <v>3507.07</v>
      </c>
    </row>
    <row r="1023">
      <c r="B1023" s="11">
        <f>IFERROR(__xludf.DUMMYFUNCTION("""COMPUTED_VALUE"""),44531.66666666667)</f>
        <v>44531.66667</v>
      </c>
      <c r="C1023" s="9">
        <f>IFERROR(__xludf.DUMMYFUNCTION("""COMPUTED_VALUE"""),1160.7)</f>
        <v>1160.7</v>
      </c>
      <c r="D1023" s="11">
        <f>IFERROR(__xludf.DUMMYFUNCTION("""COMPUTED_VALUE"""),44531.66666666667)</f>
        <v>44531.66667</v>
      </c>
      <c r="E1023" s="9">
        <f>IFERROR(__xludf.DUMMYFUNCTION("""COMPUTED_VALUE"""),1095.0)</f>
        <v>1095</v>
      </c>
      <c r="G1023" s="11">
        <f>IFERROR(__xludf.DUMMYFUNCTION("""COMPUTED_VALUE"""),44531.66666666667)</f>
        <v>44531.66667</v>
      </c>
      <c r="H1023" s="9">
        <f>IFERROR(__xludf.DUMMYFUNCTION("""COMPUTED_VALUE"""),2884.25)</f>
        <v>2884.25</v>
      </c>
      <c r="I1023" s="11">
        <f>IFERROR(__xludf.DUMMYFUNCTION("""COMPUTED_VALUE"""),44531.66666666667)</f>
        <v>44531.66667</v>
      </c>
      <c r="J1023" s="9">
        <f>IFERROR(__xludf.DUMMYFUNCTION("""COMPUTED_VALUE"""),2832.36)</f>
        <v>2832.36</v>
      </c>
      <c r="L1023" s="11">
        <f>IFERROR(__xludf.DUMMYFUNCTION("""COMPUTED_VALUE"""),44531.66666666667)</f>
        <v>44531.66667</v>
      </c>
      <c r="M1023" s="9">
        <f>IFERROR(__xludf.DUMMYFUNCTION("""COMPUTED_VALUE"""),167.48)</f>
        <v>167.48</v>
      </c>
      <c r="N1023" s="11">
        <f>IFERROR(__xludf.DUMMYFUNCTION("""COMPUTED_VALUE"""),44531.66666666667)</f>
        <v>44531.66667</v>
      </c>
      <c r="O1023" s="9">
        <f>IFERROR(__xludf.DUMMYFUNCTION("""COMPUTED_VALUE"""),164.77)</f>
        <v>164.77</v>
      </c>
      <c r="Q1023" s="11">
        <f>IFERROR(__xludf.DUMMYFUNCTION("""COMPUTED_VALUE"""),44531.66666666667)</f>
        <v>44531.66667</v>
      </c>
      <c r="R1023" s="9">
        <f>IFERROR(__xludf.DUMMYFUNCTION("""COMPUTED_VALUE"""),330.29)</f>
        <v>330.29</v>
      </c>
      <c r="S1023" s="11">
        <f>IFERROR(__xludf.DUMMYFUNCTION("""COMPUTED_VALUE"""),44531.66666666667)</f>
        <v>44531.66667</v>
      </c>
      <c r="T1023" s="9">
        <f>IFERROR(__xludf.DUMMYFUNCTION("""COMPUTED_VALUE"""),310.6)</f>
        <v>310.6</v>
      </c>
      <c r="V1023" s="11">
        <f>IFERROR(__xludf.DUMMYFUNCTION("""COMPUTED_VALUE"""),44531.66666666667)</f>
        <v>44531.66667</v>
      </c>
      <c r="W1023" s="9">
        <f>IFERROR(__xludf.DUMMYFUNCTION("""COMPUTED_VALUE"""),649.48)</f>
        <v>649.48</v>
      </c>
      <c r="X1023" s="11">
        <f>IFERROR(__xludf.DUMMYFUNCTION("""COMPUTED_VALUE"""),44531.66666666667)</f>
        <v>44531.66667</v>
      </c>
      <c r="Y1023" s="9">
        <f>IFERROR(__xludf.DUMMYFUNCTION("""COMPUTED_VALUE"""),617.77)</f>
        <v>617.77</v>
      </c>
      <c r="AA1023" s="11">
        <f>IFERROR(__xludf.DUMMYFUNCTION("""COMPUTED_VALUE"""),44531.66666666667)</f>
        <v>44531.66667</v>
      </c>
      <c r="AB1023" s="9">
        <f>IFERROR(__xludf.DUMMYFUNCTION("""COMPUTED_VALUE"""),3545.0)</f>
        <v>3545</v>
      </c>
      <c r="AC1023" s="11">
        <f>IFERROR(__xludf.DUMMYFUNCTION("""COMPUTED_VALUE"""),44531.66666666667)</f>
        <v>44531.66667</v>
      </c>
      <c r="AD1023" s="9">
        <f>IFERROR(__xludf.DUMMYFUNCTION("""COMPUTED_VALUE"""),3443.72)</f>
        <v>3443.72</v>
      </c>
    </row>
    <row r="1024">
      <c r="B1024" s="11">
        <f>IFERROR(__xludf.DUMMYFUNCTION("""COMPUTED_VALUE"""),44532.66666666667)</f>
        <v>44532.66667</v>
      </c>
      <c r="C1024" s="9">
        <f>IFERROR(__xludf.DUMMYFUNCTION("""COMPUTED_VALUE"""),1099.06)</f>
        <v>1099.06</v>
      </c>
      <c r="D1024" s="11">
        <f>IFERROR(__xludf.DUMMYFUNCTION("""COMPUTED_VALUE"""),44532.66666666667)</f>
        <v>44532.66667</v>
      </c>
      <c r="E1024" s="9">
        <f>IFERROR(__xludf.DUMMYFUNCTION("""COMPUTED_VALUE"""),1084.6)</f>
        <v>1084.6</v>
      </c>
      <c r="G1024" s="11">
        <f>IFERROR(__xludf.DUMMYFUNCTION("""COMPUTED_VALUE"""),44532.66666666667)</f>
        <v>44532.66667</v>
      </c>
      <c r="H1024" s="9">
        <f>IFERROR(__xludf.DUMMYFUNCTION("""COMPUTED_VALUE"""),2836.48)</f>
        <v>2836.48</v>
      </c>
      <c r="I1024" s="11">
        <f>IFERROR(__xludf.DUMMYFUNCTION("""COMPUTED_VALUE"""),44532.66666666667)</f>
        <v>44532.66667</v>
      </c>
      <c r="J1024" s="9">
        <f>IFERROR(__xludf.DUMMYFUNCTION("""COMPUTED_VALUE"""),2875.53)</f>
        <v>2875.53</v>
      </c>
      <c r="L1024" s="11">
        <f>IFERROR(__xludf.DUMMYFUNCTION("""COMPUTED_VALUE"""),44532.66666666667)</f>
        <v>44532.66667</v>
      </c>
      <c r="M1024" s="9">
        <f>IFERROR(__xludf.DUMMYFUNCTION("""COMPUTED_VALUE"""),158.74)</f>
        <v>158.74</v>
      </c>
      <c r="N1024" s="11">
        <f>IFERROR(__xludf.DUMMYFUNCTION("""COMPUTED_VALUE"""),44532.66666666667)</f>
        <v>44532.66667</v>
      </c>
      <c r="O1024" s="9">
        <f>IFERROR(__xludf.DUMMYFUNCTION("""COMPUTED_VALUE"""),163.76)</f>
        <v>163.76</v>
      </c>
      <c r="Q1024" s="11">
        <f>IFERROR(__xludf.DUMMYFUNCTION("""COMPUTED_VALUE"""),44532.66666666667)</f>
        <v>44532.66667</v>
      </c>
      <c r="R1024" s="9">
        <f>IFERROR(__xludf.DUMMYFUNCTION("""COMPUTED_VALUE"""),311.4)</f>
        <v>311.4</v>
      </c>
      <c r="S1024" s="11">
        <f>IFERROR(__xludf.DUMMYFUNCTION("""COMPUTED_VALUE"""),44532.66666666667)</f>
        <v>44532.66667</v>
      </c>
      <c r="T1024" s="9">
        <f>IFERROR(__xludf.DUMMYFUNCTION("""COMPUTED_VALUE"""),310.39)</f>
        <v>310.39</v>
      </c>
      <c r="V1024" s="11">
        <f>IFERROR(__xludf.DUMMYFUNCTION("""COMPUTED_VALUE"""),44532.66666666667)</f>
        <v>44532.66667</v>
      </c>
      <c r="W1024" s="9">
        <f>IFERROR(__xludf.DUMMYFUNCTION("""COMPUTED_VALUE"""),617.1)</f>
        <v>617.1</v>
      </c>
      <c r="X1024" s="11">
        <f>IFERROR(__xludf.DUMMYFUNCTION("""COMPUTED_VALUE"""),44532.66666666667)</f>
        <v>44532.66667</v>
      </c>
      <c r="Y1024" s="9">
        <f>IFERROR(__xludf.DUMMYFUNCTION("""COMPUTED_VALUE"""),616.47)</f>
        <v>616.47</v>
      </c>
      <c r="AA1024" s="11">
        <f>IFERROR(__xludf.DUMMYFUNCTION("""COMPUTED_VALUE"""),44532.66666666667)</f>
        <v>44532.66667</v>
      </c>
      <c r="AB1024" s="9">
        <f>IFERROR(__xludf.DUMMYFUNCTION("""COMPUTED_VALUE"""),3460.0)</f>
        <v>3460</v>
      </c>
      <c r="AC1024" s="11">
        <f>IFERROR(__xludf.DUMMYFUNCTION("""COMPUTED_VALUE"""),44532.66666666667)</f>
        <v>44532.66667</v>
      </c>
      <c r="AD1024" s="9">
        <f>IFERROR(__xludf.DUMMYFUNCTION("""COMPUTED_VALUE"""),3437.36)</f>
        <v>3437.36</v>
      </c>
    </row>
    <row r="1025">
      <c r="B1025" s="11">
        <f>IFERROR(__xludf.DUMMYFUNCTION("""COMPUTED_VALUE"""),44533.66666666667)</f>
        <v>44533.66667</v>
      </c>
      <c r="C1025" s="9">
        <f>IFERROR(__xludf.DUMMYFUNCTION("""COMPUTED_VALUE"""),1084.79)</f>
        <v>1084.79</v>
      </c>
      <c r="D1025" s="11">
        <f>IFERROR(__xludf.DUMMYFUNCTION("""COMPUTED_VALUE"""),44533.66666666667)</f>
        <v>44533.66667</v>
      </c>
      <c r="E1025" s="9">
        <f>IFERROR(__xludf.DUMMYFUNCTION("""COMPUTED_VALUE"""),1014.97)</f>
        <v>1014.97</v>
      </c>
      <c r="G1025" s="11">
        <f>IFERROR(__xludf.DUMMYFUNCTION("""COMPUTED_VALUE"""),44533.66666666667)</f>
        <v>44533.66667</v>
      </c>
      <c r="H1025" s="9">
        <f>IFERROR(__xludf.DUMMYFUNCTION("""COMPUTED_VALUE"""),2889.91)</f>
        <v>2889.91</v>
      </c>
      <c r="I1025" s="11">
        <f>IFERROR(__xludf.DUMMYFUNCTION("""COMPUTED_VALUE"""),44533.66666666667)</f>
        <v>44533.66667</v>
      </c>
      <c r="J1025" s="9">
        <f>IFERROR(__xludf.DUMMYFUNCTION("""COMPUTED_VALUE"""),2850.41)</f>
        <v>2850.41</v>
      </c>
      <c r="L1025" s="11">
        <f>IFERROR(__xludf.DUMMYFUNCTION("""COMPUTED_VALUE"""),44533.66666666667)</f>
        <v>44533.66667</v>
      </c>
      <c r="M1025" s="9">
        <f>IFERROR(__xludf.DUMMYFUNCTION("""COMPUTED_VALUE"""),164.02)</f>
        <v>164.02</v>
      </c>
      <c r="N1025" s="11">
        <f>IFERROR(__xludf.DUMMYFUNCTION("""COMPUTED_VALUE"""),44533.66666666667)</f>
        <v>44533.66667</v>
      </c>
      <c r="O1025" s="9">
        <f>IFERROR(__xludf.DUMMYFUNCTION("""COMPUTED_VALUE"""),161.84)</f>
        <v>161.84</v>
      </c>
      <c r="Q1025" s="11">
        <f>IFERROR(__xludf.DUMMYFUNCTION("""COMPUTED_VALUE"""),44533.66666666667)</f>
        <v>44533.66667</v>
      </c>
      <c r="R1025" s="9">
        <f>IFERROR(__xludf.DUMMYFUNCTION("""COMPUTED_VALUE"""),313.73)</f>
        <v>313.73</v>
      </c>
      <c r="S1025" s="11">
        <f>IFERROR(__xludf.DUMMYFUNCTION("""COMPUTED_VALUE"""),44533.66666666667)</f>
        <v>44533.66667</v>
      </c>
      <c r="T1025" s="9">
        <f>IFERROR(__xludf.DUMMYFUNCTION("""COMPUTED_VALUE"""),306.84)</f>
        <v>306.84</v>
      </c>
      <c r="V1025" s="11">
        <f>IFERROR(__xludf.DUMMYFUNCTION("""COMPUTED_VALUE"""),44533.66666666667)</f>
        <v>44533.66667</v>
      </c>
      <c r="W1025" s="9">
        <f>IFERROR(__xludf.DUMMYFUNCTION("""COMPUTED_VALUE"""),622.75)</f>
        <v>622.75</v>
      </c>
      <c r="X1025" s="11">
        <f>IFERROR(__xludf.DUMMYFUNCTION("""COMPUTED_VALUE"""),44533.66666666667)</f>
        <v>44533.66667</v>
      </c>
      <c r="Y1025" s="9">
        <f>IFERROR(__xludf.DUMMYFUNCTION("""COMPUTED_VALUE"""),602.13)</f>
        <v>602.13</v>
      </c>
      <c r="AA1025" s="11">
        <f>IFERROR(__xludf.DUMMYFUNCTION("""COMPUTED_VALUE"""),44533.66666666667)</f>
        <v>44533.66667</v>
      </c>
      <c r="AB1025" s="9">
        <f>IFERROR(__xludf.DUMMYFUNCTION("""COMPUTED_VALUE"""),3455.0)</f>
        <v>3455</v>
      </c>
      <c r="AC1025" s="11">
        <f>IFERROR(__xludf.DUMMYFUNCTION("""COMPUTED_VALUE"""),44533.66666666667)</f>
        <v>44533.66667</v>
      </c>
      <c r="AD1025" s="9">
        <f>IFERROR(__xludf.DUMMYFUNCTION("""COMPUTED_VALUE"""),3389.79)</f>
        <v>3389.79</v>
      </c>
    </row>
    <row r="1026">
      <c r="B1026" s="11">
        <f>IFERROR(__xludf.DUMMYFUNCTION("""COMPUTED_VALUE"""),44536.66666666667)</f>
        <v>44536.66667</v>
      </c>
      <c r="C1026" s="9">
        <f>IFERROR(__xludf.DUMMYFUNCTION("""COMPUTED_VALUE"""),1001.51)</f>
        <v>1001.51</v>
      </c>
      <c r="D1026" s="11">
        <f>IFERROR(__xludf.DUMMYFUNCTION("""COMPUTED_VALUE"""),44536.66666666667)</f>
        <v>44536.66667</v>
      </c>
      <c r="E1026" s="9">
        <f>IFERROR(__xludf.DUMMYFUNCTION("""COMPUTED_VALUE"""),1009.01)</f>
        <v>1009.01</v>
      </c>
      <c r="G1026" s="11">
        <f>IFERROR(__xludf.DUMMYFUNCTION("""COMPUTED_VALUE"""),44536.66666666667)</f>
        <v>44536.66667</v>
      </c>
      <c r="H1026" s="9">
        <f>IFERROR(__xludf.DUMMYFUNCTION("""COMPUTED_VALUE"""),2871.48)</f>
        <v>2871.48</v>
      </c>
      <c r="I1026" s="11">
        <f>IFERROR(__xludf.DUMMYFUNCTION("""COMPUTED_VALUE"""),44536.66666666667)</f>
        <v>44536.66667</v>
      </c>
      <c r="J1026" s="9">
        <f>IFERROR(__xludf.DUMMYFUNCTION("""COMPUTED_VALUE"""),2875.93)</f>
        <v>2875.93</v>
      </c>
      <c r="L1026" s="11">
        <f>IFERROR(__xludf.DUMMYFUNCTION("""COMPUTED_VALUE"""),44536.66666666667)</f>
        <v>44536.66667</v>
      </c>
      <c r="M1026" s="9">
        <f>IFERROR(__xludf.DUMMYFUNCTION("""COMPUTED_VALUE"""),164.29)</f>
        <v>164.29</v>
      </c>
      <c r="N1026" s="11">
        <f>IFERROR(__xludf.DUMMYFUNCTION("""COMPUTED_VALUE"""),44536.66666666667)</f>
        <v>44536.66667</v>
      </c>
      <c r="O1026" s="9">
        <f>IFERROR(__xludf.DUMMYFUNCTION("""COMPUTED_VALUE"""),165.32)</f>
        <v>165.32</v>
      </c>
      <c r="Q1026" s="11">
        <f>IFERROR(__xludf.DUMMYFUNCTION("""COMPUTED_VALUE"""),44536.66666666667)</f>
        <v>44536.66667</v>
      </c>
      <c r="R1026" s="9">
        <f>IFERROR(__xludf.DUMMYFUNCTION("""COMPUTED_VALUE"""),308.13)</f>
        <v>308.13</v>
      </c>
      <c r="S1026" s="11">
        <f>IFERROR(__xludf.DUMMYFUNCTION("""COMPUTED_VALUE"""),44536.66666666667)</f>
        <v>44536.66667</v>
      </c>
      <c r="T1026" s="9">
        <f>IFERROR(__xludf.DUMMYFUNCTION("""COMPUTED_VALUE"""),317.87)</f>
        <v>317.87</v>
      </c>
      <c r="V1026" s="11">
        <f>IFERROR(__xludf.DUMMYFUNCTION("""COMPUTED_VALUE"""),44536.66666666667)</f>
        <v>44536.66667</v>
      </c>
      <c r="W1026" s="9">
        <f>IFERROR(__xludf.DUMMYFUNCTION("""COMPUTED_VALUE"""),606.01)</f>
        <v>606.01</v>
      </c>
      <c r="X1026" s="11">
        <f>IFERROR(__xludf.DUMMYFUNCTION("""COMPUTED_VALUE"""),44536.66666666667)</f>
        <v>44536.66667</v>
      </c>
      <c r="Y1026" s="9">
        <f>IFERROR(__xludf.DUMMYFUNCTION("""COMPUTED_VALUE"""),612.69)</f>
        <v>612.69</v>
      </c>
      <c r="AA1026" s="11">
        <f>IFERROR(__xludf.DUMMYFUNCTION("""COMPUTED_VALUE"""),44536.66666666667)</f>
        <v>44536.66667</v>
      </c>
      <c r="AB1026" s="9">
        <f>IFERROR(__xludf.DUMMYFUNCTION("""COMPUTED_VALUE"""),3393.0)</f>
        <v>3393</v>
      </c>
      <c r="AC1026" s="11">
        <f>IFERROR(__xludf.DUMMYFUNCTION("""COMPUTED_VALUE"""),44536.66666666667)</f>
        <v>44536.66667</v>
      </c>
      <c r="AD1026" s="9">
        <f>IFERROR(__xludf.DUMMYFUNCTION("""COMPUTED_VALUE"""),3427.37)</f>
        <v>3427.37</v>
      </c>
    </row>
    <row r="1027">
      <c r="B1027" s="11">
        <f>IFERROR(__xludf.DUMMYFUNCTION("""COMPUTED_VALUE"""),44537.66666666667)</f>
        <v>44537.66667</v>
      </c>
      <c r="C1027" s="9">
        <f>IFERROR(__xludf.DUMMYFUNCTION("""COMPUTED_VALUE"""),1044.2)</f>
        <v>1044.2</v>
      </c>
      <c r="D1027" s="11">
        <f>IFERROR(__xludf.DUMMYFUNCTION("""COMPUTED_VALUE"""),44537.66666666667)</f>
        <v>44537.66667</v>
      </c>
      <c r="E1027" s="9">
        <f>IFERROR(__xludf.DUMMYFUNCTION("""COMPUTED_VALUE"""),1051.75)</f>
        <v>1051.75</v>
      </c>
      <c r="G1027" s="11">
        <f>IFERROR(__xludf.DUMMYFUNCTION("""COMPUTED_VALUE"""),44537.66666666667)</f>
        <v>44537.66667</v>
      </c>
      <c r="H1027" s="9">
        <f>IFERROR(__xludf.DUMMYFUNCTION("""COMPUTED_VALUE"""),2919.0)</f>
        <v>2919</v>
      </c>
      <c r="I1027" s="11">
        <f>IFERROR(__xludf.DUMMYFUNCTION("""COMPUTED_VALUE"""),44537.66666666667)</f>
        <v>44537.66667</v>
      </c>
      <c r="J1027" s="9">
        <f>IFERROR(__xludf.DUMMYFUNCTION("""COMPUTED_VALUE"""),2960.73)</f>
        <v>2960.73</v>
      </c>
      <c r="L1027" s="11">
        <f>IFERROR(__xludf.DUMMYFUNCTION("""COMPUTED_VALUE"""),44537.66666666667)</f>
        <v>44537.66667</v>
      </c>
      <c r="M1027" s="9">
        <f>IFERROR(__xludf.DUMMYFUNCTION("""COMPUTED_VALUE"""),169.08)</f>
        <v>169.08</v>
      </c>
      <c r="N1027" s="11">
        <f>IFERROR(__xludf.DUMMYFUNCTION("""COMPUTED_VALUE"""),44537.66666666667)</f>
        <v>44537.66667</v>
      </c>
      <c r="O1027" s="9">
        <f>IFERROR(__xludf.DUMMYFUNCTION("""COMPUTED_VALUE"""),171.18)</f>
        <v>171.18</v>
      </c>
      <c r="Q1027" s="11">
        <f>IFERROR(__xludf.DUMMYFUNCTION("""COMPUTED_VALUE"""),44537.66666666667)</f>
        <v>44537.66667</v>
      </c>
      <c r="R1027" s="9">
        <f>IFERROR(__xludf.DUMMYFUNCTION("""COMPUTED_VALUE"""),321.57)</f>
        <v>321.57</v>
      </c>
      <c r="S1027" s="11">
        <f>IFERROR(__xludf.DUMMYFUNCTION("""COMPUTED_VALUE"""),44537.66666666667)</f>
        <v>44537.66667</v>
      </c>
      <c r="T1027" s="9">
        <f>IFERROR(__xludf.DUMMYFUNCTION("""COMPUTED_VALUE"""),322.81)</f>
        <v>322.81</v>
      </c>
      <c r="V1027" s="11">
        <f>IFERROR(__xludf.DUMMYFUNCTION("""COMPUTED_VALUE"""),44537.66666666667)</f>
        <v>44537.66667</v>
      </c>
      <c r="W1027" s="9">
        <f>IFERROR(__xludf.DUMMYFUNCTION("""COMPUTED_VALUE"""),619.83)</f>
        <v>619.83</v>
      </c>
      <c r="X1027" s="11">
        <f>IFERROR(__xludf.DUMMYFUNCTION("""COMPUTED_VALUE"""),44537.66666666667)</f>
        <v>44537.66667</v>
      </c>
      <c r="Y1027" s="9">
        <f>IFERROR(__xludf.DUMMYFUNCTION("""COMPUTED_VALUE"""),625.58)</f>
        <v>625.58</v>
      </c>
      <c r="AA1027" s="11">
        <f>IFERROR(__xludf.DUMMYFUNCTION("""COMPUTED_VALUE"""),44537.66666666667)</f>
        <v>44537.66667</v>
      </c>
      <c r="AB1027" s="9">
        <f>IFERROR(__xludf.DUMMYFUNCTION("""COMPUTED_VALUE"""),3492.0)</f>
        <v>3492</v>
      </c>
      <c r="AC1027" s="11">
        <f>IFERROR(__xludf.DUMMYFUNCTION("""COMPUTED_VALUE"""),44537.66666666667)</f>
        <v>44537.66667</v>
      </c>
      <c r="AD1027" s="9">
        <f>IFERROR(__xludf.DUMMYFUNCTION("""COMPUTED_VALUE"""),3523.29)</f>
        <v>3523.29</v>
      </c>
    </row>
    <row r="1028">
      <c r="B1028" s="11">
        <f>IFERROR(__xludf.DUMMYFUNCTION("""COMPUTED_VALUE"""),44538.66666666667)</f>
        <v>44538.66667</v>
      </c>
      <c r="C1028" s="9">
        <f>IFERROR(__xludf.DUMMYFUNCTION("""COMPUTED_VALUE"""),1052.71)</f>
        <v>1052.71</v>
      </c>
      <c r="D1028" s="11">
        <f>IFERROR(__xludf.DUMMYFUNCTION("""COMPUTED_VALUE"""),44538.66666666667)</f>
        <v>44538.66667</v>
      </c>
      <c r="E1028" s="9">
        <f>IFERROR(__xludf.DUMMYFUNCTION("""COMPUTED_VALUE"""),1068.96)</f>
        <v>1068.96</v>
      </c>
      <c r="G1028" s="11">
        <f>IFERROR(__xludf.DUMMYFUNCTION("""COMPUTED_VALUE"""),44538.66666666667)</f>
        <v>44538.66667</v>
      </c>
      <c r="H1028" s="9">
        <f>IFERROR(__xludf.DUMMYFUNCTION("""COMPUTED_VALUE"""),2966.63)</f>
        <v>2966.63</v>
      </c>
      <c r="I1028" s="11">
        <f>IFERROR(__xludf.DUMMYFUNCTION("""COMPUTED_VALUE"""),44538.66666666667)</f>
        <v>44538.66667</v>
      </c>
      <c r="J1028" s="9">
        <f>IFERROR(__xludf.DUMMYFUNCTION("""COMPUTED_VALUE"""),2974.41)</f>
        <v>2974.41</v>
      </c>
      <c r="L1028" s="11">
        <f>IFERROR(__xludf.DUMMYFUNCTION("""COMPUTED_VALUE"""),44538.66666666667)</f>
        <v>44538.66667</v>
      </c>
      <c r="M1028" s="9">
        <f>IFERROR(__xludf.DUMMYFUNCTION("""COMPUTED_VALUE"""),172.13)</f>
        <v>172.13</v>
      </c>
      <c r="N1028" s="11">
        <f>IFERROR(__xludf.DUMMYFUNCTION("""COMPUTED_VALUE"""),44538.66666666667)</f>
        <v>44538.66667</v>
      </c>
      <c r="O1028" s="9">
        <f>IFERROR(__xludf.DUMMYFUNCTION("""COMPUTED_VALUE"""),175.08)</f>
        <v>175.08</v>
      </c>
      <c r="Q1028" s="11">
        <f>IFERROR(__xludf.DUMMYFUNCTION("""COMPUTED_VALUE"""),44538.66666666667)</f>
        <v>44538.66667</v>
      </c>
      <c r="R1028" s="9">
        <f>IFERROR(__xludf.DUMMYFUNCTION("""COMPUTED_VALUE"""),325.0)</f>
        <v>325</v>
      </c>
      <c r="S1028" s="11">
        <f>IFERROR(__xludf.DUMMYFUNCTION("""COMPUTED_VALUE"""),44538.66666666667)</f>
        <v>44538.66667</v>
      </c>
      <c r="T1028" s="9">
        <f>IFERROR(__xludf.DUMMYFUNCTION("""COMPUTED_VALUE"""),330.56)</f>
        <v>330.56</v>
      </c>
      <c r="V1028" s="11">
        <f>IFERROR(__xludf.DUMMYFUNCTION("""COMPUTED_VALUE"""),44538.66666666667)</f>
        <v>44538.66667</v>
      </c>
      <c r="W1028" s="9">
        <f>IFERROR(__xludf.DUMMYFUNCTION("""COMPUTED_VALUE"""),630.0)</f>
        <v>630</v>
      </c>
      <c r="X1028" s="11">
        <f>IFERROR(__xludf.DUMMYFUNCTION("""COMPUTED_VALUE"""),44538.66666666667)</f>
        <v>44538.66667</v>
      </c>
      <c r="Y1028" s="9">
        <f>IFERROR(__xludf.DUMMYFUNCTION("""COMPUTED_VALUE"""),628.08)</f>
        <v>628.08</v>
      </c>
      <c r="AA1028" s="11">
        <f>IFERROR(__xludf.DUMMYFUNCTION("""COMPUTED_VALUE"""),44538.66666666667)</f>
        <v>44538.66667</v>
      </c>
      <c r="AB1028" s="9">
        <f>IFERROR(__xludf.DUMMYFUNCTION("""COMPUTED_VALUE"""),3523.01)</f>
        <v>3523.01</v>
      </c>
      <c r="AC1028" s="11">
        <f>IFERROR(__xludf.DUMMYFUNCTION("""COMPUTED_VALUE"""),44538.66666666667)</f>
        <v>44538.66667</v>
      </c>
      <c r="AD1028" s="9">
        <f>IFERROR(__xludf.DUMMYFUNCTION("""COMPUTED_VALUE"""),3523.16)</f>
        <v>3523.16</v>
      </c>
    </row>
    <row r="1029">
      <c r="B1029" s="11">
        <f>IFERROR(__xludf.DUMMYFUNCTION("""COMPUTED_VALUE"""),44539.66666666667)</f>
        <v>44539.66667</v>
      </c>
      <c r="C1029" s="9">
        <f>IFERROR(__xludf.DUMMYFUNCTION("""COMPUTED_VALUE"""),1060.64)</f>
        <v>1060.64</v>
      </c>
      <c r="D1029" s="11">
        <f>IFERROR(__xludf.DUMMYFUNCTION("""COMPUTED_VALUE"""),44539.66666666667)</f>
        <v>44539.66667</v>
      </c>
      <c r="E1029" s="9">
        <f>IFERROR(__xludf.DUMMYFUNCTION("""COMPUTED_VALUE"""),1003.8)</f>
        <v>1003.8</v>
      </c>
      <c r="G1029" s="11">
        <f>IFERROR(__xludf.DUMMYFUNCTION("""COMPUTED_VALUE"""),44539.66666666667)</f>
        <v>44539.66667</v>
      </c>
      <c r="H1029" s="9">
        <f>IFERROR(__xludf.DUMMYFUNCTION("""COMPUTED_VALUE"""),2963.52)</f>
        <v>2963.52</v>
      </c>
      <c r="I1029" s="11">
        <f>IFERROR(__xludf.DUMMYFUNCTION("""COMPUTED_VALUE"""),44539.66666666667)</f>
        <v>44539.66667</v>
      </c>
      <c r="J1029" s="9">
        <f>IFERROR(__xludf.DUMMYFUNCTION("""COMPUTED_VALUE"""),2962.12)</f>
        <v>2962.12</v>
      </c>
      <c r="L1029" s="11">
        <f>IFERROR(__xludf.DUMMYFUNCTION("""COMPUTED_VALUE"""),44539.66666666667)</f>
        <v>44539.66667</v>
      </c>
      <c r="M1029" s="9">
        <f>IFERROR(__xludf.DUMMYFUNCTION("""COMPUTED_VALUE"""),174.91)</f>
        <v>174.91</v>
      </c>
      <c r="N1029" s="11">
        <f>IFERROR(__xludf.DUMMYFUNCTION("""COMPUTED_VALUE"""),44539.66666666667)</f>
        <v>44539.66667</v>
      </c>
      <c r="O1029" s="9">
        <f>IFERROR(__xludf.DUMMYFUNCTION("""COMPUTED_VALUE"""),174.56)</f>
        <v>174.56</v>
      </c>
      <c r="Q1029" s="11">
        <f>IFERROR(__xludf.DUMMYFUNCTION("""COMPUTED_VALUE"""),44539.66666666667)</f>
        <v>44539.66667</v>
      </c>
      <c r="R1029" s="9">
        <f>IFERROR(__xludf.DUMMYFUNCTION("""COMPUTED_VALUE"""),329.54)</f>
        <v>329.54</v>
      </c>
      <c r="S1029" s="11">
        <f>IFERROR(__xludf.DUMMYFUNCTION("""COMPUTED_VALUE"""),44539.66666666667)</f>
        <v>44539.66667</v>
      </c>
      <c r="T1029" s="9">
        <f>IFERROR(__xludf.DUMMYFUNCTION("""COMPUTED_VALUE"""),329.82)</f>
        <v>329.82</v>
      </c>
      <c r="V1029" s="11">
        <f>IFERROR(__xludf.DUMMYFUNCTION("""COMPUTED_VALUE"""),44539.66666666667)</f>
        <v>44539.66667</v>
      </c>
      <c r="W1029" s="9">
        <f>IFERROR(__xludf.DUMMYFUNCTION("""COMPUTED_VALUE"""),627.58)</f>
        <v>627.58</v>
      </c>
      <c r="X1029" s="11">
        <f>IFERROR(__xludf.DUMMYFUNCTION("""COMPUTED_VALUE"""),44539.66666666667)</f>
        <v>44539.66667</v>
      </c>
      <c r="Y1029" s="9">
        <f>IFERROR(__xludf.DUMMYFUNCTION("""COMPUTED_VALUE"""),611.0)</f>
        <v>611</v>
      </c>
      <c r="AA1029" s="11">
        <f>IFERROR(__xludf.DUMMYFUNCTION("""COMPUTED_VALUE"""),44539.66666666667)</f>
        <v>44539.66667</v>
      </c>
      <c r="AB1029" s="9">
        <f>IFERROR(__xludf.DUMMYFUNCTION("""COMPUTED_VALUE"""),3515.0)</f>
        <v>3515</v>
      </c>
      <c r="AC1029" s="11">
        <f>IFERROR(__xludf.DUMMYFUNCTION("""COMPUTED_VALUE"""),44539.66666666667)</f>
        <v>44539.66667</v>
      </c>
      <c r="AD1029" s="9">
        <f>IFERROR(__xludf.DUMMYFUNCTION("""COMPUTED_VALUE"""),3483.42)</f>
        <v>3483.42</v>
      </c>
    </row>
    <row r="1030">
      <c r="B1030" s="11">
        <f>IFERROR(__xludf.DUMMYFUNCTION("""COMPUTED_VALUE"""),44540.66666666667)</f>
        <v>44540.66667</v>
      </c>
      <c r="C1030" s="9">
        <f>IFERROR(__xludf.DUMMYFUNCTION("""COMPUTED_VALUE"""),1008.75)</f>
        <v>1008.75</v>
      </c>
      <c r="D1030" s="11">
        <f>IFERROR(__xludf.DUMMYFUNCTION("""COMPUTED_VALUE"""),44540.66666666667)</f>
        <v>44540.66667</v>
      </c>
      <c r="E1030" s="9">
        <f>IFERROR(__xludf.DUMMYFUNCTION("""COMPUTED_VALUE"""),1017.03)</f>
        <v>1017.03</v>
      </c>
      <c r="G1030" s="11">
        <f>IFERROR(__xludf.DUMMYFUNCTION("""COMPUTED_VALUE"""),44540.66666666667)</f>
        <v>44540.66667</v>
      </c>
      <c r="H1030" s="9">
        <f>IFERROR(__xludf.DUMMYFUNCTION("""COMPUTED_VALUE"""),2982.0)</f>
        <v>2982</v>
      </c>
      <c r="I1030" s="11">
        <f>IFERROR(__xludf.DUMMYFUNCTION("""COMPUTED_VALUE"""),44540.66666666667)</f>
        <v>44540.66667</v>
      </c>
      <c r="J1030" s="9">
        <f>IFERROR(__xludf.DUMMYFUNCTION("""COMPUTED_VALUE"""),2973.5)</f>
        <v>2973.5</v>
      </c>
      <c r="L1030" s="11">
        <f>IFERROR(__xludf.DUMMYFUNCTION("""COMPUTED_VALUE"""),44540.66666666667)</f>
        <v>44540.66667</v>
      </c>
      <c r="M1030" s="9">
        <f>IFERROR(__xludf.DUMMYFUNCTION("""COMPUTED_VALUE"""),175.21)</f>
        <v>175.21</v>
      </c>
      <c r="N1030" s="11">
        <f>IFERROR(__xludf.DUMMYFUNCTION("""COMPUTED_VALUE"""),44540.66666666667)</f>
        <v>44540.66667</v>
      </c>
      <c r="O1030" s="9">
        <f>IFERROR(__xludf.DUMMYFUNCTION("""COMPUTED_VALUE"""),179.45)</f>
        <v>179.45</v>
      </c>
      <c r="Q1030" s="11">
        <f>IFERROR(__xludf.DUMMYFUNCTION("""COMPUTED_VALUE"""),44540.66666666667)</f>
        <v>44540.66667</v>
      </c>
      <c r="R1030" s="9">
        <f>IFERROR(__xludf.DUMMYFUNCTION("""COMPUTED_VALUE"""),332.56)</f>
        <v>332.56</v>
      </c>
      <c r="S1030" s="11">
        <f>IFERROR(__xludf.DUMMYFUNCTION("""COMPUTED_VALUE"""),44540.66666666667)</f>
        <v>44540.66667</v>
      </c>
      <c r="T1030" s="9">
        <f>IFERROR(__xludf.DUMMYFUNCTION("""COMPUTED_VALUE"""),329.75)</f>
        <v>329.75</v>
      </c>
      <c r="V1030" s="11">
        <f>IFERROR(__xludf.DUMMYFUNCTION("""COMPUTED_VALUE"""),44540.66666666667)</f>
        <v>44540.66667</v>
      </c>
      <c r="W1030" s="9">
        <f>IFERROR(__xludf.DUMMYFUNCTION("""COMPUTED_VALUE"""),616.78)</f>
        <v>616.78</v>
      </c>
      <c r="X1030" s="11">
        <f>IFERROR(__xludf.DUMMYFUNCTION("""COMPUTED_VALUE"""),44540.66666666667)</f>
        <v>44540.66667</v>
      </c>
      <c r="Y1030" s="9">
        <f>IFERROR(__xludf.DUMMYFUNCTION("""COMPUTED_VALUE"""),611.66)</f>
        <v>611.66</v>
      </c>
      <c r="AA1030" s="11">
        <f>IFERROR(__xludf.DUMMYFUNCTION("""COMPUTED_VALUE"""),44540.66666666667)</f>
        <v>44540.66667</v>
      </c>
      <c r="AB1030" s="9">
        <f>IFERROR(__xludf.DUMMYFUNCTION("""COMPUTED_VALUE"""),3508.34)</f>
        <v>3508.34</v>
      </c>
      <c r="AC1030" s="11">
        <f>IFERROR(__xludf.DUMMYFUNCTION("""COMPUTED_VALUE"""),44540.66666666667)</f>
        <v>44540.66667</v>
      </c>
      <c r="AD1030" s="9">
        <f>IFERROR(__xludf.DUMMYFUNCTION("""COMPUTED_VALUE"""),3444.24)</f>
        <v>3444.24</v>
      </c>
    </row>
    <row r="1031">
      <c r="B1031" s="11">
        <f>IFERROR(__xludf.DUMMYFUNCTION("""COMPUTED_VALUE"""),44543.66666666667)</f>
        <v>44543.66667</v>
      </c>
      <c r="C1031" s="9">
        <f>IFERROR(__xludf.DUMMYFUNCTION("""COMPUTED_VALUE"""),1001.09)</f>
        <v>1001.09</v>
      </c>
      <c r="D1031" s="11">
        <f>IFERROR(__xludf.DUMMYFUNCTION("""COMPUTED_VALUE"""),44543.66666666667)</f>
        <v>44543.66667</v>
      </c>
      <c r="E1031" s="9">
        <f>IFERROR(__xludf.DUMMYFUNCTION("""COMPUTED_VALUE"""),966.41)</f>
        <v>966.41</v>
      </c>
      <c r="G1031" s="11">
        <f>IFERROR(__xludf.DUMMYFUNCTION("""COMPUTED_VALUE"""),44543.66666666667)</f>
        <v>44543.66667</v>
      </c>
      <c r="H1031" s="9">
        <f>IFERROR(__xludf.DUMMYFUNCTION("""COMPUTED_VALUE"""),2968.88)</f>
        <v>2968.88</v>
      </c>
      <c r="I1031" s="11">
        <f>IFERROR(__xludf.DUMMYFUNCTION("""COMPUTED_VALUE"""),44543.66666666667)</f>
        <v>44543.66667</v>
      </c>
      <c r="J1031" s="9">
        <f>IFERROR(__xludf.DUMMYFUNCTION("""COMPUTED_VALUE"""),2934.09)</f>
        <v>2934.09</v>
      </c>
      <c r="L1031" s="11">
        <f>IFERROR(__xludf.DUMMYFUNCTION("""COMPUTED_VALUE"""),44543.66666666667)</f>
        <v>44543.66667</v>
      </c>
      <c r="M1031" s="9">
        <f>IFERROR(__xludf.DUMMYFUNCTION("""COMPUTED_VALUE"""),181.12)</f>
        <v>181.12</v>
      </c>
      <c r="N1031" s="11">
        <f>IFERROR(__xludf.DUMMYFUNCTION("""COMPUTED_VALUE"""),44543.66666666667)</f>
        <v>44543.66667</v>
      </c>
      <c r="O1031" s="9">
        <f>IFERROR(__xludf.DUMMYFUNCTION("""COMPUTED_VALUE"""),175.74)</f>
        <v>175.74</v>
      </c>
      <c r="Q1031" s="11">
        <f>IFERROR(__xludf.DUMMYFUNCTION("""COMPUTED_VALUE"""),44543.66666666667)</f>
        <v>44543.66667</v>
      </c>
      <c r="R1031" s="9">
        <f>IFERROR(__xludf.DUMMYFUNCTION("""COMPUTED_VALUE"""),330.95)</f>
        <v>330.95</v>
      </c>
      <c r="S1031" s="11">
        <f>IFERROR(__xludf.DUMMYFUNCTION("""COMPUTED_VALUE"""),44543.66666666667)</f>
        <v>44543.66667</v>
      </c>
      <c r="T1031" s="9">
        <f>IFERROR(__xludf.DUMMYFUNCTION("""COMPUTED_VALUE"""),334.49)</f>
        <v>334.49</v>
      </c>
      <c r="V1031" s="11">
        <f>IFERROR(__xludf.DUMMYFUNCTION("""COMPUTED_VALUE"""),44543.66666666667)</f>
        <v>44543.66667</v>
      </c>
      <c r="W1031" s="9">
        <f>IFERROR(__xludf.DUMMYFUNCTION("""COMPUTED_VALUE"""),612.0)</f>
        <v>612</v>
      </c>
      <c r="X1031" s="11">
        <f>IFERROR(__xludf.DUMMYFUNCTION("""COMPUTED_VALUE"""),44543.66666666667)</f>
        <v>44543.66667</v>
      </c>
      <c r="Y1031" s="9">
        <f>IFERROR(__xludf.DUMMYFUNCTION("""COMPUTED_VALUE"""),604.56)</f>
        <v>604.56</v>
      </c>
      <c r="AA1031" s="11">
        <f>IFERROR(__xludf.DUMMYFUNCTION("""COMPUTED_VALUE"""),44543.66666666667)</f>
        <v>44543.66667</v>
      </c>
      <c r="AB1031" s="9">
        <f>IFERROR(__xludf.DUMMYFUNCTION("""COMPUTED_VALUE"""),3440.0)</f>
        <v>3440</v>
      </c>
      <c r="AC1031" s="11">
        <f>IFERROR(__xludf.DUMMYFUNCTION("""COMPUTED_VALUE"""),44543.66666666667)</f>
        <v>44543.66667</v>
      </c>
      <c r="AD1031" s="9">
        <f>IFERROR(__xludf.DUMMYFUNCTION("""COMPUTED_VALUE"""),3391.35)</f>
        <v>3391.35</v>
      </c>
    </row>
    <row r="1032">
      <c r="B1032" s="11">
        <f>IFERROR(__xludf.DUMMYFUNCTION("""COMPUTED_VALUE"""),44544.66666666667)</f>
        <v>44544.66667</v>
      </c>
      <c r="C1032" s="9">
        <f>IFERROR(__xludf.DUMMYFUNCTION("""COMPUTED_VALUE"""),945.0)</f>
        <v>945</v>
      </c>
      <c r="D1032" s="11">
        <f>IFERROR(__xludf.DUMMYFUNCTION("""COMPUTED_VALUE"""),44544.66666666667)</f>
        <v>44544.66667</v>
      </c>
      <c r="E1032" s="9">
        <f>IFERROR(__xludf.DUMMYFUNCTION("""COMPUTED_VALUE"""),958.51)</f>
        <v>958.51</v>
      </c>
      <c r="G1032" s="11">
        <f>IFERROR(__xludf.DUMMYFUNCTION("""COMPUTED_VALUE"""),44544.66666666667)</f>
        <v>44544.66667</v>
      </c>
      <c r="H1032" s="9">
        <f>IFERROR(__xludf.DUMMYFUNCTION("""COMPUTED_VALUE"""),2895.4)</f>
        <v>2895.4</v>
      </c>
      <c r="I1032" s="11">
        <f>IFERROR(__xludf.DUMMYFUNCTION("""COMPUTED_VALUE"""),44544.66666666667)</f>
        <v>44544.66667</v>
      </c>
      <c r="J1032" s="9">
        <f>IFERROR(__xludf.DUMMYFUNCTION("""COMPUTED_VALUE"""),2899.41)</f>
        <v>2899.41</v>
      </c>
      <c r="L1032" s="11">
        <f>IFERROR(__xludf.DUMMYFUNCTION("""COMPUTED_VALUE"""),44544.66666666667)</f>
        <v>44544.66667</v>
      </c>
      <c r="M1032" s="9">
        <f>IFERROR(__xludf.DUMMYFUNCTION("""COMPUTED_VALUE"""),175.25)</f>
        <v>175.25</v>
      </c>
      <c r="N1032" s="11">
        <f>IFERROR(__xludf.DUMMYFUNCTION("""COMPUTED_VALUE"""),44544.66666666667)</f>
        <v>44544.66667</v>
      </c>
      <c r="O1032" s="9">
        <f>IFERROR(__xludf.DUMMYFUNCTION("""COMPUTED_VALUE"""),174.33)</f>
        <v>174.33</v>
      </c>
      <c r="Q1032" s="11">
        <f>IFERROR(__xludf.DUMMYFUNCTION("""COMPUTED_VALUE"""),44544.66666666667)</f>
        <v>44544.66667</v>
      </c>
      <c r="R1032" s="9">
        <f>IFERROR(__xludf.DUMMYFUNCTION("""COMPUTED_VALUE"""),328.05)</f>
        <v>328.05</v>
      </c>
      <c r="S1032" s="11">
        <f>IFERROR(__xludf.DUMMYFUNCTION("""COMPUTED_VALUE"""),44544.66666666667)</f>
        <v>44544.66667</v>
      </c>
      <c r="T1032" s="9">
        <f>IFERROR(__xludf.DUMMYFUNCTION("""COMPUTED_VALUE"""),333.74)</f>
        <v>333.74</v>
      </c>
      <c r="V1032" s="11">
        <f>IFERROR(__xludf.DUMMYFUNCTION("""COMPUTED_VALUE"""),44544.66666666667)</f>
        <v>44544.66667</v>
      </c>
      <c r="W1032" s="9">
        <f>IFERROR(__xludf.DUMMYFUNCTION("""COMPUTED_VALUE"""),598.71)</f>
        <v>598.71</v>
      </c>
      <c r="X1032" s="11">
        <f>IFERROR(__xludf.DUMMYFUNCTION("""COMPUTED_VALUE"""),44544.66666666667)</f>
        <v>44544.66667</v>
      </c>
      <c r="Y1032" s="9">
        <f>IFERROR(__xludf.DUMMYFUNCTION("""COMPUTED_VALUE"""),597.99)</f>
        <v>597.99</v>
      </c>
      <c r="AA1032" s="11">
        <f>IFERROR(__xludf.DUMMYFUNCTION("""COMPUTED_VALUE"""),44544.66666666667)</f>
        <v>44544.66667</v>
      </c>
      <c r="AB1032" s="9">
        <f>IFERROR(__xludf.DUMMYFUNCTION("""COMPUTED_VALUE"""),3351.0)</f>
        <v>3351</v>
      </c>
      <c r="AC1032" s="11">
        <f>IFERROR(__xludf.DUMMYFUNCTION("""COMPUTED_VALUE"""),44544.66666666667)</f>
        <v>44544.66667</v>
      </c>
      <c r="AD1032" s="9">
        <f>IFERROR(__xludf.DUMMYFUNCTION("""COMPUTED_VALUE"""),3381.83)</f>
        <v>3381.83</v>
      </c>
    </row>
    <row r="1033">
      <c r="B1033" s="11">
        <f>IFERROR(__xludf.DUMMYFUNCTION("""COMPUTED_VALUE"""),44545.66666666667)</f>
        <v>44545.66667</v>
      </c>
      <c r="C1033" s="9">
        <f>IFERROR(__xludf.DUMMYFUNCTION("""COMPUTED_VALUE"""),953.21)</f>
        <v>953.21</v>
      </c>
      <c r="D1033" s="11">
        <f>IFERROR(__xludf.DUMMYFUNCTION("""COMPUTED_VALUE"""),44545.66666666667)</f>
        <v>44545.66667</v>
      </c>
      <c r="E1033" s="9">
        <f>IFERROR(__xludf.DUMMYFUNCTION("""COMPUTED_VALUE"""),975.99)</f>
        <v>975.99</v>
      </c>
      <c r="G1033" s="11">
        <f>IFERROR(__xludf.DUMMYFUNCTION("""COMPUTED_VALUE"""),44545.66666666667)</f>
        <v>44545.66667</v>
      </c>
      <c r="H1033" s="9">
        <f>IFERROR(__xludf.DUMMYFUNCTION("""COMPUTED_VALUE"""),2887.32)</f>
        <v>2887.32</v>
      </c>
      <c r="I1033" s="11">
        <f>IFERROR(__xludf.DUMMYFUNCTION("""COMPUTED_VALUE"""),44545.66666666667)</f>
        <v>44545.66667</v>
      </c>
      <c r="J1033" s="9">
        <f>IFERROR(__xludf.DUMMYFUNCTION("""COMPUTED_VALUE"""),2947.37)</f>
        <v>2947.37</v>
      </c>
      <c r="L1033" s="11">
        <f>IFERROR(__xludf.DUMMYFUNCTION("""COMPUTED_VALUE"""),44545.66666666667)</f>
        <v>44545.66667</v>
      </c>
      <c r="M1033" s="9">
        <f>IFERROR(__xludf.DUMMYFUNCTION("""COMPUTED_VALUE"""),175.11)</f>
        <v>175.11</v>
      </c>
      <c r="N1033" s="11">
        <f>IFERROR(__xludf.DUMMYFUNCTION("""COMPUTED_VALUE"""),44545.66666666667)</f>
        <v>44545.66667</v>
      </c>
      <c r="O1033" s="9">
        <f>IFERROR(__xludf.DUMMYFUNCTION("""COMPUTED_VALUE"""),179.3)</f>
        <v>179.3</v>
      </c>
      <c r="Q1033" s="11">
        <f>IFERROR(__xludf.DUMMYFUNCTION("""COMPUTED_VALUE"""),44545.66666666667)</f>
        <v>44545.66667</v>
      </c>
      <c r="R1033" s="9">
        <f>IFERROR(__xludf.DUMMYFUNCTION("""COMPUTED_VALUE"""),332.49)</f>
        <v>332.49</v>
      </c>
      <c r="S1033" s="11">
        <f>IFERROR(__xludf.DUMMYFUNCTION("""COMPUTED_VALUE"""),44545.66666666667)</f>
        <v>44545.66667</v>
      </c>
      <c r="T1033" s="9">
        <f>IFERROR(__xludf.DUMMYFUNCTION("""COMPUTED_VALUE"""),341.66)</f>
        <v>341.66</v>
      </c>
      <c r="V1033" s="11">
        <f>IFERROR(__xludf.DUMMYFUNCTION("""COMPUTED_VALUE"""),44545.66666666667)</f>
        <v>44545.66667</v>
      </c>
      <c r="W1033" s="9">
        <f>IFERROR(__xludf.DUMMYFUNCTION("""COMPUTED_VALUE"""),598.18)</f>
        <v>598.18</v>
      </c>
      <c r="X1033" s="11">
        <f>IFERROR(__xludf.DUMMYFUNCTION("""COMPUTED_VALUE"""),44545.66666666667)</f>
        <v>44545.66667</v>
      </c>
      <c r="Y1033" s="9">
        <f>IFERROR(__xludf.DUMMYFUNCTION("""COMPUTED_VALUE"""),605.04)</f>
        <v>605.04</v>
      </c>
      <c r="AA1033" s="11">
        <f>IFERROR(__xludf.DUMMYFUNCTION("""COMPUTED_VALUE"""),44545.66666666667)</f>
        <v>44545.66667</v>
      </c>
      <c r="AB1033" s="9">
        <f>IFERROR(__xludf.DUMMYFUNCTION("""COMPUTED_VALUE"""),3371.96)</f>
        <v>3371.96</v>
      </c>
      <c r="AC1033" s="11">
        <f>IFERROR(__xludf.DUMMYFUNCTION("""COMPUTED_VALUE"""),44545.66666666667)</f>
        <v>44545.66667</v>
      </c>
      <c r="AD1033" s="9">
        <f>IFERROR(__xludf.DUMMYFUNCTION("""COMPUTED_VALUE"""),3466.3)</f>
        <v>3466.3</v>
      </c>
    </row>
    <row r="1034">
      <c r="B1034" s="11">
        <f>IFERROR(__xludf.DUMMYFUNCTION("""COMPUTED_VALUE"""),44546.66666666667)</f>
        <v>44546.66667</v>
      </c>
      <c r="C1034" s="9">
        <f>IFERROR(__xludf.DUMMYFUNCTION("""COMPUTED_VALUE"""),994.5)</f>
        <v>994.5</v>
      </c>
      <c r="D1034" s="11">
        <f>IFERROR(__xludf.DUMMYFUNCTION("""COMPUTED_VALUE"""),44546.66666666667)</f>
        <v>44546.66667</v>
      </c>
      <c r="E1034" s="9">
        <f>IFERROR(__xludf.DUMMYFUNCTION("""COMPUTED_VALUE"""),926.92)</f>
        <v>926.92</v>
      </c>
      <c r="G1034" s="11">
        <f>IFERROR(__xludf.DUMMYFUNCTION("""COMPUTED_VALUE"""),44546.66666666667)</f>
        <v>44546.66667</v>
      </c>
      <c r="H1034" s="9">
        <f>IFERROR(__xludf.DUMMYFUNCTION("""COMPUTED_VALUE"""),2961.54)</f>
        <v>2961.54</v>
      </c>
      <c r="I1034" s="11">
        <f>IFERROR(__xludf.DUMMYFUNCTION("""COMPUTED_VALUE"""),44546.66666666667)</f>
        <v>44546.66667</v>
      </c>
      <c r="J1034" s="9">
        <f>IFERROR(__xludf.DUMMYFUNCTION("""COMPUTED_VALUE"""),2896.77)</f>
        <v>2896.77</v>
      </c>
      <c r="L1034" s="11">
        <f>IFERROR(__xludf.DUMMYFUNCTION("""COMPUTED_VALUE"""),44546.66666666667)</f>
        <v>44546.66667</v>
      </c>
      <c r="M1034" s="9">
        <f>IFERROR(__xludf.DUMMYFUNCTION("""COMPUTED_VALUE"""),179.28)</f>
        <v>179.28</v>
      </c>
      <c r="N1034" s="11">
        <f>IFERROR(__xludf.DUMMYFUNCTION("""COMPUTED_VALUE"""),44546.66666666667)</f>
        <v>44546.66667</v>
      </c>
      <c r="O1034" s="9">
        <f>IFERROR(__xludf.DUMMYFUNCTION("""COMPUTED_VALUE"""),172.26)</f>
        <v>172.26</v>
      </c>
      <c r="Q1034" s="11">
        <f>IFERROR(__xludf.DUMMYFUNCTION("""COMPUTED_VALUE"""),44546.66666666667)</f>
        <v>44546.66667</v>
      </c>
      <c r="R1034" s="9">
        <f>IFERROR(__xludf.DUMMYFUNCTION("""COMPUTED_VALUE"""),338.98)</f>
        <v>338.98</v>
      </c>
      <c r="S1034" s="11">
        <f>IFERROR(__xludf.DUMMYFUNCTION("""COMPUTED_VALUE"""),44546.66666666667)</f>
        <v>44546.66667</v>
      </c>
      <c r="T1034" s="9">
        <f>IFERROR(__xludf.DUMMYFUNCTION("""COMPUTED_VALUE"""),334.9)</f>
        <v>334.9</v>
      </c>
      <c r="V1034" s="11">
        <f>IFERROR(__xludf.DUMMYFUNCTION("""COMPUTED_VALUE"""),44546.66666666667)</f>
        <v>44546.66667</v>
      </c>
      <c r="W1034" s="9">
        <f>IFERROR(__xludf.DUMMYFUNCTION("""COMPUTED_VALUE"""),597.09)</f>
        <v>597.09</v>
      </c>
      <c r="X1034" s="11">
        <f>IFERROR(__xludf.DUMMYFUNCTION("""COMPUTED_VALUE"""),44546.66666666667)</f>
        <v>44546.66667</v>
      </c>
      <c r="Y1034" s="9">
        <f>IFERROR(__xludf.DUMMYFUNCTION("""COMPUTED_VALUE"""),591.06)</f>
        <v>591.06</v>
      </c>
      <c r="AA1034" s="11">
        <f>IFERROR(__xludf.DUMMYFUNCTION("""COMPUTED_VALUE"""),44546.66666666667)</f>
        <v>44546.66667</v>
      </c>
      <c r="AB1034" s="9">
        <f>IFERROR(__xludf.DUMMYFUNCTION("""COMPUTED_VALUE"""),3467.37)</f>
        <v>3467.37</v>
      </c>
      <c r="AC1034" s="11">
        <f>IFERROR(__xludf.DUMMYFUNCTION("""COMPUTED_VALUE"""),44546.66666666667)</f>
        <v>44546.66667</v>
      </c>
      <c r="AD1034" s="9">
        <f>IFERROR(__xludf.DUMMYFUNCTION("""COMPUTED_VALUE"""),3377.42)</f>
        <v>3377.42</v>
      </c>
    </row>
    <row r="1035">
      <c r="B1035" s="11">
        <f>IFERROR(__xludf.DUMMYFUNCTION("""COMPUTED_VALUE"""),44547.66666666667)</f>
        <v>44547.66667</v>
      </c>
      <c r="C1035" s="9">
        <f>IFERROR(__xludf.DUMMYFUNCTION("""COMPUTED_VALUE"""),914.77)</f>
        <v>914.77</v>
      </c>
      <c r="D1035" s="11">
        <f>IFERROR(__xludf.DUMMYFUNCTION("""COMPUTED_VALUE"""),44547.66666666667)</f>
        <v>44547.66667</v>
      </c>
      <c r="E1035" s="9">
        <f>IFERROR(__xludf.DUMMYFUNCTION("""COMPUTED_VALUE"""),932.57)</f>
        <v>932.57</v>
      </c>
      <c r="G1035" s="11">
        <f>IFERROR(__xludf.DUMMYFUNCTION("""COMPUTED_VALUE"""),44547.66666666667)</f>
        <v>44547.66667</v>
      </c>
      <c r="H1035" s="9">
        <f>IFERROR(__xludf.DUMMYFUNCTION("""COMPUTED_VALUE"""),2854.29)</f>
        <v>2854.29</v>
      </c>
      <c r="I1035" s="11">
        <f>IFERROR(__xludf.DUMMYFUNCTION("""COMPUTED_VALUE"""),44547.66666666667)</f>
        <v>44547.66667</v>
      </c>
      <c r="J1035" s="9">
        <f>IFERROR(__xludf.DUMMYFUNCTION("""COMPUTED_VALUE"""),2856.06)</f>
        <v>2856.06</v>
      </c>
      <c r="L1035" s="11">
        <f>IFERROR(__xludf.DUMMYFUNCTION("""COMPUTED_VALUE"""),44547.66666666667)</f>
        <v>44547.66667</v>
      </c>
      <c r="M1035" s="9">
        <f>IFERROR(__xludf.DUMMYFUNCTION("""COMPUTED_VALUE"""),169.93)</f>
        <v>169.93</v>
      </c>
      <c r="N1035" s="11">
        <f>IFERROR(__xludf.DUMMYFUNCTION("""COMPUTED_VALUE"""),44547.66666666667)</f>
        <v>44547.66667</v>
      </c>
      <c r="O1035" s="9">
        <f>IFERROR(__xludf.DUMMYFUNCTION("""COMPUTED_VALUE"""),171.14)</f>
        <v>171.14</v>
      </c>
      <c r="Q1035" s="11">
        <f>IFERROR(__xludf.DUMMYFUNCTION("""COMPUTED_VALUE"""),44547.66666666667)</f>
        <v>44547.66667</v>
      </c>
      <c r="R1035" s="9">
        <f>IFERROR(__xludf.DUMMYFUNCTION("""COMPUTED_VALUE"""),332.8)</f>
        <v>332.8</v>
      </c>
      <c r="S1035" s="11">
        <f>IFERROR(__xludf.DUMMYFUNCTION("""COMPUTED_VALUE"""),44547.66666666667)</f>
        <v>44547.66667</v>
      </c>
      <c r="T1035" s="9">
        <f>IFERROR(__xludf.DUMMYFUNCTION("""COMPUTED_VALUE"""),333.79)</f>
        <v>333.79</v>
      </c>
      <c r="V1035" s="11">
        <f>IFERROR(__xludf.DUMMYFUNCTION("""COMPUTED_VALUE"""),44547.66666666667)</f>
        <v>44547.66667</v>
      </c>
      <c r="W1035" s="9">
        <f>IFERROR(__xludf.DUMMYFUNCTION("""COMPUTED_VALUE"""),591.61)</f>
        <v>591.61</v>
      </c>
      <c r="X1035" s="11">
        <f>IFERROR(__xludf.DUMMYFUNCTION("""COMPUTED_VALUE"""),44547.66666666667)</f>
        <v>44547.66667</v>
      </c>
      <c r="Y1035" s="9">
        <f>IFERROR(__xludf.DUMMYFUNCTION("""COMPUTED_VALUE"""),586.73)</f>
        <v>586.73</v>
      </c>
      <c r="AA1035" s="11">
        <f>IFERROR(__xludf.DUMMYFUNCTION("""COMPUTED_VALUE"""),44547.66666666667)</f>
        <v>44547.66667</v>
      </c>
      <c r="AB1035" s="9">
        <f>IFERROR(__xludf.DUMMYFUNCTION("""COMPUTED_VALUE"""),3354.21)</f>
        <v>3354.21</v>
      </c>
      <c r="AC1035" s="11">
        <f>IFERROR(__xludf.DUMMYFUNCTION("""COMPUTED_VALUE"""),44547.66666666667)</f>
        <v>44547.66667</v>
      </c>
      <c r="AD1035" s="9">
        <f>IFERROR(__xludf.DUMMYFUNCTION("""COMPUTED_VALUE"""),3400.35)</f>
        <v>3400.35</v>
      </c>
    </row>
  </sheetData>
  <mergeCells count="6">
    <mergeCell ref="B2:E2"/>
    <mergeCell ref="G2:J2"/>
    <mergeCell ref="L2:O2"/>
    <mergeCell ref="Q2:T2"/>
    <mergeCell ref="V2:Y2"/>
    <mergeCell ref="AA2:A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CMP!C4</f>
        <v>60.03</v>
      </c>
      <c r="B2" s="12">
        <f>CMP!E4</f>
        <v>63.08</v>
      </c>
    </row>
    <row r="3">
      <c r="A3" s="12">
        <f>CMP!C5</f>
        <v>63</v>
      </c>
      <c r="B3" s="12">
        <f>CMP!E5</f>
        <v>61.74</v>
      </c>
    </row>
    <row r="4">
      <c r="A4" s="12">
        <f>CMP!C6</f>
        <v>61.2</v>
      </c>
      <c r="B4" s="12">
        <f>CMP!E6</f>
        <v>62.26</v>
      </c>
    </row>
    <row r="5">
      <c r="A5" s="12">
        <f>CMP!C7</f>
        <v>62.8</v>
      </c>
      <c r="B5" s="12">
        <f>CMP!E7</f>
        <v>62.5</v>
      </c>
    </row>
    <row r="6">
      <c r="A6" s="12">
        <f>CMP!C8</f>
        <v>65.13</v>
      </c>
      <c r="B6" s="12">
        <f>CMP!E8</f>
        <v>63.01</v>
      </c>
    </row>
    <row r="7">
      <c r="A7" s="12">
        <f>CMP!C9</f>
        <v>62.76</v>
      </c>
      <c r="B7" s="12">
        <f>CMP!E9</f>
        <v>61.75</v>
      </c>
    </row>
    <row r="8">
      <c r="A8" s="12">
        <f>CMP!C10</f>
        <v>62.17</v>
      </c>
      <c r="B8" s="12">
        <f>CMP!E10</f>
        <v>63.56</v>
      </c>
    </row>
    <row r="9">
      <c r="A9" s="12">
        <f>CMP!C11</f>
        <v>63.35</v>
      </c>
      <c r="B9" s="12">
        <f>CMP!E11</f>
        <v>62.52</v>
      </c>
    </row>
    <row r="10">
      <c r="A10" s="12">
        <f>CMP!C12</f>
        <v>62.76</v>
      </c>
      <c r="B10" s="12">
        <f>CMP!E12</f>
        <v>63.11</v>
      </c>
    </row>
    <row r="11">
      <c r="A11" s="12">
        <f>CMP!C13</f>
        <v>62.65</v>
      </c>
      <c r="B11" s="12">
        <f>CMP!E13</f>
        <v>63.36</v>
      </c>
    </row>
    <row r="12">
      <c r="A12" s="12">
        <f>CMP!C14</f>
        <v>63.27</v>
      </c>
      <c r="B12" s="12">
        <f>CMP!E14</f>
        <v>63.51</v>
      </c>
    </row>
    <row r="13">
      <c r="A13" s="12">
        <f>CMP!C15</f>
        <v>63.46</v>
      </c>
      <c r="B13" s="12">
        <f>CMP!E15</f>
        <v>61.51</v>
      </c>
    </row>
    <row r="14">
      <c r="A14" s="12">
        <f>CMP!C16</f>
        <v>61.71</v>
      </c>
      <c r="B14" s="12">
        <f>CMP!E16</f>
        <v>61.77</v>
      </c>
    </row>
    <row r="15">
      <c r="A15" s="12">
        <f>CMP!C17</f>
        <v>61.09</v>
      </c>
      <c r="B15" s="12">
        <f>CMP!E17</f>
        <v>61.31</v>
      </c>
    </row>
    <row r="16">
      <c r="A16" s="12">
        <f>CMP!C18</f>
        <v>61.3</v>
      </c>
      <c r="B16" s="12">
        <f>CMP!E18</f>
        <v>61.04</v>
      </c>
    </row>
    <row r="17">
      <c r="A17" s="12">
        <f>CMP!C19</f>
        <v>60.4</v>
      </c>
      <c r="B17" s="12">
        <f>CMP!E19</f>
        <v>60.74</v>
      </c>
    </row>
    <row r="18">
      <c r="A18" s="12">
        <f>CMP!C20</f>
        <v>60.02</v>
      </c>
      <c r="B18" s="12">
        <f>CMP!E20</f>
        <v>62.65</v>
      </c>
    </row>
    <row r="19">
      <c r="A19" s="12">
        <f>CMP!C21</f>
        <v>62.4</v>
      </c>
      <c r="B19" s="12">
        <f>CMP!E21</f>
        <v>62.25</v>
      </c>
    </row>
    <row r="20">
      <c r="A20" s="12">
        <f>CMP!C22</f>
        <v>62.92</v>
      </c>
      <c r="B20" s="12">
        <f>CMP!E22</f>
        <v>63.03</v>
      </c>
    </row>
    <row r="21">
      <c r="A21" s="12">
        <f>CMP!C23</f>
        <v>62.93</v>
      </c>
      <c r="B21" s="12">
        <f>CMP!E23</f>
        <v>65.78</v>
      </c>
    </row>
    <row r="22">
      <c r="A22" s="12">
        <f>CMP!C24</f>
        <v>66.09</v>
      </c>
      <c r="B22" s="12">
        <f>CMP!E24</f>
        <v>68.21</v>
      </c>
    </row>
    <row r="23">
      <c r="A23" s="12">
        <f>CMP!C25</f>
        <v>68.19</v>
      </c>
      <c r="B23" s="12">
        <f>CMP!E25</f>
        <v>67.81</v>
      </c>
    </row>
    <row r="24">
      <c r="A24" s="12">
        <f>CMP!C26</f>
        <v>68.2</v>
      </c>
      <c r="B24" s="12">
        <f>CMP!E26</f>
        <v>67.58</v>
      </c>
    </row>
    <row r="25">
      <c r="A25" s="12">
        <f>CMP!C27</f>
        <v>68.41</v>
      </c>
      <c r="B25" s="12">
        <f>CMP!E27</f>
        <v>68.69</v>
      </c>
    </row>
    <row r="26">
      <c r="A26" s="12">
        <f>CMP!C28</f>
        <v>68.98</v>
      </c>
      <c r="B26" s="12">
        <f>CMP!E28</f>
        <v>67.77</v>
      </c>
    </row>
    <row r="27">
      <c r="A27" s="12">
        <f>CMP!C29</f>
        <v>68.05</v>
      </c>
      <c r="B27" s="12">
        <f>CMP!E29</f>
        <v>66.22</v>
      </c>
    </row>
    <row r="28">
      <c r="A28" s="12">
        <f>CMP!C30</f>
        <v>66.54</v>
      </c>
      <c r="B28" s="12">
        <f>CMP!E30</f>
        <v>65.8</v>
      </c>
    </row>
    <row r="29">
      <c r="A29" s="12">
        <f>CMP!C31</f>
        <v>65.92</v>
      </c>
      <c r="B29" s="12">
        <f>CMP!E31</f>
        <v>66.33</v>
      </c>
    </row>
    <row r="30">
      <c r="A30" s="12">
        <f>CMP!C32</f>
        <v>65.9</v>
      </c>
      <c r="B30" s="12">
        <f>CMP!E32</f>
        <v>65.04</v>
      </c>
    </row>
    <row r="31">
      <c r="A31" s="12">
        <f>CMP!C33</f>
        <v>64.77</v>
      </c>
      <c r="B31" s="12">
        <f>CMP!E33</f>
        <v>63.46</v>
      </c>
    </row>
    <row r="32">
      <c r="A32" s="12">
        <f>CMP!C34</f>
        <v>63.2</v>
      </c>
      <c r="B32" s="12">
        <f>CMP!E34</f>
        <v>62.33</v>
      </c>
    </row>
    <row r="33">
      <c r="A33" s="12">
        <f>CMP!C35</f>
        <v>62.35</v>
      </c>
      <c r="B33" s="12">
        <f>CMP!E35</f>
        <v>63.07</v>
      </c>
    </row>
    <row r="34">
      <c r="A34" s="12">
        <f>CMP!C36</f>
        <v>63.24</v>
      </c>
      <c r="B34" s="12">
        <f>CMP!E36</f>
        <v>62.27</v>
      </c>
    </row>
    <row r="35">
      <c r="A35" s="12">
        <f>CMP!C37</f>
        <v>62.4</v>
      </c>
      <c r="B35" s="12">
        <f>CMP!E37</f>
        <v>64.11</v>
      </c>
    </row>
    <row r="36">
      <c r="A36" s="12">
        <f>CMP!C38</f>
        <v>64.2</v>
      </c>
      <c r="B36" s="12">
        <f>CMP!E38</f>
        <v>63.45</v>
      </c>
    </row>
    <row r="37">
      <c r="A37" s="12">
        <f>CMP!C39</f>
        <v>62.57</v>
      </c>
      <c r="B37" s="12">
        <f>CMP!E39</f>
        <v>62.92</v>
      </c>
    </row>
    <row r="38">
      <c r="A38" s="12">
        <f>CMP!C40</f>
        <v>63.32</v>
      </c>
      <c r="B38" s="12">
        <f>CMP!E40</f>
        <v>63.32</v>
      </c>
    </row>
    <row r="39">
      <c r="A39" s="12">
        <f>CMP!C41</f>
        <v>63.2</v>
      </c>
      <c r="B39" s="12">
        <f>CMP!E41</f>
        <v>67.28</v>
      </c>
    </row>
    <row r="40">
      <c r="A40" s="12">
        <f>CMP!C42</f>
        <v>67.03</v>
      </c>
      <c r="B40" s="12">
        <f>CMP!E42</f>
        <v>66.74</v>
      </c>
    </row>
    <row r="41">
      <c r="A41" s="12">
        <f>CMP!C43</f>
        <v>66.44</v>
      </c>
      <c r="B41" s="12">
        <f>CMP!E43</f>
        <v>66.96</v>
      </c>
    </row>
    <row r="42">
      <c r="A42" s="12">
        <f>CMP!C44</f>
        <v>67.05</v>
      </c>
      <c r="B42" s="12">
        <f>CMP!E44</f>
        <v>67.59</v>
      </c>
    </row>
    <row r="43">
      <c r="A43" s="12">
        <f>CMP!C45</f>
        <v>67.73</v>
      </c>
      <c r="B43" s="12">
        <f>CMP!E45</f>
        <v>67.24</v>
      </c>
    </row>
    <row r="44">
      <c r="A44" s="12">
        <f>CMP!C46</f>
        <v>67.51</v>
      </c>
      <c r="B44" s="12">
        <f>CMP!E46</f>
        <v>68.01</v>
      </c>
    </row>
    <row r="45">
      <c r="A45" s="12">
        <f>CMP!C47</f>
        <v>68.09</v>
      </c>
      <c r="B45" s="12">
        <f>CMP!E47</f>
        <v>69.43</v>
      </c>
    </row>
    <row r="46">
      <c r="A46" s="12">
        <f>CMP!C48</f>
        <v>69.13</v>
      </c>
      <c r="B46" s="12">
        <f>CMP!E48</f>
        <v>68.91</v>
      </c>
    </row>
    <row r="47">
      <c r="A47" s="12">
        <f>CMP!C49</f>
        <v>69</v>
      </c>
      <c r="B47" s="12">
        <f>CMP!E49</f>
        <v>70</v>
      </c>
    </row>
    <row r="48">
      <c r="A48" s="12">
        <f>CMP!C50</f>
        <v>69.88</v>
      </c>
      <c r="B48" s="12">
        <f>CMP!E50</f>
        <v>70.31</v>
      </c>
    </row>
    <row r="49">
      <c r="A49" s="12">
        <f>CMP!C51</f>
        <v>72</v>
      </c>
      <c r="B49" s="12">
        <f>CMP!E51</f>
        <v>70.56</v>
      </c>
    </row>
    <row r="50">
      <c r="A50" s="12">
        <f>CMP!C52</f>
        <v>70.92</v>
      </c>
      <c r="B50" s="12">
        <f>CMP!E52</f>
        <v>69.18</v>
      </c>
    </row>
    <row r="51">
      <c r="A51" s="12">
        <f>CMP!C53</f>
        <v>69.65</v>
      </c>
      <c r="B51" s="12">
        <f>CMP!E53</f>
        <v>67.53</v>
      </c>
    </row>
    <row r="52">
      <c r="A52" s="12">
        <f>CMP!C54</f>
        <v>68.3</v>
      </c>
      <c r="B52" s="12">
        <f>CMP!E54</f>
        <v>68.57</v>
      </c>
    </row>
    <row r="53">
      <c r="A53" s="12">
        <f>CMP!C55</f>
        <v>67.97</v>
      </c>
      <c r="B53" s="12">
        <f>CMP!E55</f>
        <v>69.91</v>
      </c>
    </row>
    <row r="54">
      <c r="A54" s="12">
        <f>CMP!C56</f>
        <v>69.03</v>
      </c>
      <c r="B54" s="12">
        <f>CMP!E56</f>
        <v>69.16</v>
      </c>
    </row>
    <row r="55">
      <c r="A55" s="12">
        <f>CMP!C57</f>
        <v>69.5</v>
      </c>
      <c r="B55" s="12">
        <f>CMP!E57</f>
        <v>70.86</v>
      </c>
    </row>
    <row r="56">
      <c r="A56" s="12">
        <f>CMP!C58</f>
        <v>70.2</v>
      </c>
      <c r="B56" s="12">
        <f>CMP!E58</f>
        <v>69.85</v>
      </c>
    </row>
    <row r="57">
      <c r="A57" s="12">
        <f>CMP!C59</f>
        <v>69.69</v>
      </c>
      <c r="B57" s="12">
        <f>CMP!E59</f>
        <v>68.75</v>
      </c>
    </row>
    <row r="58">
      <c r="A58" s="12">
        <f>CMP!C60</f>
        <v>67.59</v>
      </c>
      <c r="B58" s="12">
        <f>CMP!E60</f>
        <v>66.63</v>
      </c>
    </row>
    <row r="59">
      <c r="A59" s="12">
        <f>CMP!C61</f>
        <v>65.04</v>
      </c>
      <c r="B59" s="12">
        <f>CMP!E61</f>
        <v>66.79</v>
      </c>
    </row>
    <row r="60">
      <c r="A60" s="12">
        <f>CMP!C62</f>
        <v>67.8</v>
      </c>
      <c r="B60" s="12">
        <f>CMP!E62</f>
        <v>69</v>
      </c>
    </row>
    <row r="61">
      <c r="A61" s="12">
        <f>CMP!C63</f>
        <v>68.66</v>
      </c>
      <c r="B61" s="12">
        <f>CMP!E63</f>
        <v>63.05</v>
      </c>
    </row>
    <row r="62">
      <c r="A62" s="12">
        <f>CMP!C64</f>
        <v>63.99</v>
      </c>
      <c r="B62" s="12">
        <f>CMP!E64</f>
        <v>62.08</v>
      </c>
    </row>
    <row r="63">
      <c r="A63" s="12">
        <f>CMP!C65</f>
        <v>63.23</v>
      </c>
      <c r="B63" s="12">
        <f>CMP!E65</f>
        <v>63.15</v>
      </c>
    </row>
    <row r="64">
      <c r="A64" s="12">
        <f>CMP!C66</f>
        <v>63</v>
      </c>
      <c r="B64" s="12">
        <f>CMP!E66</f>
        <v>64.73</v>
      </c>
    </row>
    <row r="65">
      <c r="A65" s="12">
        <f>CMP!C67</f>
        <v>64.17</v>
      </c>
      <c r="B65" s="12">
        <f>CMP!E67</f>
        <v>64.46</v>
      </c>
    </row>
    <row r="66">
      <c r="A66" s="12">
        <f>CMP!C68</f>
        <v>64.9</v>
      </c>
      <c r="B66" s="12">
        <f>CMP!E68</f>
        <v>66.81</v>
      </c>
    </row>
    <row r="67">
      <c r="A67" s="12">
        <f>CMP!C69</f>
        <v>66.5</v>
      </c>
      <c r="B67" s="12">
        <f>CMP!E69</f>
        <v>67.1</v>
      </c>
    </row>
    <row r="68">
      <c r="A68" s="12">
        <f>CMP!C70</f>
        <v>66.89</v>
      </c>
      <c r="B68" s="12">
        <f>CMP!E70</f>
        <v>66.95</v>
      </c>
    </row>
    <row r="69">
      <c r="A69" s="12">
        <f>CMP!C71</f>
        <v>67.21</v>
      </c>
      <c r="B69" s="12">
        <f>CMP!E71</f>
        <v>66.66</v>
      </c>
    </row>
    <row r="70">
      <c r="A70" s="12">
        <f>CMP!C72</f>
        <v>67.11</v>
      </c>
      <c r="B70" s="12">
        <f>CMP!E72</f>
        <v>69.23</v>
      </c>
    </row>
    <row r="71">
      <c r="A71" s="12">
        <f>CMP!C73</f>
        <v>69.57</v>
      </c>
      <c r="B71" s="12">
        <f>CMP!E73</f>
        <v>70.41</v>
      </c>
    </row>
    <row r="72">
      <c r="A72" s="12">
        <f>CMP!C74</f>
        <v>70.7</v>
      </c>
      <c r="B72" s="12">
        <f>CMP!E74</f>
        <v>71.48</v>
      </c>
    </row>
    <row r="73">
      <c r="A73" s="12">
        <f>CMP!C75</f>
        <v>71.25</v>
      </c>
      <c r="B73" s="12">
        <f>CMP!E75</f>
        <v>70.2</v>
      </c>
    </row>
    <row r="74">
      <c r="A74" s="12">
        <f>CMP!C76</f>
        <v>70.51</v>
      </c>
      <c r="B74" s="12">
        <f>CMP!E76</f>
        <v>68.61</v>
      </c>
    </row>
    <row r="75">
      <c r="A75" s="12">
        <f>CMP!C77</f>
        <v>69</v>
      </c>
      <c r="B75" s="12">
        <f>CMP!E77</f>
        <v>66.19</v>
      </c>
    </row>
    <row r="76">
      <c r="A76" s="12">
        <f>CMP!C78</f>
        <v>65.4</v>
      </c>
      <c r="B76" s="12">
        <f>CMP!E78</f>
        <v>67.02</v>
      </c>
    </row>
    <row r="77">
      <c r="A77" s="12">
        <f>CMP!C79</f>
        <v>66.48</v>
      </c>
      <c r="B77" s="12">
        <f>CMP!E79</f>
        <v>66.67</v>
      </c>
    </row>
    <row r="78">
      <c r="A78" s="12">
        <f>CMP!C80</f>
        <v>66.75</v>
      </c>
      <c r="B78" s="12">
        <f>CMP!E80</f>
        <v>65.64</v>
      </c>
    </row>
    <row r="79">
      <c r="A79" s="12">
        <f>CMP!C81</f>
        <v>65.09</v>
      </c>
      <c r="B79" s="12">
        <f>CMP!E81</f>
        <v>66.46</v>
      </c>
    </row>
    <row r="80">
      <c r="A80" s="12">
        <f>CMP!C82</f>
        <v>66.57</v>
      </c>
      <c r="B80" s="12">
        <f>CMP!E82</f>
        <v>65.82</v>
      </c>
    </row>
    <row r="81">
      <c r="A81" s="12">
        <f>CMP!C83</f>
        <v>64.82</v>
      </c>
      <c r="B81" s="12">
        <f>CMP!E83</f>
        <v>65.43</v>
      </c>
    </row>
    <row r="82">
      <c r="A82" s="12">
        <f>CMP!C84</f>
        <v>65.72</v>
      </c>
      <c r="B82" s="12">
        <f>CMP!E84</f>
        <v>69.1</v>
      </c>
    </row>
    <row r="83">
      <c r="A83" s="12">
        <f>CMP!C85</f>
        <v>68.98</v>
      </c>
      <c r="B83" s="12">
        <f>CMP!E85</f>
        <v>68.37</v>
      </c>
    </row>
    <row r="84">
      <c r="A84" s="12">
        <f>CMP!C86</f>
        <v>67.35</v>
      </c>
      <c r="B84" s="12">
        <f>CMP!E86</f>
        <v>65.33</v>
      </c>
    </row>
    <row r="85">
      <c r="A85" s="12">
        <f>CMP!C87</f>
        <v>65.88</v>
      </c>
      <c r="B85" s="12">
        <f>CMP!E87</f>
        <v>65.12</v>
      </c>
    </row>
    <row r="86">
      <c r="A86" s="12">
        <f>CMP!C88</f>
        <v>65.19</v>
      </c>
      <c r="B86" s="12">
        <f>CMP!E88</f>
        <v>64.27</v>
      </c>
    </row>
    <row r="87">
      <c r="A87" s="12">
        <f>CMP!C89</f>
        <v>63.3</v>
      </c>
      <c r="B87" s="12">
        <f>CMP!E89</f>
        <v>62.71</v>
      </c>
    </row>
    <row r="88">
      <c r="A88" s="12">
        <f>CMP!C90</f>
        <v>62.97</v>
      </c>
      <c r="B88" s="12">
        <f>CMP!E90</f>
        <v>62.11</v>
      </c>
    </row>
    <row r="89">
      <c r="A89" s="12">
        <f>CMP!C91</f>
        <v>62.05</v>
      </c>
      <c r="B89" s="12">
        <f>CMP!E91</f>
        <v>63.31</v>
      </c>
    </row>
    <row r="90">
      <c r="A90" s="12">
        <f>CMP!C92</f>
        <v>62.78</v>
      </c>
      <c r="B90" s="12">
        <f>CMP!E92</f>
        <v>61.82</v>
      </c>
    </row>
    <row r="91">
      <c r="A91" s="12">
        <f>CMP!C93</f>
        <v>62.25</v>
      </c>
      <c r="B91" s="12">
        <f>CMP!E93</f>
        <v>60.31</v>
      </c>
    </row>
    <row r="92">
      <c r="A92" s="12">
        <f>CMP!C94</f>
        <v>61.47</v>
      </c>
      <c r="B92" s="12">
        <f>CMP!E94</f>
        <v>60.84</v>
      </c>
    </row>
    <row r="93">
      <c r="A93" s="12">
        <f>CMP!C95</f>
        <v>60.8</v>
      </c>
      <c r="B93" s="12">
        <f>CMP!E95</f>
        <v>55.84</v>
      </c>
    </row>
    <row r="94">
      <c r="A94" s="12">
        <f>CMP!C96</f>
        <v>52.92</v>
      </c>
      <c r="B94" s="12">
        <f>CMP!E96</f>
        <v>51.56</v>
      </c>
    </row>
    <row r="95">
      <c r="A95" s="12">
        <f>CMP!C97</f>
        <v>51.3</v>
      </c>
      <c r="B95" s="12">
        <f>CMP!E97</f>
        <v>53.23</v>
      </c>
    </row>
    <row r="96">
      <c r="A96" s="12">
        <f>CMP!C98</f>
        <v>51.25</v>
      </c>
      <c r="B96" s="12">
        <f>CMP!E98</f>
        <v>50.5</v>
      </c>
    </row>
    <row r="97">
      <c r="A97" s="12">
        <f>CMP!C99</f>
        <v>53.96</v>
      </c>
      <c r="B97" s="12">
        <f>CMP!E99</f>
        <v>53.51</v>
      </c>
    </row>
    <row r="98">
      <c r="A98" s="12">
        <f>CMP!C100</f>
        <v>50.56</v>
      </c>
      <c r="B98" s="12">
        <f>CMP!E100</f>
        <v>57.39</v>
      </c>
    </row>
    <row r="99">
      <c r="A99" s="12">
        <f>CMP!C101</f>
        <v>57.87</v>
      </c>
      <c r="B99" s="12">
        <f>CMP!E101</f>
        <v>61.14</v>
      </c>
    </row>
    <row r="100">
      <c r="A100" s="12">
        <f>CMP!C102</f>
        <v>60.2</v>
      </c>
      <c r="B100" s="12">
        <f>CMP!E102</f>
        <v>59.86</v>
      </c>
    </row>
    <row r="101">
      <c r="A101" s="12">
        <f>CMP!C103</f>
        <v>60.07</v>
      </c>
      <c r="B101" s="12">
        <f>CMP!E103</f>
        <v>57.93</v>
      </c>
    </row>
    <row r="102">
      <c r="A102" s="12">
        <f>CMP!C104</f>
        <v>59.79</v>
      </c>
      <c r="B102" s="12">
        <f>CMP!E104</f>
        <v>60.94</v>
      </c>
    </row>
    <row r="103">
      <c r="A103" s="12">
        <f>CMP!C105</f>
        <v>60.15</v>
      </c>
      <c r="B103" s="12">
        <f>CMP!E105</f>
        <v>60.19</v>
      </c>
    </row>
    <row r="104">
      <c r="A104" s="12">
        <f>CMP!C106</f>
        <v>60.46</v>
      </c>
      <c r="B104" s="12">
        <f>CMP!E106</f>
        <v>58.82</v>
      </c>
    </row>
    <row r="105">
      <c r="A105" s="12">
        <f>CMP!C107</f>
        <v>60.72</v>
      </c>
      <c r="B105" s="12">
        <f>CMP!E107</f>
        <v>60.07</v>
      </c>
    </row>
    <row r="106">
      <c r="A106" s="12">
        <f>CMP!C108</f>
        <v>59.8</v>
      </c>
      <c r="B106" s="12">
        <f>CMP!E108</f>
        <v>58.24</v>
      </c>
    </row>
    <row r="107">
      <c r="A107" s="12">
        <f>CMP!C109</f>
        <v>57.77</v>
      </c>
      <c r="B107" s="12">
        <f>CMP!E109</f>
        <v>57.54</v>
      </c>
    </row>
    <row r="108">
      <c r="A108" s="12">
        <f>CMP!C110</f>
        <v>58.22</v>
      </c>
      <c r="B108" s="12">
        <f>CMP!E110</f>
        <v>58.67</v>
      </c>
    </row>
    <row r="109">
      <c r="A109" s="12">
        <f>CMP!C111</f>
        <v>58.22</v>
      </c>
      <c r="B109" s="12">
        <f>CMP!E111</f>
        <v>60.02</v>
      </c>
    </row>
    <row r="110">
      <c r="A110" s="12">
        <f>CMP!C112</f>
        <v>59.03</v>
      </c>
      <c r="B110" s="12">
        <f>CMP!E112</f>
        <v>58.05</v>
      </c>
    </row>
    <row r="111">
      <c r="A111" s="12">
        <f>CMP!C113</f>
        <v>58.26</v>
      </c>
      <c r="B111" s="12">
        <f>CMP!E113</f>
        <v>56.67</v>
      </c>
    </row>
    <row r="112">
      <c r="A112" s="12">
        <f>CMP!C114</f>
        <v>57</v>
      </c>
      <c r="B112" s="12">
        <f>CMP!E114</f>
        <v>56.69</v>
      </c>
    </row>
    <row r="113">
      <c r="A113" s="12">
        <f>CMP!C115</f>
        <v>56.7</v>
      </c>
      <c r="B113" s="12">
        <f>CMP!E115</f>
        <v>56.14</v>
      </c>
    </row>
    <row r="114">
      <c r="A114" s="12">
        <f>CMP!C116</f>
        <v>55.75</v>
      </c>
      <c r="B114" s="12">
        <f>CMP!E116</f>
        <v>57.1</v>
      </c>
    </row>
    <row r="115">
      <c r="A115" s="12">
        <f>CMP!C117</f>
        <v>57.07</v>
      </c>
      <c r="B115" s="12">
        <f>CMP!E117</f>
        <v>58.82</v>
      </c>
    </row>
    <row r="116">
      <c r="A116" s="12">
        <f>CMP!C118</f>
        <v>58.72</v>
      </c>
      <c r="B116" s="12">
        <f>CMP!E118</f>
        <v>58.78</v>
      </c>
    </row>
    <row r="117">
      <c r="A117" s="12">
        <f>CMP!C119</f>
        <v>58.7</v>
      </c>
      <c r="B117" s="12">
        <f>CMP!E119</f>
        <v>59.98</v>
      </c>
    </row>
    <row r="118">
      <c r="A118" s="12">
        <f>CMP!C120</f>
        <v>59.71</v>
      </c>
      <c r="B118" s="12">
        <f>CMP!E120</f>
        <v>60.23</v>
      </c>
    </row>
    <row r="119">
      <c r="A119" s="12">
        <f>CMP!C121</f>
        <v>55.76</v>
      </c>
      <c r="B119" s="12">
        <f>CMP!E121</f>
        <v>56.89</v>
      </c>
    </row>
    <row r="120">
      <c r="A120" s="12">
        <f>CMP!C122</f>
        <v>56.6</v>
      </c>
      <c r="B120" s="12">
        <f>CMP!E122</f>
        <v>58.82</v>
      </c>
    </row>
    <row r="121">
      <c r="A121" s="12">
        <f>CMP!C123</f>
        <v>59.5</v>
      </c>
      <c r="B121" s="12">
        <f>CMP!E123</f>
        <v>60.55</v>
      </c>
    </row>
    <row r="122">
      <c r="A122" s="12">
        <f>CMP!C124</f>
        <v>60.16</v>
      </c>
      <c r="B122" s="12">
        <f>CMP!E124</f>
        <v>60.39</v>
      </c>
    </row>
    <row r="123">
      <c r="A123" s="12">
        <f>CMP!C125</f>
        <v>60.08</v>
      </c>
      <c r="B123" s="12">
        <f>CMP!E125</f>
        <v>61.37</v>
      </c>
    </row>
    <row r="124">
      <c r="A124" s="12">
        <f>CMP!C126</f>
        <v>61.5</v>
      </c>
      <c r="B124" s="12">
        <f>CMP!E126</f>
        <v>61</v>
      </c>
    </row>
    <row r="125">
      <c r="A125" s="12">
        <f>CMP!C127</f>
        <v>61.54</v>
      </c>
      <c r="B125" s="12">
        <f>CMP!E127</f>
        <v>60.21</v>
      </c>
    </row>
    <row r="126">
      <c r="A126" s="12">
        <f>CMP!C128</f>
        <v>60.66</v>
      </c>
      <c r="B126" s="12">
        <f>CMP!E128</f>
        <v>58.39</v>
      </c>
    </row>
    <row r="127">
      <c r="A127" s="12">
        <f>CMP!C129</f>
        <v>57</v>
      </c>
      <c r="B127" s="12">
        <f>CMP!E129</f>
        <v>56.84</v>
      </c>
    </row>
    <row r="128">
      <c r="A128" s="12">
        <f>CMP!C130</f>
        <v>56.77</v>
      </c>
      <c r="B128" s="12">
        <f>CMP!E130</f>
        <v>57.3</v>
      </c>
    </row>
    <row r="129">
      <c r="A129" s="12">
        <f>CMP!C131</f>
        <v>57.18</v>
      </c>
      <c r="B129" s="12">
        <f>CMP!E131</f>
        <v>56.91</v>
      </c>
    </row>
    <row r="130">
      <c r="A130" s="12">
        <f>CMP!C132</f>
        <v>57.18</v>
      </c>
      <c r="B130" s="12">
        <f>CMP!E132</f>
        <v>56.91</v>
      </c>
    </row>
    <row r="131">
      <c r="A131" s="12">
        <f>CMP!C133</f>
        <v>56.27</v>
      </c>
      <c r="B131" s="12">
        <f>CMP!E133</f>
        <v>56.9</v>
      </c>
    </row>
    <row r="132">
      <c r="A132" s="12">
        <f>CMP!C134</f>
        <v>57.55</v>
      </c>
      <c r="B132" s="12">
        <f>CMP!E134</f>
        <v>55</v>
      </c>
    </row>
    <row r="133">
      <c r="A133" s="12">
        <f>CMP!C135</f>
        <v>55.55</v>
      </c>
      <c r="B133" s="12">
        <f>CMP!E135</f>
        <v>55.81</v>
      </c>
    </row>
    <row r="134">
      <c r="A134" s="12">
        <f>CMP!C136</f>
        <v>55.68</v>
      </c>
      <c r="B134" s="12">
        <f>CMP!E136</f>
        <v>55.57</v>
      </c>
    </row>
    <row r="135">
      <c r="A135" s="12">
        <f>CMP!C137</f>
        <v>55.53</v>
      </c>
      <c r="B135" s="12">
        <f>CMP!E137</f>
        <v>55.77</v>
      </c>
    </row>
    <row r="136">
      <c r="A136" s="12">
        <f>CMP!C138</f>
        <v>55.7</v>
      </c>
      <c r="B136" s="12">
        <f>CMP!E138</f>
        <v>56.75</v>
      </c>
    </row>
    <row r="137">
      <c r="A137" s="12">
        <f>CMP!C139</f>
        <v>56.66</v>
      </c>
      <c r="B137" s="12">
        <f>CMP!E139</f>
        <v>58.34</v>
      </c>
    </row>
    <row r="138">
      <c r="A138" s="12">
        <f>CMP!C140</f>
        <v>57.44</v>
      </c>
      <c r="B138" s="12">
        <f>CMP!E140</f>
        <v>56.95</v>
      </c>
    </row>
    <row r="139">
      <c r="A139" s="12">
        <f>CMP!C141</f>
        <v>57.17</v>
      </c>
      <c r="B139" s="12">
        <f>CMP!E141</f>
        <v>58.36</v>
      </c>
    </row>
    <row r="140">
      <c r="A140" s="12">
        <f>CMP!C142</f>
        <v>58.87</v>
      </c>
      <c r="B140" s="12">
        <f>CMP!E142</f>
        <v>59.35</v>
      </c>
    </row>
    <row r="141">
      <c r="A141" s="12">
        <f>CMP!C143</f>
        <v>59.54</v>
      </c>
      <c r="B141" s="12">
        <f>CMP!E143</f>
        <v>58.23</v>
      </c>
    </row>
    <row r="142">
      <c r="A142" s="12">
        <f>CMP!C144</f>
        <v>60.1</v>
      </c>
      <c r="B142" s="12">
        <f>CMP!E144</f>
        <v>63.9</v>
      </c>
    </row>
    <row r="143">
      <c r="A143" s="12">
        <f>CMP!C145</f>
        <v>63.23</v>
      </c>
      <c r="B143" s="12">
        <f>CMP!E145</f>
        <v>63.22</v>
      </c>
    </row>
    <row r="144">
      <c r="A144" s="12">
        <f>CMP!C146</f>
        <v>63.8</v>
      </c>
      <c r="B144" s="12">
        <f>CMP!E146</f>
        <v>63.53</v>
      </c>
    </row>
    <row r="145">
      <c r="A145" s="12">
        <f>CMP!C147</f>
        <v>64.5</v>
      </c>
      <c r="B145" s="12">
        <f>CMP!E147</f>
        <v>66.42</v>
      </c>
    </row>
    <row r="146">
      <c r="A146" s="12">
        <f>CMP!C148</f>
        <v>68.94</v>
      </c>
      <c r="B146" s="12">
        <f>CMP!E148</f>
        <v>68.55</v>
      </c>
    </row>
    <row r="147">
      <c r="A147" s="12">
        <f>CMP!C149</f>
        <v>69.34</v>
      </c>
      <c r="B147" s="12">
        <f>CMP!E149</f>
        <v>68.96</v>
      </c>
    </row>
    <row r="148">
      <c r="A148" s="12">
        <f>CMP!C150</f>
        <v>69.53</v>
      </c>
      <c r="B148" s="12">
        <f>CMP!E150</f>
        <v>71.54</v>
      </c>
    </row>
    <row r="149">
      <c r="A149" s="12">
        <f>CMP!C151</f>
        <v>70.77</v>
      </c>
      <c r="B149" s="12">
        <f>CMP!E151</f>
        <v>71.63</v>
      </c>
    </row>
    <row r="150">
      <c r="A150" s="12">
        <f>CMP!C152</f>
        <v>71.08</v>
      </c>
      <c r="B150" s="12">
        <f>CMP!E152</f>
        <v>74.17</v>
      </c>
    </row>
    <row r="151">
      <c r="A151" s="12">
        <f>CMP!C153</f>
        <v>73.03</v>
      </c>
      <c r="B151" s="12">
        <f>CMP!E153</f>
        <v>70.51</v>
      </c>
    </row>
    <row r="152">
      <c r="A152" s="12">
        <f>CMP!C154</f>
        <v>71.61</v>
      </c>
      <c r="B152" s="12">
        <f>CMP!E154</f>
        <v>72.44</v>
      </c>
    </row>
    <row r="153">
      <c r="A153" s="12">
        <f>CMP!C155</f>
        <v>72.4</v>
      </c>
      <c r="B153" s="12">
        <f>CMP!E155</f>
        <v>69.5</v>
      </c>
    </row>
    <row r="154">
      <c r="A154" s="12">
        <f>CMP!C156</f>
        <v>70.31</v>
      </c>
      <c r="B154" s="12">
        <f>CMP!E156</f>
        <v>66.73</v>
      </c>
    </row>
    <row r="155">
      <c r="A155" s="12">
        <f>CMP!C157</f>
        <v>66.02</v>
      </c>
      <c r="B155" s="12">
        <f>CMP!E157</f>
        <v>66.6</v>
      </c>
    </row>
    <row r="156">
      <c r="A156" s="12">
        <f>CMP!C158</f>
        <v>67.21</v>
      </c>
      <c r="B156" s="12">
        <f>CMP!E158</f>
        <v>68.4</v>
      </c>
    </row>
    <row r="157">
      <c r="A157" s="12">
        <f>CMP!C159</f>
        <v>69</v>
      </c>
      <c r="B157" s="12">
        <f>CMP!E159</f>
        <v>68.9</v>
      </c>
    </row>
    <row r="158">
      <c r="A158" s="12">
        <f>CMP!C160</f>
        <v>69.73</v>
      </c>
      <c r="B158" s="12">
        <f>CMP!E160</f>
        <v>69.99</v>
      </c>
    </row>
    <row r="159">
      <c r="A159" s="12">
        <f>CMP!C161</f>
        <v>70.67</v>
      </c>
      <c r="B159" s="12">
        <f>CMP!E161</f>
        <v>68.59</v>
      </c>
    </row>
    <row r="160">
      <c r="A160" s="12">
        <f>CMP!C162</f>
        <v>72.01</v>
      </c>
      <c r="B160" s="12">
        <f>CMP!E162</f>
        <v>67.01</v>
      </c>
    </row>
    <row r="161">
      <c r="A161" s="12">
        <f>CMP!C163</f>
        <v>66.35</v>
      </c>
      <c r="B161" s="12">
        <f>CMP!E163</f>
        <v>62.17</v>
      </c>
    </row>
    <row r="162">
      <c r="A162" s="12">
        <f>CMP!C164</f>
        <v>62.75</v>
      </c>
      <c r="B162" s="12">
        <f>CMP!E164</f>
        <v>61.83</v>
      </c>
    </row>
    <row r="163">
      <c r="A163" s="12">
        <f>CMP!C165</f>
        <v>60.99</v>
      </c>
      <c r="B163" s="12">
        <f>CMP!E165</f>
        <v>61.78</v>
      </c>
    </row>
    <row r="164">
      <c r="A164" s="12">
        <f>CMP!C166</f>
        <v>62.4</v>
      </c>
      <c r="B164" s="12">
        <f>CMP!E166</f>
        <v>63.7</v>
      </c>
    </row>
    <row r="165">
      <c r="A165" s="12">
        <f>CMP!C167</f>
        <v>64.91</v>
      </c>
      <c r="B165" s="12">
        <f>CMP!E167</f>
        <v>64.49</v>
      </c>
    </row>
    <row r="166">
      <c r="A166" s="12">
        <f>CMP!C168</f>
        <v>63.16</v>
      </c>
      <c r="B166" s="12">
        <f>CMP!E168</f>
        <v>63.79</v>
      </c>
    </row>
    <row r="167">
      <c r="A167" s="12">
        <f>CMP!C169</f>
        <v>64.29</v>
      </c>
      <c r="B167" s="12">
        <f>CMP!E169</f>
        <v>63.34</v>
      </c>
    </row>
    <row r="168">
      <c r="A168" s="12">
        <f>CMP!C170</f>
        <v>63.12</v>
      </c>
      <c r="B168" s="12">
        <f>CMP!E170</f>
        <v>63.77</v>
      </c>
    </row>
    <row r="169">
      <c r="A169" s="12">
        <f>CMP!C171</f>
        <v>62.34</v>
      </c>
      <c r="B169" s="12">
        <f>CMP!E171</f>
        <v>62.02</v>
      </c>
    </row>
    <row r="170">
      <c r="A170" s="12">
        <f>CMP!C172</f>
        <v>61.76</v>
      </c>
      <c r="B170" s="12">
        <f>CMP!E172</f>
        <v>64.54</v>
      </c>
    </row>
    <row r="171">
      <c r="A171" s="12">
        <f>CMP!C173</f>
        <v>65</v>
      </c>
      <c r="B171" s="12">
        <f>CMP!E173</f>
        <v>64.77</v>
      </c>
    </row>
    <row r="172">
      <c r="A172" s="12">
        <f>CMP!C174</f>
        <v>63.27</v>
      </c>
      <c r="B172" s="12">
        <f>CMP!E174</f>
        <v>64.05</v>
      </c>
    </row>
    <row r="173">
      <c r="A173" s="12">
        <f>CMP!C175</f>
        <v>64.25</v>
      </c>
      <c r="B173" s="12">
        <f>CMP!E175</f>
        <v>62.72</v>
      </c>
    </row>
    <row r="174">
      <c r="A174" s="12">
        <f>CMP!C176</f>
        <v>60.37</v>
      </c>
      <c r="B174" s="12">
        <f>CMP!E176</f>
        <v>60.64</v>
      </c>
    </row>
    <row r="175">
      <c r="A175" s="12">
        <f>CMP!C177</f>
        <v>60.88</v>
      </c>
      <c r="B175" s="12">
        <f>CMP!E177</f>
        <v>59.49</v>
      </c>
    </row>
    <row r="176">
      <c r="A176" s="12">
        <f>CMP!C178</f>
        <v>59.35</v>
      </c>
      <c r="B176" s="12">
        <f>CMP!E178</f>
        <v>61.75</v>
      </c>
    </row>
    <row r="177">
      <c r="A177" s="12">
        <f>CMP!C179</f>
        <v>60.97</v>
      </c>
      <c r="B177" s="12">
        <f>CMP!E179</f>
        <v>61.33</v>
      </c>
    </row>
    <row r="178">
      <c r="A178" s="12">
        <f>CMP!C180</f>
        <v>61.45</v>
      </c>
      <c r="B178" s="12">
        <f>CMP!E180</f>
        <v>59.44</v>
      </c>
    </row>
    <row r="179">
      <c r="A179" s="12">
        <f>CMP!C181</f>
        <v>59.18</v>
      </c>
      <c r="B179" s="12">
        <f>CMP!E181</f>
        <v>58.03</v>
      </c>
    </row>
    <row r="180">
      <c r="A180" s="12">
        <f>CMP!C182</f>
        <v>58.45</v>
      </c>
      <c r="B180" s="12">
        <f>CMP!E182</f>
        <v>59.63</v>
      </c>
    </row>
    <row r="181">
      <c r="A181" s="12">
        <f>CMP!C183</f>
        <v>59.6</v>
      </c>
      <c r="B181" s="12">
        <f>CMP!E183</f>
        <v>60.17</v>
      </c>
    </row>
    <row r="182">
      <c r="A182" s="12">
        <f>CMP!C184</f>
        <v>65.69</v>
      </c>
      <c r="B182" s="12">
        <f>CMP!E184</f>
        <v>69.91</v>
      </c>
    </row>
    <row r="183">
      <c r="A183" s="12">
        <f>CMP!C185</f>
        <v>69.56</v>
      </c>
      <c r="B183" s="12">
        <f>CMP!E185</f>
        <v>69.63</v>
      </c>
    </row>
    <row r="184">
      <c r="A184" s="12">
        <f>CMP!C186</f>
        <v>69.09</v>
      </c>
      <c r="B184" s="12">
        <f>CMP!E186</f>
        <v>68.4</v>
      </c>
    </row>
    <row r="185">
      <c r="A185" s="12">
        <f>CMP!C187</f>
        <v>68.77</v>
      </c>
      <c r="B185" s="12">
        <f>CMP!E187</f>
        <v>75.91</v>
      </c>
    </row>
    <row r="186">
      <c r="A186" s="12">
        <f>CMP!C188</f>
        <v>73.82</v>
      </c>
      <c r="B186" s="12">
        <f>CMP!E188</f>
        <v>74.07</v>
      </c>
    </row>
    <row r="187">
      <c r="A187" s="12">
        <f>CMP!C189</f>
        <v>73.11</v>
      </c>
      <c r="B187" s="12">
        <f>CMP!E189</f>
        <v>70.49</v>
      </c>
    </row>
    <row r="188">
      <c r="A188" s="12">
        <f>CMP!C190</f>
        <v>70.8</v>
      </c>
      <c r="B188" s="12">
        <f>CMP!E190</f>
        <v>71.1</v>
      </c>
    </row>
    <row r="189">
      <c r="A189" s="12">
        <f>CMP!C191</f>
        <v>72.23</v>
      </c>
      <c r="B189" s="12">
        <f>CMP!E191</f>
        <v>71.28</v>
      </c>
    </row>
    <row r="190">
      <c r="A190" s="12">
        <f>CMP!C192</f>
        <v>71.69</v>
      </c>
      <c r="B190" s="12">
        <f>CMP!E192</f>
        <v>69.53</v>
      </c>
    </row>
    <row r="191">
      <c r="A191" s="12">
        <f>CMP!C193</f>
        <v>68.38</v>
      </c>
      <c r="B191" s="12">
        <f>CMP!E193</f>
        <v>67.74</v>
      </c>
    </row>
    <row r="192">
      <c r="A192" s="12">
        <f>CMP!C194</f>
        <v>67.98</v>
      </c>
      <c r="B192" s="12">
        <f>CMP!E194</f>
        <v>67.09</v>
      </c>
    </row>
    <row r="193">
      <c r="A193" s="12">
        <f>CMP!C195</f>
        <v>64.7</v>
      </c>
      <c r="B193" s="12">
        <f>CMP!E195</f>
        <v>61.1</v>
      </c>
    </row>
    <row r="194">
      <c r="A194" s="12">
        <f>CMP!C196</f>
        <v>58.34</v>
      </c>
      <c r="B194" s="12">
        <f>CMP!E196</f>
        <v>61.69</v>
      </c>
    </row>
    <row r="195">
      <c r="A195" s="12">
        <f>CMP!C197</f>
        <v>62.12</v>
      </c>
      <c r="B195" s="12">
        <f>CMP!E197</f>
        <v>64.38</v>
      </c>
    </row>
    <row r="196">
      <c r="A196" s="12">
        <f>CMP!C198</f>
        <v>64.17</v>
      </c>
      <c r="B196" s="12">
        <f>CMP!E198</f>
        <v>64.33</v>
      </c>
    </row>
    <row r="197">
      <c r="A197" s="12">
        <f>CMP!C199</f>
        <v>63.83</v>
      </c>
      <c r="B197" s="12">
        <f>CMP!E199</f>
        <v>64.02</v>
      </c>
    </row>
    <row r="198">
      <c r="A198" s="12">
        <f>CMP!C200</f>
        <v>64.14</v>
      </c>
      <c r="B198" s="12">
        <f>CMP!E200</f>
        <v>64.56</v>
      </c>
    </row>
    <row r="199">
      <c r="A199" s="12">
        <f>CMP!C201</f>
        <v>63.6</v>
      </c>
      <c r="B199" s="12">
        <f>CMP!E201</f>
        <v>63.85</v>
      </c>
    </row>
    <row r="200">
      <c r="A200" s="12">
        <f>CMP!C202</f>
        <v>63.68</v>
      </c>
      <c r="B200" s="12">
        <f>CMP!E202</f>
        <v>62.37</v>
      </c>
    </row>
    <row r="201">
      <c r="A201" s="12">
        <f>CMP!C203</f>
        <v>62.05</v>
      </c>
      <c r="B201" s="12">
        <f>CMP!E203</f>
        <v>61</v>
      </c>
    </row>
    <row r="202">
      <c r="A202" s="12">
        <f>CMP!C204</f>
        <v>60.45</v>
      </c>
      <c r="B202" s="12">
        <f>CMP!E204</f>
        <v>60.63</v>
      </c>
    </row>
    <row r="203">
      <c r="A203" s="12">
        <f>CMP!C205</f>
        <v>60.4</v>
      </c>
      <c r="B203" s="12">
        <f>CMP!E205</f>
        <v>60.33</v>
      </c>
    </row>
    <row r="204">
      <c r="A204" s="12">
        <f>CMP!C206</f>
        <v>59.39</v>
      </c>
      <c r="B204" s="12">
        <f>CMP!E206</f>
        <v>57.79</v>
      </c>
    </row>
    <row r="205">
      <c r="A205" s="12">
        <f>CMP!C207</f>
        <v>57.01</v>
      </c>
      <c r="B205" s="12">
        <f>CMP!E207</f>
        <v>56.15</v>
      </c>
    </row>
    <row r="206">
      <c r="A206" s="12">
        <f>CMP!C208</f>
        <v>56.96</v>
      </c>
      <c r="B206" s="12">
        <f>CMP!E208</f>
        <v>56.19</v>
      </c>
    </row>
    <row r="207">
      <c r="A207" s="12">
        <f>CMP!C209</f>
        <v>52.02</v>
      </c>
      <c r="B207" s="12">
        <f>CMP!E209</f>
        <v>52.65</v>
      </c>
    </row>
    <row r="208">
      <c r="A208" s="12">
        <f>CMP!C210</f>
        <v>54.65</v>
      </c>
      <c r="B208" s="12">
        <f>CMP!E210</f>
        <v>57.1</v>
      </c>
    </row>
    <row r="209">
      <c r="A209" s="12">
        <f>CMP!C211</f>
        <v>55.89</v>
      </c>
      <c r="B209" s="12">
        <f>CMP!E211</f>
        <v>55.89</v>
      </c>
    </row>
    <row r="210">
      <c r="A210" s="12">
        <f>CMP!C212</f>
        <v>56.29</v>
      </c>
      <c r="B210" s="12">
        <f>CMP!E212</f>
        <v>58.11</v>
      </c>
    </row>
    <row r="211">
      <c r="A211" s="12">
        <f>CMP!C213</f>
        <v>57.6</v>
      </c>
      <c r="B211" s="12">
        <f>CMP!E213</f>
        <v>57.89</v>
      </c>
    </row>
    <row r="212">
      <c r="A212" s="12">
        <f>CMP!C214</f>
        <v>57.75</v>
      </c>
      <c r="B212" s="12">
        <f>CMP!E214</f>
        <v>59.04</v>
      </c>
    </row>
    <row r="213">
      <c r="A213" s="12">
        <f>CMP!C215</f>
        <v>58.01</v>
      </c>
      <c r="B213" s="12">
        <f>CMP!E215</f>
        <v>58.97</v>
      </c>
    </row>
    <row r="214">
      <c r="A214" s="12">
        <f>CMP!C216</f>
        <v>59.34</v>
      </c>
      <c r="B214" s="12">
        <f>CMP!E216</f>
        <v>56.99</v>
      </c>
    </row>
    <row r="215">
      <c r="A215" s="12">
        <f>CMP!C217</f>
        <v>56.1</v>
      </c>
      <c r="B215" s="12">
        <f>CMP!E217</f>
        <v>59.8</v>
      </c>
    </row>
    <row r="216">
      <c r="A216" s="12">
        <f>CMP!C218</f>
        <v>60.71</v>
      </c>
      <c r="B216" s="12">
        <f>CMP!E218</f>
        <v>59.67</v>
      </c>
    </row>
    <row r="217">
      <c r="A217" s="12">
        <f>CMP!C219</f>
        <v>59.54</v>
      </c>
      <c r="B217" s="12">
        <f>CMP!E219</f>
        <v>59.82</v>
      </c>
    </row>
    <row r="218">
      <c r="A218" s="12">
        <f>CMP!C220</f>
        <v>59.7</v>
      </c>
      <c r="B218" s="12">
        <f>CMP!E220</f>
        <v>59.94</v>
      </c>
    </row>
    <row r="219">
      <c r="A219" s="12">
        <f>CMP!C221</f>
        <v>60</v>
      </c>
      <c r="B219" s="12">
        <f>CMP!E221</f>
        <v>60.2</v>
      </c>
    </row>
    <row r="220">
      <c r="A220" s="12">
        <f>CMP!C222</f>
        <v>60.38</v>
      </c>
      <c r="B220" s="12">
        <f>CMP!E222</f>
        <v>61.92</v>
      </c>
    </row>
    <row r="221">
      <c r="A221" s="12">
        <f>CMP!C223</f>
        <v>62.58</v>
      </c>
      <c r="B221" s="12">
        <f>CMP!E223</f>
        <v>61.5</v>
      </c>
    </row>
    <row r="222">
      <c r="A222" s="12">
        <f>CMP!C224</f>
        <v>54.05</v>
      </c>
      <c r="B222" s="12">
        <f>CMP!E224</f>
        <v>52.95</v>
      </c>
    </row>
    <row r="223">
      <c r="A223" s="12">
        <f>CMP!C225</f>
        <v>61.15</v>
      </c>
      <c r="B223" s="12">
        <f>CMP!E225</f>
        <v>62.14</v>
      </c>
    </row>
    <row r="224">
      <c r="A224" s="12">
        <f>CMP!C226</f>
        <v>62.79</v>
      </c>
      <c r="B224" s="12">
        <f>CMP!E226</f>
        <v>60.2</v>
      </c>
    </row>
    <row r="225">
      <c r="A225" s="12">
        <f>CMP!C227</f>
        <v>60.67</v>
      </c>
      <c r="B225" s="12">
        <f>CMP!E227</f>
        <v>58.96</v>
      </c>
    </row>
    <row r="226">
      <c r="A226" s="12">
        <f>CMP!C228</f>
        <v>58.79</v>
      </c>
      <c r="B226" s="12">
        <f>CMP!E228</f>
        <v>56.37</v>
      </c>
    </row>
    <row r="227">
      <c r="A227" s="12">
        <f>CMP!C229</f>
        <v>54.93</v>
      </c>
      <c r="B227" s="12">
        <f>CMP!E229</f>
        <v>52.39</v>
      </c>
    </row>
    <row r="228">
      <c r="A228" s="12">
        <f>CMP!C230</f>
        <v>52.9</v>
      </c>
      <c r="B228" s="12">
        <f>CMP!E230</f>
        <v>50.11</v>
      </c>
    </row>
    <row r="229">
      <c r="A229" s="12">
        <f>CMP!C231</f>
        <v>51.05</v>
      </c>
      <c r="B229" s="12">
        <f>CMP!E231</f>
        <v>52.56</v>
      </c>
    </row>
    <row r="230">
      <c r="A230" s="12">
        <f>CMP!C232</f>
        <v>52.92</v>
      </c>
      <c r="B230" s="12">
        <f>CMP!E232</f>
        <v>51.38</v>
      </c>
    </row>
    <row r="231">
      <c r="A231" s="12">
        <f>CMP!C233</f>
        <v>51.51</v>
      </c>
      <c r="B231" s="12">
        <f>CMP!E233</f>
        <v>50.45</v>
      </c>
    </row>
    <row r="232">
      <c r="A232" s="12">
        <f>CMP!C234</f>
        <v>52.2</v>
      </c>
      <c r="B232" s="12">
        <f>CMP!E234</f>
        <v>51.76</v>
      </c>
    </row>
    <row r="233">
      <c r="A233" s="12">
        <f>CMP!C235</f>
        <v>51.81</v>
      </c>
      <c r="B233" s="12">
        <f>CMP!E235</f>
        <v>51.92</v>
      </c>
    </row>
    <row r="234">
      <c r="A234" s="12">
        <f>CMP!C236</f>
        <v>53.14</v>
      </c>
      <c r="B234" s="12">
        <f>CMP!E236</f>
        <v>55.32</v>
      </c>
    </row>
    <row r="235">
      <c r="A235" s="12">
        <f>CMP!C237</f>
        <v>56.48</v>
      </c>
      <c r="B235" s="12">
        <f>CMP!E237</f>
        <v>54.36</v>
      </c>
    </row>
    <row r="236">
      <c r="A236" s="12">
        <f>CMP!C238</f>
        <v>53.86</v>
      </c>
      <c r="B236" s="12">
        <f>CMP!E238</f>
        <v>52.78</v>
      </c>
    </row>
    <row r="237">
      <c r="A237" s="12">
        <f>CMP!C239</f>
        <v>53.48</v>
      </c>
      <c r="B237" s="12">
        <f>CMP!E239</f>
        <v>52</v>
      </c>
    </row>
    <row r="238">
      <c r="A238" s="12">
        <f>CMP!C240</f>
        <v>52.14</v>
      </c>
      <c r="B238" s="12">
        <f>CMP!E240</f>
        <v>52.19</v>
      </c>
    </row>
    <row r="239">
      <c r="A239" s="12">
        <f>CMP!C241</f>
        <v>52.77</v>
      </c>
      <c r="B239" s="12">
        <f>CMP!E241</f>
        <v>58.83</v>
      </c>
    </row>
    <row r="240">
      <c r="A240" s="12">
        <f>CMP!C242</f>
        <v>60.21</v>
      </c>
      <c r="B240" s="12">
        <f>CMP!E242</f>
        <v>57.7</v>
      </c>
    </row>
    <row r="241">
      <c r="A241" s="12">
        <f>CMP!C243</f>
        <v>63.44</v>
      </c>
      <c r="B241" s="12">
        <f>CMP!E243</f>
        <v>62.97</v>
      </c>
    </row>
    <row r="242">
      <c r="A242" s="12">
        <f>CMP!C244</f>
        <v>61.65</v>
      </c>
      <c r="B242" s="12">
        <f>CMP!E244</f>
        <v>66.18</v>
      </c>
    </row>
    <row r="243">
      <c r="A243" s="12">
        <f>CMP!C245</f>
        <v>67.49</v>
      </c>
      <c r="B243" s="12">
        <f>CMP!E245</f>
        <v>66.97</v>
      </c>
    </row>
    <row r="244">
      <c r="A244" s="12">
        <f>CMP!C246</f>
        <v>65.68</v>
      </c>
      <c r="B244" s="12">
        <f>CMP!E246</f>
        <v>65.98</v>
      </c>
    </row>
    <row r="245">
      <c r="A245" s="12">
        <f>CMP!C247</f>
        <v>66.51</v>
      </c>
      <c r="B245" s="12">
        <f>CMP!E247</f>
        <v>67.46</v>
      </c>
    </row>
    <row r="246">
      <c r="A246" s="12">
        <f>CMP!C248</f>
        <v>67.65</v>
      </c>
      <c r="B246" s="12">
        <f>CMP!E248</f>
        <v>68.86</v>
      </c>
    </row>
    <row r="247">
      <c r="A247" s="12">
        <f>CMP!C249</f>
        <v>68.75</v>
      </c>
      <c r="B247" s="12">
        <f>CMP!E249</f>
        <v>69.28</v>
      </c>
    </row>
    <row r="248">
      <c r="A248" s="12">
        <f>CMP!C250</f>
        <v>68.1</v>
      </c>
      <c r="B248" s="12">
        <f>CMP!E250</f>
        <v>68.28</v>
      </c>
    </row>
    <row r="249">
      <c r="A249" s="12">
        <f>CMP!C251</f>
        <v>67.81</v>
      </c>
      <c r="B249" s="12">
        <f>CMP!E251</f>
        <v>68.21</v>
      </c>
    </row>
    <row r="250">
      <c r="A250" s="12">
        <f>CMP!C252</f>
        <v>68.67</v>
      </c>
      <c r="B250" s="12">
        <f>CMP!E252</f>
        <v>69.63</v>
      </c>
    </row>
    <row r="251">
      <c r="A251" s="12">
        <f>CMP!C253</f>
        <v>69.7</v>
      </c>
      <c r="B251" s="12">
        <f>CMP!E253</f>
        <v>70.28</v>
      </c>
    </row>
    <row r="252">
      <c r="A252" s="12">
        <f>CMP!C254</f>
        <v>69.8</v>
      </c>
      <c r="B252" s="12">
        <f>CMP!E254</f>
        <v>70.1</v>
      </c>
    </row>
    <row r="253">
      <c r="A253" s="12">
        <f>CMP!C255</f>
        <v>69.67</v>
      </c>
      <c r="B253" s="12">
        <f>CMP!E255</f>
        <v>66.26</v>
      </c>
    </row>
    <row r="254">
      <c r="A254" s="12">
        <f>CMP!C256</f>
        <v>66.63</v>
      </c>
      <c r="B254" s="12">
        <f>CMP!E256</f>
        <v>67.75</v>
      </c>
    </row>
    <row r="255">
      <c r="A255" s="12">
        <f>CMP!C257</f>
        <v>68.54</v>
      </c>
      <c r="B255" s="12">
        <f>CMP!E257</f>
        <v>68.8</v>
      </c>
    </row>
    <row r="256">
      <c r="A256" s="12">
        <f>CMP!C258</f>
        <v>68.47</v>
      </c>
      <c r="B256" s="12">
        <f>CMP!E258</f>
        <v>69.69</v>
      </c>
    </row>
    <row r="257">
      <c r="A257" s="12">
        <f>CMP!C259</f>
        <v>69.04</v>
      </c>
      <c r="B257" s="12">
        <f>CMP!E259</f>
        <v>70.86</v>
      </c>
    </row>
    <row r="258">
      <c r="A258" s="12">
        <f>CMP!C260</f>
        <v>71.27</v>
      </c>
      <c r="B258" s="12">
        <f>CMP!E260</f>
        <v>70.69</v>
      </c>
    </row>
    <row r="259">
      <c r="A259" s="12">
        <f>CMP!C261</f>
        <v>68.35</v>
      </c>
      <c r="B259" s="12">
        <f>CMP!E261</f>
        <v>69.5</v>
      </c>
    </row>
    <row r="260">
      <c r="A260" s="12">
        <f>CMP!C262</f>
        <v>70.4</v>
      </c>
      <c r="B260" s="12">
        <f>CMP!E262</f>
        <v>67.64</v>
      </c>
    </row>
    <row r="261">
      <c r="A261" s="12">
        <f>CMP!C263</f>
        <v>66.87</v>
      </c>
      <c r="B261" s="12">
        <f>CMP!E263</f>
        <v>65.17</v>
      </c>
    </row>
    <row r="262">
      <c r="A262" s="12">
        <f>CMP!C264</f>
        <v>65</v>
      </c>
      <c r="B262" s="12">
        <f>CMP!E264</f>
        <v>69.2</v>
      </c>
    </row>
    <row r="263">
      <c r="A263" s="12">
        <f>CMP!C265</f>
        <v>68.01</v>
      </c>
      <c r="B263" s="12">
        <f>CMP!E265</f>
        <v>68.78</v>
      </c>
    </row>
    <row r="264">
      <c r="A264" s="12">
        <f>CMP!C266</f>
        <v>69.2</v>
      </c>
      <c r="B264" s="12">
        <f>CMP!E266</f>
        <v>69.57</v>
      </c>
    </row>
    <row r="265">
      <c r="A265" s="12">
        <f>CMP!C267</f>
        <v>69.4</v>
      </c>
      <c r="B265" s="12">
        <f>CMP!E267</f>
        <v>68.23</v>
      </c>
    </row>
    <row r="266">
      <c r="A266" s="12">
        <f>CMP!C268</f>
        <v>68.37</v>
      </c>
      <c r="B266" s="12">
        <f>CMP!E268</f>
        <v>70.1</v>
      </c>
    </row>
    <row r="267">
      <c r="A267" s="12">
        <f>CMP!C269</f>
        <v>72</v>
      </c>
      <c r="B267" s="12">
        <f>CMP!E269</f>
        <v>71.7</v>
      </c>
    </row>
    <row r="268">
      <c r="A268" s="12">
        <f>CMP!C270</f>
        <v>71.21</v>
      </c>
      <c r="B268" s="12">
        <f>CMP!E270</f>
        <v>71.94</v>
      </c>
    </row>
    <row r="269">
      <c r="A269" s="12">
        <f>CMP!C271</f>
        <v>71.2</v>
      </c>
      <c r="B269" s="12">
        <f>CMP!E271</f>
        <v>72.61</v>
      </c>
    </row>
    <row r="270">
      <c r="A270" s="12">
        <f>CMP!C272</f>
        <v>73.8</v>
      </c>
      <c r="B270" s="12">
        <f>CMP!E272</f>
        <v>71.59</v>
      </c>
    </row>
    <row r="271">
      <c r="A271" s="12">
        <f>CMP!C273</f>
        <v>72</v>
      </c>
      <c r="B271" s="12">
        <f>CMP!E273</f>
        <v>73.03</v>
      </c>
    </row>
    <row r="272">
      <c r="A272" s="12">
        <f>CMP!C274</f>
        <v>73.98</v>
      </c>
      <c r="B272" s="12">
        <f>CMP!E274</f>
        <v>73.35</v>
      </c>
    </row>
    <row r="273">
      <c r="A273" s="12">
        <f>CMP!C275</f>
        <v>73.88</v>
      </c>
      <c r="B273" s="12">
        <f>CMP!E275</f>
        <v>73.32</v>
      </c>
    </row>
    <row r="274">
      <c r="A274" s="12">
        <f>CMP!C276</f>
        <v>74.03</v>
      </c>
      <c r="B274" s="12">
        <f>CMP!E276</f>
        <v>75.36</v>
      </c>
    </row>
    <row r="275">
      <c r="A275" s="12">
        <f>CMP!C277</f>
        <v>75</v>
      </c>
      <c r="B275" s="12">
        <f>CMP!E277</f>
        <v>73.14</v>
      </c>
    </row>
    <row r="276">
      <c r="A276" s="12">
        <f>CMP!C278</f>
        <v>72.4</v>
      </c>
      <c r="B276" s="12">
        <f>CMP!E278</f>
        <v>69.68</v>
      </c>
    </row>
    <row r="277">
      <c r="A277" s="12">
        <f>CMP!C279</f>
        <v>70.11</v>
      </c>
      <c r="B277" s="12">
        <f>CMP!E279</f>
        <v>67.41</v>
      </c>
    </row>
    <row r="278">
      <c r="A278" s="12">
        <f>CMP!C280</f>
        <v>67.52</v>
      </c>
      <c r="B278" s="12">
        <f>CMP!E280</f>
        <v>66.59</v>
      </c>
    </row>
    <row r="279">
      <c r="A279" s="12">
        <f>CMP!C281</f>
        <v>65.41</v>
      </c>
      <c r="B279" s="12">
        <f>CMP!E281</f>
        <v>63.08</v>
      </c>
    </row>
    <row r="280">
      <c r="A280" s="12">
        <f>CMP!C282</f>
        <v>63.48</v>
      </c>
      <c r="B280" s="12">
        <f>CMP!E282</f>
        <v>63.95</v>
      </c>
    </row>
    <row r="281">
      <c r="A281" s="12">
        <f>CMP!C283</f>
        <v>62.7</v>
      </c>
      <c r="B281" s="12">
        <f>CMP!E283</f>
        <v>59.08</v>
      </c>
    </row>
    <row r="282">
      <c r="A282" s="12">
        <f>CMP!C284</f>
        <v>60</v>
      </c>
      <c r="B282" s="12">
        <f>CMP!E284</f>
        <v>65.22</v>
      </c>
    </row>
    <row r="283">
      <c r="A283" s="12">
        <f>CMP!C285</f>
        <v>63.97</v>
      </c>
      <c r="B283" s="12">
        <f>CMP!E285</f>
        <v>63.23</v>
      </c>
    </row>
    <row r="284">
      <c r="A284" s="12">
        <f>CMP!C286</f>
        <v>64.62</v>
      </c>
      <c r="B284" s="12">
        <f>CMP!E286</f>
        <v>66.77</v>
      </c>
    </row>
    <row r="285">
      <c r="A285" s="12">
        <f>CMP!C287</f>
        <v>67.56</v>
      </c>
      <c r="B285" s="12">
        <f>CMP!E287</f>
        <v>66.56</v>
      </c>
    </row>
    <row r="286">
      <c r="A286" s="12">
        <f>CMP!C288</f>
        <v>61.22</v>
      </c>
      <c r="B286" s="12">
        <f>CMP!E288</f>
        <v>62.02</v>
      </c>
    </row>
    <row r="287">
      <c r="A287" s="12">
        <f>CMP!C289</f>
        <v>61.4</v>
      </c>
      <c r="B287" s="12">
        <f>CMP!E289</f>
        <v>60.07</v>
      </c>
    </row>
    <row r="288">
      <c r="A288" s="12">
        <f>CMP!C290</f>
        <v>61.2</v>
      </c>
      <c r="B288" s="12">
        <f>CMP!E290</f>
        <v>63.54</v>
      </c>
    </row>
    <row r="289">
      <c r="A289" s="12">
        <f>CMP!C291</f>
        <v>64.34</v>
      </c>
      <c r="B289" s="12">
        <f>CMP!E291</f>
        <v>66.99</v>
      </c>
    </row>
    <row r="290">
      <c r="A290" s="12">
        <f>CMP!C292</f>
        <v>68.39</v>
      </c>
      <c r="B290" s="12">
        <f>CMP!E292</f>
        <v>67.07</v>
      </c>
    </row>
    <row r="291">
      <c r="A291" s="12">
        <f>CMP!C293</f>
        <v>67.1</v>
      </c>
      <c r="B291" s="12">
        <f>CMP!E293</f>
        <v>67.71</v>
      </c>
    </row>
    <row r="292">
      <c r="A292" s="12">
        <f>CMP!C294</f>
        <v>66.88</v>
      </c>
      <c r="B292" s="12">
        <f>CMP!E294</f>
        <v>68.99</v>
      </c>
    </row>
    <row r="293">
      <c r="A293" s="12">
        <f>CMP!C295</f>
        <v>68.42</v>
      </c>
      <c r="B293" s="12">
        <f>CMP!E295</f>
        <v>69.45</v>
      </c>
    </row>
    <row r="294">
      <c r="A294" s="12">
        <f>CMP!C296</f>
        <v>68.48</v>
      </c>
      <c r="B294" s="12">
        <f>CMP!E296</f>
        <v>66.88</v>
      </c>
    </row>
    <row r="295">
      <c r="A295" s="12">
        <f>CMP!C297</f>
        <v>67</v>
      </c>
      <c r="B295" s="12">
        <f>CMP!E297</f>
        <v>68.89</v>
      </c>
    </row>
    <row r="296">
      <c r="A296" s="12">
        <f>CMP!C298</f>
        <v>68.96</v>
      </c>
      <c r="B296" s="12">
        <f>CMP!E298</f>
        <v>69.21</v>
      </c>
    </row>
    <row r="297">
      <c r="A297" s="12">
        <f>CMP!C299</f>
        <v>69.24</v>
      </c>
      <c r="B297" s="12">
        <f>CMP!E299</f>
        <v>69.46</v>
      </c>
    </row>
    <row r="298">
      <c r="A298" s="12">
        <f>CMP!C300</f>
        <v>64.6</v>
      </c>
      <c r="B298" s="12">
        <f>CMP!E300</f>
        <v>60.45</v>
      </c>
    </row>
    <row r="299">
      <c r="A299" s="12">
        <f>CMP!C301</f>
        <v>60.96</v>
      </c>
      <c r="B299" s="12">
        <f>CMP!E301</f>
        <v>59.78</v>
      </c>
    </row>
    <row r="300">
      <c r="A300" s="12">
        <f>CMP!C302</f>
        <v>58.5</v>
      </c>
      <c r="B300" s="12">
        <f>CMP!E302</f>
        <v>57.52</v>
      </c>
    </row>
    <row r="301">
      <c r="A301" s="12">
        <f>CMP!C303</f>
        <v>56.61</v>
      </c>
      <c r="B301" s="12">
        <f>CMP!E303</f>
        <v>58.3</v>
      </c>
    </row>
    <row r="302">
      <c r="A302" s="12">
        <f>CMP!C304</f>
        <v>58.88</v>
      </c>
      <c r="B302" s="12">
        <f>CMP!E304</f>
        <v>59.41</v>
      </c>
    </row>
    <row r="303">
      <c r="A303" s="12">
        <f>CMP!C305</f>
        <v>58.58</v>
      </c>
      <c r="B303" s="12">
        <f>CMP!E305</f>
        <v>59.28</v>
      </c>
    </row>
    <row r="304">
      <c r="A304" s="12">
        <f>CMP!C306</f>
        <v>59.05</v>
      </c>
      <c r="B304" s="12">
        <f>CMP!E306</f>
        <v>59.49</v>
      </c>
    </row>
    <row r="305">
      <c r="A305" s="12">
        <f>CMP!C307</f>
        <v>60.09</v>
      </c>
      <c r="B305" s="12">
        <f>CMP!E307</f>
        <v>61.75</v>
      </c>
    </row>
    <row r="306">
      <c r="A306" s="12">
        <f>CMP!C308</f>
        <v>60.2</v>
      </c>
      <c r="B306" s="12">
        <f>CMP!E308</f>
        <v>61.4</v>
      </c>
    </row>
    <row r="307">
      <c r="A307" s="12">
        <f>CMP!C309</f>
        <v>61.08</v>
      </c>
      <c r="B307" s="12">
        <f>CMP!E309</f>
        <v>62.44</v>
      </c>
    </row>
    <row r="308">
      <c r="A308" s="12">
        <f>CMP!C310</f>
        <v>62.6</v>
      </c>
      <c r="B308" s="12">
        <f>CMP!E310</f>
        <v>62.58</v>
      </c>
    </row>
    <row r="309">
      <c r="A309" s="12">
        <f>CMP!C311</f>
        <v>62.5</v>
      </c>
      <c r="B309" s="12">
        <f>CMP!E311</f>
        <v>64.27</v>
      </c>
    </row>
    <row r="310">
      <c r="A310" s="12">
        <f>CMP!C312</f>
        <v>63.92</v>
      </c>
      <c r="B310" s="12">
        <f>CMP!E312</f>
        <v>63.44</v>
      </c>
    </row>
    <row r="311">
      <c r="A311" s="12">
        <f>CMP!C313</f>
        <v>62.66</v>
      </c>
      <c r="B311" s="12">
        <f>CMP!E313</f>
        <v>61.5</v>
      </c>
    </row>
    <row r="312">
      <c r="A312" s="12">
        <f>CMP!C314</f>
        <v>61.37</v>
      </c>
      <c r="B312" s="12">
        <f>CMP!E314</f>
        <v>61.16</v>
      </c>
    </row>
    <row r="313">
      <c r="A313" s="12">
        <f>CMP!C315</f>
        <v>62.32</v>
      </c>
      <c r="B313" s="12">
        <f>CMP!E315</f>
        <v>62.57</v>
      </c>
    </row>
    <row r="314">
      <c r="A314" s="12">
        <f>CMP!C316</f>
        <v>63.24</v>
      </c>
      <c r="B314" s="12">
        <f>CMP!E316</f>
        <v>62.36</v>
      </c>
    </row>
    <row r="315">
      <c r="A315" s="12">
        <f>CMP!C317</f>
        <v>62.47</v>
      </c>
      <c r="B315" s="12">
        <f>CMP!E317</f>
        <v>61.63</v>
      </c>
    </row>
    <row r="316">
      <c r="A316" s="12">
        <f>CMP!C318</f>
        <v>60.68</v>
      </c>
      <c r="B316" s="12">
        <f>CMP!E318</f>
        <v>60.75</v>
      </c>
    </row>
    <row r="317">
      <c r="A317" s="12">
        <f>CMP!C319</f>
        <v>60.9</v>
      </c>
      <c r="B317" s="12">
        <f>CMP!E319</f>
        <v>61.58</v>
      </c>
    </row>
    <row r="318">
      <c r="A318" s="12">
        <f>CMP!C320</f>
        <v>61.31</v>
      </c>
      <c r="B318" s="12">
        <f>CMP!E320</f>
        <v>61.13</v>
      </c>
    </row>
    <row r="319">
      <c r="A319" s="12">
        <f>CMP!C321</f>
        <v>60.88</v>
      </c>
      <c r="B319" s="12">
        <f>CMP!E321</f>
        <v>60.51</v>
      </c>
    </row>
    <row r="320">
      <c r="A320" s="12">
        <f>CMP!C322</f>
        <v>60.36</v>
      </c>
      <c r="B320" s="12">
        <f>CMP!E322</f>
        <v>58.25</v>
      </c>
    </row>
    <row r="321">
      <c r="A321" s="12">
        <f>CMP!C323</f>
        <v>58.9</v>
      </c>
      <c r="B321" s="12">
        <f>CMP!E323</f>
        <v>58.94</v>
      </c>
    </row>
    <row r="322">
      <c r="A322" s="12">
        <f>CMP!C324</f>
        <v>59.58</v>
      </c>
      <c r="B322" s="12">
        <f>CMP!E324</f>
        <v>59.75</v>
      </c>
    </row>
    <row r="323">
      <c r="A323" s="12">
        <f>CMP!C325</f>
        <v>58.44</v>
      </c>
      <c r="B323" s="12">
        <f>CMP!E325</f>
        <v>59.57</v>
      </c>
    </row>
    <row r="324">
      <c r="A324" s="12">
        <f>CMP!C326</f>
        <v>60.36</v>
      </c>
      <c r="B324" s="12">
        <f>CMP!E326</f>
        <v>62.95</v>
      </c>
    </row>
    <row r="325">
      <c r="A325" s="12">
        <f>CMP!C327</f>
        <v>63.78</v>
      </c>
      <c r="B325" s="12">
        <f>CMP!E327</f>
        <v>63.98</v>
      </c>
    </row>
    <row r="326">
      <c r="A326" s="12">
        <f>CMP!C328</f>
        <v>61.39</v>
      </c>
      <c r="B326" s="12">
        <f>CMP!E328</f>
        <v>58.96</v>
      </c>
    </row>
    <row r="327">
      <c r="A327" s="12">
        <f>CMP!C329</f>
        <v>59.62</v>
      </c>
      <c r="B327" s="12">
        <f>CMP!E329</f>
        <v>57.07</v>
      </c>
    </row>
    <row r="328">
      <c r="A328" s="12">
        <f>CMP!C330</f>
        <v>56.4</v>
      </c>
      <c r="B328" s="12">
        <f>CMP!E330</f>
        <v>55.31</v>
      </c>
    </row>
    <row r="329">
      <c r="A329" s="12">
        <f>CMP!C331</f>
        <v>55.3</v>
      </c>
      <c r="B329" s="12">
        <f>CMP!E331</f>
        <v>55.25</v>
      </c>
    </row>
    <row r="330">
      <c r="A330" s="12">
        <f>CMP!C332</f>
        <v>55.77</v>
      </c>
      <c r="B330" s="12">
        <f>CMP!E332</f>
        <v>55.32</v>
      </c>
    </row>
    <row r="331">
      <c r="A331" s="12">
        <f>CMP!C333</f>
        <v>55.38</v>
      </c>
      <c r="B331" s="12">
        <f>CMP!E333</f>
        <v>56.83</v>
      </c>
    </row>
    <row r="332">
      <c r="A332" s="12">
        <f>CMP!C334</f>
        <v>56.7</v>
      </c>
      <c r="B332" s="12">
        <f>CMP!E334</f>
        <v>58.18</v>
      </c>
    </row>
    <row r="333">
      <c r="A333" s="12">
        <f>CMP!C335</f>
        <v>57.3</v>
      </c>
      <c r="B333" s="12">
        <f>CMP!E335</f>
        <v>56.67</v>
      </c>
    </row>
    <row r="334">
      <c r="A334" s="12">
        <f>CMP!C336</f>
        <v>56.78</v>
      </c>
      <c r="B334" s="12">
        <f>CMP!E336</f>
        <v>57.79</v>
      </c>
    </row>
    <row r="335">
      <c r="A335" s="12">
        <f>CMP!C337</f>
        <v>58.49</v>
      </c>
      <c r="B335" s="12">
        <f>CMP!E337</f>
        <v>57.99</v>
      </c>
    </row>
    <row r="336">
      <c r="A336" s="12">
        <f>CMP!C338</f>
        <v>56.7</v>
      </c>
      <c r="B336" s="12">
        <f>CMP!E338</f>
        <v>55.09</v>
      </c>
    </row>
    <row r="337">
      <c r="A337" s="12">
        <f>CMP!C339</f>
        <v>55.2</v>
      </c>
      <c r="B337" s="12">
        <f>CMP!E339</f>
        <v>53.9</v>
      </c>
    </row>
    <row r="338">
      <c r="A338" s="12">
        <f>CMP!C340</f>
        <v>53.5</v>
      </c>
      <c r="B338" s="12">
        <f>CMP!E340</f>
        <v>53.49</v>
      </c>
    </row>
    <row r="339">
      <c r="A339" s="12">
        <f>CMP!C341</f>
        <v>53.94</v>
      </c>
      <c r="B339" s="12">
        <f>CMP!E341</f>
        <v>54.72</v>
      </c>
    </row>
    <row r="340">
      <c r="A340" s="12">
        <f>CMP!C342</f>
        <v>54.52</v>
      </c>
      <c r="B340" s="12">
        <f>CMP!E342</f>
        <v>54.8</v>
      </c>
    </row>
    <row r="341">
      <c r="A341" s="12">
        <f>CMP!C343</f>
        <v>54.52</v>
      </c>
      <c r="B341" s="12">
        <f>CMP!E343</f>
        <v>52.91</v>
      </c>
    </row>
    <row r="342">
      <c r="A342" s="12">
        <f>CMP!C344</f>
        <v>51.94</v>
      </c>
      <c r="B342" s="12">
        <f>CMP!E344</f>
        <v>52.08</v>
      </c>
    </row>
    <row r="343">
      <c r="A343" s="12">
        <f>CMP!C345</f>
        <v>52.89</v>
      </c>
      <c r="B343" s="12">
        <f>CMP!E345</f>
        <v>53.55</v>
      </c>
    </row>
    <row r="344">
      <c r="A344" s="12">
        <f>CMP!C346</f>
        <v>53.75</v>
      </c>
      <c r="B344" s="12">
        <f>CMP!E346</f>
        <v>54.97</v>
      </c>
    </row>
    <row r="345">
      <c r="A345" s="12">
        <f>CMP!C347</f>
        <v>55.43</v>
      </c>
      <c r="B345" s="12">
        <f>CMP!E347</f>
        <v>55.72</v>
      </c>
    </row>
    <row r="346">
      <c r="A346" s="12">
        <f>CMP!C348</f>
        <v>55.74</v>
      </c>
      <c r="B346" s="12">
        <f>CMP!E348</f>
        <v>55.97</v>
      </c>
    </row>
    <row r="347">
      <c r="A347" s="12">
        <f>CMP!C349</f>
        <v>56.52</v>
      </c>
      <c r="B347" s="12">
        <f>CMP!E349</f>
        <v>57.84</v>
      </c>
    </row>
    <row r="348">
      <c r="A348" s="12">
        <f>CMP!C350</f>
        <v>57.66</v>
      </c>
      <c r="B348" s="12">
        <f>CMP!E350</f>
        <v>57.18</v>
      </c>
    </row>
    <row r="349">
      <c r="A349" s="12">
        <f>CMP!C351</f>
        <v>57.46</v>
      </c>
      <c r="B349" s="12">
        <f>CMP!E351</f>
        <v>58.36</v>
      </c>
    </row>
    <row r="350">
      <c r="A350" s="12">
        <f>CMP!C352</f>
        <v>52.38</v>
      </c>
      <c r="B350" s="12">
        <f>CMP!E352</f>
        <v>53.56</v>
      </c>
    </row>
    <row r="351">
      <c r="A351" s="12">
        <f>CMP!C353</f>
        <v>53.97</v>
      </c>
      <c r="B351" s="12">
        <f>CMP!E353</f>
        <v>54.99</v>
      </c>
    </row>
    <row r="352">
      <c r="A352" s="12">
        <f>CMP!C354</f>
        <v>55.54</v>
      </c>
      <c r="B352" s="12">
        <f>CMP!E354</f>
        <v>54.64</v>
      </c>
    </row>
    <row r="353">
      <c r="A353" s="12">
        <f>CMP!C355</f>
        <v>54.33</v>
      </c>
      <c r="B353" s="12">
        <f>CMP!E355</f>
        <v>54.46</v>
      </c>
    </row>
    <row r="354">
      <c r="A354" s="12">
        <f>CMP!C356</f>
        <v>55.35</v>
      </c>
      <c r="B354" s="12">
        <f>CMP!E356</f>
        <v>55.21</v>
      </c>
    </row>
    <row r="355">
      <c r="A355" s="12">
        <f>CMP!C357</f>
        <v>53.66</v>
      </c>
      <c r="B355" s="12">
        <f>CMP!E357</f>
        <v>53.68</v>
      </c>
    </row>
    <row r="356">
      <c r="A356" s="12">
        <f>CMP!C358</f>
        <v>54.04</v>
      </c>
      <c r="B356" s="12">
        <f>CMP!E358</f>
        <v>53.54</v>
      </c>
    </row>
    <row r="357">
      <c r="A357" s="12">
        <f>CMP!C359</f>
        <v>53.73</v>
      </c>
      <c r="B357" s="12">
        <f>CMP!E359</f>
        <v>53.28</v>
      </c>
    </row>
    <row r="358">
      <c r="A358" s="12">
        <f>CMP!C360</f>
        <v>53.15</v>
      </c>
      <c r="B358" s="12">
        <f>CMP!E360</f>
        <v>54.67</v>
      </c>
    </row>
    <row r="359">
      <c r="A359" s="12">
        <f>CMP!C361</f>
        <v>54.95</v>
      </c>
      <c r="B359" s="12">
        <f>CMP!E361</f>
        <v>54.25</v>
      </c>
    </row>
    <row r="360">
      <c r="A360" s="12">
        <f>CMP!C362</f>
        <v>54.25</v>
      </c>
      <c r="B360" s="12">
        <f>CMP!E362</f>
        <v>54.65</v>
      </c>
    </row>
    <row r="361">
      <c r="A361" s="12">
        <f>CMP!C363</f>
        <v>53.8</v>
      </c>
      <c r="B361" s="12">
        <f>CMP!E363</f>
        <v>52.55</v>
      </c>
    </row>
    <row r="362">
      <c r="A362" s="12">
        <f>CMP!C364</f>
        <v>52.03</v>
      </c>
      <c r="B362" s="12">
        <f>CMP!E364</f>
        <v>52.78</v>
      </c>
    </row>
    <row r="363">
      <c r="A363" s="12">
        <f>CMP!C365</f>
        <v>52.77</v>
      </c>
      <c r="B363" s="12">
        <f>CMP!E365</f>
        <v>51.73</v>
      </c>
    </row>
    <row r="364">
      <c r="A364" s="12">
        <f>CMP!C366</f>
        <v>51</v>
      </c>
      <c r="B364" s="12">
        <f>CMP!E366</f>
        <v>49.53</v>
      </c>
    </row>
    <row r="365">
      <c r="A365" s="12">
        <f>CMP!C367</f>
        <v>49.3</v>
      </c>
      <c r="B365" s="12">
        <f>CMP!E367</f>
        <v>47.03</v>
      </c>
    </row>
    <row r="366">
      <c r="A366" s="12">
        <f>CMP!C368</f>
        <v>47.17</v>
      </c>
      <c r="B366" s="12">
        <f>CMP!E368</f>
        <v>48.29</v>
      </c>
    </row>
    <row r="367">
      <c r="A367" s="12">
        <f>CMP!C369</f>
        <v>48.41</v>
      </c>
      <c r="B367" s="12">
        <f>CMP!E369</f>
        <v>47.74</v>
      </c>
    </row>
    <row r="368">
      <c r="A368" s="12">
        <f>CMP!C370</f>
        <v>47.77</v>
      </c>
      <c r="B368" s="12">
        <f>CMP!E370</f>
        <v>46.8</v>
      </c>
    </row>
    <row r="369">
      <c r="A369" s="12">
        <f>CMP!C371</f>
        <v>49.1</v>
      </c>
      <c r="B369" s="12">
        <f>CMP!E371</f>
        <v>48.82</v>
      </c>
    </row>
    <row r="370">
      <c r="A370" s="12">
        <f>CMP!C372</f>
        <v>48.77</v>
      </c>
      <c r="B370" s="12">
        <f>CMP!E372</f>
        <v>51.01</v>
      </c>
    </row>
    <row r="371">
      <c r="A371" s="12">
        <f>CMP!C373</f>
        <v>50</v>
      </c>
      <c r="B371" s="12">
        <f>CMP!E373</f>
        <v>51.07</v>
      </c>
    </row>
    <row r="372">
      <c r="A372" s="12">
        <f>CMP!C374</f>
        <v>51.36</v>
      </c>
      <c r="B372" s="12">
        <f>CMP!E374</f>
        <v>49.41</v>
      </c>
    </row>
    <row r="373">
      <c r="A373" s="12">
        <f>CMP!C375</f>
        <v>49.39</v>
      </c>
      <c r="B373" s="12">
        <f>CMP!E375</f>
        <v>48.97</v>
      </c>
    </row>
    <row r="374">
      <c r="A374" s="12">
        <f>CMP!C376</f>
        <v>48.4</v>
      </c>
      <c r="B374" s="12">
        <f>CMP!E376</f>
        <v>48.4</v>
      </c>
    </row>
    <row r="375">
      <c r="A375" s="12">
        <f>CMP!C377</f>
        <v>47.95</v>
      </c>
      <c r="B375" s="12">
        <f>CMP!E377</f>
        <v>47.9</v>
      </c>
    </row>
    <row r="376">
      <c r="A376" s="12">
        <f>CMP!C378</f>
        <v>46.4</v>
      </c>
      <c r="B376" s="12">
        <f>CMP!E378</f>
        <v>45.4</v>
      </c>
    </row>
    <row r="377">
      <c r="A377" s="12">
        <f>CMP!C379</f>
        <v>45.86</v>
      </c>
      <c r="B377" s="12">
        <f>CMP!E379</f>
        <v>46.46</v>
      </c>
    </row>
    <row r="378">
      <c r="A378" s="12">
        <f>CMP!C380</f>
        <v>45.86</v>
      </c>
      <c r="B378" s="12">
        <f>CMP!E380</f>
        <v>46.39</v>
      </c>
    </row>
    <row r="379">
      <c r="A379" s="12">
        <f>CMP!C381</f>
        <v>45.9</v>
      </c>
      <c r="B379" s="12">
        <f>CMP!E381</f>
        <v>45.67</v>
      </c>
    </row>
    <row r="380">
      <c r="A380" s="12">
        <f>CMP!C382</f>
        <v>44.39</v>
      </c>
      <c r="B380" s="12">
        <f>CMP!E382</f>
        <v>42.21</v>
      </c>
    </row>
    <row r="381">
      <c r="A381" s="12">
        <f>CMP!C383</f>
        <v>40.56</v>
      </c>
      <c r="B381" s="12">
        <f>CMP!E383</f>
        <v>41.07</v>
      </c>
    </row>
    <row r="382">
      <c r="A382" s="12">
        <f>CMP!C384</f>
        <v>39.55</v>
      </c>
      <c r="B382" s="12">
        <f>CMP!E384</f>
        <v>41.02</v>
      </c>
    </row>
    <row r="383">
      <c r="A383" s="12">
        <f>CMP!C385</f>
        <v>39.82</v>
      </c>
      <c r="B383" s="12">
        <f>CMP!E385</f>
        <v>38.55</v>
      </c>
    </row>
    <row r="384">
      <c r="A384" s="12">
        <f>CMP!C386</f>
        <v>38.87</v>
      </c>
      <c r="B384" s="12">
        <f>CMP!E386</f>
        <v>39.1</v>
      </c>
    </row>
    <row r="385">
      <c r="A385" s="12">
        <f>CMP!C387</f>
        <v>39.97</v>
      </c>
      <c r="B385" s="12">
        <f>CMP!E387</f>
        <v>38.13</v>
      </c>
    </row>
    <row r="386">
      <c r="A386" s="12">
        <f>CMP!C388</f>
        <v>38.24</v>
      </c>
      <c r="B386" s="12">
        <f>CMP!E388</f>
        <v>37.74</v>
      </c>
    </row>
    <row r="387">
      <c r="A387" s="12">
        <f>CMP!C389</f>
        <v>37.42</v>
      </c>
      <c r="B387" s="12">
        <f>CMP!E389</f>
        <v>37.97</v>
      </c>
    </row>
    <row r="388">
      <c r="A388" s="12">
        <f>CMP!C390</f>
        <v>37.75</v>
      </c>
      <c r="B388" s="12">
        <f>CMP!E390</f>
        <v>37.64</v>
      </c>
    </row>
    <row r="389">
      <c r="A389" s="12">
        <f>CMP!C391</f>
        <v>37.02</v>
      </c>
      <c r="B389" s="12">
        <f>CMP!E391</f>
        <v>37.03</v>
      </c>
    </row>
    <row r="390">
      <c r="A390" s="12">
        <f>CMP!C392</f>
        <v>37.1</v>
      </c>
      <c r="B390" s="12">
        <f>CMP!E392</f>
        <v>35.79</v>
      </c>
    </row>
    <row r="391">
      <c r="A391" s="12">
        <f>CMP!C393</f>
        <v>36.22</v>
      </c>
      <c r="B391" s="12">
        <f>CMP!E393</f>
        <v>38.72</v>
      </c>
    </row>
    <row r="392">
      <c r="A392" s="12">
        <f>CMP!C394</f>
        <v>39.74</v>
      </c>
      <c r="B392" s="12">
        <f>CMP!E394</f>
        <v>39.32</v>
      </c>
    </row>
    <row r="393">
      <c r="A393" s="12">
        <f>CMP!C395</f>
        <v>40.89</v>
      </c>
      <c r="B393" s="12">
        <f>CMP!E395</f>
        <v>41.19</v>
      </c>
    </row>
    <row r="394">
      <c r="A394" s="12">
        <f>CMP!C396</f>
        <v>41</v>
      </c>
      <c r="B394" s="12">
        <f>CMP!E396</f>
        <v>40.9</v>
      </c>
    </row>
    <row r="395">
      <c r="A395" s="12">
        <f>CMP!C397</f>
        <v>42.05</v>
      </c>
      <c r="B395" s="12">
        <f>CMP!E397</f>
        <v>42.58</v>
      </c>
    </row>
    <row r="396">
      <c r="A396" s="12">
        <f>CMP!C398</f>
        <v>43.83</v>
      </c>
      <c r="B396" s="12">
        <f>CMP!E398</f>
        <v>43.42</v>
      </c>
    </row>
    <row r="397">
      <c r="A397" s="12">
        <f>CMP!C399</f>
        <v>44.59</v>
      </c>
      <c r="B397" s="12">
        <f>CMP!E399</f>
        <v>41.85</v>
      </c>
    </row>
    <row r="398">
      <c r="A398" s="12">
        <f>CMP!C400</f>
        <v>42.08</v>
      </c>
      <c r="B398" s="12">
        <f>CMP!E400</f>
        <v>42.78</v>
      </c>
    </row>
    <row r="399">
      <c r="A399" s="12">
        <f>CMP!C401</f>
        <v>42.25</v>
      </c>
      <c r="B399" s="12">
        <f>CMP!E401</f>
        <v>42.98</v>
      </c>
    </row>
    <row r="400">
      <c r="A400" s="12">
        <f>CMP!C402</f>
        <v>43.1</v>
      </c>
      <c r="B400" s="12">
        <f>CMP!E402</f>
        <v>45.01</v>
      </c>
    </row>
    <row r="401">
      <c r="A401" s="12">
        <f>CMP!C403</f>
        <v>45.74</v>
      </c>
      <c r="B401" s="12">
        <f>CMP!E403</f>
        <v>44.95</v>
      </c>
    </row>
    <row r="402">
      <c r="A402" s="12">
        <f>CMP!C404</f>
        <v>45.02</v>
      </c>
      <c r="B402" s="12">
        <f>CMP!E404</f>
        <v>45.29</v>
      </c>
    </row>
    <row r="403">
      <c r="A403" s="12">
        <f>CMP!C405</f>
        <v>44.6</v>
      </c>
      <c r="B403" s="12">
        <f>CMP!E405</f>
        <v>43.92</v>
      </c>
    </row>
    <row r="404">
      <c r="A404" s="12">
        <f>CMP!C406</f>
        <v>43.24</v>
      </c>
      <c r="B404" s="12">
        <f>CMP!E406</f>
        <v>44.37</v>
      </c>
    </row>
    <row r="405">
      <c r="A405" s="12">
        <f>CMP!C407</f>
        <v>44.65</v>
      </c>
      <c r="B405" s="12">
        <f>CMP!E407</f>
        <v>44.73</v>
      </c>
    </row>
    <row r="406">
      <c r="A406" s="12">
        <f>CMP!C408</f>
        <v>44.88</v>
      </c>
      <c r="B406" s="12">
        <f>CMP!E408</f>
        <v>43.95</v>
      </c>
    </row>
    <row r="407">
      <c r="A407" s="12">
        <f>CMP!C409</f>
        <v>44.06</v>
      </c>
      <c r="B407" s="12">
        <f>CMP!E409</f>
        <v>43.85</v>
      </c>
    </row>
    <row r="408">
      <c r="A408" s="12">
        <f>CMP!C410</f>
        <v>43.89</v>
      </c>
      <c r="B408" s="12">
        <f>CMP!E410</f>
        <v>44.57</v>
      </c>
    </row>
    <row r="409">
      <c r="A409" s="12">
        <f>CMP!C411</f>
        <v>44.2</v>
      </c>
      <c r="B409" s="12">
        <f>CMP!E411</f>
        <v>44.69</v>
      </c>
    </row>
    <row r="410">
      <c r="A410" s="12">
        <f>CMP!C412</f>
        <v>46.04</v>
      </c>
      <c r="B410" s="12">
        <f>CMP!E412</f>
        <v>45.43</v>
      </c>
    </row>
    <row r="411">
      <c r="A411" s="12">
        <f>CMP!C413</f>
        <v>45.78</v>
      </c>
      <c r="B411" s="12">
        <f>CMP!E413</f>
        <v>44.91</v>
      </c>
    </row>
    <row r="412">
      <c r="A412" s="12">
        <f>CMP!C414</f>
        <v>47.88</v>
      </c>
      <c r="B412" s="12">
        <f>CMP!E414</f>
        <v>46.98</v>
      </c>
    </row>
    <row r="413">
      <c r="A413" s="12">
        <f>CMP!C415</f>
        <v>46.91</v>
      </c>
      <c r="B413" s="12">
        <f>CMP!E415</f>
        <v>46.62</v>
      </c>
    </row>
    <row r="414">
      <c r="A414" s="12">
        <f>CMP!C416</f>
        <v>46.25</v>
      </c>
      <c r="B414" s="12">
        <f>CMP!E416</f>
        <v>46.07</v>
      </c>
    </row>
    <row r="415">
      <c r="A415" s="12">
        <f>CMP!C417</f>
        <v>45.79</v>
      </c>
      <c r="B415" s="12">
        <f>CMP!E417</f>
        <v>46.01</v>
      </c>
    </row>
    <row r="416">
      <c r="A416" s="12">
        <f>CMP!C418</f>
        <v>46.83</v>
      </c>
      <c r="B416" s="12">
        <f>CMP!E418</f>
        <v>47.78</v>
      </c>
    </row>
    <row r="417">
      <c r="A417" s="12">
        <f>CMP!C419</f>
        <v>47.63</v>
      </c>
      <c r="B417" s="12">
        <f>CMP!E419</f>
        <v>47.72</v>
      </c>
    </row>
    <row r="418">
      <c r="A418" s="12">
        <f>CMP!C420</f>
        <v>47.95</v>
      </c>
      <c r="B418" s="12">
        <f>CMP!E420</f>
        <v>49.02</v>
      </c>
    </row>
    <row r="419">
      <c r="A419" s="12">
        <f>CMP!C421</f>
        <v>49.6</v>
      </c>
      <c r="B419" s="12">
        <f>CMP!E421</f>
        <v>50.7</v>
      </c>
    </row>
    <row r="420">
      <c r="A420" s="12">
        <f>CMP!C422</f>
        <v>49.86</v>
      </c>
      <c r="B420" s="12">
        <f>CMP!E422</f>
        <v>50.48</v>
      </c>
    </row>
    <row r="421">
      <c r="A421" s="12">
        <f>CMP!C423</f>
        <v>51.13</v>
      </c>
      <c r="B421" s="12">
        <f>CMP!E423</f>
        <v>50.97</v>
      </c>
    </row>
    <row r="422">
      <c r="A422" s="12">
        <f>CMP!C424</f>
        <v>51.01</v>
      </c>
      <c r="B422" s="12">
        <f>CMP!E424</f>
        <v>50.71</v>
      </c>
    </row>
    <row r="423">
      <c r="A423" s="12">
        <f>CMP!C425</f>
        <v>51.14</v>
      </c>
      <c r="B423" s="12">
        <f>CMP!E425</f>
        <v>51.64</v>
      </c>
    </row>
    <row r="424">
      <c r="A424" s="12">
        <f>CMP!C426</f>
        <v>51.75</v>
      </c>
      <c r="B424" s="12">
        <f>CMP!E426</f>
        <v>51.14</v>
      </c>
    </row>
    <row r="425">
      <c r="A425" s="12">
        <f>CMP!C427</f>
        <v>51.34</v>
      </c>
      <c r="B425" s="12">
        <f>CMP!E427</f>
        <v>52.03</v>
      </c>
    </row>
    <row r="426">
      <c r="A426" s="12">
        <f>CMP!C428</f>
        <v>51.83</v>
      </c>
      <c r="B426" s="12">
        <f>CMP!E428</f>
        <v>52.98</v>
      </c>
    </row>
    <row r="427">
      <c r="A427" s="12">
        <f>CMP!C429</f>
        <v>46.7</v>
      </c>
      <c r="B427" s="12">
        <f>CMP!E429</f>
        <v>45.76</v>
      </c>
    </row>
    <row r="428">
      <c r="A428" s="12">
        <f>CMP!C430</f>
        <v>45.38</v>
      </c>
      <c r="B428" s="12">
        <f>CMP!E430</f>
        <v>45.61</v>
      </c>
    </row>
    <row r="429">
      <c r="A429" s="12">
        <f>CMP!C431</f>
        <v>45.42</v>
      </c>
      <c r="B429" s="12">
        <f>CMP!E431</f>
        <v>47.15</v>
      </c>
    </row>
    <row r="430">
      <c r="A430" s="12">
        <f>CMP!C432</f>
        <v>46.58</v>
      </c>
      <c r="B430" s="12">
        <f>CMP!E432</f>
        <v>48.45</v>
      </c>
    </row>
    <row r="431">
      <c r="A431" s="12">
        <f>CMP!C433</f>
        <v>48.6</v>
      </c>
      <c r="B431" s="12">
        <f>CMP!E433</f>
        <v>48.32</v>
      </c>
    </row>
    <row r="432">
      <c r="A432" s="12">
        <f>CMP!C434</f>
        <v>48.53</v>
      </c>
      <c r="B432" s="12">
        <f>CMP!E434</f>
        <v>46.77</v>
      </c>
    </row>
    <row r="433">
      <c r="A433" s="12">
        <f>CMP!C435</f>
        <v>46.27</v>
      </c>
      <c r="B433" s="12">
        <f>CMP!E435</f>
        <v>46.87</v>
      </c>
    </row>
    <row r="434">
      <c r="A434" s="12">
        <f>CMP!C436</f>
        <v>45.92</v>
      </c>
      <c r="B434" s="12">
        <f>CMP!E436</f>
        <v>45.66</v>
      </c>
    </row>
    <row r="435">
      <c r="A435" s="12">
        <f>CMP!C437</f>
        <v>46.38</v>
      </c>
      <c r="B435" s="12">
        <f>CMP!E437</f>
        <v>46.15</v>
      </c>
    </row>
    <row r="436">
      <c r="A436" s="12">
        <f>CMP!C438</f>
        <v>45.3</v>
      </c>
      <c r="B436" s="12">
        <f>CMP!E438</f>
        <v>46.68</v>
      </c>
    </row>
    <row r="437">
      <c r="A437" s="12">
        <f>CMP!C439</f>
        <v>46.89</v>
      </c>
      <c r="B437" s="12">
        <f>CMP!E439</f>
        <v>47.66</v>
      </c>
    </row>
    <row r="438">
      <c r="A438" s="12">
        <f>CMP!C440</f>
        <v>47.21</v>
      </c>
      <c r="B438" s="12">
        <f>CMP!E440</f>
        <v>47</v>
      </c>
    </row>
    <row r="439">
      <c r="A439" s="12">
        <f>CMP!C441</f>
        <v>46.6</v>
      </c>
      <c r="B439" s="12">
        <f>CMP!E441</f>
        <v>45.8</v>
      </c>
    </row>
    <row r="440">
      <c r="A440" s="12">
        <f>CMP!C442</f>
        <v>45.76</v>
      </c>
      <c r="B440" s="12">
        <f>CMP!E442</f>
        <v>47</v>
      </c>
    </row>
    <row r="441">
      <c r="A441" s="12">
        <f>CMP!C443</f>
        <v>46.24</v>
      </c>
      <c r="B441" s="12">
        <f>CMP!E443</f>
        <v>43.92</v>
      </c>
    </row>
    <row r="442">
      <c r="A442" s="12">
        <f>CMP!C444</f>
        <v>44.17</v>
      </c>
      <c r="B442" s="12">
        <f>CMP!E444</f>
        <v>43.13</v>
      </c>
    </row>
    <row r="443">
      <c r="A443" s="12">
        <f>CMP!C445</f>
        <v>43.33</v>
      </c>
      <c r="B443" s="12">
        <f>CMP!E445</f>
        <v>43.99</v>
      </c>
    </row>
    <row r="444">
      <c r="A444" s="12">
        <f>CMP!C446</f>
        <v>44.84</v>
      </c>
      <c r="B444" s="12">
        <f>CMP!E446</f>
        <v>45.37</v>
      </c>
    </row>
    <row r="445">
      <c r="A445" s="12">
        <f>CMP!C447</f>
        <v>45.52</v>
      </c>
      <c r="B445" s="12">
        <f>CMP!E447</f>
        <v>45.17</v>
      </c>
    </row>
    <row r="446">
      <c r="A446" s="12">
        <f>CMP!C448</f>
        <v>44.4</v>
      </c>
      <c r="B446" s="12">
        <f>CMP!E448</f>
        <v>44.17</v>
      </c>
    </row>
    <row r="447">
      <c r="A447" s="12">
        <f>CMP!C449</f>
        <v>44.56</v>
      </c>
      <c r="B447" s="12">
        <f>CMP!E449</f>
        <v>44.43</v>
      </c>
    </row>
    <row r="448">
      <c r="A448" s="12">
        <f>CMP!C450</f>
        <v>43.99</v>
      </c>
      <c r="B448" s="12">
        <f>CMP!E450</f>
        <v>42.28</v>
      </c>
    </row>
    <row r="449">
      <c r="A449" s="12">
        <f>CMP!C451</f>
        <v>42.72</v>
      </c>
      <c r="B449" s="12">
        <f>CMP!E451</f>
        <v>43</v>
      </c>
    </row>
    <row r="450">
      <c r="A450" s="12">
        <f>CMP!C452</f>
        <v>43.15</v>
      </c>
      <c r="B450" s="12">
        <f>CMP!E452</f>
        <v>42.82</v>
      </c>
    </row>
    <row r="451">
      <c r="A451" s="12">
        <f>CMP!C453</f>
        <v>42.74</v>
      </c>
      <c r="B451" s="12">
        <f>CMP!E453</f>
        <v>43.12</v>
      </c>
    </row>
    <row r="452">
      <c r="A452" s="12">
        <f>CMP!C454</f>
        <v>43.8</v>
      </c>
      <c r="B452" s="12">
        <f>CMP!E454</f>
        <v>44.34</v>
      </c>
    </row>
    <row r="453">
      <c r="A453" s="12">
        <f>CMP!C455</f>
        <v>45.83</v>
      </c>
      <c r="B453" s="12">
        <f>CMP!E455</f>
        <v>45.12</v>
      </c>
    </row>
    <row r="454">
      <c r="A454" s="12">
        <f>CMP!C456</f>
        <v>44.82</v>
      </c>
      <c r="B454" s="12">
        <f>CMP!E456</f>
        <v>45</v>
      </c>
    </row>
    <row r="455">
      <c r="A455" s="12">
        <f>CMP!C457</f>
        <v>45.38</v>
      </c>
      <c r="B455" s="12">
        <f>CMP!E457</f>
        <v>44.14</v>
      </c>
    </row>
    <row r="456">
      <c r="A456" s="12">
        <f>CMP!C458</f>
        <v>44.5</v>
      </c>
      <c r="B456" s="12">
        <f>CMP!E458</f>
        <v>45.92</v>
      </c>
    </row>
    <row r="457">
      <c r="A457" s="12">
        <f>CMP!C459</f>
        <v>45.44</v>
      </c>
      <c r="B457" s="12">
        <f>CMP!E459</f>
        <v>45.49</v>
      </c>
    </row>
    <row r="458">
      <c r="A458" s="12">
        <f>CMP!C460</f>
        <v>46</v>
      </c>
      <c r="B458" s="12">
        <f>CMP!E460</f>
        <v>46.36</v>
      </c>
    </row>
    <row r="459">
      <c r="A459" s="12">
        <f>CMP!C461</f>
        <v>46.16</v>
      </c>
      <c r="B459" s="12">
        <f>CMP!E461</f>
        <v>47.11</v>
      </c>
    </row>
    <row r="460">
      <c r="A460" s="12">
        <f>CMP!C462</f>
        <v>47.48</v>
      </c>
      <c r="B460" s="12">
        <f>CMP!E462</f>
        <v>49.42</v>
      </c>
    </row>
    <row r="461">
      <c r="A461" s="12">
        <f>CMP!C463</f>
        <v>49.54</v>
      </c>
      <c r="B461" s="12">
        <f>CMP!E463</f>
        <v>49.17</v>
      </c>
    </row>
    <row r="462">
      <c r="A462" s="12">
        <f>CMP!C464</f>
        <v>49.39</v>
      </c>
      <c r="B462" s="12">
        <f>CMP!E464</f>
        <v>49.04</v>
      </c>
    </row>
    <row r="463">
      <c r="A463" s="12">
        <f>CMP!C465</f>
        <v>49.2</v>
      </c>
      <c r="B463" s="12">
        <f>CMP!E465</f>
        <v>48.56</v>
      </c>
    </row>
    <row r="464">
      <c r="A464" s="12">
        <f>CMP!C466</f>
        <v>48.49</v>
      </c>
      <c r="B464" s="12">
        <f>CMP!E466</f>
        <v>48.96</v>
      </c>
    </row>
    <row r="465">
      <c r="A465" s="12">
        <f>CMP!C467</f>
        <v>49</v>
      </c>
      <c r="B465" s="12">
        <f>CMP!E467</f>
        <v>48.7</v>
      </c>
    </row>
    <row r="466">
      <c r="A466" s="12">
        <f>CMP!C468</f>
        <v>49.2</v>
      </c>
      <c r="B466" s="12">
        <f>CMP!E468</f>
        <v>49.32</v>
      </c>
    </row>
    <row r="467">
      <c r="A467" s="12">
        <f>CMP!C469</f>
        <v>49.3</v>
      </c>
      <c r="B467" s="12">
        <f>CMP!E469</f>
        <v>48.12</v>
      </c>
    </row>
    <row r="468">
      <c r="A468" s="12">
        <f>CMP!C470</f>
        <v>48</v>
      </c>
      <c r="B468" s="12">
        <f>CMP!E470</f>
        <v>48.25</v>
      </c>
    </row>
    <row r="469">
      <c r="A469" s="12">
        <f>CMP!C471</f>
        <v>48.3</v>
      </c>
      <c r="B469" s="12">
        <f>CMP!E471</f>
        <v>44.64</v>
      </c>
    </row>
    <row r="470">
      <c r="A470" s="12">
        <f>CMP!C472</f>
        <v>44.91</v>
      </c>
      <c r="B470" s="12">
        <f>CMP!E472</f>
        <v>45.74</v>
      </c>
    </row>
    <row r="471">
      <c r="A471" s="12">
        <f>CMP!C473</f>
        <v>46.13</v>
      </c>
      <c r="B471" s="12">
        <f>CMP!E473</f>
        <v>48.51</v>
      </c>
    </row>
    <row r="472">
      <c r="A472" s="12">
        <f>CMP!C474</f>
        <v>48.44</v>
      </c>
      <c r="B472" s="12">
        <f>CMP!E474</f>
        <v>48.43</v>
      </c>
    </row>
    <row r="473">
      <c r="A473" s="12">
        <f>CMP!C475</f>
        <v>48.6</v>
      </c>
      <c r="B473" s="12">
        <f>CMP!E475</f>
        <v>48.17</v>
      </c>
    </row>
    <row r="474">
      <c r="A474" s="12">
        <f>CMP!C476</f>
        <v>48.3</v>
      </c>
      <c r="B474" s="12">
        <f>CMP!E476</f>
        <v>48.94</v>
      </c>
    </row>
    <row r="475">
      <c r="A475" s="12">
        <f>CMP!C477</f>
        <v>48.66</v>
      </c>
      <c r="B475" s="12">
        <f>CMP!E477</f>
        <v>48.63</v>
      </c>
    </row>
    <row r="476">
      <c r="A476" s="12">
        <f>CMP!C478</f>
        <v>46.37</v>
      </c>
      <c r="B476" s="12">
        <f>CMP!E478</f>
        <v>46.61</v>
      </c>
    </row>
    <row r="477">
      <c r="A477" s="12">
        <f>CMP!C479</f>
        <v>46.32</v>
      </c>
      <c r="B477" s="12">
        <f>CMP!E479</f>
        <v>46.29</v>
      </c>
    </row>
    <row r="478">
      <c r="A478" s="12">
        <f>CMP!C480</f>
        <v>45.96</v>
      </c>
      <c r="B478" s="12">
        <f>CMP!E480</f>
        <v>47.54</v>
      </c>
    </row>
    <row r="479">
      <c r="A479" s="12">
        <f>CMP!C481</f>
        <v>47.17</v>
      </c>
      <c r="B479" s="12">
        <f>CMP!E481</f>
        <v>48.01</v>
      </c>
    </row>
    <row r="480">
      <c r="A480" s="12">
        <f>CMP!C482</f>
        <v>48.26</v>
      </c>
      <c r="B480" s="12">
        <f>CMP!E482</f>
        <v>48.91</v>
      </c>
    </row>
    <row r="481">
      <c r="A481" s="12">
        <f>CMP!C483</f>
        <v>49.06</v>
      </c>
      <c r="B481" s="12">
        <f>CMP!E483</f>
        <v>48.95</v>
      </c>
    </row>
    <row r="482">
      <c r="A482" s="12">
        <f>CMP!C484</f>
        <v>49.43</v>
      </c>
      <c r="B482" s="12">
        <f>CMP!E484</f>
        <v>49.58</v>
      </c>
    </row>
    <row r="483">
      <c r="A483" s="12">
        <f>CMP!C485</f>
        <v>49.58</v>
      </c>
      <c r="B483" s="12">
        <f>CMP!E485</f>
        <v>51.39</v>
      </c>
    </row>
    <row r="484">
      <c r="A484" s="12">
        <f>CMP!C486</f>
        <v>51.54</v>
      </c>
      <c r="B484" s="12">
        <f>CMP!E486</f>
        <v>51.58</v>
      </c>
    </row>
    <row r="485">
      <c r="A485" s="12">
        <f>CMP!C487</f>
        <v>51.48</v>
      </c>
      <c r="B485" s="12">
        <f>CMP!E487</f>
        <v>51.95</v>
      </c>
    </row>
    <row r="486">
      <c r="A486" s="12">
        <f>CMP!C488</f>
        <v>52.5</v>
      </c>
      <c r="B486" s="12">
        <f>CMP!E488</f>
        <v>52.39</v>
      </c>
    </row>
    <row r="487">
      <c r="A487" s="12">
        <f>CMP!C489</f>
        <v>52.14</v>
      </c>
      <c r="B487" s="12">
        <f>CMP!E489</f>
        <v>51.39</v>
      </c>
    </row>
    <row r="488">
      <c r="A488" s="12">
        <f>CMP!C490</f>
        <v>51.67</v>
      </c>
      <c r="B488" s="12">
        <f>CMP!E490</f>
        <v>50.7</v>
      </c>
    </row>
    <row r="489">
      <c r="A489" s="12">
        <f>CMP!C491</f>
        <v>50.86</v>
      </c>
      <c r="B489" s="12">
        <f>CMP!E491</f>
        <v>51.12</v>
      </c>
    </row>
    <row r="490">
      <c r="A490" s="12">
        <f>CMP!C492</f>
        <v>50.9</v>
      </c>
      <c r="B490" s="12">
        <f>CMP!E492</f>
        <v>50.94</v>
      </c>
    </row>
    <row r="491">
      <c r="A491" s="12">
        <f>CMP!C493</f>
        <v>59.67</v>
      </c>
      <c r="B491" s="12">
        <f>CMP!E493</f>
        <v>59.94</v>
      </c>
    </row>
    <row r="492">
      <c r="A492" s="12">
        <f>CMP!C494</f>
        <v>59.54</v>
      </c>
      <c r="B492" s="12">
        <f>CMP!E494</f>
        <v>65.63</v>
      </c>
    </row>
    <row r="493">
      <c r="A493" s="12">
        <f>CMP!C495</f>
        <v>65.51</v>
      </c>
      <c r="B493" s="12">
        <f>CMP!E495</f>
        <v>65.54</v>
      </c>
    </row>
    <row r="494">
      <c r="A494" s="12">
        <f>CMP!C496</f>
        <v>64</v>
      </c>
      <c r="B494" s="12">
        <f>CMP!E496</f>
        <v>63.24</v>
      </c>
    </row>
    <row r="495">
      <c r="A495" s="12">
        <f>CMP!C497</f>
        <v>62.6</v>
      </c>
      <c r="B495" s="12">
        <f>CMP!E497</f>
        <v>63</v>
      </c>
    </row>
    <row r="496">
      <c r="A496" s="12">
        <f>CMP!C498</f>
        <v>62.62</v>
      </c>
      <c r="B496" s="12">
        <f>CMP!E498</f>
        <v>62.98</v>
      </c>
    </row>
    <row r="497">
      <c r="A497" s="12">
        <f>CMP!C499</f>
        <v>63.26</v>
      </c>
      <c r="B497" s="12">
        <f>CMP!E499</f>
        <v>62.66</v>
      </c>
    </row>
    <row r="498">
      <c r="A498" s="12">
        <f>CMP!C500</f>
        <v>62.96</v>
      </c>
      <c r="B498" s="12">
        <f>CMP!E500</f>
        <v>63.49</v>
      </c>
    </row>
    <row r="499">
      <c r="A499" s="12">
        <f>CMP!C501</f>
        <v>63.92</v>
      </c>
      <c r="B499" s="12">
        <f>CMP!E501</f>
        <v>63.44</v>
      </c>
    </row>
    <row r="500">
      <c r="A500" s="12">
        <f>CMP!C502</f>
        <v>63.6</v>
      </c>
      <c r="B500" s="12">
        <f>CMP!E502</f>
        <v>65.32</v>
      </c>
    </row>
    <row r="501">
      <c r="A501" s="12">
        <f>CMP!C503</f>
        <v>65.83</v>
      </c>
      <c r="B501" s="12">
        <f>CMP!E503</f>
        <v>67.11</v>
      </c>
    </row>
    <row r="502">
      <c r="A502" s="12">
        <f>CMP!C504</f>
        <v>66.9</v>
      </c>
      <c r="B502" s="12">
        <f>CMP!E504</f>
        <v>67.43</v>
      </c>
    </row>
    <row r="503">
      <c r="A503" s="12">
        <f>CMP!C505</f>
        <v>68.79</v>
      </c>
      <c r="B503" s="12">
        <f>CMP!E505</f>
        <v>69.02</v>
      </c>
    </row>
    <row r="504">
      <c r="A504" s="12">
        <f>CMP!C506</f>
        <v>69.38</v>
      </c>
      <c r="B504" s="12">
        <f>CMP!E506</f>
        <v>69.99</v>
      </c>
    </row>
    <row r="505">
      <c r="A505" s="12">
        <f>CMP!C507</f>
        <v>71</v>
      </c>
      <c r="B505" s="12">
        <f>CMP!E507</f>
        <v>69.22</v>
      </c>
    </row>
    <row r="506">
      <c r="A506" s="12">
        <f>CMP!C508</f>
        <v>69.22</v>
      </c>
      <c r="B506" s="12">
        <f>CMP!E508</f>
        <v>69.87</v>
      </c>
    </row>
    <row r="507">
      <c r="A507" s="12">
        <f>CMP!C509</f>
        <v>70.13</v>
      </c>
      <c r="B507" s="12">
        <f>CMP!E509</f>
        <v>70.43</v>
      </c>
    </row>
    <row r="508">
      <c r="A508" s="12">
        <f>CMP!C510</f>
        <v>70.58</v>
      </c>
      <c r="B508" s="12">
        <f>CMP!E510</f>
        <v>70</v>
      </c>
    </row>
    <row r="509">
      <c r="A509" s="12">
        <f>CMP!C511</f>
        <v>70.35</v>
      </c>
      <c r="B509" s="12">
        <f>CMP!E511</f>
        <v>71.9</v>
      </c>
    </row>
    <row r="510">
      <c r="A510" s="12">
        <f>CMP!C512</f>
        <v>72</v>
      </c>
      <c r="B510" s="12">
        <f>CMP!E512</f>
        <v>70.44</v>
      </c>
    </row>
    <row r="511">
      <c r="A511" s="12">
        <f>CMP!C513</f>
        <v>70.9</v>
      </c>
      <c r="B511" s="12">
        <f>CMP!E513</f>
        <v>70.97</v>
      </c>
    </row>
    <row r="512">
      <c r="A512" s="12">
        <f>CMP!C514</f>
        <v>68.03</v>
      </c>
      <c r="B512" s="12">
        <f>CMP!E514</f>
        <v>66.61</v>
      </c>
    </row>
    <row r="513">
      <c r="A513" s="12">
        <f>CMP!C515</f>
        <v>68.86</v>
      </c>
      <c r="B513" s="12">
        <f>CMP!E515</f>
        <v>67.27</v>
      </c>
    </row>
    <row r="514">
      <c r="A514" s="12">
        <f>CMP!C516</f>
        <v>67.05</v>
      </c>
      <c r="B514" s="12">
        <f>CMP!E516</f>
        <v>65.78</v>
      </c>
    </row>
    <row r="515">
      <c r="A515" s="12">
        <f>CMP!C517</f>
        <v>66.22</v>
      </c>
      <c r="B515" s="12">
        <f>CMP!E517</f>
        <v>66.26</v>
      </c>
    </row>
    <row r="516">
      <c r="A516" s="12">
        <f>CMP!C518</f>
        <v>66.22</v>
      </c>
      <c r="B516" s="12">
        <f>CMP!E518</f>
        <v>65.99</v>
      </c>
    </row>
    <row r="517">
      <c r="A517" s="12">
        <f>CMP!C519</f>
        <v>65.88</v>
      </c>
      <c r="B517" s="12">
        <f>CMP!E519</f>
        <v>66.97</v>
      </c>
    </row>
    <row r="518">
      <c r="A518" s="12">
        <f>CMP!C520</f>
        <v>66.52</v>
      </c>
      <c r="B518" s="12">
        <f>CMP!E520</f>
        <v>67.24</v>
      </c>
    </row>
    <row r="519">
      <c r="A519" s="12">
        <f>CMP!C521</f>
        <v>67.55</v>
      </c>
      <c r="B519" s="12">
        <f>CMP!E521</f>
        <v>66.61</v>
      </c>
    </row>
    <row r="520">
      <c r="A520" s="12">
        <f>CMP!C522</f>
        <v>66.57</v>
      </c>
      <c r="B520" s="12">
        <f>CMP!E522</f>
        <v>66.07</v>
      </c>
    </row>
    <row r="521">
      <c r="A521" s="12">
        <f>CMP!C523</f>
        <v>67</v>
      </c>
      <c r="B521" s="12">
        <f>CMP!E523</f>
        <v>67.18</v>
      </c>
    </row>
    <row r="522">
      <c r="A522" s="12">
        <f>CMP!C524</f>
        <v>67.32</v>
      </c>
      <c r="B522" s="12">
        <f>CMP!E524</f>
        <v>67.91</v>
      </c>
    </row>
    <row r="523">
      <c r="A523" s="12">
        <f>CMP!C525</f>
        <v>67.99</v>
      </c>
      <c r="B523" s="12">
        <f>CMP!E525</f>
        <v>69.77</v>
      </c>
    </row>
    <row r="524">
      <c r="A524" s="12">
        <f>CMP!C526</f>
        <v>70.38</v>
      </c>
      <c r="B524" s="12">
        <f>CMP!E526</f>
        <v>70.54</v>
      </c>
    </row>
    <row r="525">
      <c r="A525" s="12">
        <f>CMP!C527</f>
        <v>70.98</v>
      </c>
      <c r="B525" s="12">
        <f>CMP!E527</f>
        <v>71.94</v>
      </c>
    </row>
    <row r="526">
      <c r="A526" s="12">
        <f>CMP!C528</f>
        <v>72.21</v>
      </c>
      <c r="B526" s="12">
        <f>CMP!E528</f>
        <v>71.68</v>
      </c>
    </row>
    <row r="527">
      <c r="A527" s="12">
        <f>CMP!C529</f>
        <v>72.51</v>
      </c>
      <c r="B527" s="12">
        <f>CMP!E529</f>
        <v>76.3</v>
      </c>
    </row>
    <row r="528">
      <c r="A528" s="12">
        <f>CMP!C530</f>
        <v>75.8</v>
      </c>
      <c r="B528" s="12">
        <f>CMP!E530</f>
        <v>75.8</v>
      </c>
    </row>
    <row r="529">
      <c r="A529" s="12">
        <f>CMP!C531</f>
        <v>76.13</v>
      </c>
      <c r="B529" s="12">
        <f>CMP!E531</f>
        <v>78.63</v>
      </c>
    </row>
    <row r="530">
      <c r="A530" s="12">
        <f>CMP!C532</f>
        <v>79.46</v>
      </c>
      <c r="B530" s="12">
        <f>CMP!E532</f>
        <v>80.81</v>
      </c>
    </row>
    <row r="531">
      <c r="A531" s="12">
        <f>CMP!C533</f>
        <v>82.06</v>
      </c>
      <c r="B531" s="12">
        <f>CMP!E533</f>
        <v>81.12</v>
      </c>
    </row>
    <row r="532">
      <c r="A532" s="12">
        <f>CMP!C534</f>
        <v>82.36</v>
      </c>
      <c r="B532" s="12">
        <f>CMP!E534</f>
        <v>83.84</v>
      </c>
    </row>
    <row r="533">
      <c r="A533" s="12">
        <f>CMP!C535</f>
        <v>83.67</v>
      </c>
      <c r="B533" s="12">
        <f>CMP!E535</f>
        <v>85.05</v>
      </c>
    </row>
    <row r="534">
      <c r="A534" s="12">
        <f>CMP!C536</f>
        <v>85.58</v>
      </c>
      <c r="B534" s="12">
        <f>CMP!E536</f>
        <v>86.19</v>
      </c>
    </row>
    <row r="535">
      <c r="A535" s="12">
        <f>CMP!C537</f>
        <v>87</v>
      </c>
      <c r="B535" s="12">
        <f>CMP!E537</f>
        <v>86.08</v>
      </c>
    </row>
    <row r="536">
      <c r="A536" s="12">
        <f>CMP!C538</f>
        <v>85.76</v>
      </c>
      <c r="B536" s="12">
        <f>CMP!E538</f>
        <v>82.94</v>
      </c>
    </row>
    <row r="537">
      <c r="A537" s="12">
        <f>CMP!C539</f>
        <v>81</v>
      </c>
      <c r="B537" s="12">
        <f>CMP!E539</f>
        <v>83.67</v>
      </c>
    </row>
    <row r="538">
      <c r="A538" s="12">
        <f>CMP!C540</f>
        <v>84.9</v>
      </c>
      <c r="B538" s="12">
        <f>CMP!E540</f>
        <v>86.05</v>
      </c>
    </row>
    <row r="539">
      <c r="A539" s="12">
        <f>CMP!C541</f>
        <v>88.1</v>
      </c>
      <c r="B539" s="12">
        <f>CMP!E541</f>
        <v>88.6</v>
      </c>
    </row>
    <row r="540">
      <c r="A540" s="12">
        <f>CMP!C542</f>
        <v>88.09</v>
      </c>
      <c r="B540" s="12">
        <f>CMP!E542</f>
        <v>90.31</v>
      </c>
    </row>
    <row r="541">
      <c r="A541" s="12">
        <f>CMP!C543</f>
        <v>92.28</v>
      </c>
      <c r="B541" s="12">
        <f>CMP!E543</f>
        <v>93.81</v>
      </c>
    </row>
    <row r="542">
      <c r="A542" s="12">
        <f>CMP!C544</f>
        <v>94.74</v>
      </c>
      <c r="B542" s="12">
        <f>CMP!E544</f>
        <v>98.43</v>
      </c>
    </row>
    <row r="543">
      <c r="A543" s="12">
        <f>CMP!C545</f>
        <v>99.42</v>
      </c>
      <c r="B543" s="12">
        <f>CMP!E545</f>
        <v>96.27</v>
      </c>
    </row>
    <row r="544">
      <c r="A544" s="12">
        <f>CMP!C546</f>
        <v>96.36</v>
      </c>
      <c r="B544" s="12">
        <f>CMP!E546</f>
        <v>95.63</v>
      </c>
    </row>
    <row r="545">
      <c r="A545" s="12">
        <f>CMP!C547</f>
        <v>98.7</v>
      </c>
      <c r="B545" s="12">
        <f>CMP!E547</f>
        <v>104.97</v>
      </c>
    </row>
    <row r="546">
      <c r="A546" s="12">
        <f>CMP!C548</f>
        <v>108.85</v>
      </c>
      <c r="B546" s="12">
        <f>CMP!E548</f>
        <v>107.58</v>
      </c>
    </row>
    <row r="547">
      <c r="A547" s="12">
        <f>CMP!C549</f>
        <v>105.95</v>
      </c>
      <c r="B547" s="12">
        <f>CMP!E549</f>
        <v>103.7</v>
      </c>
    </row>
    <row r="548">
      <c r="A548" s="12">
        <f>CMP!C550</f>
        <v>98.75</v>
      </c>
      <c r="B548" s="12">
        <f>CMP!E550</f>
        <v>102.7</v>
      </c>
    </row>
    <row r="549">
      <c r="A549" s="12">
        <f>CMP!C551</f>
        <v>101.52</v>
      </c>
      <c r="B549" s="12">
        <f>CMP!E551</f>
        <v>102.1</v>
      </c>
    </row>
    <row r="550">
      <c r="A550" s="12">
        <f>CMP!C552</f>
        <v>106.05</v>
      </c>
      <c r="B550" s="12">
        <f>CMP!E552</f>
        <v>109.44</v>
      </c>
    </row>
    <row r="551">
      <c r="A551" s="12">
        <f>CMP!C553</f>
        <v>114.38</v>
      </c>
      <c r="B551" s="12">
        <f>CMP!E553</f>
        <v>113.91</v>
      </c>
    </row>
    <row r="552">
      <c r="A552" s="12">
        <f>CMP!C554</f>
        <v>112.85</v>
      </c>
      <c r="B552" s="12">
        <f>CMP!E554</f>
        <v>114.44</v>
      </c>
    </row>
    <row r="553">
      <c r="A553" s="12">
        <f>CMP!C555</f>
        <v>114.13</v>
      </c>
      <c r="B553" s="12">
        <f>CMP!E555</f>
        <v>112.96</v>
      </c>
    </row>
    <row r="554">
      <c r="A554" s="12">
        <f>CMP!C556</f>
        <v>108.4</v>
      </c>
      <c r="B554" s="12">
        <f>CMP!E556</f>
        <v>111.6</v>
      </c>
    </row>
    <row r="555">
      <c r="A555" s="12">
        <f>CMP!C557</f>
        <v>113.7</v>
      </c>
      <c r="B555" s="12">
        <f>CMP!E557</f>
        <v>113.38</v>
      </c>
    </row>
    <row r="556">
      <c r="A556" s="12">
        <f>CMP!C558</f>
        <v>115.14</v>
      </c>
      <c r="B556" s="12">
        <f>CMP!E558</f>
        <v>116.2</v>
      </c>
    </row>
    <row r="557">
      <c r="A557" s="12">
        <f>CMP!C559</f>
        <v>126.48</v>
      </c>
      <c r="B557" s="12">
        <f>CMP!E559</f>
        <v>128.16</v>
      </c>
    </row>
    <row r="558">
      <c r="A558" s="12">
        <f>CMP!C560</f>
        <v>128</v>
      </c>
      <c r="B558" s="12">
        <f>CMP!E560</f>
        <v>130.11</v>
      </c>
    </row>
    <row r="559">
      <c r="A559" s="12">
        <f>CMP!C561</f>
        <v>134.74</v>
      </c>
      <c r="B559" s="12">
        <f>CMP!E561</f>
        <v>156</v>
      </c>
    </row>
    <row r="560">
      <c r="A560" s="12">
        <f>CMP!C562</f>
        <v>176.59</v>
      </c>
      <c r="B560" s="12">
        <f>CMP!E562</f>
        <v>177.41</v>
      </c>
    </row>
    <row r="561">
      <c r="A561" s="12">
        <f>CMP!C563</f>
        <v>164.65</v>
      </c>
      <c r="B561" s="12">
        <f>CMP!E563</f>
        <v>146.94</v>
      </c>
    </row>
    <row r="562">
      <c r="A562" s="12">
        <f>CMP!C564</f>
        <v>139.98</v>
      </c>
      <c r="B562" s="12">
        <f>CMP!E564</f>
        <v>149.79</v>
      </c>
    </row>
    <row r="563">
      <c r="A563" s="12">
        <f>CMP!C565</f>
        <v>146.11</v>
      </c>
      <c r="B563" s="12">
        <f>CMP!E565</f>
        <v>149.61</v>
      </c>
    </row>
    <row r="564">
      <c r="A564" s="12">
        <f>CMP!C566</f>
        <v>160</v>
      </c>
      <c r="B564" s="12">
        <f>CMP!E566</f>
        <v>154.26</v>
      </c>
    </row>
    <row r="565">
      <c r="A565" s="12">
        <f>CMP!C567</f>
        <v>153.76</v>
      </c>
      <c r="B565" s="12">
        <f>CMP!E567</f>
        <v>154.88</v>
      </c>
    </row>
    <row r="566">
      <c r="A566" s="12">
        <f>CMP!C568</f>
        <v>155.57</v>
      </c>
      <c r="B566" s="12">
        <f>CMP!E568</f>
        <v>153.46</v>
      </c>
    </row>
    <row r="567">
      <c r="A567" s="12">
        <f>CMP!C569</f>
        <v>148.37</v>
      </c>
      <c r="B567" s="12">
        <f>CMP!E569</f>
        <v>160.8</v>
      </c>
    </row>
    <row r="568">
      <c r="A568" s="12">
        <f>CMP!C570</f>
        <v>157.44</v>
      </c>
      <c r="B568" s="12">
        <f>CMP!E570</f>
        <v>160.01</v>
      </c>
    </row>
    <row r="569">
      <c r="A569" s="12">
        <f>CMP!C571</f>
        <v>168.32</v>
      </c>
      <c r="B569" s="12">
        <f>CMP!E571</f>
        <v>171.68</v>
      </c>
    </row>
    <row r="570">
      <c r="A570" s="12">
        <f>CMP!C572</f>
        <v>184.7</v>
      </c>
      <c r="B570" s="12">
        <f>CMP!E572</f>
        <v>183.48</v>
      </c>
    </row>
    <row r="571">
      <c r="A571" s="12">
        <f>CMP!C573</f>
        <v>182.39</v>
      </c>
      <c r="B571" s="12">
        <f>CMP!E573</f>
        <v>179.88</v>
      </c>
    </row>
    <row r="572">
      <c r="A572" s="12">
        <f>CMP!C574</f>
        <v>181.4</v>
      </c>
      <c r="B572" s="12">
        <f>CMP!E574</f>
        <v>180.2</v>
      </c>
    </row>
    <row r="573">
      <c r="A573" s="12">
        <f>CMP!C575</f>
        <v>167.8</v>
      </c>
      <c r="B573" s="12">
        <f>CMP!E575</f>
        <v>166.76</v>
      </c>
    </row>
    <row r="574">
      <c r="A574" s="12">
        <f>CMP!C576</f>
        <v>169.8</v>
      </c>
      <c r="B574" s="12">
        <f>CMP!E576</f>
        <v>159.98</v>
      </c>
    </row>
    <row r="575">
      <c r="A575" s="12">
        <f>CMP!C577</f>
        <v>156.5</v>
      </c>
      <c r="B575" s="12">
        <f>CMP!E577</f>
        <v>155.76</v>
      </c>
    </row>
    <row r="576">
      <c r="A576" s="12">
        <f>CMP!C578</f>
        <v>146</v>
      </c>
      <c r="B576" s="12">
        <f>CMP!E578</f>
        <v>135.8</v>
      </c>
    </row>
    <row r="577">
      <c r="A577" s="12">
        <f>CMP!C579</f>
        <v>125.94</v>
      </c>
      <c r="B577" s="12">
        <f>CMP!E579</f>
        <v>133.6</v>
      </c>
    </row>
    <row r="578">
      <c r="A578" s="12">
        <f>CMP!C580</f>
        <v>142.25</v>
      </c>
      <c r="B578" s="12">
        <f>CMP!E580</f>
        <v>148.72</v>
      </c>
    </row>
    <row r="579">
      <c r="A579" s="12">
        <f>CMP!C581</f>
        <v>161</v>
      </c>
      <c r="B579" s="12">
        <f>CMP!E581</f>
        <v>149.1</v>
      </c>
    </row>
    <row r="580">
      <c r="A580" s="12">
        <f>CMP!C582</f>
        <v>152.79</v>
      </c>
      <c r="B580" s="12">
        <f>CMP!E582</f>
        <v>149.9</v>
      </c>
    </row>
    <row r="581">
      <c r="A581" s="12">
        <f>CMP!C583</f>
        <v>144.75</v>
      </c>
      <c r="B581" s="12">
        <f>CMP!E583</f>
        <v>144.91</v>
      </c>
    </row>
    <row r="582">
      <c r="A582" s="12">
        <f>CMP!C584</f>
        <v>138</v>
      </c>
      <c r="B582" s="12">
        <f>CMP!E584</f>
        <v>140.7</v>
      </c>
    </row>
    <row r="583">
      <c r="A583" s="12">
        <f>CMP!C585</f>
        <v>121.08</v>
      </c>
      <c r="B583" s="12">
        <f>CMP!E585</f>
        <v>121.6</v>
      </c>
    </row>
    <row r="584">
      <c r="A584" s="12">
        <f>CMP!C586</f>
        <v>131.89</v>
      </c>
      <c r="B584" s="12">
        <f>CMP!E586</f>
        <v>129.07</v>
      </c>
    </row>
    <row r="585">
      <c r="A585" s="12">
        <f>CMP!C587</f>
        <v>128.04</v>
      </c>
      <c r="B585" s="12">
        <f>CMP!E587</f>
        <v>126.85</v>
      </c>
    </row>
    <row r="586">
      <c r="A586" s="12">
        <f>CMP!C588</f>
        <v>116.18</v>
      </c>
      <c r="B586" s="12">
        <f>CMP!E588</f>
        <v>112.11</v>
      </c>
    </row>
    <row r="587">
      <c r="A587" s="12">
        <f>CMP!C589</f>
        <v>119</v>
      </c>
      <c r="B587" s="12">
        <f>CMP!E589</f>
        <v>109.32</v>
      </c>
    </row>
    <row r="588">
      <c r="A588" s="12">
        <f>CMP!C590</f>
        <v>93.9</v>
      </c>
      <c r="B588" s="12">
        <f>CMP!E590</f>
        <v>89.01</v>
      </c>
    </row>
    <row r="589">
      <c r="A589" s="12">
        <f>CMP!C591</f>
        <v>88</v>
      </c>
      <c r="B589" s="12">
        <f>CMP!E591</f>
        <v>86.04</v>
      </c>
    </row>
    <row r="590">
      <c r="A590" s="12">
        <f>CMP!C592</f>
        <v>77.8</v>
      </c>
      <c r="B590" s="12">
        <f>CMP!E592</f>
        <v>72.24</v>
      </c>
    </row>
    <row r="591">
      <c r="A591" s="12">
        <f>CMP!C593</f>
        <v>74.94</v>
      </c>
      <c r="B591" s="12">
        <f>CMP!E593</f>
        <v>85.53</v>
      </c>
    </row>
    <row r="592">
      <c r="A592" s="12">
        <f>CMP!C594</f>
        <v>87.64</v>
      </c>
      <c r="B592" s="12">
        <f>CMP!E594</f>
        <v>85.51</v>
      </c>
    </row>
    <row r="593">
      <c r="A593" s="12">
        <f>CMP!C595</f>
        <v>86.72</v>
      </c>
      <c r="B593" s="12">
        <f>CMP!E595</f>
        <v>86.86</v>
      </c>
    </row>
    <row r="594">
      <c r="A594" s="12">
        <f>CMP!C596</f>
        <v>95.46</v>
      </c>
      <c r="B594" s="12">
        <f>CMP!E596</f>
        <v>101</v>
      </c>
    </row>
    <row r="595">
      <c r="A595" s="12">
        <f>CMP!C597</f>
        <v>109.05</v>
      </c>
      <c r="B595" s="12">
        <f>CMP!E597</f>
        <v>107.85</v>
      </c>
    </row>
    <row r="596">
      <c r="A596" s="12">
        <f>CMP!C598</f>
        <v>109.48</v>
      </c>
      <c r="B596" s="12">
        <f>CMP!E598</f>
        <v>105.63</v>
      </c>
    </row>
    <row r="597">
      <c r="A597" s="12">
        <f>CMP!C599</f>
        <v>101</v>
      </c>
      <c r="B597" s="12">
        <f>CMP!E599</f>
        <v>102.87</v>
      </c>
    </row>
    <row r="598">
      <c r="A598" s="12">
        <f>CMP!C600</f>
        <v>102.05</v>
      </c>
      <c r="B598" s="12">
        <f>CMP!E600</f>
        <v>100.43</v>
      </c>
    </row>
    <row r="599">
      <c r="A599" s="12">
        <f>CMP!C601</f>
        <v>100.25</v>
      </c>
      <c r="B599" s="12">
        <f>CMP!E601</f>
        <v>104.8</v>
      </c>
    </row>
    <row r="600">
      <c r="A600" s="12">
        <f>CMP!C602</f>
        <v>100.8</v>
      </c>
      <c r="B600" s="12">
        <f>CMP!E602</f>
        <v>96.31</v>
      </c>
    </row>
    <row r="601">
      <c r="A601" s="12">
        <f>CMP!C603</f>
        <v>96.21</v>
      </c>
      <c r="B601" s="12">
        <f>CMP!E603</f>
        <v>90.89</v>
      </c>
    </row>
    <row r="602">
      <c r="A602" s="12">
        <f>CMP!C604</f>
        <v>101.9</v>
      </c>
      <c r="B602" s="12">
        <f>CMP!E604</f>
        <v>96</v>
      </c>
    </row>
    <row r="603">
      <c r="A603" s="12">
        <f>CMP!C605</f>
        <v>102.24</v>
      </c>
      <c r="B603" s="12">
        <f>CMP!E605</f>
        <v>103.25</v>
      </c>
    </row>
    <row r="604">
      <c r="A604" s="12">
        <f>CMP!C606</f>
        <v>109</v>
      </c>
      <c r="B604" s="12">
        <f>CMP!E606</f>
        <v>109.09</v>
      </c>
    </row>
    <row r="605">
      <c r="A605" s="12">
        <f>CMP!C607</f>
        <v>110.84</v>
      </c>
      <c r="B605" s="12">
        <f>CMP!E607</f>
        <v>109.77</v>
      </c>
    </row>
    <row r="606">
      <c r="A606" s="12">
        <f>CMP!C608</f>
        <v>112.42</v>
      </c>
      <c r="B606" s="12">
        <f>CMP!E608</f>
        <v>114.6</v>
      </c>
    </row>
    <row r="607">
      <c r="A607" s="12">
        <f>CMP!C609</f>
        <v>118.03</v>
      </c>
      <c r="B607" s="12">
        <f>CMP!E609</f>
        <v>130.19</v>
      </c>
    </row>
    <row r="608">
      <c r="A608" s="12">
        <f>CMP!C610</f>
        <v>139.79</v>
      </c>
      <c r="B608" s="12">
        <f>CMP!E610</f>
        <v>141.98</v>
      </c>
    </row>
    <row r="609">
      <c r="A609" s="12">
        <f>CMP!C611</f>
        <v>148.4</v>
      </c>
      <c r="B609" s="12">
        <f>CMP!E611</f>
        <v>145.97</v>
      </c>
    </row>
    <row r="610">
      <c r="A610" s="12">
        <f>CMP!C612</f>
        <v>143.39</v>
      </c>
      <c r="B610" s="12">
        <f>CMP!E612</f>
        <v>149.04</v>
      </c>
    </row>
    <row r="611">
      <c r="A611" s="12">
        <f>CMP!C613</f>
        <v>154.46</v>
      </c>
      <c r="B611" s="12">
        <f>CMP!E613</f>
        <v>150.78</v>
      </c>
    </row>
    <row r="612">
      <c r="A612" s="12">
        <f>CMP!C614</f>
        <v>146.54</v>
      </c>
      <c r="B612" s="12">
        <f>CMP!E614</f>
        <v>149.27</v>
      </c>
    </row>
    <row r="613">
      <c r="A613" s="12">
        <f>CMP!C615</f>
        <v>146.02</v>
      </c>
      <c r="B613" s="12">
        <f>CMP!E615</f>
        <v>137.34</v>
      </c>
    </row>
    <row r="614">
      <c r="A614" s="12">
        <f>CMP!C616</f>
        <v>140.8</v>
      </c>
      <c r="B614" s="12">
        <f>CMP!E616</f>
        <v>146.42</v>
      </c>
    </row>
    <row r="615">
      <c r="A615" s="12">
        <f>CMP!C617</f>
        <v>145.52</v>
      </c>
      <c r="B615" s="12">
        <f>CMP!E617</f>
        <v>141.13</v>
      </c>
    </row>
    <row r="616">
      <c r="A616" s="12">
        <f>CMP!C618</f>
        <v>142.16</v>
      </c>
      <c r="B616" s="12">
        <f>CMP!E618</f>
        <v>145.03</v>
      </c>
    </row>
    <row r="617">
      <c r="A617" s="12">
        <f>CMP!C619</f>
        <v>147.52</v>
      </c>
      <c r="B617" s="12">
        <f>CMP!E619</f>
        <v>159.75</v>
      </c>
    </row>
    <row r="618">
      <c r="A618" s="12">
        <f>CMP!C620</f>
        <v>159.13</v>
      </c>
      <c r="B618" s="12">
        <f>CMP!E620</f>
        <v>153.82</v>
      </c>
    </row>
    <row r="619">
      <c r="A619" s="12">
        <f>CMP!C621</f>
        <v>158.03</v>
      </c>
      <c r="B619" s="12">
        <f>CMP!E621</f>
        <v>160.1</v>
      </c>
    </row>
    <row r="620">
      <c r="A620" s="12">
        <f>CMP!C622</f>
        <v>171.04</v>
      </c>
      <c r="B620" s="12">
        <f>CMP!E622</f>
        <v>156.38</v>
      </c>
    </row>
    <row r="621">
      <c r="A621" s="12">
        <f>CMP!C623</f>
        <v>151</v>
      </c>
      <c r="B621" s="12">
        <f>CMP!E623</f>
        <v>140.26</v>
      </c>
    </row>
    <row r="622">
      <c r="A622" s="12">
        <f>CMP!C624</f>
        <v>140.2</v>
      </c>
      <c r="B622" s="12">
        <f>CMP!E624</f>
        <v>152.24</v>
      </c>
    </row>
    <row r="623">
      <c r="A623" s="12">
        <f>CMP!C625</f>
        <v>157.96</v>
      </c>
      <c r="B623" s="12">
        <f>CMP!E625</f>
        <v>153.64</v>
      </c>
    </row>
    <row r="624">
      <c r="A624" s="12">
        <f>CMP!C626</f>
        <v>155.3</v>
      </c>
      <c r="B624" s="12">
        <f>CMP!E626</f>
        <v>156.52</v>
      </c>
    </row>
    <row r="625">
      <c r="A625" s="12">
        <f>CMP!C627</f>
        <v>155.44</v>
      </c>
      <c r="B625" s="12">
        <f>CMP!E627</f>
        <v>156.01</v>
      </c>
    </row>
    <row r="626">
      <c r="A626" s="12">
        <f>CMP!C628</f>
        <v>158.75</v>
      </c>
      <c r="B626" s="12">
        <f>CMP!E628</f>
        <v>163.88</v>
      </c>
    </row>
    <row r="627">
      <c r="A627" s="12">
        <f>CMP!C629</f>
        <v>158.1</v>
      </c>
      <c r="B627" s="12">
        <f>CMP!E629</f>
        <v>162.26</v>
      </c>
    </row>
    <row r="628">
      <c r="A628" s="12">
        <f>CMP!C630</f>
        <v>165.4</v>
      </c>
      <c r="B628" s="12">
        <f>CMP!E630</f>
        <v>161.88</v>
      </c>
    </row>
    <row r="629">
      <c r="A629" s="12">
        <f>CMP!C631</f>
        <v>164.17</v>
      </c>
      <c r="B629" s="12">
        <f>CMP!E631</f>
        <v>158.19</v>
      </c>
    </row>
    <row r="630">
      <c r="A630" s="12">
        <f>CMP!C632</f>
        <v>156</v>
      </c>
      <c r="B630" s="12">
        <f>CMP!E632</f>
        <v>160.67</v>
      </c>
    </row>
    <row r="631">
      <c r="A631" s="12">
        <f>CMP!C633</f>
        <v>158.07</v>
      </c>
      <c r="B631" s="12">
        <f>CMP!E633</f>
        <v>159.83</v>
      </c>
    </row>
    <row r="632">
      <c r="A632" s="12">
        <f>CMP!C634</f>
        <v>165.56</v>
      </c>
      <c r="B632" s="12">
        <f>CMP!E634</f>
        <v>162.73</v>
      </c>
    </row>
    <row r="633">
      <c r="A633" s="12">
        <f>CMP!C635</f>
        <v>163.03</v>
      </c>
      <c r="B633" s="12">
        <f>CMP!E635</f>
        <v>161.6</v>
      </c>
    </row>
    <row r="634">
      <c r="A634" s="12">
        <f>CMP!C636</f>
        <v>164.1</v>
      </c>
      <c r="B634" s="12">
        <f>CMP!E636</f>
        <v>163.11</v>
      </c>
    </row>
    <row r="635">
      <c r="A635" s="12">
        <f>CMP!C637</f>
        <v>163.2</v>
      </c>
      <c r="B635" s="12">
        <f>CMP!E637</f>
        <v>165.52</v>
      </c>
    </row>
    <row r="636">
      <c r="A636" s="12">
        <f>CMP!C638</f>
        <v>164.43</v>
      </c>
      <c r="B636" s="12">
        <f>CMP!E638</f>
        <v>163.38</v>
      </c>
    </row>
    <row r="637">
      <c r="A637" s="12">
        <f>CMP!C639</f>
        <v>166.9</v>
      </c>
      <c r="B637" s="12">
        <f>CMP!E639</f>
        <v>163.77</v>
      </c>
    </row>
    <row r="638">
      <c r="A638" s="12">
        <f>CMP!C640</f>
        <v>164.17</v>
      </c>
      <c r="B638" s="12">
        <f>CMP!E640</f>
        <v>164.05</v>
      </c>
    </row>
    <row r="639">
      <c r="A639" s="12">
        <f>CMP!C641</f>
        <v>162.7</v>
      </c>
      <c r="B639" s="12">
        <f>CMP!E641</f>
        <v>161.16</v>
      </c>
    </row>
    <row r="640">
      <c r="A640" s="12">
        <f>CMP!C642</f>
        <v>161.75</v>
      </c>
      <c r="B640" s="12">
        <f>CMP!E642</f>
        <v>167</v>
      </c>
    </row>
    <row r="641">
      <c r="A641" s="12">
        <f>CMP!C643</f>
        <v>171.6</v>
      </c>
      <c r="B641" s="12">
        <f>CMP!E643</f>
        <v>179.62</v>
      </c>
    </row>
    <row r="642">
      <c r="A642" s="12">
        <f>CMP!C644</f>
        <v>178.94</v>
      </c>
      <c r="B642" s="12">
        <f>CMP!E644</f>
        <v>176.31</v>
      </c>
    </row>
    <row r="643">
      <c r="A643" s="12">
        <f>CMP!C645</f>
        <v>177.62</v>
      </c>
      <c r="B643" s="12">
        <f>CMP!E645</f>
        <v>176.59</v>
      </c>
    </row>
    <row r="644">
      <c r="A644" s="12">
        <f>CMP!C646</f>
        <v>177.98</v>
      </c>
      <c r="B644" s="12">
        <f>CMP!E646</f>
        <v>172.88</v>
      </c>
    </row>
    <row r="645">
      <c r="A645" s="12">
        <f>CMP!C647</f>
        <v>175.57</v>
      </c>
      <c r="B645" s="12">
        <f>CMP!E647</f>
        <v>177.13</v>
      </c>
    </row>
    <row r="646">
      <c r="A646" s="12">
        <f>CMP!C648</f>
        <v>183.8</v>
      </c>
      <c r="B646" s="12">
        <f>CMP!E648</f>
        <v>189.98</v>
      </c>
    </row>
    <row r="647">
      <c r="A647" s="12">
        <f>CMP!C649</f>
        <v>188</v>
      </c>
      <c r="B647" s="12">
        <f>CMP!E649</f>
        <v>188.13</v>
      </c>
    </row>
    <row r="648">
      <c r="A648" s="12">
        <f>CMP!C650</f>
        <v>198.38</v>
      </c>
      <c r="B648" s="12">
        <f>CMP!E650</f>
        <v>205.01</v>
      </c>
    </row>
    <row r="649">
      <c r="A649" s="12">
        <f>CMP!C651</f>
        <v>198.04</v>
      </c>
      <c r="B649" s="12">
        <f>CMP!E651</f>
        <v>194.57</v>
      </c>
    </row>
    <row r="650">
      <c r="A650" s="12">
        <f>CMP!C652</f>
        <v>196</v>
      </c>
      <c r="B650" s="12">
        <f>CMP!E652</f>
        <v>187.06</v>
      </c>
    </row>
    <row r="651">
      <c r="A651" s="12">
        <f>CMP!C653</f>
        <v>183.56</v>
      </c>
      <c r="B651" s="12">
        <f>CMP!E653</f>
        <v>198.18</v>
      </c>
    </row>
    <row r="652">
      <c r="A652" s="12">
        <f>CMP!C654</f>
        <v>202.37</v>
      </c>
      <c r="B652" s="12">
        <f>CMP!E654</f>
        <v>196.43</v>
      </c>
    </row>
    <row r="653">
      <c r="A653" s="12">
        <f>CMP!C655</f>
        <v>197.54</v>
      </c>
      <c r="B653" s="12">
        <f>CMP!E655</f>
        <v>198.36</v>
      </c>
    </row>
    <row r="654">
      <c r="A654" s="12">
        <f>CMP!C656</f>
        <v>200.6</v>
      </c>
      <c r="B654" s="12">
        <f>CMP!E656</f>
        <v>200.79</v>
      </c>
    </row>
    <row r="655">
      <c r="A655" s="12">
        <f>CMP!C657</f>
        <v>202.56</v>
      </c>
      <c r="B655" s="12">
        <f>CMP!E657</f>
        <v>200.18</v>
      </c>
    </row>
    <row r="656">
      <c r="A656" s="12">
        <f>CMP!C658</f>
        <v>199.99</v>
      </c>
      <c r="B656" s="12">
        <f>CMP!E658</f>
        <v>198.86</v>
      </c>
    </row>
    <row r="657">
      <c r="A657" s="12">
        <f>CMP!C659</f>
        <v>199.78</v>
      </c>
      <c r="B657" s="12">
        <f>CMP!E659</f>
        <v>200.36</v>
      </c>
    </row>
    <row r="658">
      <c r="A658" s="12">
        <f>CMP!C660</f>
        <v>198.82</v>
      </c>
      <c r="B658" s="12">
        <f>CMP!E660</f>
        <v>192.17</v>
      </c>
    </row>
    <row r="659">
      <c r="A659" s="12">
        <f>CMP!C661</f>
        <v>190.85</v>
      </c>
      <c r="B659" s="12">
        <f>CMP!E661</f>
        <v>197.2</v>
      </c>
    </row>
    <row r="660">
      <c r="A660" s="12">
        <f>CMP!C662</f>
        <v>198.96</v>
      </c>
      <c r="B660" s="12">
        <f>CMP!E662</f>
        <v>191.95</v>
      </c>
    </row>
    <row r="661">
      <c r="A661" s="12">
        <f>CMP!C663</f>
        <v>193.8</v>
      </c>
      <c r="B661" s="12">
        <f>CMP!E663</f>
        <v>201.87</v>
      </c>
    </row>
    <row r="662">
      <c r="A662" s="12">
        <f>CMP!C664</f>
        <v>201.3</v>
      </c>
      <c r="B662" s="12">
        <f>CMP!E664</f>
        <v>215.96</v>
      </c>
    </row>
    <row r="663">
      <c r="A663" s="12">
        <f>CMP!C665</f>
        <v>216.6</v>
      </c>
      <c r="B663" s="12">
        <f>CMP!E665</f>
        <v>223.93</v>
      </c>
    </row>
    <row r="664">
      <c r="A664" s="12">
        <f>CMP!C666</f>
        <v>244.3</v>
      </c>
      <c r="B664" s="12">
        <f>CMP!E666</f>
        <v>241.73</v>
      </c>
    </row>
    <row r="665">
      <c r="A665" s="12">
        <f>CMP!C667</f>
        <v>255.34</v>
      </c>
      <c r="B665" s="12">
        <f>CMP!E667</f>
        <v>274.32</v>
      </c>
    </row>
    <row r="666">
      <c r="A666" s="12">
        <f>CMP!C668</f>
        <v>281</v>
      </c>
      <c r="B666" s="12">
        <f>CMP!E668</f>
        <v>277.97</v>
      </c>
    </row>
    <row r="667">
      <c r="A667" s="12">
        <f>CMP!C669</f>
        <v>281</v>
      </c>
      <c r="B667" s="12">
        <f>CMP!E669</f>
        <v>273.18</v>
      </c>
    </row>
    <row r="668">
      <c r="A668" s="12">
        <f>CMP!C670</f>
        <v>279.4</v>
      </c>
      <c r="B668" s="12">
        <f>CMP!E670</f>
        <v>278.86</v>
      </c>
    </row>
    <row r="669">
      <c r="A669" s="12">
        <f>CMP!C671</f>
        <v>279.2</v>
      </c>
      <c r="B669" s="12">
        <f>CMP!E671</f>
        <v>308.93</v>
      </c>
    </row>
    <row r="670">
      <c r="A670" s="12">
        <f>CMP!C672</f>
        <v>331.8</v>
      </c>
      <c r="B670" s="12">
        <f>CMP!E672</f>
        <v>299.41</v>
      </c>
    </row>
    <row r="671">
      <c r="A671" s="12">
        <f>CMP!C673</f>
        <v>311.2</v>
      </c>
      <c r="B671" s="12">
        <f>CMP!E673</f>
        <v>303.36</v>
      </c>
    </row>
    <row r="672">
      <c r="A672" s="12">
        <f>CMP!C674</f>
        <v>308.6</v>
      </c>
      <c r="B672" s="12">
        <f>CMP!E674</f>
        <v>309.2</v>
      </c>
    </row>
    <row r="673">
      <c r="A673" s="12">
        <f>CMP!C675</f>
        <v>295.43</v>
      </c>
      <c r="B673" s="12">
        <f>CMP!E675</f>
        <v>300.13</v>
      </c>
    </row>
    <row r="674">
      <c r="A674" s="12">
        <f>CMP!C676</f>
        <v>302.69</v>
      </c>
      <c r="B674" s="12">
        <f>CMP!E676</f>
        <v>300.17</v>
      </c>
    </row>
    <row r="675">
      <c r="A675" s="12">
        <f>CMP!C677</f>
        <v>303.8</v>
      </c>
      <c r="B675" s="12">
        <f>CMP!E677</f>
        <v>328.6</v>
      </c>
    </row>
    <row r="676">
      <c r="A676" s="12">
        <f>CMP!C678</f>
        <v>327.99</v>
      </c>
      <c r="B676" s="12">
        <f>CMP!E678</f>
        <v>313.67</v>
      </c>
    </row>
    <row r="677">
      <c r="A677" s="12">
        <f>CMP!C679</f>
        <v>319.8</v>
      </c>
      <c r="B677" s="12">
        <f>CMP!E679</f>
        <v>318.47</v>
      </c>
    </row>
    <row r="678">
      <c r="A678" s="12">
        <f>CMP!C680</f>
        <v>335.79</v>
      </c>
      <c r="B678" s="12">
        <f>CMP!E680</f>
        <v>302.61</v>
      </c>
    </row>
    <row r="679">
      <c r="A679" s="12">
        <f>CMP!C681</f>
        <v>283.2</v>
      </c>
      <c r="B679" s="12">
        <f>CMP!E681</f>
        <v>283.4</v>
      </c>
    </row>
    <row r="680">
      <c r="A680" s="12">
        <f>CMP!C682</f>
        <v>287</v>
      </c>
      <c r="B680" s="12">
        <f>CMP!E682</f>
        <v>307.92</v>
      </c>
    </row>
    <row r="681">
      <c r="A681" s="12">
        <f>CMP!C683</f>
        <v>300.8</v>
      </c>
      <c r="B681" s="12">
        <f>CMP!E683</f>
        <v>295.3</v>
      </c>
    </row>
    <row r="682">
      <c r="A682" s="12">
        <f>CMP!C684</f>
        <v>300.2</v>
      </c>
      <c r="B682" s="12">
        <f>CMP!E684</f>
        <v>299.82</v>
      </c>
    </row>
    <row r="683">
      <c r="A683" s="12">
        <f>CMP!C685</f>
        <v>297.6</v>
      </c>
      <c r="B683" s="12">
        <f>CMP!E685</f>
        <v>297.5</v>
      </c>
    </row>
    <row r="684">
      <c r="A684" s="12">
        <f>CMP!C686</f>
        <v>303</v>
      </c>
      <c r="B684" s="12">
        <f>CMP!E686</f>
        <v>286.15</v>
      </c>
    </row>
    <row r="685">
      <c r="A685" s="12">
        <f>CMP!C687</f>
        <v>289.84</v>
      </c>
      <c r="B685" s="12">
        <f>CMP!E687</f>
        <v>297</v>
      </c>
    </row>
    <row r="686">
      <c r="A686" s="12">
        <f>CMP!C688</f>
        <v>299</v>
      </c>
      <c r="B686" s="12">
        <f>CMP!E688</f>
        <v>297.4</v>
      </c>
    </row>
    <row r="687">
      <c r="A687" s="12">
        <f>CMP!C689</f>
        <v>298.6</v>
      </c>
      <c r="B687" s="12">
        <f>CMP!E689</f>
        <v>297</v>
      </c>
    </row>
    <row r="688">
      <c r="A688" s="12">
        <f>CMP!C690</f>
        <v>298.17</v>
      </c>
      <c r="B688" s="12">
        <f>CMP!E690</f>
        <v>297.92</v>
      </c>
    </row>
    <row r="689">
      <c r="A689" s="12">
        <f>CMP!C691</f>
        <v>299.91</v>
      </c>
      <c r="B689" s="12">
        <f>CMP!E691</f>
        <v>290.54</v>
      </c>
    </row>
    <row r="690">
      <c r="A690" s="12">
        <f>CMP!C692</f>
        <v>289.6</v>
      </c>
      <c r="B690" s="12">
        <f>CMP!E692</f>
        <v>283.71</v>
      </c>
    </row>
    <row r="691">
      <c r="A691" s="12">
        <f>CMP!C693</f>
        <v>279.2</v>
      </c>
      <c r="B691" s="12">
        <f>CMP!E693</f>
        <v>274.88</v>
      </c>
    </row>
    <row r="692">
      <c r="A692" s="12">
        <f>CMP!C694</f>
        <v>294</v>
      </c>
      <c r="B692" s="12">
        <f>CMP!E694</f>
        <v>310.95</v>
      </c>
    </row>
    <row r="693">
      <c r="A693" s="12">
        <f>CMP!C695</f>
        <v>322.2</v>
      </c>
      <c r="B693" s="12">
        <f>CMP!E695</f>
        <v>324.2</v>
      </c>
    </row>
    <row r="694">
      <c r="A694" s="12">
        <f>CMP!C696</f>
        <v>333</v>
      </c>
      <c r="B694" s="12">
        <f>CMP!E696</f>
        <v>330.14</v>
      </c>
    </row>
    <row r="695">
      <c r="A695" s="12">
        <f>CMP!C697</f>
        <v>335.4</v>
      </c>
      <c r="B695" s="12">
        <f>CMP!E697</f>
        <v>367.13</v>
      </c>
    </row>
    <row r="696">
      <c r="A696" s="12">
        <f>CMP!C698</f>
        <v>379.8</v>
      </c>
      <c r="B696" s="12">
        <f>CMP!E698</f>
        <v>377.42</v>
      </c>
    </row>
    <row r="697">
      <c r="A697" s="12">
        <f>CMP!C699</f>
        <v>373</v>
      </c>
      <c r="B697" s="12">
        <f>CMP!E699</f>
        <v>375.71</v>
      </c>
    </row>
    <row r="698">
      <c r="A698" s="12">
        <f>CMP!C700</f>
        <v>372.14</v>
      </c>
      <c r="B698" s="12">
        <f>CMP!E700</f>
        <v>400.37</v>
      </c>
    </row>
    <row r="699">
      <c r="A699" s="12">
        <f>CMP!C701</f>
        <v>408.95</v>
      </c>
      <c r="B699" s="12">
        <f>CMP!E701</f>
        <v>410</v>
      </c>
    </row>
    <row r="700">
      <c r="A700" s="12">
        <f>CMP!C702</f>
        <v>425.26</v>
      </c>
      <c r="B700" s="12">
        <f>CMP!E702</f>
        <v>402.84</v>
      </c>
    </row>
    <row r="701">
      <c r="A701" s="12">
        <f>CMP!C703</f>
        <v>394.98</v>
      </c>
      <c r="B701" s="12">
        <f>CMP!E703</f>
        <v>404.67</v>
      </c>
    </row>
    <row r="702">
      <c r="A702" s="12">
        <f>CMP!C704</f>
        <v>412</v>
      </c>
      <c r="B702" s="12">
        <f>CMP!E704</f>
        <v>430.63</v>
      </c>
    </row>
    <row r="703">
      <c r="A703" s="12">
        <f>CMP!C705</f>
        <v>436.09</v>
      </c>
      <c r="B703" s="12">
        <f>CMP!E705</f>
        <v>447.75</v>
      </c>
    </row>
    <row r="704">
      <c r="A704" s="12">
        <f>CMP!C706</f>
        <v>459.02</v>
      </c>
      <c r="B704" s="12">
        <f>CMP!E706</f>
        <v>442.68</v>
      </c>
    </row>
    <row r="705">
      <c r="A705" s="12">
        <f>CMP!C707</f>
        <v>444.61</v>
      </c>
      <c r="B705" s="12">
        <f>CMP!E707</f>
        <v>498.32</v>
      </c>
    </row>
    <row r="706">
      <c r="A706" s="12">
        <f>CMP!C708</f>
        <v>502.14</v>
      </c>
      <c r="B706" s="12">
        <f>CMP!E708</f>
        <v>475.05</v>
      </c>
    </row>
    <row r="707">
      <c r="A707" s="12">
        <f>CMP!C709</f>
        <v>478.99</v>
      </c>
      <c r="B707" s="12">
        <f>CMP!E709</f>
        <v>447.37</v>
      </c>
    </row>
    <row r="708">
      <c r="A708" s="12">
        <f>CMP!C710</f>
        <v>407.23</v>
      </c>
      <c r="B708" s="12">
        <f>CMP!E710</f>
        <v>407</v>
      </c>
    </row>
    <row r="709">
      <c r="A709" s="12">
        <f>CMP!C711</f>
        <v>402.81</v>
      </c>
      <c r="B709" s="12">
        <f>CMP!E711</f>
        <v>418.32</v>
      </c>
    </row>
    <row r="710">
      <c r="A710" s="12">
        <f>CMP!C712</f>
        <v>356</v>
      </c>
      <c r="B710" s="12">
        <f>CMP!E712</f>
        <v>330.21</v>
      </c>
    </row>
    <row r="711">
      <c r="A711" s="12">
        <f>CMP!C713</f>
        <v>356.6</v>
      </c>
      <c r="B711" s="12">
        <f>CMP!E713</f>
        <v>366.28</v>
      </c>
    </row>
    <row r="712">
      <c r="A712" s="12">
        <f>CMP!C714</f>
        <v>386.21</v>
      </c>
      <c r="B712" s="12">
        <f>CMP!E714</f>
        <v>371.34</v>
      </c>
    </row>
    <row r="713">
      <c r="A713" s="12">
        <f>CMP!C715</f>
        <v>381.94</v>
      </c>
      <c r="B713" s="12">
        <f>CMP!E715</f>
        <v>372.72</v>
      </c>
    </row>
    <row r="714">
      <c r="A714" s="12">
        <f>CMP!C716</f>
        <v>380.95</v>
      </c>
      <c r="B714" s="12">
        <f>CMP!E716</f>
        <v>419.62</v>
      </c>
    </row>
    <row r="715">
      <c r="A715" s="12">
        <f>CMP!C717</f>
        <v>436.56</v>
      </c>
      <c r="B715" s="12">
        <f>CMP!E717</f>
        <v>449.76</v>
      </c>
    </row>
    <row r="716">
      <c r="A716" s="12">
        <f>CMP!C718</f>
        <v>439.87</v>
      </c>
      <c r="B716" s="12">
        <f>CMP!E718</f>
        <v>441.76</v>
      </c>
    </row>
    <row r="717">
      <c r="A717" s="12">
        <f>CMP!C719</f>
        <v>415.6</v>
      </c>
      <c r="B717" s="12">
        <f>CMP!E719</f>
        <v>423.43</v>
      </c>
    </row>
    <row r="718">
      <c r="A718" s="12">
        <f>CMP!C720</f>
        <v>447.94</v>
      </c>
      <c r="B718" s="12">
        <f>CMP!E720</f>
        <v>442.15</v>
      </c>
    </row>
    <row r="719">
      <c r="A719" s="12">
        <f>CMP!C721</f>
        <v>453.13</v>
      </c>
      <c r="B719" s="12">
        <f>CMP!E721</f>
        <v>449.39</v>
      </c>
    </row>
    <row r="720">
      <c r="A720" s="12">
        <f>CMP!C722</f>
        <v>429.6</v>
      </c>
      <c r="B720" s="12">
        <f>CMP!E722</f>
        <v>424.23</v>
      </c>
    </row>
    <row r="721">
      <c r="A721" s="12">
        <f>CMP!C723</f>
        <v>405.16</v>
      </c>
      <c r="B721" s="12">
        <f>CMP!E723</f>
        <v>380.36</v>
      </c>
    </row>
    <row r="722">
      <c r="A722" s="12">
        <f>CMP!C724</f>
        <v>363.8</v>
      </c>
      <c r="B722" s="12">
        <f>CMP!E724</f>
        <v>387.79</v>
      </c>
    </row>
    <row r="723">
      <c r="A723" s="12">
        <f>CMP!C725</f>
        <v>393.47</v>
      </c>
      <c r="B723" s="12">
        <f>CMP!E725</f>
        <v>407.34</v>
      </c>
    </row>
    <row r="724">
      <c r="A724" s="12">
        <f>CMP!C726</f>
        <v>424.62</v>
      </c>
      <c r="B724" s="12">
        <f>CMP!E726</f>
        <v>421.2</v>
      </c>
    </row>
    <row r="725">
      <c r="A725" s="12">
        <f>CMP!C727</f>
        <v>416</v>
      </c>
      <c r="B725" s="12">
        <f>CMP!E727</f>
        <v>419.07</v>
      </c>
    </row>
    <row r="726">
      <c r="A726" s="12">
        <f>CMP!C728</f>
        <v>421.32</v>
      </c>
      <c r="B726" s="12">
        <f>CMP!E728</f>
        <v>429.01</v>
      </c>
    </row>
    <row r="727">
      <c r="A727" s="12">
        <f>CMP!C729</f>
        <v>440.76</v>
      </c>
      <c r="B727" s="12">
        <f>CMP!E729</f>
        <v>448.16</v>
      </c>
    </row>
    <row r="728">
      <c r="A728" s="12">
        <f>CMP!C730</f>
        <v>421.39</v>
      </c>
      <c r="B728" s="12">
        <f>CMP!E730</f>
        <v>415.09</v>
      </c>
    </row>
    <row r="729">
      <c r="A729" s="12">
        <f>CMP!C731</f>
        <v>423.35</v>
      </c>
      <c r="B729" s="12">
        <f>CMP!E731</f>
        <v>425.68</v>
      </c>
    </row>
    <row r="730">
      <c r="A730" s="12">
        <f>CMP!C732</f>
        <v>423.79</v>
      </c>
      <c r="B730" s="12">
        <f>CMP!E732</f>
        <v>413.98</v>
      </c>
    </row>
    <row r="731">
      <c r="A731" s="12">
        <f>CMP!C733</f>
        <v>419.87</v>
      </c>
      <c r="B731" s="12">
        <f>CMP!E733</f>
        <v>425.3</v>
      </c>
    </row>
    <row r="732">
      <c r="A732" s="12">
        <f>CMP!C734</f>
        <v>438.44</v>
      </c>
      <c r="B732" s="12">
        <f>CMP!E734</f>
        <v>425.92</v>
      </c>
    </row>
    <row r="733">
      <c r="A733" s="12">
        <f>CMP!C735</f>
        <v>430.13</v>
      </c>
      <c r="B733" s="12">
        <f>CMP!E735</f>
        <v>434</v>
      </c>
    </row>
    <row r="734">
      <c r="A734" s="12">
        <f>CMP!C736</f>
        <v>442</v>
      </c>
      <c r="B734" s="12">
        <f>CMP!E736</f>
        <v>442.3</v>
      </c>
    </row>
    <row r="735">
      <c r="A735" s="12">
        <f>CMP!C737</f>
        <v>443.35</v>
      </c>
      <c r="B735" s="12">
        <f>CMP!E737</f>
        <v>446.65</v>
      </c>
    </row>
    <row r="736">
      <c r="A736" s="12">
        <f>CMP!C738</f>
        <v>449.78</v>
      </c>
      <c r="B736" s="12">
        <f>CMP!E738</f>
        <v>461.3</v>
      </c>
    </row>
    <row r="737">
      <c r="A737" s="12">
        <f>CMP!C739</f>
        <v>450.31</v>
      </c>
      <c r="B737" s="12">
        <f>CMP!E739</f>
        <v>448.88</v>
      </c>
    </row>
    <row r="738">
      <c r="A738" s="12">
        <f>CMP!C740</f>
        <v>454.44</v>
      </c>
      <c r="B738" s="12">
        <f>CMP!E740</f>
        <v>439.67</v>
      </c>
    </row>
    <row r="739">
      <c r="A739" s="12">
        <f>CMP!C741</f>
        <v>446.24</v>
      </c>
      <c r="B739" s="12">
        <f>CMP!E741</f>
        <v>430.83</v>
      </c>
    </row>
    <row r="740">
      <c r="A740" s="12">
        <f>CMP!C742</f>
        <v>431.75</v>
      </c>
      <c r="B740" s="12">
        <f>CMP!E742</f>
        <v>421.94</v>
      </c>
    </row>
    <row r="741">
      <c r="A741" s="12">
        <f>CMP!C743</f>
        <v>422.7</v>
      </c>
      <c r="B741" s="12">
        <f>CMP!E743</f>
        <v>422.64</v>
      </c>
    </row>
    <row r="742">
      <c r="A742" s="12">
        <f>CMP!C744</f>
        <v>441.92</v>
      </c>
      <c r="B742" s="12">
        <f>CMP!E744</f>
        <v>425.79</v>
      </c>
    </row>
    <row r="743">
      <c r="A743" s="12">
        <f>CMP!C745</f>
        <v>421.84</v>
      </c>
      <c r="B743" s="12">
        <f>CMP!E745</f>
        <v>420.63</v>
      </c>
    </row>
    <row r="744">
      <c r="A744" s="12">
        <f>CMP!C746</f>
        <v>411.63</v>
      </c>
      <c r="B744" s="12">
        <f>CMP!E746</f>
        <v>420.28</v>
      </c>
    </row>
    <row r="745">
      <c r="A745" s="12">
        <f>CMP!C747</f>
        <v>423.76</v>
      </c>
      <c r="B745" s="12">
        <f>CMP!E747</f>
        <v>424.68</v>
      </c>
    </row>
    <row r="746">
      <c r="A746" s="12">
        <f>CMP!C748</f>
        <v>416.48</v>
      </c>
      <c r="B746" s="12">
        <f>CMP!E748</f>
        <v>406.02</v>
      </c>
    </row>
    <row r="747">
      <c r="A747" s="12">
        <f>CMP!C749</f>
        <v>409.96</v>
      </c>
      <c r="B747" s="12">
        <f>CMP!E749</f>
        <v>410.83</v>
      </c>
    </row>
    <row r="748">
      <c r="A748" s="12">
        <f>CMP!C750</f>
        <v>406.9</v>
      </c>
      <c r="B748" s="12">
        <f>CMP!E750</f>
        <v>388.04</v>
      </c>
    </row>
    <row r="749">
      <c r="A749" s="12">
        <f>CMP!C751</f>
        <v>394</v>
      </c>
      <c r="B749" s="12">
        <f>CMP!E751</f>
        <v>400.51</v>
      </c>
    </row>
    <row r="750">
      <c r="A750" s="12">
        <f>CMP!C752</f>
        <v>409.73</v>
      </c>
      <c r="B750" s="12">
        <f>CMP!E752</f>
        <v>423.9</v>
      </c>
    </row>
    <row r="751">
      <c r="A751" s="12">
        <f>CMP!C753</f>
        <v>430.62</v>
      </c>
      <c r="B751" s="12">
        <f>CMP!E753</f>
        <v>420.98</v>
      </c>
    </row>
    <row r="752">
      <c r="A752" s="12">
        <f>CMP!C754</f>
        <v>428.3</v>
      </c>
      <c r="B752" s="12">
        <f>CMP!E754</f>
        <v>438.09</v>
      </c>
    </row>
    <row r="753">
      <c r="A753" s="12">
        <f>CMP!C755</f>
        <v>436.1</v>
      </c>
      <c r="B753" s="12">
        <f>CMP!E755</f>
        <v>429.95</v>
      </c>
    </row>
    <row r="754">
      <c r="A754" s="12">
        <f>CMP!C756</f>
        <v>439.5</v>
      </c>
      <c r="B754" s="12">
        <f>CMP!E756</f>
        <v>421.26</v>
      </c>
    </row>
    <row r="755">
      <c r="A755" s="12">
        <f>CMP!C757</f>
        <v>420.09</v>
      </c>
      <c r="B755" s="12">
        <f>CMP!E757</f>
        <v>410.36</v>
      </c>
    </row>
    <row r="756">
      <c r="A756" s="12">
        <f>CMP!C758</f>
        <v>416.45</v>
      </c>
      <c r="B756" s="12">
        <f>CMP!E758</f>
        <v>417.13</v>
      </c>
    </row>
    <row r="757">
      <c r="A757" s="12">
        <f>CMP!C759</f>
        <v>415.05</v>
      </c>
      <c r="B757" s="12">
        <f>CMP!E759</f>
        <v>411.76</v>
      </c>
    </row>
    <row r="758">
      <c r="A758" s="12">
        <f>CMP!C760</f>
        <v>410.85</v>
      </c>
      <c r="B758" s="12">
        <f>CMP!E760</f>
        <v>408.5</v>
      </c>
    </row>
    <row r="759">
      <c r="A759" s="12">
        <f>CMP!C761</f>
        <v>408.93</v>
      </c>
      <c r="B759" s="12">
        <f>CMP!E761</f>
        <v>408.09</v>
      </c>
    </row>
    <row r="760">
      <c r="A760" s="12">
        <f>CMP!C762</f>
        <v>460.17</v>
      </c>
      <c r="B760" s="12">
        <f>CMP!E762</f>
        <v>441.61</v>
      </c>
    </row>
    <row r="761">
      <c r="A761" s="12">
        <f>CMP!C763</f>
        <v>448.35</v>
      </c>
      <c r="B761" s="12">
        <f>CMP!E763</f>
        <v>486.64</v>
      </c>
    </row>
    <row r="762">
      <c r="A762" s="12">
        <f>CMP!C764</f>
        <v>492</v>
      </c>
      <c r="B762" s="12">
        <f>CMP!E764</f>
        <v>499.27</v>
      </c>
    </row>
    <row r="763">
      <c r="A763" s="12">
        <f>CMP!C765</f>
        <v>497.99</v>
      </c>
      <c r="B763" s="12">
        <f>CMP!E765</f>
        <v>489.61</v>
      </c>
    </row>
    <row r="764">
      <c r="A764" s="12">
        <f>CMP!C766</f>
        <v>503.5</v>
      </c>
      <c r="B764" s="12">
        <f>CMP!E766</f>
        <v>521.85</v>
      </c>
    </row>
    <row r="765">
      <c r="A765" s="12">
        <f>CMP!C767</f>
        <v>540.4</v>
      </c>
      <c r="B765" s="12">
        <f>CMP!E767</f>
        <v>555.38</v>
      </c>
    </row>
    <row r="766">
      <c r="A766" s="12">
        <f>CMP!C768</f>
        <v>550.06</v>
      </c>
      <c r="B766" s="12">
        <f>CMP!E768</f>
        <v>574</v>
      </c>
    </row>
    <row r="767">
      <c r="A767" s="12">
        <f>CMP!C769</f>
        <v>581.16</v>
      </c>
      <c r="B767" s="12">
        <f>CMP!E769</f>
        <v>585.76</v>
      </c>
    </row>
    <row r="768">
      <c r="A768" s="12">
        <f>CMP!C770</f>
        <v>602.21</v>
      </c>
      <c r="B768" s="12">
        <f>CMP!E770</f>
        <v>567.6</v>
      </c>
    </row>
    <row r="769">
      <c r="A769" s="12">
        <f>CMP!C771</f>
        <v>597.59</v>
      </c>
      <c r="B769" s="12">
        <f>CMP!E771</f>
        <v>584.76</v>
      </c>
    </row>
    <row r="770">
      <c r="A770" s="12">
        <f>CMP!C772</f>
        <v>556.44</v>
      </c>
      <c r="B770" s="12">
        <f>CMP!E772</f>
        <v>568.82</v>
      </c>
    </row>
    <row r="771">
      <c r="A771" s="12">
        <f>CMP!C773</f>
        <v>590.02</v>
      </c>
      <c r="B771" s="12">
        <f>CMP!E773</f>
        <v>593.38</v>
      </c>
    </row>
    <row r="772">
      <c r="A772" s="12">
        <f>CMP!C774</f>
        <v>591.01</v>
      </c>
      <c r="B772" s="12">
        <f>CMP!E774</f>
        <v>599.04</v>
      </c>
    </row>
    <row r="773">
      <c r="A773" s="12">
        <f>CMP!C775</f>
        <v>604.92</v>
      </c>
      <c r="B773" s="12">
        <f>CMP!E775</f>
        <v>641.76</v>
      </c>
    </row>
    <row r="774">
      <c r="A774" s="12">
        <f>CMP!C776</f>
        <v>625.51</v>
      </c>
      <c r="B774" s="12">
        <f>CMP!E776</f>
        <v>649.88</v>
      </c>
    </row>
    <row r="775">
      <c r="A775" s="12">
        <f>CMP!C777</f>
        <v>653.69</v>
      </c>
      <c r="B775" s="12">
        <f>CMP!E777</f>
        <v>604.48</v>
      </c>
    </row>
    <row r="776">
      <c r="A776" s="12">
        <f>CMP!C778</f>
        <v>574.37</v>
      </c>
      <c r="B776" s="12">
        <f>CMP!E778</f>
        <v>627.07</v>
      </c>
    </row>
    <row r="777">
      <c r="A777" s="12">
        <f>CMP!C779</f>
        <v>615.01</v>
      </c>
      <c r="B777" s="12">
        <f>CMP!E779</f>
        <v>609.99</v>
      </c>
    </row>
    <row r="778">
      <c r="A778" s="12">
        <f>CMP!C780</f>
        <v>619</v>
      </c>
      <c r="B778" s="12">
        <f>CMP!E780</f>
        <v>639.83</v>
      </c>
    </row>
    <row r="779">
      <c r="A779" s="12">
        <f>CMP!C781</f>
        <v>643.28</v>
      </c>
      <c r="B779" s="12">
        <f>CMP!E781</f>
        <v>633.25</v>
      </c>
    </row>
    <row r="780">
      <c r="A780" s="12">
        <f>CMP!C782</f>
        <v>628.23</v>
      </c>
      <c r="B780" s="12">
        <f>CMP!E782</f>
        <v>622.77</v>
      </c>
    </row>
    <row r="781">
      <c r="A781" s="12">
        <f>CMP!C783</f>
        <v>628.19</v>
      </c>
      <c r="B781" s="12">
        <f>CMP!E783</f>
        <v>655.9</v>
      </c>
    </row>
    <row r="782">
      <c r="A782" s="12">
        <f>CMP!C784</f>
        <v>668.9</v>
      </c>
      <c r="B782" s="12">
        <f>CMP!E784</f>
        <v>695</v>
      </c>
    </row>
    <row r="783">
      <c r="A783" s="12">
        <f>CMP!C785</f>
        <v>666.24</v>
      </c>
      <c r="B783" s="12">
        <f>CMP!E785</f>
        <v>649.86</v>
      </c>
    </row>
    <row r="784">
      <c r="A784" s="12">
        <f>CMP!C786</f>
        <v>648</v>
      </c>
      <c r="B784" s="12">
        <f>CMP!E786</f>
        <v>640.34</v>
      </c>
    </row>
    <row r="785">
      <c r="A785" s="12">
        <f>CMP!C787</f>
        <v>632.2</v>
      </c>
      <c r="B785" s="12">
        <f>CMP!E787</f>
        <v>645.98</v>
      </c>
    </row>
    <row r="786">
      <c r="A786" s="12">
        <f>CMP!C788</f>
        <v>642.99</v>
      </c>
      <c r="B786" s="12">
        <f>CMP!E788</f>
        <v>661.77</v>
      </c>
    </row>
    <row r="787">
      <c r="A787" s="12">
        <f>CMP!C789</f>
        <v>674.51</v>
      </c>
      <c r="B787" s="12">
        <f>CMP!E789</f>
        <v>663.69</v>
      </c>
    </row>
    <row r="788">
      <c r="A788" s="12">
        <f>CMP!C790</f>
        <v>661</v>
      </c>
      <c r="B788" s="12">
        <f>CMP!E790</f>
        <v>665.99</v>
      </c>
    </row>
    <row r="789">
      <c r="A789" s="12">
        <f>CMP!C791</f>
        <v>672</v>
      </c>
      <c r="B789" s="12">
        <f>CMP!E791</f>
        <v>694.78</v>
      </c>
    </row>
    <row r="790">
      <c r="A790" s="12">
        <f>CMP!C792</f>
        <v>699.99</v>
      </c>
      <c r="B790" s="12">
        <f>CMP!E792</f>
        <v>705.67</v>
      </c>
    </row>
    <row r="791">
      <c r="A791" s="12">
        <f>CMP!C793</f>
        <v>719.46</v>
      </c>
      <c r="B791" s="12">
        <f>CMP!E793</f>
        <v>729.77</v>
      </c>
    </row>
    <row r="792">
      <c r="A792" s="12">
        <f>CMP!C794</f>
        <v>723.66</v>
      </c>
      <c r="B792" s="12">
        <f>CMP!E794</f>
        <v>735.11</v>
      </c>
    </row>
    <row r="793">
      <c r="A793" s="12">
        <f>CMP!C795</f>
        <v>758.49</v>
      </c>
      <c r="B793" s="12">
        <f>CMP!E795</f>
        <v>755.98</v>
      </c>
    </row>
    <row r="794">
      <c r="A794" s="12">
        <f>CMP!C796</f>
        <v>777.63</v>
      </c>
      <c r="B794" s="12">
        <f>CMP!E796</f>
        <v>816.04</v>
      </c>
    </row>
    <row r="795">
      <c r="A795" s="12">
        <f>CMP!C797</f>
        <v>856</v>
      </c>
      <c r="B795" s="12">
        <f>CMP!E797</f>
        <v>880.02</v>
      </c>
    </row>
    <row r="796">
      <c r="A796" s="12">
        <f>CMP!C798</f>
        <v>849.4</v>
      </c>
      <c r="B796" s="12">
        <f>CMP!E798</f>
        <v>811.19</v>
      </c>
    </row>
    <row r="797">
      <c r="A797" s="12">
        <f>CMP!C799</f>
        <v>831</v>
      </c>
      <c r="B797" s="12">
        <f>CMP!E799</f>
        <v>849.44</v>
      </c>
    </row>
    <row r="798">
      <c r="A798" s="12">
        <f>CMP!C800</f>
        <v>852.76</v>
      </c>
      <c r="B798" s="12">
        <f>CMP!E800</f>
        <v>854.41</v>
      </c>
    </row>
    <row r="799">
      <c r="A799" s="12">
        <f>CMP!C801</f>
        <v>843.39</v>
      </c>
      <c r="B799" s="12">
        <f>CMP!E801</f>
        <v>845</v>
      </c>
    </row>
    <row r="800">
      <c r="A800" s="12">
        <f>CMP!C802</f>
        <v>852</v>
      </c>
      <c r="B800" s="12">
        <f>CMP!E802</f>
        <v>826.16</v>
      </c>
    </row>
    <row r="801">
      <c r="A801" s="12">
        <f>CMP!C803</f>
        <v>837.8</v>
      </c>
      <c r="B801" s="12">
        <f>CMP!E803</f>
        <v>844.55</v>
      </c>
    </row>
    <row r="802">
      <c r="A802" s="12">
        <f>CMP!C804</f>
        <v>858.74</v>
      </c>
      <c r="B802" s="12">
        <f>CMP!E804</f>
        <v>850.45</v>
      </c>
    </row>
    <row r="803">
      <c r="A803" s="12">
        <f>CMP!C805</f>
        <v>855</v>
      </c>
      <c r="B803" s="12">
        <f>CMP!E805</f>
        <v>844.99</v>
      </c>
    </row>
    <row r="804">
      <c r="A804" s="12">
        <f>CMP!C806</f>
        <v>834.31</v>
      </c>
      <c r="B804" s="12">
        <f>CMP!E806</f>
        <v>846.64</v>
      </c>
    </row>
    <row r="805">
      <c r="A805" s="12">
        <f>CMP!C807</f>
        <v>855</v>
      </c>
      <c r="B805" s="12">
        <f>CMP!E807</f>
        <v>880.8</v>
      </c>
    </row>
    <row r="806">
      <c r="A806" s="12">
        <f>CMP!C808</f>
        <v>891.38</v>
      </c>
      <c r="B806" s="12">
        <f>CMP!E808</f>
        <v>883.09</v>
      </c>
    </row>
    <row r="807">
      <c r="A807" s="12">
        <f>CMP!C809</f>
        <v>870.35</v>
      </c>
      <c r="B807" s="12">
        <f>CMP!E809</f>
        <v>864.16</v>
      </c>
    </row>
    <row r="808">
      <c r="A808" s="12">
        <f>CMP!C810</f>
        <v>820</v>
      </c>
      <c r="B808" s="12">
        <f>CMP!E810</f>
        <v>835.43</v>
      </c>
    </row>
    <row r="809">
      <c r="A809" s="12">
        <f>CMP!C811</f>
        <v>830</v>
      </c>
      <c r="B809" s="12">
        <f>CMP!E811</f>
        <v>793.53</v>
      </c>
    </row>
    <row r="810">
      <c r="A810" s="12">
        <f>CMP!C812</f>
        <v>814.29</v>
      </c>
      <c r="B810" s="12">
        <f>CMP!E812</f>
        <v>839.81</v>
      </c>
    </row>
    <row r="811">
      <c r="A811" s="12">
        <f>CMP!C813</f>
        <v>844.68</v>
      </c>
      <c r="B811" s="12">
        <f>CMP!E813</f>
        <v>872.79</v>
      </c>
    </row>
    <row r="812">
      <c r="A812" s="12">
        <f>CMP!C814</f>
        <v>877.02</v>
      </c>
      <c r="B812" s="12">
        <f>CMP!E814</f>
        <v>854.69</v>
      </c>
    </row>
    <row r="813">
      <c r="A813" s="12">
        <f>CMP!C815</f>
        <v>855</v>
      </c>
      <c r="B813" s="12">
        <f>CMP!E815</f>
        <v>849.99</v>
      </c>
    </row>
    <row r="814">
      <c r="A814" s="12">
        <f>CMP!C816</f>
        <v>845</v>
      </c>
      <c r="B814" s="12">
        <f>CMP!E816</f>
        <v>852.23</v>
      </c>
    </row>
    <row r="815">
      <c r="A815" s="12">
        <f>CMP!C817</f>
        <v>869.67</v>
      </c>
      <c r="B815" s="12">
        <f>CMP!E817</f>
        <v>863.42</v>
      </c>
    </row>
    <row r="816">
      <c r="A816" s="12">
        <f>CMP!C818</f>
        <v>855.12</v>
      </c>
      <c r="B816" s="12">
        <f>CMP!E818</f>
        <v>849.46</v>
      </c>
    </row>
    <row r="817">
      <c r="A817" s="12">
        <f>CMP!C819</f>
        <v>843.64</v>
      </c>
      <c r="B817" s="12">
        <f>CMP!E819</f>
        <v>804.82</v>
      </c>
    </row>
    <row r="818">
      <c r="A818" s="12">
        <f>CMP!C820</f>
        <v>812.44</v>
      </c>
      <c r="B818" s="12">
        <f>CMP!E820</f>
        <v>811.66</v>
      </c>
    </row>
    <row r="819">
      <c r="A819" s="12">
        <f>CMP!C821</f>
        <v>801.26</v>
      </c>
      <c r="B819" s="12">
        <f>CMP!E821</f>
        <v>816.12</v>
      </c>
    </row>
    <row r="820">
      <c r="A820" s="12">
        <f>CMP!C822</f>
        <v>818</v>
      </c>
      <c r="B820" s="12">
        <f>CMP!E822</f>
        <v>796.22</v>
      </c>
    </row>
    <row r="821">
      <c r="A821" s="12">
        <f>CMP!C823</f>
        <v>779.09</v>
      </c>
      <c r="B821" s="12">
        <f>CMP!E823</f>
        <v>798.15</v>
      </c>
    </row>
    <row r="822">
      <c r="A822" s="12">
        <f>CMP!C824</f>
        <v>780.9</v>
      </c>
      <c r="B822" s="12">
        <f>CMP!E824</f>
        <v>787.38</v>
      </c>
    </row>
    <row r="823">
      <c r="A823" s="12">
        <f>CMP!C825</f>
        <v>795</v>
      </c>
      <c r="B823" s="12">
        <f>CMP!E825</f>
        <v>781.3</v>
      </c>
    </row>
    <row r="824">
      <c r="A824" s="12">
        <f>CMP!C826</f>
        <v>762.64</v>
      </c>
      <c r="B824" s="12">
        <f>CMP!E826</f>
        <v>714.5</v>
      </c>
    </row>
    <row r="825">
      <c r="A825" s="12">
        <f>CMP!C827</f>
        <v>662.13</v>
      </c>
      <c r="B825" s="12">
        <f>CMP!E827</f>
        <v>698.84</v>
      </c>
    </row>
    <row r="826">
      <c r="A826" s="12">
        <f>CMP!C828</f>
        <v>711.85</v>
      </c>
      <c r="B826" s="12">
        <f>CMP!E828</f>
        <v>742.02</v>
      </c>
    </row>
    <row r="827">
      <c r="A827" s="12">
        <f>CMP!C829</f>
        <v>726.15</v>
      </c>
      <c r="B827" s="12">
        <f>CMP!E829</f>
        <v>682.22</v>
      </c>
    </row>
    <row r="828">
      <c r="A828" s="12">
        <f>CMP!C830</f>
        <v>700</v>
      </c>
      <c r="B828" s="12">
        <f>CMP!E830</f>
        <v>675.5</v>
      </c>
    </row>
    <row r="829">
      <c r="A829" s="12">
        <f>CMP!C831</f>
        <v>690.11</v>
      </c>
      <c r="B829" s="12">
        <f>CMP!E831</f>
        <v>718.43</v>
      </c>
    </row>
    <row r="830">
      <c r="A830" s="12">
        <f>CMP!C832</f>
        <v>718.28</v>
      </c>
      <c r="B830" s="12">
        <f>CMP!E832</f>
        <v>686.44</v>
      </c>
    </row>
    <row r="831">
      <c r="A831" s="12">
        <f>CMP!C833</f>
        <v>687.99</v>
      </c>
      <c r="B831" s="12">
        <f>CMP!E833</f>
        <v>653.2</v>
      </c>
    </row>
    <row r="832">
      <c r="A832" s="12">
        <f>CMP!C834</f>
        <v>655.8</v>
      </c>
      <c r="B832" s="12">
        <f>CMP!E834</f>
        <v>621.44</v>
      </c>
    </row>
    <row r="833">
      <c r="A833" s="12">
        <f>CMP!C835</f>
        <v>626.06</v>
      </c>
      <c r="B833" s="12">
        <f>CMP!E835</f>
        <v>597.95</v>
      </c>
    </row>
    <row r="834">
      <c r="A834" s="12">
        <f>CMP!C836</f>
        <v>600.55</v>
      </c>
      <c r="B834" s="12">
        <f>CMP!E836</f>
        <v>563</v>
      </c>
    </row>
    <row r="835">
      <c r="A835" s="12">
        <f>CMP!C837</f>
        <v>608.18</v>
      </c>
      <c r="B835" s="12">
        <f>CMP!E837</f>
        <v>673.58</v>
      </c>
    </row>
    <row r="836">
      <c r="A836" s="12">
        <f>CMP!C838</f>
        <v>700.3</v>
      </c>
      <c r="B836" s="12">
        <f>CMP!E838</f>
        <v>668.06</v>
      </c>
    </row>
    <row r="837">
      <c r="A837" s="12">
        <f>CMP!C839</f>
        <v>699.4</v>
      </c>
      <c r="B837" s="12">
        <f>CMP!E839</f>
        <v>699.6</v>
      </c>
    </row>
    <row r="838">
      <c r="A838" s="12">
        <f>CMP!C840</f>
        <v>670</v>
      </c>
      <c r="B838" s="12">
        <f>CMP!E840</f>
        <v>693.73</v>
      </c>
    </row>
    <row r="839">
      <c r="A839" s="12">
        <f>CMP!C841</f>
        <v>694.09</v>
      </c>
      <c r="B839" s="12">
        <f>CMP!E841</f>
        <v>707.94</v>
      </c>
    </row>
    <row r="840">
      <c r="A840" s="12">
        <f>CMP!C842</f>
        <v>703.35</v>
      </c>
      <c r="B840" s="12">
        <f>CMP!E842</f>
        <v>676.88</v>
      </c>
    </row>
    <row r="841">
      <c r="A841" s="12">
        <f>CMP!C843</f>
        <v>656.87</v>
      </c>
      <c r="B841" s="12">
        <f>CMP!E843</f>
        <v>701.81</v>
      </c>
    </row>
    <row r="842">
      <c r="A842" s="12">
        <f>CMP!C844</f>
        <v>684.29</v>
      </c>
      <c r="B842" s="12">
        <f>CMP!E844</f>
        <v>653.16</v>
      </c>
    </row>
    <row r="843">
      <c r="A843" s="12">
        <f>CMP!C845</f>
        <v>646.6</v>
      </c>
      <c r="B843" s="12">
        <f>CMP!E845</f>
        <v>654.87</v>
      </c>
    </row>
    <row r="844">
      <c r="A844" s="12">
        <f>CMP!C846</f>
        <v>684.59</v>
      </c>
      <c r="B844" s="12">
        <f>CMP!E846</f>
        <v>670</v>
      </c>
    </row>
    <row r="845">
      <c r="A845" s="12">
        <f>CMP!C847</f>
        <v>675.77</v>
      </c>
      <c r="B845" s="12">
        <f>CMP!E847</f>
        <v>662.16</v>
      </c>
    </row>
    <row r="846">
      <c r="A846" s="12">
        <f>CMP!C848</f>
        <v>667.91</v>
      </c>
      <c r="B846" s="12">
        <f>CMP!E848</f>
        <v>630.27</v>
      </c>
    </row>
    <row r="847">
      <c r="A847" s="12">
        <f>CMP!C849</f>
        <v>613</v>
      </c>
      <c r="B847" s="12">
        <f>CMP!E849</f>
        <v>640.39</v>
      </c>
    </row>
    <row r="848">
      <c r="A848" s="12">
        <f>CMP!C850</f>
        <v>641.87</v>
      </c>
      <c r="B848" s="12">
        <f>CMP!E850</f>
        <v>618.71</v>
      </c>
    </row>
    <row r="849">
      <c r="A849" s="12">
        <f>CMP!C851</f>
        <v>615.64</v>
      </c>
      <c r="B849" s="12">
        <f>CMP!E851</f>
        <v>611.29</v>
      </c>
    </row>
    <row r="850">
      <c r="A850" s="12">
        <f>CMP!C852</f>
        <v>601.75</v>
      </c>
      <c r="B850" s="12">
        <f>CMP!E852</f>
        <v>635.62</v>
      </c>
    </row>
    <row r="851">
      <c r="A851" s="12">
        <f>CMP!C853</f>
        <v>646.62</v>
      </c>
      <c r="B851" s="12">
        <f>CMP!E853</f>
        <v>667.93</v>
      </c>
    </row>
    <row r="852">
      <c r="A852" s="12">
        <f>CMP!C854</f>
        <v>688.37</v>
      </c>
      <c r="B852" s="12">
        <f>CMP!E854</f>
        <v>661.75</v>
      </c>
    </row>
    <row r="853">
      <c r="A853" s="12">
        <f>CMP!C855</f>
        <v>707.71</v>
      </c>
      <c r="B853" s="12">
        <f>CMP!E855</f>
        <v>691.05</v>
      </c>
    </row>
    <row r="854">
      <c r="A854" s="12">
        <f>CMP!C856</f>
        <v>690.3</v>
      </c>
      <c r="B854" s="12">
        <f>CMP!E856</f>
        <v>691.62</v>
      </c>
    </row>
    <row r="855">
      <c r="A855" s="12">
        <f>CMP!C857</f>
        <v>687</v>
      </c>
      <c r="B855" s="12">
        <f>CMP!E857</f>
        <v>670.97</v>
      </c>
    </row>
    <row r="856">
      <c r="A856" s="12">
        <f>CMP!C858</f>
        <v>677.38</v>
      </c>
      <c r="B856" s="12">
        <f>CMP!E858</f>
        <v>683.8</v>
      </c>
    </row>
    <row r="857">
      <c r="A857" s="12">
        <f>CMP!C859</f>
        <v>677.77</v>
      </c>
      <c r="B857" s="12">
        <f>CMP!E859</f>
        <v>677.02</v>
      </c>
    </row>
    <row r="858">
      <c r="A858" s="12">
        <f>CMP!C860</f>
        <v>685.7</v>
      </c>
      <c r="B858" s="12">
        <f>CMP!E860</f>
        <v>701.98</v>
      </c>
    </row>
    <row r="859">
      <c r="A859" s="12">
        <f>CMP!C861</f>
        <v>712.7</v>
      </c>
      <c r="B859" s="12">
        <f>CMP!E861</f>
        <v>762.32</v>
      </c>
    </row>
    <row r="860">
      <c r="A860" s="12">
        <f>CMP!C862</f>
        <v>770.7</v>
      </c>
      <c r="B860" s="12">
        <f>CMP!E862</f>
        <v>732.23</v>
      </c>
    </row>
    <row r="861">
      <c r="A861" s="12">
        <f>CMP!C863</f>
        <v>743.1</v>
      </c>
      <c r="B861" s="12">
        <f>CMP!E863</f>
        <v>738.85</v>
      </c>
    </row>
    <row r="862">
      <c r="A862" s="12">
        <f>CMP!C864</f>
        <v>728.65</v>
      </c>
      <c r="B862" s="12">
        <f>CMP!E864</f>
        <v>739.78</v>
      </c>
    </row>
    <row r="863">
      <c r="A863" s="12">
        <f>CMP!C865</f>
        <v>719.6</v>
      </c>
      <c r="B863" s="12">
        <f>CMP!E865</f>
        <v>714.63</v>
      </c>
    </row>
    <row r="864">
      <c r="A864" s="12">
        <f>CMP!C866</f>
        <v>717.42</v>
      </c>
      <c r="B864" s="12">
        <f>CMP!E866</f>
        <v>718.99</v>
      </c>
    </row>
    <row r="865">
      <c r="A865" s="12">
        <f>CMP!C867</f>
        <v>704.77</v>
      </c>
      <c r="B865" s="12">
        <f>CMP!E867</f>
        <v>744.12</v>
      </c>
    </row>
    <row r="866">
      <c r="A866" s="12">
        <f>CMP!C868</f>
        <v>741.5</v>
      </c>
      <c r="B866" s="12">
        <f>CMP!E868</f>
        <v>719.69</v>
      </c>
    </row>
    <row r="867">
      <c r="A867" s="12">
        <f>CMP!C869</f>
        <v>719.8</v>
      </c>
      <c r="B867" s="12">
        <f>CMP!E869</f>
        <v>729.4</v>
      </c>
    </row>
    <row r="868">
      <c r="A868" s="12">
        <f>CMP!C870</f>
        <v>741</v>
      </c>
      <c r="B868" s="12">
        <f>CMP!E870</f>
        <v>738.2</v>
      </c>
    </row>
    <row r="869">
      <c r="A869" s="12">
        <f>CMP!C871</f>
        <v>717.96</v>
      </c>
      <c r="B869" s="12">
        <f>CMP!E871</f>
        <v>704.74</v>
      </c>
    </row>
    <row r="870">
      <c r="A870" s="12">
        <f>CMP!C872</f>
        <v>696.41</v>
      </c>
      <c r="B870" s="12">
        <f>CMP!E872</f>
        <v>694.4</v>
      </c>
    </row>
    <row r="871">
      <c r="A871" s="12">
        <f>CMP!C873</f>
        <v>699.51</v>
      </c>
      <c r="B871" s="12">
        <f>CMP!E873</f>
        <v>677</v>
      </c>
    </row>
    <row r="872">
      <c r="A872" s="12">
        <f>CMP!C874</f>
        <v>667.59</v>
      </c>
      <c r="B872" s="12">
        <f>CMP!E874</f>
        <v>709.44</v>
      </c>
    </row>
    <row r="873">
      <c r="A873" s="12">
        <f>CMP!C875</f>
        <v>703.8</v>
      </c>
      <c r="B873" s="12">
        <f>CMP!E875</f>
        <v>684.9</v>
      </c>
    </row>
    <row r="874">
      <c r="A874" s="12">
        <f>CMP!C876</f>
        <v>678.94</v>
      </c>
      <c r="B874" s="12">
        <f>CMP!E876</f>
        <v>673.6</v>
      </c>
    </row>
    <row r="875">
      <c r="A875" s="12">
        <f>CMP!C877</f>
        <v>681.06</v>
      </c>
      <c r="B875" s="12">
        <f>CMP!E877</f>
        <v>670.94</v>
      </c>
    </row>
    <row r="876">
      <c r="A876" s="12">
        <f>CMP!C878</f>
        <v>680.76</v>
      </c>
      <c r="B876" s="12">
        <f>CMP!E878</f>
        <v>663.54</v>
      </c>
    </row>
    <row r="877">
      <c r="A877" s="12">
        <f>CMP!C879</f>
        <v>665.8</v>
      </c>
      <c r="B877" s="12">
        <f>CMP!E879</f>
        <v>672.37</v>
      </c>
    </row>
    <row r="878">
      <c r="A878" s="12">
        <f>CMP!C880</f>
        <v>664.9</v>
      </c>
      <c r="B878" s="12">
        <f>CMP!E880</f>
        <v>629.04</v>
      </c>
    </row>
    <row r="879">
      <c r="A879" s="12">
        <f>CMP!C881</f>
        <v>599.24</v>
      </c>
      <c r="B879" s="12">
        <f>CMP!E881</f>
        <v>617.2</v>
      </c>
    </row>
    <row r="880">
      <c r="A880" s="12">
        <f>CMP!C882</f>
        <v>602.49</v>
      </c>
      <c r="B880" s="12">
        <f>CMP!E882</f>
        <v>589.89</v>
      </c>
    </row>
    <row r="881">
      <c r="A881" s="12">
        <f>CMP!C883</f>
        <v>601.54</v>
      </c>
      <c r="B881" s="12">
        <f>CMP!E883</f>
        <v>571.69</v>
      </c>
    </row>
    <row r="882">
      <c r="A882" s="12">
        <f>CMP!C884</f>
        <v>583.41</v>
      </c>
      <c r="B882" s="12">
        <f>CMP!E884</f>
        <v>589.74</v>
      </c>
    </row>
    <row r="883">
      <c r="A883" s="12">
        <f>CMP!C885</f>
        <v>575.55</v>
      </c>
      <c r="B883" s="12">
        <f>CMP!E885</f>
        <v>576.83</v>
      </c>
    </row>
    <row r="884">
      <c r="A884" s="12">
        <f>CMP!C886</f>
        <v>568</v>
      </c>
      <c r="B884" s="12">
        <f>CMP!E886</f>
        <v>577.87</v>
      </c>
    </row>
    <row r="885">
      <c r="A885" s="12">
        <f>CMP!C887</f>
        <v>552.55</v>
      </c>
      <c r="B885" s="12">
        <f>CMP!E887</f>
        <v>563.46</v>
      </c>
    </row>
    <row r="886">
      <c r="A886" s="12">
        <f>CMP!C888</f>
        <v>575</v>
      </c>
      <c r="B886" s="12">
        <f>CMP!E888</f>
        <v>586.78</v>
      </c>
    </row>
    <row r="887">
      <c r="A887" s="12">
        <f>CMP!C889</f>
        <v>596.11</v>
      </c>
      <c r="B887" s="12">
        <f>CMP!E889</f>
        <v>580.88</v>
      </c>
    </row>
    <row r="888">
      <c r="A888" s="12">
        <f>CMP!C890</f>
        <v>581.6</v>
      </c>
      <c r="B888" s="12">
        <f>CMP!E890</f>
        <v>606.44</v>
      </c>
    </row>
    <row r="889">
      <c r="A889" s="12">
        <f>CMP!C891</f>
        <v>607.31</v>
      </c>
      <c r="B889" s="12">
        <f>CMP!E891</f>
        <v>604.69</v>
      </c>
    </row>
    <row r="890">
      <c r="A890" s="12">
        <f>CMP!C892</f>
        <v>607.56</v>
      </c>
      <c r="B890" s="12">
        <f>CMP!E892</f>
        <v>619.13</v>
      </c>
    </row>
    <row r="891">
      <c r="A891" s="12">
        <f>CMP!C893</f>
        <v>620.24</v>
      </c>
      <c r="B891" s="12">
        <f>CMP!E893</f>
        <v>630.85</v>
      </c>
    </row>
    <row r="892">
      <c r="A892" s="12">
        <f>CMP!C894</f>
        <v>628.5</v>
      </c>
      <c r="B892" s="12">
        <f>CMP!E894</f>
        <v>625.22</v>
      </c>
    </row>
    <row r="893">
      <c r="A893" s="12">
        <f>CMP!C895</f>
        <v>627.8</v>
      </c>
      <c r="B893" s="12">
        <f>CMP!E895</f>
        <v>623.9</v>
      </c>
    </row>
    <row r="894">
      <c r="A894" s="12">
        <f>CMP!C896</f>
        <v>620.13</v>
      </c>
      <c r="B894" s="12">
        <f>CMP!E896</f>
        <v>605.12</v>
      </c>
    </row>
    <row r="895">
      <c r="A895" s="12">
        <f>CMP!C897</f>
        <v>601.8</v>
      </c>
      <c r="B895" s="12">
        <f>CMP!E897</f>
        <v>572.84</v>
      </c>
    </row>
    <row r="896">
      <c r="A896" s="12">
        <f>CMP!C898</f>
        <v>579.71</v>
      </c>
      <c r="B896" s="12">
        <f>CMP!E898</f>
        <v>599.05</v>
      </c>
    </row>
    <row r="897">
      <c r="A897" s="12">
        <f>CMP!C899</f>
        <v>591.83</v>
      </c>
      <c r="B897" s="12">
        <f>CMP!E899</f>
        <v>605.13</v>
      </c>
    </row>
    <row r="898">
      <c r="A898" s="12">
        <f>CMP!C900</f>
        <v>623.01</v>
      </c>
      <c r="B898" s="12">
        <f>CMP!E900</f>
        <v>603.59</v>
      </c>
    </row>
    <row r="899">
      <c r="A899" s="12">
        <f>CMP!C901</f>
        <v>602.17</v>
      </c>
      <c r="B899" s="12">
        <f>CMP!E901</f>
        <v>598.78</v>
      </c>
    </row>
    <row r="900">
      <c r="A900" s="12">
        <f>CMP!C902</f>
        <v>603.88</v>
      </c>
      <c r="B900" s="12">
        <f>CMP!E902</f>
        <v>610.12</v>
      </c>
    </row>
    <row r="901">
      <c r="A901" s="12">
        <f>CMP!C903</f>
        <v>610.23</v>
      </c>
      <c r="B901" s="12">
        <f>CMP!E903</f>
        <v>609.89</v>
      </c>
    </row>
    <row r="902">
      <c r="A902" s="12">
        <f>CMP!C904</f>
        <v>612.23</v>
      </c>
      <c r="B902" s="12">
        <f>CMP!E904</f>
        <v>617.69</v>
      </c>
    </row>
    <row r="903">
      <c r="A903" s="12">
        <f>CMP!C905</f>
        <v>616.69</v>
      </c>
      <c r="B903" s="12">
        <f>CMP!E905</f>
        <v>599.36</v>
      </c>
    </row>
    <row r="904">
      <c r="A904" s="12">
        <f>CMP!C906</f>
        <v>597.54</v>
      </c>
      <c r="B904" s="12">
        <f>CMP!E906</f>
        <v>604.87</v>
      </c>
    </row>
    <row r="905">
      <c r="A905" s="12">
        <f>CMP!C907</f>
        <v>601.89</v>
      </c>
      <c r="B905" s="12">
        <f>CMP!E907</f>
        <v>616.6</v>
      </c>
    </row>
    <row r="906">
      <c r="A906" s="12">
        <f>CMP!C908</f>
        <v>613.37</v>
      </c>
      <c r="B906" s="12">
        <f>CMP!E908</f>
        <v>623.31</v>
      </c>
    </row>
    <row r="907">
      <c r="A907" s="12">
        <f>CMP!C909</f>
        <v>624.48</v>
      </c>
      <c r="B907" s="12">
        <f>CMP!E909</f>
        <v>620.83</v>
      </c>
    </row>
    <row r="908">
      <c r="A908" s="12">
        <f>CMP!C910</f>
        <v>618.25</v>
      </c>
      <c r="B908" s="12">
        <f>CMP!E910</f>
        <v>623.71</v>
      </c>
    </row>
    <row r="909">
      <c r="A909" s="12">
        <f>CMP!C911</f>
        <v>632</v>
      </c>
      <c r="B909" s="12">
        <f>CMP!E911</f>
        <v>656.57</v>
      </c>
    </row>
    <row r="910">
      <c r="A910" s="12">
        <f>CMP!C912</f>
        <v>674.99</v>
      </c>
      <c r="B910" s="12">
        <f>CMP!E912</f>
        <v>679.82</v>
      </c>
    </row>
    <row r="911">
      <c r="A911" s="12">
        <f>CMP!C913</f>
        <v>689.58</v>
      </c>
      <c r="B911" s="12">
        <f>CMP!E913</f>
        <v>671.87</v>
      </c>
    </row>
    <row r="912">
      <c r="A912" s="12">
        <f>CMP!C914</f>
        <v>671.64</v>
      </c>
      <c r="B912" s="12">
        <f>CMP!E914</f>
        <v>688.72</v>
      </c>
    </row>
    <row r="913">
      <c r="A913" s="12">
        <f>CMP!C915</f>
        <v>684.65</v>
      </c>
      <c r="B913" s="12">
        <f>CMP!E915</f>
        <v>680.76</v>
      </c>
    </row>
    <row r="914">
      <c r="A914" s="12">
        <f>CMP!C916</f>
        <v>679.77</v>
      </c>
      <c r="B914" s="12">
        <f>CMP!E916</f>
        <v>679.7</v>
      </c>
    </row>
    <row r="915">
      <c r="A915" s="12">
        <f>CMP!C917</f>
        <v>683.92</v>
      </c>
      <c r="B915" s="12">
        <f>CMP!E917</f>
        <v>677.92</v>
      </c>
    </row>
    <row r="916">
      <c r="A916" s="12">
        <f>CMP!C918</f>
        <v>678.98</v>
      </c>
      <c r="B916" s="12">
        <f>CMP!E918</f>
        <v>678.9</v>
      </c>
    </row>
    <row r="917">
      <c r="A917" s="12">
        <f>CMP!C919</f>
        <v>681.71</v>
      </c>
      <c r="B917" s="12">
        <f>CMP!E919</f>
        <v>659.58</v>
      </c>
    </row>
    <row r="918">
      <c r="A918" s="12">
        <f>CMP!C920</f>
        <v>664.27</v>
      </c>
      <c r="B918" s="12">
        <f>CMP!E920</f>
        <v>644.65</v>
      </c>
    </row>
    <row r="919">
      <c r="A919" s="12">
        <f>CMP!C921</f>
        <v>628.37</v>
      </c>
      <c r="B919" s="12">
        <f>CMP!E921</f>
        <v>652.81</v>
      </c>
    </row>
    <row r="920">
      <c r="A920" s="12">
        <f>CMP!C922</f>
        <v>653.18</v>
      </c>
      <c r="B920" s="12">
        <f>CMP!E922</f>
        <v>656.95</v>
      </c>
    </row>
    <row r="921">
      <c r="A921" s="12">
        <f>CMP!C923</f>
        <v>662.2</v>
      </c>
      <c r="B921" s="12">
        <f>CMP!E923</f>
        <v>685.7</v>
      </c>
    </row>
    <row r="922">
      <c r="A922" s="12">
        <f>CMP!C924</f>
        <v>686.32</v>
      </c>
      <c r="B922" s="12">
        <f>CMP!E924</f>
        <v>668.54</v>
      </c>
    </row>
    <row r="923">
      <c r="A923" s="12">
        <f>CMP!C925</f>
        <v>670.75</v>
      </c>
      <c r="B923" s="12">
        <f>CMP!E925</f>
        <v>653.38</v>
      </c>
    </row>
    <row r="924">
      <c r="A924" s="12">
        <f>CMP!C926</f>
        <v>658.39</v>
      </c>
      <c r="B924" s="12">
        <f>CMP!E926</f>
        <v>650.6</v>
      </c>
    </row>
    <row r="925">
      <c r="A925" s="12">
        <f>CMP!C927</f>
        <v>654.68</v>
      </c>
      <c r="B925" s="12">
        <f>CMP!E927</f>
        <v>644.22</v>
      </c>
    </row>
    <row r="926">
      <c r="A926" s="12">
        <f>CMP!C928</f>
        <v>629.89</v>
      </c>
      <c r="B926" s="12">
        <f>CMP!E928</f>
        <v>646.22</v>
      </c>
    </row>
    <row r="927">
      <c r="A927" s="12">
        <f>CMP!C929</f>
        <v>651.99</v>
      </c>
      <c r="B927" s="12">
        <f>CMP!E929</f>
        <v>660.5</v>
      </c>
    </row>
    <row r="928">
      <c r="A928" s="12">
        <f>CMP!C930</f>
        <v>659.61</v>
      </c>
      <c r="B928" s="12">
        <f>CMP!E930</f>
        <v>655.29</v>
      </c>
    </row>
    <row r="929">
      <c r="A929" s="12">
        <f>CMP!C931</f>
        <v>656.44</v>
      </c>
      <c r="B929" s="12">
        <f>CMP!E931</f>
        <v>649.26</v>
      </c>
    </row>
    <row r="930">
      <c r="A930" s="12">
        <f>CMP!C932</f>
        <v>646.36</v>
      </c>
      <c r="B930" s="12">
        <f>CMP!E932</f>
        <v>643.38</v>
      </c>
    </row>
    <row r="931">
      <c r="A931" s="12">
        <f>CMP!C933</f>
        <v>650.97</v>
      </c>
      <c r="B931" s="12">
        <f>CMP!E933</f>
        <v>657.62</v>
      </c>
    </row>
    <row r="932">
      <c r="A932" s="12">
        <f>CMP!C934</f>
        <v>663.4</v>
      </c>
      <c r="B932" s="12">
        <f>CMP!E934</f>
        <v>644.78</v>
      </c>
    </row>
    <row r="933">
      <c r="A933" s="12">
        <f>CMP!C935</f>
        <v>647</v>
      </c>
      <c r="B933" s="12">
        <f>CMP!E935</f>
        <v>646.98</v>
      </c>
    </row>
    <row r="934">
      <c r="A934" s="12">
        <f>CMP!C936</f>
        <v>649.79</v>
      </c>
      <c r="B934" s="12">
        <f>CMP!E936</f>
        <v>677.35</v>
      </c>
    </row>
    <row r="935">
      <c r="A935" s="12">
        <f>CMP!C937</f>
        <v>671.76</v>
      </c>
      <c r="B935" s="12">
        <f>CMP!E937</f>
        <v>687.2</v>
      </c>
    </row>
    <row r="936">
      <c r="A936" s="12">
        <f>CMP!C938</f>
        <v>700</v>
      </c>
      <c r="B936" s="12">
        <f>CMP!E938</f>
        <v>709.67</v>
      </c>
    </row>
    <row r="937">
      <c r="A937" s="12">
        <f>CMP!C939</f>
        <v>719</v>
      </c>
      <c r="B937" s="12">
        <f>CMP!E939</f>
        <v>709.74</v>
      </c>
    </row>
    <row r="938">
      <c r="A938" s="12">
        <f>CMP!C940</f>
        <v>711</v>
      </c>
      <c r="B938" s="12">
        <f>CMP!E940</f>
        <v>710.92</v>
      </c>
    </row>
    <row r="939">
      <c r="A939" s="12">
        <f>CMP!C941</f>
        <v>716</v>
      </c>
      <c r="B939" s="12">
        <f>CMP!E941</f>
        <v>714.63</v>
      </c>
    </row>
    <row r="940">
      <c r="A940" s="12">
        <f>CMP!C942</f>
        <v>711.9</v>
      </c>
      <c r="B940" s="12">
        <f>CMP!E942</f>
        <v>699.1</v>
      </c>
    </row>
    <row r="941">
      <c r="A941" s="12">
        <f>CMP!C943</f>
        <v>710.17</v>
      </c>
      <c r="B941" s="12">
        <f>CMP!E943</f>
        <v>713.76</v>
      </c>
    </row>
    <row r="942">
      <c r="A942" s="12">
        <f>CMP!C944</f>
        <v>713.99</v>
      </c>
      <c r="B942" s="12">
        <f>CMP!E944</f>
        <v>709.99</v>
      </c>
    </row>
    <row r="943">
      <c r="A943" s="12">
        <f>CMP!C945</f>
        <v>712.71</v>
      </c>
      <c r="B943" s="12">
        <f>CMP!E945</f>
        <v>707.82</v>
      </c>
    </row>
    <row r="944">
      <c r="A944" s="12">
        <f>CMP!C946</f>
        <v>706.34</v>
      </c>
      <c r="B944" s="12">
        <f>CMP!E946</f>
        <v>722.25</v>
      </c>
    </row>
    <row r="945">
      <c r="A945" s="12">
        <f>CMP!C947</f>
        <v>723.71</v>
      </c>
      <c r="B945" s="12">
        <f>CMP!E947</f>
        <v>717.17</v>
      </c>
    </row>
    <row r="946">
      <c r="A946" s="12">
        <f>CMP!C948</f>
        <v>705.07</v>
      </c>
      <c r="B946" s="12">
        <f>CMP!E948</f>
        <v>686.17</v>
      </c>
    </row>
    <row r="947">
      <c r="A947" s="12">
        <f>CMP!C949</f>
        <v>672.66</v>
      </c>
      <c r="B947" s="12">
        <f>CMP!E949</f>
        <v>665.71</v>
      </c>
    </row>
    <row r="948">
      <c r="A948" s="12">
        <f>CMP!C950</f>
        <v>669.75</v>
      </c>
      <c r="B948" s="12">
        <f>CMP!E950</f>
        <v>688.99</v>
      </c>
    </row>
    <row r="949">
      <c r="A949" s="12">
        <f>CMP!C951</f>
        <v>678.21</v>
      </c>
      <c r="B949" s="12">
        <f>CMP!E951</f>
        <v>673.47</v>
      </c>
    </row>
    <row r="950">
      <c r="A950" s="12">
        <f>CMP!C952</f>
        <v>682.85</v>
      </c>
      <c r="B950" s="12">
        <f>CMP!E952</f>
        <v>680.26</v>
      </c>
    </row>
    <row r="951">
      <c r="A951" s="12">
        <f>CMP!C953</f>
        <v>685.44</v>
      </c>
      <c r="B951" s="12">
        <f>CMP!E953</f>
        <v>706.3</v>
      </c>
    </row>
    <row r="952">
      <c r="A952" s="12">
        <f>CMP!C954</f>
        <v>710.68</v>
      </c>
      <c r="B952" s="12">
        <f>CMP!E954</f>
        <v>708.49</v>
      </c>
    </row>
    <row r="953">
      <c r="A953" s="12">
        <f>CMP!C955</f>
        <v>707.03</v>
      </c>
      <c r="B953" s="12">
        <f>CMP!E955</f>
        <v>711.2</v>
      </c>
    </row>
    <row r="954">
      <c r="A954" s="12">
        <f>CMP!C956</f>
        <v>708.31</v>
      </c>
      <c r="B954" s="12">
        <f>CMP!E956</f>
        <v>701.16</v>
      </c>
    </row>
    <row r="955">
      <c r="A955" s="12">
        <f>CMP!C957</f>
        <v>705</v>
      </c>
      <c r="B955" s="12">
        <f>CMP!E957</f>
        <v>711.92</v>
      </c>
    </row>
    <row r="956">
      <c r="A956" s="12">
        <f>CMP!C958</f>
        <v>714.72</v>
      </c>
      <c r="B956" s="12">
        <f>CMP!E958</f>
        <v>730.91</v>
      </c>
    </row>
    <row r="957">
      <c r="A957" s="12">
        <f>CMP!C959</f>
        <v>733</v>
      </c>
      <c r="B957" s="12">
        <f>CMP!E959</f>
        <v>735.72</v>
      </c>
    </row>
    <row r="958">
      <c r="A958" s="12">
        <f>CMP!C960</f>
        <v>734.08</v>
      </c>
      <c r="B958" s="12">
        <f>CMP!E960</f>
        <v>734.09</v>
      </c>
    </row>
    <row r="959">
      <c r="A959" s="12">
        <f>CMP!C961</f>
        <v>734.5</v>
      </c>
      <c r="B959" s="12">
        <f>CMP!E961</f>
        <v>732.39</v>
      </c>
    </row>
    <row r="960">
      <c r="A960" s="12">
        <f>CMP!C962</f>
        <v>732.25</v>
      </c>
      <c r="B960" s="12">
        <f>CMP!E962</f>
        <v>733.57</v>
      </c>
    </row>
    <row r="961">
      <c r="A961" s="12">
        <f>CMP!C963</f>
        <v>740</v>
      </c>
      <c r="B961" s="12">
        <f>CMP!E963</f>
        <v>752.92</v>
      </c>
    </row>
    <row r="962">
      <c r="A962" s="12">
        <f>CMP!C964</f>
        <v>761.58</v>
      </c>
      <c r="B962" s="12">
        <f>CMP!E964</f>
        <v>753.87</v>
      </c>
    </row>
    <row r="963">
      <c r="A963" s="12">
        <f>CMP!C965</f>
        <v>753.41</v>
      </c>
      <c r="B963" s="12">
        <f>CMP!E965</f>
        <v>754.86</v>
      </c>
    </row>
    <row r="964">
      <c r="A964" s="12">
        <f>CMP!C966</f>
        <v>759.6</v>
      </c>
      <c r="B964" s="12">
        <f>CMP!E966</f>
        <v>736.27</v>
      </c>
    </row>
    <row r="965">
      <c r="A965" s="12">
        <f>CMP!C967</f>
        <v>740.21</v>
      </c>
      <c r="B965" s="12">
        <f>CMP!E967</f>
        <v>743</v>
      </c>
    </row>
    <row r="966">
      <c r="A966" s="12">
        <f>CMP!C968</f>
        <v>742.57</v>
      </c>
      <c r="B966" s="12">
        <f>CMP!E968</f>
        <v>744.49</v>
      </c>
    </row>
    <row r="967">
      <c r="A967" s="12">
        <f>CMP!C969</f>
        <v>745</v>
      </c>
      <c r="B967" s="12">
        <f>CMP!E969</f>
        <v>755.83</v>
      </c>
    </row>
    <row r="968">
      <c r="A968" s="12">
        <f>CMP!C970</f>
        <v>752.83</v>
      </c>
      <c r="B968" s="12">
        <f>CMP!E970</f>
        <v>756.99</v>
      </c>
    </row>
    <row r="969">
      <c r="A969" s="12">
        <f>CMP!C971</f>
        <v>757.15</v>
      </c>
      <c r="B969" s="12">
        <f>CMP!E971</f>
        <v>759.49</v>
      </c>
    </row>
    <row r="970">
      <c r="A970" s="12">
        <f>CMP!C972</f>
        <v>734.56</v>
      </c>
      <c r="B970" s="12">
        <f>CMP!E972</f>
        <v>730.17</v>
      </c>
    </row>
    <row r="971">
      <c r="A971" s="12">
        <f>CMP!C973</f>
        <v>734.79</v>
      </c>
      <c r="B971" s="12">
        <f>CMP!E973</f>
        <v>739.38</v>
      </c>
    </row>
    <row r="972">
      <c r="A972" s="12">
        <f>CMP!C974</f>
        <v>743.53</v>
      </c>
      <c r="B972" s="12">
        <f>CMP!E974</f>
        <v>751.94</v>
      </c>
    </row>
    <row r="973">
      <c r="A973" s="12">
        <f>CMP!C975</f>
        <v>755</v>
      </c>
      <c r="B973" s="12">
        <f>CMP!E975</f>
        <v>753.64</v>
      </c>
    </row>
    <row r="974">
      <c r="A974" s="12">
        <f>CMP!C976</f>
        <v>745.89</v>
      </c>
      <c r="B974" s="12">
        <f>CMP!E976</f>
        <v>774.39</v>
      </c>
    </row>
    <row r="975">
      <c r="A975" s="12">
        <f>CMP!C977</f>
        <v>773.12</v>
      </c>
      <c r="B975" s="12">
        <f>CMP!E977</f>
        <v>791.36</v>
      </c>
    </row>
    <row r="976">
      <c r="A976" s="12">
        <f>CMP!C978</f>
        <v>787.2</v>
      </c>
      <c r="B976" s="12">
        <f>CMP!E978</f>
        <v>777.56</v>
      </c>
    </row>
    <row r="977">
      <c r="A977" s="12">
        <f>CMP!C979</f>
        <v>779.8</v>
      </c>
      <c r="B977" s="12">
        <f>CMP!E979</f>
        <v>781.31</v>
      </c>
    </row>
    <row r="978">
      <c r="A978" s="12">
        <f>CMP!C980</f>
        <v>781</v>
      </c>
      <c r="B978" s="12">
        <f>CMP!E980</f>
        <v>775.48</v>
      </c>
    </row>
    <row r="979">
      <c r="A979" s="12">
        <f>CMP!C981</f>
        <v>778.4</v>
      </c>
      <c r="B979" s="12">
        <f>CMP!E981</f>
        <v>775.22</v>
      </c>
    </row>
    <row r="980">
      <c r="A980" s="12">
        <f>CMP!C982</f>
        <v>796.5</v>
      </c>
      <c r="B980" s="12">
        <f>CMP!E982</f>
        <v>781.53</v>
      </c>
    </row>
    <row r="981">
      <c r="A981" s="12">
        <f>CMP!C983</f>
        <v>784.8</v>
      </c>
      <c r="B981" s="12">
        <f>CMP!E983</f>
        <v>780.59</v>
      </c>
    </row>
    <row r="982">
      <c r="A982" s="12">
        <f>CMP!C984</f>
        <v>776.2</v>
      </c>
      <c r="B982" s="12">
        <f>CMP!E984</f>
        <v>782.75</v>
      </c>
    </row>
    <row r="983">
      <c r="A983" s="12">
        <f>CMP!C985</f>
        <v>785.46</v>
      </c>
      <c r="B983" s="12">
        <f>CMP!E985</f>
        <v>793.61</v>
      </c>
    </row>
    <row r="984">
      <c r="A984" s="12">
        <f>CMP!C986</f>
        <v>796.21</v>
      </c>
      <c r="B984" s="12">
        <f>CMP!E986</f>
        <v>785.49</v>
      </c>
    </row>
    <row r="985">
      <c r="A985" s="12">
        <f>CMP!C987</f>
        <v>787.65</v>
      </c>
      <c r="B985" s="12">
        <f>CMP!E987</f>
        <v>791.94</v>
      </c>
    </row>
    <row r="986">
      <c r="A986" s="12">
        <f>CMP!C988</f>
        <v>800.93</v>
      </c>
      <c r="B986" s="12">
        <f>CMP!E988</f>
        <v>805.72</v>
      </c>
    </row>
    <row r="987">
      <c r="A987" s="12">
        <f>CMP!C989</f>
        <v>810.47</v>
      </c>
      <c r="B987" s="12">
        <f>CMP!E989</f>
        <v>811.08</v>
      </c>
    </row>
    <row r="988">
      <c r="A988" s="12">
        <f>CMP!C990</f>
        <v>815.49</v>
      </c>
      <c r="B988" s="12">
        <f>CMP!E990</f>
        <v>818.32</v>
      </c>
    </row>
    <row r="989">
      <c r="A989" s="12">
        <f>CMP!C991</f>
        <v>823.74</v>
      </c>
      <c r="B989" s="12">
        <f>CMP!E991</f>
        <v>843.03</v>
      </c>
    </row>
    <row r="990">
      <c r="A990" s="12">
        <f>CMP!C992</f>
        <v>851.79</v>
      </c>
      <c r="B990" s="12">
        <f>CMP!E992</f>
        <v>870.11</v>
      </c>
    </row>
    <row r="991">
      <c r="A991" s="12">
        <f>CMP!C993</f>
        <v>877.53</v>
      </c>
      <c r="B991" s="12">
        <f>CMP!E993</f>
        <v>864.27</v>
      </c>
    </row>
    <row r="992">
      <c r="A992" s="12">
        <f>CMP!C994</f>
        <v>865.35</v>
      </c>
      <c r="B992" s="12">
        <f>CMP!E994</f>
        <v>865.8</v>
      </c>
    </row>
    <row r="993">
      <c r="A993" s="12">
        <f>CMP!C995</f>
        <v>856</v>
      </c>
      <c r="B993" s="12">
        <f>CMP!E995</f>
        <v>894</v>
      </c>
    </row>
    <row r="994">
      <c r="A994" s="12">
        <f>CMP!C996</f>
        <v>895.5</v>
      </c>
      <c r="B994" s="12">
        <f>CMP!E996</f>
        <v>909.68</v>
      </c>
    </row>
    <row r="995">
      <c r="A995" s="12">
        <f>CMP!C997</f>
        <v>950.53</v>
      </c>
      <c r="B995" s="12">
        <f>CMP!E997</f>
        <v>1024.86</v>
      </c>
    </row>
    <row r="996">
      <c r="A996" s="12">
        <f>CMP!C998</f>
        <v>1024.69</v>
      </c>
      <c r="B996" s="12">
        <f>CMP!E998</f>
        <v>1018.43</v>
      </c>
    </row>
    <row r="997">
      <c r="A997" s="12">
        <f>CMP!C999</f>
        <v>1039.66</v>
      </c>
      <c r="B997" s="12">
        <f>CMP!E999</f>
        <v>1037.86</v>
      </c>
    </row>
    <row r="998">
      <c r="A998" s="12">
        <f>CMP!C1000</f>
        <v>1068.31</v>
      </c>
      <c r="B998" s="12">
        <f>CMP!E1000</f>
        <v>1077.04</v>
      </c>
    </row>
    <row r="999">
      <c r="A999" s="12">
        <f>CMP!C1001</f>
        <v>1081.86</v>
      </c>
      <c r="B999" s="12">
        <f>CMP!E1001</f>
        <v>1114</v>
      </c>
    </row>
    <row r="1000">
      <c r="A1000" s="12">
        <f>CMP!C1002</f>
        <v>1145</v>
      </c>
      <c r="B1000" s="12">
        <f>CMP!E1002</f>
        <v>1208.59</v>
      </c>
    </row>
    <row r="1001">
      <c r="A1001" s="12">
        <f>CMP!C1003</f>
        <v>1159.36</v>
      </c>
      <c r="B1001" s="12">
        <f>CMP!E1003</f>
        <v>1172</v>
      </c>
    </row>
    <row r="1002">
      <c r="A1002" s="12">
        <f>CMP!C1004</f>
        <v>1177.33</v>
      </c>
      <c r="B1002" s="12">
        <f>CMP!E1004</f>
        <v>1213.86</v>
      </c>
    </row>
    <row r="1003">
      <c r="A1003" s="12">
        <f>CMP!C1005</f>
        <v>1234.41</v>
      </c>
      <c r="B1003" s="12">
        <f>CMP!E1005</f>
        <v>1229.91</v>
      </c>
    </row>
    <row r="1004">
      <c r="A1004" s="12">
        <f>CMP!C1006</f>
        <v>1228</v>
      </c>
      <c r="B1004" s="12">
        <f>CMP!E1006</f>
        <v>1222.09</v>
      </c>
    </row>
    <row r="1005">
      <c r="A1005" s="12">
        <f>CMP!C1007</f>
        <v>1149.79</v>
      </c>
      <c r="B1005" s="12">
        <f>CMP!E1007</f>
        <v>1162.94</v>
      </c>
    </row>
    <row r="1006">
      <c r="A1006" s="12">
        <f>CMP!C1008</f>
        <v>1173.6</v>
      </c>
      <c r="B1006" s="12">
        <f>CMP!E1008</f>
        <v>1023.5</v>
      </c>
    </row>
    <row r="1007">
      <c r="A1007" s="12">
        <f>CMP!C1009</f>
        <v>1010.41</v>
      </c>
      <c r="B1007" s="12">
        <f>CMP!E1009</f>
        <v>1067.95</v>
      </c>
    </row>
    <row r="1008">
      <c r="A1008" s="12">
        <f>CMP!C1010</f>
        <v>1102.77</v>
      </c>
      <c r="B1008" s="12">
        <f>CMP!E1010</f>
        <v>1063.51</v>
      </c>
    </row>
    <row r="1009">
      <c r="A1009" s="12">
        <f>CMP!C1011</f>
        <v>1047.5</v>
      </c>
      <c r="B1009" s="12">
        <f>CMP!E1011</f>
        <v>1033.42</v>
      </c>
    </row>
    <row r="1010">
      <c r="A1010" s="12">
        <f>CMP!C1012</f>
        <v>1017.63</v>
      </c>
      <c r="B1010" s="12">
        <f>CMP!E1012</f>
        <v>1013.39</v>
      </c>
    </row>
    <row r="1011">
      <c r="A1011" s="12">
        <f>CMP!C1013</f>
        <v>1003.31</v>
      </c>
      <c r="B1011" s="12">
        <f>CMP!E1013</f>
        <v>1054.73</v>
      </c>
    </row>
    <row r="1012">
      <c r="A1012" s="12">
        <f>CMP!C1014</f>
        <v>1063.51</v>
      </c>
      <c r="B1012" s="12">
        <f>CMP!E1014</f>
        <v>1089.01</v>
      </c>
    </row>
    <row r="1013">
      <c r="A1013" s="12">
        <f>CMP!C1015</f>
        <v>1106.55</v>
      </c>
      <c r="B1013" s="12">
        <f>CMP!E1015</f>
        <v>1096.38</v>
      </c>
    </row>
    <row r="1014">
      <c r="A1014" s="12">
        <f>CMP!C1016</f>
        <v>1098.87</v>
      </c>
      <c r="B1014" s="12">
        <f>CMP!E1016</f>
        <v>1137.06</v>
      </c>
    </row>
    <row r="1015">
      <c r="A1015" s="12">
        <f>CMP!C1017</f>
        <v>1162.33</v>
      </c>
      <c r="B1015" s="12">
        <f>CMP!E1017</f>
        <v>1156.87</v>
      </c>
    </row>
    <row r="1016">
      <c r="A1016" s="12">
        <f>CMP!C1018</f>
        <v>1167.51</v>
      </c>
      <c r="B1016" s="12">
        <f>CMP!E1018</f>
        <v>1109.03</v>
      </c>
    </row>
    <row r="1017">
      <c r="A1017" s="12">
        <f>CMP!C1019</f>
        <v>1080.39</v>
      </c>
      <c r="B1017" s="12">
        <f>CMP!E1019</f>
        <v>1116</v>
      </c>
    </row>
    <row r="1018">
      <c r="A1018" s="12">
        <f>CMP!C1020</f>
        <v>1099.47</v>
      </c>
      <c r="B1018" s="12">
        <f>CMP!E1020</f>
        <v>1081.92</v>
      </c>
    </row>
    <row r="1019">
      <c r="A1019" s="12">
        <f>CMP!C1021</f>
        <v>1100.99</v>
      </c>
      <c r="B1019" s="12">
        <f>CMP!E1021</f>
        <v>1136.99</v>
      </c>
    </row>
    <row r="1020">
      <c r="A1020" s="12">
        <f>CMP!C1022</f>
        <v>1144.37</v>
      </c>
      <c r="B1020" s="12">
        <f>CMP!E1022</f>
        <v>1144.76</v>
      </c>
    </row>
    <row r="1021">
      <c r="A1021" s="12">
        <f>CMP!C1023</f>
        <v>1160.7</v>
      </c>
      <c r="B1021" s="12">
        <f>CMP!E1023</f>
        <v>1095</v>
      </c>
    </row>
    <row r="1022">
      <c r="A1022" s="12">
        <f>CMP!C1024</f>
        <v>1099.06</v>
      </c>
      <c r="B1022" s="12">
        <f>CMP!E1024</f>
        <v>1084.6</v>
      </c>
    </row>
    <row r="1023">
      <c r="A1023" s="12">
        <f>CMP!C1025</f>
        <v>1084.79</v>
      </c>
      <c r="B1023" s="12">
        <f>CMP!E1025</f>
        <v>1014.97</v>
      </c>
    </row>
    <row r="1024">
      <c r="A1024" s="12">
        <f>CMP!C1026</f>
        <v>1001.51</v>
      </c>
      <c r="B1024" s="12">
        <f>CMP!E1026</f>
        <v>1009.01</v>
      </c>
    </row>
    <row r="1025">
      <c r="A1025" s="12">
        <f>CMP!C1027</f>
        <v>1044.2</v>
      </c>
      <c r="B1025" s="12">
        <f>CMP!E1027</f>
        <v>1051.75</v>
      </c>
    </row>
    <row r="1026">
      <c r="A1026" s="12">
        <f>CMP!C1028</f>
        <v>1052.71</v>
      </c>
      <c r="B1026" s="12">
        <f>CMP!E1028</f>
        <v>1068.96</v>
      </c>
    </row>
    <row r="1027">
      <c r="A1027" s="12">
        <f>CMP!C1029</f>
        <v>1060.64</v>
      </c>
      <c r="B1027" s="12">
        <f>CMP!E1029</f>
        <v>1003.8</v>
      </c>
    </row>
    <row r="1028">
      <c r="A1028" s="12">
        <f>CMP!C1030</f>
        <v>1008.75</v>
      </c>
      <c r="B1028" s="12">
        <f>CMP!E1030</f>
        <v>1017.03</v>
      </c>
    </row>
    <row r="1029">
      <c r="A1029" s="12">
        <f>CMP!C1031</f>
        <v>1001.09</v>
      </c>
      <c r="B1029" s="12">
        <f>CMP!E1031</f>
        <v>966.41</v>
      </c>
    </row>
    <row r="1030">
      <c r="A1030" s="12">
        <f>CMP!C1032</f>
        <v>945</v>
      </c>
      <c r="B1030" s="12">
        <f>CMP!E1032</f>
        <v>958.51</v>
      </c>
    </row>
    <row r="1031">
      <c r="A1031" s="12">
        <f>CMP!C1033</f>
        <v>953.21</v>
      </c>
      <c r="B1031" s="12">
        <f>CMP!E1033</f>
        <v>975.99</v>
      </c>
    </row>
    <row r="1032">
      <c r="A1032" s="12">
        <f>CMP!C1034</f>
        <v>994.5</v>
      </c>
      <c r="B1032" s="12">
        <f>CMP!E1034</f>
        <v>926.92</v>
      </c>
    </row>
    <row r="1033">
      <c r="A1033" s="12">
        <f>CMP!C1035</f>
        <v>914.77</v>
      </c>
      <c r="B1033" s="12">
        <f>CMP!E1035</f>
        <v>932.57</v>
      </c>
    </row>
    <row r="1034">
      <c r="A1034" s="12" t="str">
        <f>CMP!C1036</f>
        <v/>
      </c>
      <c r="B1034" s="12" t="str">
        <f>CMP!E1036</f>
        <v/>
      </c>
    </row>
    <row r="1035">
      <c r="A1035" s="12" t="str">
        <f>CMP!C1037</f>
        <v/>
      </c>
    </row>
    <row r="1036">
      <c r="A1036" s="12" t="str">
        <f>CMP!C1038</f>
        <v/>
      </c>
    </row>
    <row r="1037">
      <c r="A1037" s="12" t="str">
        <f>CMP!C1039</f>
        <v/>
      </c>
    </row>
    <row r="1038">
      <c r="A1038" s="12" t="str">
        <f>CMP!C1040</f>
        <v/>
      </c>
    </row>
    <row r="1039">
      <c r="A1039" s="12" t="str">
        <f>CMP!C1041</f>
        <v/>
      </c>
    </row>
    <row r="1040">
      <c r="A1040" s="12" t="str">
        <f>CMP!C1042</f>
        <v/>
      </c>
    </row>
    <row r="1041">
      <c r="A1041" s="12" t="str">
        <f>CMP!C1043</f>
        <v/>
      </c>
    </row>
    <row r="1042">
      <c r="A1042" s="12" t="str">
        <f>CMP!C1044</f>
        <v/>
      </c>
    </row>
    <row r="1043">
      <c r="A1043" s="12" t="str">
        <f>CMP!C1045</f>
        <v/>
      </c>
    </row>
    <row r="1044">
      <c r="A1044" s="12" t="str">
        <f>CMP!C1046</f>
        <v/>
      </c>
    </row>
    <row r="1045">
      <c r="A1045" s="12" t="str">
        <f>CMP!C1047</f>
        <v/>
      </c>
    </row>
    <row r="1046">
      <c r="A1046" s="12" t="str">
        <f>CMP!C1048</f>
        <v/>
      </c>
    </row>
    <row r="1047">
      <c r="A1047" s="12" t="str">
        <f>CMP!C1049</f>
        <v/>
      </c>
    </row>
    <row r="1048">
      <c r="A1048" s="12" t="str">
        <f>CMP!C1050</f>
        <v/>
      </c>
    </row>
    <row r="1049">
      <c r="A1049" s="12" t="str">
        <f>CMP!C1051</f>
        <v/>
      </c>
    </row>
    <row r="1050">
      <c r="A1050" s="12" t="str">
        <f>CMP!C1052</f>
        <v/>
      </c>
    </row>
    <row r="1051">
      <c r="A1051" s="12" t="str">
        <f>CMP!C1053</f>
        <v/>
      </c>
    </row>
    <row r="1052">
      <c r="A1052" s="12" t="str">
        <f>CMP!C1054</f>
        <v/>
      </c>
    </row>
    <row r="1053">
      <c r="A1053" s="12" t="str">
        <f>CMP!C1055</f>
        <v/>
      </c>
    </row>
    <row r="1054">
      <c r="A1054" s="12" t="str">
        <f>CMP!C1056</f>
        <v/>
      </c>
    </row>
    <row r="1055">
      <c r="A1055" s="12" t="str">
        <f>CMP!C1057</f>
        <v/>
      </c>
    </row>
    <row r="1056">
      <c r="A1056" s="12" t="str">
        <f>CMP!C1058</f>
        <v/>
      </c>
    </row>
    <row r="1057">
      <c r="A1057" s="12" t="str">
        <f>CMP!C1059</f>
        <v/>
      </c>
    </row>
    <row r="1058">
      <c r="A1058" s="12" t="str">
        <f>CMP!C1060</f>
        <v/>
      </c>
    </row>
    <row r="1059">
      <c r="A1059" s="12" t="str">
        <f>CMP!C1061</f>
        <v/>
      </c>
    </row>
    <row r="1060">
      <c r="A1060" s="12" t="str">
        <f>CMP!C1062</f>
        <v/>
      </c>
    </row>
    <row r="1061">
      <c r="A1061" s="12" t="str">
        <f>CMP!C1063</f>
        <v/>
      </c>
    </row>
    <row r="1062">
      <c r="A1062" s="12" t="str">
        <f>CMP!C1064</f>
        <v/>
      </c>
    </row>
    <row r="1063">
      <c r="A1063" s="12" t="str">
        <f>CMP!C1065</f>
        <v/>
      </c>
    </row>
    <row r="1064">
      <c r="A1064" s="12" t="str">
        <f>CMP!C1066</f>
        <v/>
      </c>
    </row>
    <row r="1065">
      <c r="A1065" s="12" t="str">
        <f>CMP!C1067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CMP!H4</f>
        <v>1023.42</v>
      </c>
      <c r="B2" s="12">
        <f>CMP!J4</f>
        <v>1025.75</v>
      </c>
    </row>
    <row r="3">
      <c r="A3" s="12">
        <f>CMP!H5</f>
        <v>2942.26</v>
      </c>
      <c r="B3" s="12">
        <f>CMP!J5</f>
        <v>2935.14</v>
      </c>
    </row>
    <row r="4">
      <c r="A4" s="12">
        <f>CMP!H6</f>
        <v>2927</v>
      </c>
      <c r="B4" s="12">
        <f>CMP!J6</f>
        <v>2934.35</v>
      </c>
    </row>
    <row r="5">
      <c r="A5" s="12">
        <f>CMP!H7</f>
        <v>2900.31</v>
      </c>
      <c r="B5" s="12">
        <f>CMP!J7</f>
        <v>2856.12</v>
      </c>
    </row>
    <row r="6">
      <c r="A6" s="12">
        <f>CMP!H8</f>
        <v>2885.97</v>
      </c>
      <c r="B6" s="12">
        <f>CMP!J8</f>
        <v>2922.28</v>
      </c>
    </row>
    <row r="7">
      <c r="A7" s="12">
        <f>CMP!H9</f>
        <v>2909.01</v>
      </c>
      <c r="B7" s="12">
        <f>CMP!J9</f>
        <v>2849.04</v>
      </c>
    </row>
    <row r="8">
      <c r="A8" s="12">
        <f>CMP!H10</f>
        <v>2884.25</v>
      </c>
      <c r="B8" s="12">
        <f>CMP!J10</f>
        <v>2832.36</v>
      </c>
    </row>
    <row r="9">
      <c r="A9" s="12">
        <f>CMP!H11</f>
        <v>2836.48</v>
      </c>
      <c r="B9" s="12">
        <f>CMP!J11</f>
        <v>2875.53</v>
      </c>
    </row>
    <row r="10">
      <c r="A10" s="12">
        <f>CMP!H12</f>
        <v>2889.91</v>
      </c>
      <c r="B10" s="12">
        <f>CMP!J12</f>
        <v>2850.41</v>
      </c>
    </row>
    <row r="11">
      <c r="A11" s="12">
        <f>CMP!H13</f>
        <v>2871.48</v>
      </c>
      <c r="B11" s="12">
        <f>CMP!J13</f>
        <v>2875.93</v>
      </c>
    </row>
    <row r="12">
      <c r="A12" s="12">
        <f>CMP!H14</f>
        <v>2919</v>
      </c>
      <c r="B12" s="12">
        <f>CMP!J14</f>
        <v>2960.73</v>
      </c>
    </row>
    <row r="13">
      <c r="A13" s="12">
        <f>CMP!H15</f>
        <v>2966.63</v>
      </c>
      <c r="B13" s="12">
        <f>CMP!J15</f>
        <v>2974.41</v>
      </c>
    </row>
    <row r="14">
      <c r="A14" s="12">
        <f>CMP!H16</f>
        <v>2963.52</v>
      </c>
      <c r="B14" s="12">
        <f>CMP!J16</f>
        <v>2962.12</v>
      </c>
    </row>
    <row r="15">
      <c r="A15" s="12">
        <f>CMP!H17</f>
        <v>2982</v>
      </c>
      <c r="B15" s="12">
        <f>CMP!J17</f>
        <v>2973.5</v>
      </c>
    </row>
    <row r="16">
      <c r="A16" s="12">
        <f>CMP!H18</f>
        <v>2968.88</v>
      </c>
      <c r="B16" s="12">
        <f>CMP!J18</f>
        <v>2934.09</v>
      </c>
    </row>
    <row r="17">
      <c r="A17" s="12">
        <f>CMP!H19</f>
        <v>2895.4</v>
      </c>
      <c r="B17" s="12">
        <f>CMP!J19</f>
        <v>2899.41</v>
      </c>
    </row>
    <row r="18">
      <c r="A18" s="12">
        <f>CMP!H20</f>
        <v>2887.32</v>
      </c>
      <c r="B18" s="12">
        <f>CMP!J20</f>
        <v>2947.37</v>
      </c>
    </row>
    <row r="19">
      <c r="A19" s="12">
        <f>CMP!H21</f>
        <v>2961.54</v>
      </c>
      <c r="B19" s="12">
        <f>CMP!J21</f>
        <v>2896.77</v>
      </c>
    </row>
    <row r="20">
      <c r="A20" s="12">
        <f>CMP!H22</f>
        <v>1037.49</v>
      </c>
      <c r="B20" s="12">
        <f>CMP!J22</f>
        <v>1037.05</v>
      </c>
    </row>
    <row r="21">
      <c r="A21" s="12">
        <f>CMP!H23</f>
        <v>1035.5</v>
      </c>
      <c r="B21" s="12">
        <f>CMP!J23</f>
        <v>1041.1</v>
      </c>
    </row>
    <row r="22">
      <c r="A22" s="12">
        <f>CMP!H24</f>
        <v>1039.63</v>
      </c>
      <c r="B22" s="12">
        <f>CMP!J24</f>
        <v>1040.48</v>
      </c>
    </row>
    <row r="23">
      <c r="A23" s="12">
        <f>CMP!H25</f>
        <v>1046.12</v>
      </c>
      <c r="B23" s="12">
        <f>CMP!J25</f>
        <v>1040.61</v>
      </c>
    </row>
    <row r="24">
      <c r="A24" s="12">
        <f>CMP!H26</f>
        <v>1045</v>
      </c>
      <c r="B24" s="12">
        <f>CMP!J26</f>
        <v>1049.15</v>
      </c>
    </row>
    <row r="25">
      <c r="A25" s="12">
        <f>CMP!H27</f>
        <v>1054.61</v>
      </c>
      <c r="B25" s="12">
        <f>CMP!J27</f>
        <v>1064.19</v>
      </c>
    </row>
    <row r="26">
      <c r="A26" s="12">
        <f>CMP!H28</f>
        <v>1066.08</v>
      </c>
      <c r="B26" s="12">
        <f>CMP!J28</f>
        <v>1077.14</v>
      </c>
    </row>
    <row r="27">
      <c r="A27" s="12">
        <f>CMP!H29</f>
        <v>1075.2</v>
      </c>
      <c r="B27" s="12">
        <f>CMP!J29</f>
        <v>1070.68</v>
      </c>
    </row>
    <row r="28">
      <c r="A28" s="12">
        <f>CMP!H30</f>
        <v>1071.78</v>
      </c>
      <c r="B28" s="12">
        <f>CMP!J30</f>
        <v>1064.95</v>
      </c>
    </row>
    <row r="29">
      <c r="A29" s="12">
        <f>CMP!H31</f>
        <v>1064.95</v>
      </c>
      <c r="B29" s="12">
        <f>CMP!J31</f>
        <v>1063.63</v>
      </c>
    </row>
    <row r="30">
      <c r="A30" s="12">
        <f>CMP!H32</f>
        <v>1061.11</v>
      </c>
      <c r="B30" s="12">
        <f>CMP!J32</f>
        <v>1060.12</v>
      </c>
    </row>
    <row r="31">
      <c r="A31" s="12">
        <f>CMP!H33</f>
        <v>1058.07</v>
      </c>
      <c r="B31" s="12">
        <f>CMP!J33</f>
        <v>1056.74</v>
      </c>
    </row>
    <row r="32">
      <c r="A32" s="12">
        <f>CMP!H34</f>
        <v>1057.39</v>
      </c>
      <c r="B32" s="12">
        <f>CMP!J34</f>
        <v>1049.37</v>
      </c>
    </row>
    <row r="33">
      <c r="A33" s="12">
        <f>CMP!H35</f>
        <v>1051.6</v>
      </c>
      <c r="B33" s="12">
        <f>CMP!J35</f>
        <v>1048.14</v>
      </c>
    </row>
    <row r="34">
      <c r="A34" s="12">
        <f>CMP!H36</f>
        <v>1046.72</v>
      </c>
      <c r="B34" s="12">
        <f>CMP!J36</f>
        <v>1046.4</v>
      </c>
    </row>
    <row r="35">
      <c r="A35" s="12">
        <f>CMP!H37</f>
        <v>1048.34</v>
      </c>
      <c r="B35" s="12">
        <f>CMP!J37</f>
        <v>1065</v>
      </c>
    </row>
    <row r="36">
      <c r="A36" s="12">
        <f>CMP!H38</f>
        <v>1064.31</v>
      </c>
      <c r="B36" s="12">
        <f>CMP!J38</f>
        <v>1082.48</v>
      </c>
    </row>
    <row r="37">
      <c r="A37" s="12">
        <f>CMP!H39</f>
        <v>1088</v>
      </c>
      <c r="B37" s="12">
        <f>CMP!J39</f>
        <v>1086.4</v>
      </c>
    </row>
    <row r="38">
      <c r="A38" s="12">
        <f>CMP!H40</f>
        <v>1094</v>
      </c>
      <c r="B38" s="12">
        <f>CMP!J40</f>
        <v>1102.23</v>
      </c>
    </row>
    <row r="39">
      <c r="A39" s="12">
        <f>CMP!H41</f>
        <v>1102.23</v>
      </c>
      <c r="B39" s="12">
        <f>CMP!J41</f>
        <v>1106.94</v>
      </c>
    </row>
    <row r="40">
      <c r="A40" s="12">
        <f>CMP!H42</f>
        <v>1109.4</v>
      </c>
      <c r="B40" s="12">
        <f>CMP!J42</f>
        <v>1106.26</v>
      </c>
    </row>
    <row r="41">
      <c r="A41" s="12">
        <f>CMP!H43</f>
        <v>1097.1</v>
      </c>
      <c r="B41" s="12">
        <f>CMP!J43</f>
        <v>1102.61</v>
      </c>
    </row>
    <row r="42">
      <c r="A42" s="12">
        <f>CMP!H44</f>
        <v>1106.3</v>
      </c>
      <c r="B42" s="12">
        <f>CMP!J44</f>
        <v>1105.52</v>
      </c>
    </row>
    <row r="43">
      <c r="A43" s="12">
        <f>CMP!H45</f>
        <v>1102.41</v>
      </c>
      <c r="B43" s="12">
        <f>CMP!J45</f>
        <v>1122.26</v>
      </c>
    </row>
    <row r="44">
      <c r="A44" s="12">
        <f>CMP!H46</f>
        <v>1132.51</v>
      </c>
      <c r="B44" s="12">
        <f>CMP!J46</f>
        <v>1121.76</v>
      </c>
    </row>
    <row r="45">
      <c r="A45" s="12">
        <f>CMP!H47</f>
        <v>1126.22</v>
      </c>
      <c r="B45" s="12">
        <f>CMP!J47</f>
        <v>1131.98</v>
      </c>
    </row>
    <row r="46">
      <c r="A46" s="12">
        <f>CMP!H48</f>
        <v>1131.41</v>
      </c>
      <c r="B46" s="12">
        <f>CMP!J48</f>
        <v>1129.79</v>
      </c>
    </row>
    <row r="47">
      <c r="A47" s="12">
        <f>CMP!H49</f>
        <v>1131.83</v>
      </c>
      <c r="B47" s="12">
        <f>CMP!J49</f>
        <v>1137.51</v>
      </c>
    </row>
    <row r="48">
      <c r="A48" s="12">
        <f>CMP!H50</f>
        <v>1137.49</v>
      </c>
      <c r="B48" s="12">
        <f>CMP!J50</f>
        <v>1155.81</v>
      </c>
    </row>
    <row r="49">
      <c r="A49" s="12">
        <f>CMP!H51</f>
        <v>1159.85</v>
      </c>
      <c r="B49" s="12">
        <f>CMP!J51</f>
        <v>1169.97</v>
      </c>
    </row>
    <row r="50">
      <c r="A50" s="12">
        <f>CMP!H52</f>
        <v>1177.33</v>
      </c>
      <c r="B50" s="12">
        <f>CMP!J52</f>
        <v>1164.24</v>
      </c>
    </row>
    <row r="51">
      <c r="A51" s="12">
        <f>CMP!H53</f>
        <v>1172.53</v>
      </c>
      <c r="B51" s="12">
        <f>CMP!J53</f>
        <v>1170.37</v>
      </c>
    </row>
    <row r="52">
      <c r="A52" s="12">
        <f>CMP!H54</f>
        <v>1175.08</v>
      </c>
      <c r="B52" s="12">
        <f>CMP!J54</f>
        <v>1175.84</v>
      </c>
    </row>
    <row r="53">
      <c r="A53" s="12">
        <f>CMP!H55</f>
        <v>1176.48</v>
      </c>
      <c r="B53" s="12">
        <f>CMP!J55</f>
        <v>1175.58</v>
      </c>
    </row>
    <row r="54">
      <c r="A54" s="12">
        <f>CMP!H56</f>
        <v>1167.83</v>
      </c>
      <c r="B54" s="12">
        <f>CMP!J56</f>
        <v>1163.69</v>
      </c>
    </row>
    <row r="55">
      <c r="A55" s="12">
        <f>CMP!H57</f>
        <v>1170.57</v>
      </c>
      <c r="B55" s="12">
        <f>CMP!J57</f>
        <v>1169.94</v>
      </c>
    </row>
    <row r="56">
      <c r="A56" s="12">
        <f>CMP!H58</f>
        <v>1162.61</v>
      </c>
      <c r="B56" s="12">
        <f>CMP!J58</f>
        <v>1167.7</v>
      </c>
    </row>
    <row r="57">
      <c r="A57" s="12">
        <f>CMP!H59</f>
        <v>1122</v>
      </c>
      <c r="B57" s="12">
        <f>CMP!J59</f>
        <v>1111.9</v>
      </c>
    </row>
    <row r="58">
      <c r="A58" s="12">
        <f>CMP!H60</f>
        <v>1090.6</v>
      </c>
      <c r="B58" s="12">
        <f>CMP!J60</f>
        <v>1055.8</v>
      </c>
    </row>
    <row r="59">
      <c r="A59" s="12">
        <f>CMP!H61</f>
        <v>1027.18</v>
      </c>
      <c r="B59" s="12">
        <f>CMP!J61</f>
        <v>1080.6</v>
      </c>
    </row>
    <row r="60">
      <c r="A60" s="12">
        <f>CMP!H62</f>
        <v>1081.54</v>
      </c>
      <c r="B60" s="12">
        <f>CMP!J62</f>
        <v>1048.58</v>
      </c>
    </row>
    <row r="61">
      <c r="A61" s="12">
        <f>CMP!H63</f>
        <v>1055.41</v>
      </c>
      <c r="B61" s="12">
        <f>CMP!J63</f>
        <v>1001.52</v>
      </c>
    </row>
    <row r="62">
      <c r="A62" s="12">
        <f>CMP!H64</f>
        <v>1017.25</v>
      </c>
      <c r="B62" s="12">
        <f>CMP!J64</f>
        <v>1037.78</v>
      </c>
    </row>
    <row r="63">
      <c r="A63" s="12">
        <f>CMP!H65</f>
        <v>1048</v>
      </c>
      <c r="B63" s="12">
        <f>CMP!J65</f>
        <v>1051.94</v>
      </c>
    </row>
    <row r="64">
      <c r="A64" s="12">
        <f>CMP!H66</f>
        <v>1045</v>
      </c>
      <c r="B64" s="12">
        <f>CMP!J66</f>
        <v>1052.1</v>
      </c>
    </row>
    <row r="65">
      <c r="A65" s="12">
        <f>CMP!H67</f>
        <v>1048.95</v>
      </c>
      <c r="B65" s="12">
        <f>CMP!J67</f>
        <v>1069.7</v>
      </c>
    </row>
    <row r="66">
      <c r="A66" s="12">
        <f>CMP!H68</f>
        <v>1079.07</v>
      </c>
      <c r="B66" s="12">
        <f>CMP!J68</f>
        <v>1089.52</v>
      </c>
    </row>
    <row r="67">
      <c r="A67" s="12">
        <f>CMP!H69</f>
        <v>1088.41</v>
      </c>
      <c r="B67" s="12">
        <f>CMP!J69</f>
        <v>1094.8</v>
      </c>
    </row>
    <row r="68">
      <c r="A68" s="12">
        <f>CMP!H70</f>
        <v>1090.57</v>
      </c>
      <c r="B68" s="12">
        <f>CMP!J70</f>
        <v>1102.46</v>
      </c>
    </row>
    <row r="69">
      <c r="A69" s="12">
        <f>CMP!H71</f>
        <v>1106.47</v>
      </c>
      <c r="B69" s="12">
        <f>CMP!J71</f>
        <v>1111.34</v>
      </c>
    </row>
    <row r="70">
      <c r="A70" s="12">
        <f>CMP!H72</f>
        <v>1116.19</v>
      </c>
      <c r="B70" s="12">
        <f>CMP!J72</f>
        <v>1106.63</v>
      </c>
    </row>
    <row r="71">
      <c r="A71" s="12">
        <f>CMP!H73</f>
        <v>1112.64</v>
      </c>
      <c r="B71" s="12">
        <f>CMP!J73</f>
        <v>1126.79</v>
      </c>
    </row>
    <row r="72">
      <c r="A72" s="12">
        <f>CMP!H74</f>
        <v>1127.8</v>
      </c>
      <c r="B72" s="12">
        <f>CMP!J74</f>
        <v>1143.75</v>
      </c>
    </row>
    <row r="73">
      <c r="A73" s="12">
        <f>CMP!H75</f>
        <v>1141.24</v>
      </c>
      <c r="B73" s="12">
        <f>CMP!J75</f>
        <v>1118.29</v>
      </c>
    </row>
    <row r="74">
      <c r="A74" s="12">
        <f>CMP!H76</f>
        <v>1123.03</v>
      </c>
      <c r="B74" s="12">
        <f>CMP!J76</f>
        <v>1104.73</v>
      </c>
    </row>
    <row r="75">
      <c r="A75" s="12">
        <f>CMP!H77</f>
        <v>1107.87</v>
      </c>
      <c r="B75" s="12">
        <f>CMP!J77</f>
        <v>1069.52</v>
      </c>
    </row>
    <row r="76">
      <c r="A76" s="12">
        <f>CMP!H78</f>
        <v>1053.08</v>
      </c>
      <c r="B76" s="12">
        <f>CMP!J78</f>
        <v>1078.92</v>
      </c>
    </row>
    <row r="77">
      <c r="A77" s="12">
        <f>CMP!H79</f>
        <v>1075.14</v>
      </c>
      <c r="B77" s="12">
        <f>CMP!J79</f>
        <v>1090.93</v>
      </c>
    </row>
    <row r="78">
      <c r="A78" s="12">
        <f>CMP!H80</f>
        <v>1099.22</v>
      </c>
      <c r="B78" s="12">
        <f>CMP!J80</f>
        <v>1095.06</v>
      </c>
    </row>
    <row r="79">
      <c r="A79" s="12">
        <f>CMP!H81</f>
        <v>1089.19</v>
      </c>
      <c r="B79" s="12">
        <f>CMP!J81</f>
        <v>1109.64</v>
      </c>
    </row>
    <row r="80">
      <c r="A80" s="12">
        <f>CMP!H82</f>
        <v>1115.32</v>
      </c>
      <c r="B80" s="12">
        <f>CMP!J82</f>
        <v>1126</v>
      </c>
    </row>
    <row r="81">
      <c r="A81" s="12">
        <f>CMP!H83</f>
        <v>1136</v>
      </c>
      <c r="B81" s="12">
        <f>CMP!J83</f>
        <v>1160.04</v>
      </c>
    </row>
    <row r="82">
      <c r="A82" s="12">
        <f>CMP!H84</f>
        <v>1163.85</v>
      </c>
      <c r="B82" s="12">
        <f>CMP!J84</f>
        <v>1164.5</v>
      </c>
    </row>
    <row r="83">
      <c r="A83" s="12">
        <f>CMP!H85</f>
        <v>1170</v>
      </c>
      <c r="B83" s="12">
        <f>CMP!J85</f>
        <v>1138.17</v>
      </c>
    </row>
    <row r="84">
      <c r="A84" s="12">
        <f>CMP!H86</f>
        <v>1145.21</v>
      </c>
      <c r="B84" s="12">
        <f>CMP!J86</f>
        <v>1149.49</v>
      </c>
    </row>
    <row r="85">
      <c r="A85" s="12">
        <f>CMP!H87</f>
        <v>1149.96</v>
      </c>
      <c r="B85" s="12">
        <f>CMP!J87</f>
        <v>1149.58</v>
      </c>
    </row>
    <row r="86">
      <c r="A86" s="12">
        <f>CMP!H88</f>
        <v>1154.14</v>
      </c>
      <c r="B86" s="12">
        <f>CMP!J88</f>
        <v>1135.73</v>
      </c>
    </row>
    <row r="87">
      <c r="A87" s="12">
        <f>CMP!H89</f>
        <v>1120.01</v>
      </c>
      <c r="B87" s="12">
        <f>CMP!J89</f>
        <v>1099.82</v>
      </c>
    </row>
    <row r="88">
      <c r="A88" s="12">
        <f>CMP!H90</f>
        <v>1099</v>
      </c>
      <c r="B88" s="12">
        <f>CMP!J90</f>
        <v>1097.71</v>
      </c>
    </row>
    <row r="89">
      <c r="A89" s="12">
        <f>CMP!H91</f>
        <v>1092.74</v>
      </c>
      <c r="B89" s="12">
        <f>CMP!J91</f>
        <v>1090.88</v>
      </c>
    </row>
    <row r="90">
      <c r="A90" s="12">
        <f>CMP!H92</f>
        <v>1081.88</v>
      </c>
      <c r="B90" s="12">
        <f>CMP!J92</f>
        <v>1049.08</v>
      </c>
    </row>
    <row r="91">
      <c r="A91" s="12">
        <f>CMP!H93</f>
        <v>1047.03</v>
      </c>
      <c r="B91" s="12">
        <f>CMP!J93</f>
        <v>1021.57</v>
      </c>
    </row>
    <row r="92">
      <c r="A92" s="12">
        <f>CMP!H94</f>
        <v>1046</v>
      </c>
      <c r="B92" s="12">
        <f>CMP!J94</f>
        <v>1053.21</v>
      </c>
    </row>
    <row r="93">
      <c r="A93" s="12">
        <f>CMP!H95</f>
        <v>1063</v>
      </c>
      <c r="B93" s="12">
        <f>CMP!J95</f>
        <v>1005.1</v>
      </c>
    </row>
    <row r="94">
      <c r="A94" s="12">
        <f>CMP!H96</f>
        <v>998</v>
      </c>
      <c r="B94" s="12">
        <f>CMP!J96</f>
        <v>1004.56</v>
      </c>
    </row>
    <row r="95">
      <c r="A95" s="12">
        <f>CMP!H97</f>
        <v>1011.63</v>
      </c>
      <c r="B95" s="12">
        <f>CMP!J97</f>
        <v>1031.79</v>
      </c>
    </row>
    <row r="96">
      <c r="A96" s="12">
        <f>CMP!H98</f>
        <v>1022.82</v>
      </c>
      <c r="B96" s="12">
        <f>CMP!J98</f>
        <v>1006.47</v>
      </c>
    </row>
    <row r="97">
      <c r="A97" s="12">
        <f>CMP!H99</f>
        <v>1013.91</v>
      </c>
      <c r="B97" s="12">
        <f>CMP!J99</f>
        <v>1013.41</v>
      </c>
    </row>
    <row r="98">
      <c r="A98" s="12">
        <f>CMP!H100</f>
        <v>993.41</v>
      </c>
      <c r="B98" s="12">
        <f>CMP!J100</f>
        <v>1025.14</v>
      </c>
    </row>
    <row r="99">
      <c r="A99" s="12">
        <f>CMP!H101</f>
        <v>1041.33</v>
      </c>
      <c r="B99" s="12">
        <f>CMP!J101</f>
        <v>1027.81</v>
      </c>
    </row>
    <row r="100">
      <c r="A100" s="12">
        <f>CMP!H102</f>
        <v>1020</v>
      </c>
      <c r="B100" s="12">
        <f>CMP!J102</f>
        <v>1007.04</v>
      </c>
    </row>
    <row r="101">
      <c r="A101" s="12">
        <f>CMP!H103</f>
        <v>1016.8</v>
      </c>
      <c r="B101" s="12">
        <f>CMP!J103</f>
        <v>1015.45</v>
      </c>
    </row>
    <row r="102">
      <c r="A102" s="12">
        <f>CMP!H104</f>
        <v>1026.44</v>
      </c>
      <c r="B102" s="12">
        <f>CMP!J104</f>
        <v>1031.64</v>
      </c>
    </row>
    <row r="103">
      <c r="A103" s="12">
        <f>CMP!H105</f>
        <v>1027.99</v>
      </c>
      <c r="B103" s="12">
        <f>CMP!J105</f>
        <v>1019.97</v>
      </c>
    </row>
    <row r="104">
      <c r="A104" s="12">
        <f>CMP!H106</f>
        <v>1025.04</v>
      </c>
      <c r="B104" s="12">
        <f>CMP!J106</f>
        <v>1032.51</v>
      </c>
    </row>
    <row r="105">
      <c r="A105" s="12">
        <f>CMP!H107</f>
        <v>1040.88</v>
      </c>
      <c r="B105" s="12">
        <f>CMP!J107</f>
        <v>1029.27</v>
      </c>
    </row>
    <row r="106">
      <c r="A106" s="12">
        <f>CMP!H108</f>
        <v>1037</v>
      </c>
      <c r="B106" s="12">
        <f>CMP!J108</f>
        <v>1037.98</v>
      </c>
    </row>
    <row r="107">
      <c r="A107" s="12">
        <f>CMP!H109</f>
        <v>1051.37</v>
      </c>
      <c r="B107" s="12">
        <f>CMP!J109</f>
        <v>1074.16</v>
      </c>
    </row>
    <row r="108">
      <c r="A108" s="12">
        <f>CMP!H110</f>
        <v>1077.43</v>
      </c>
      <c r="B108" s="12">
        <f>CMP!J110</f>
        <v>1072.08</v>
      </c>
    </row>
    <row r="109">
      <c r="A109" s="12">
        <f>CMP!H111</f>
        <v>1069.4</v>
      </c>
      <c r="B109" s="12">
        <f>CMP!J111</f>
        <v>1087.7</v>
      </c>
    </row>
    <row r="110">
      <c r="A110" s="12">
        <f>CMP!H112</f>
        <v>1082</v>
      </c>
      <c r="B110" s="12">
        <f>CMP!J112</f>
        <v>1072.96</v>
      </c>
    </row>
    <row r="111">
      <c r="A111" s="12">
        <f>CMP!H113</f>
        <v>1077.86</v>
      </c>
      <c r="B111" s="12">
        <f>CMP!J113</f>
        <v>1067.45</v>
      </c>
    </row>
    <row r="112">
      <c r="A112" s="12">
        <f>CMP!H114</f>
        <v>1052</v>
      </c>
      <c r="B112" s="12">
        <f>CMP!J114</f>
        <v>1019.98</v>
      </c>
    </row>
    <row r="113">
      <c r="A113" s="12">
        <f>CMP!H115</f>
        <v>1025.52</v>
      </c>
      <c r="B113" s="12">
        <f>CMP!J115</f>
        <v>1021.18</v>
      </c>
    </row>
    <row r="114">
      <c r="A114" s="12">
        <f>CMP!H116</f>
        <v>1029.51</v>
      </c>
      <c r="B114" s="12">
        <f>CMP!J116</f>
        <v>1040.04</v>
      </c>
    </row>
    <row r="115">
      <c r="A115" s="12">
        <f>CMP!H117</f>
        <v>1046</v>
      </c>
      <c r="B115" s="12">
        <f>CMP!J117</f>
        <v>1030.05</v>
      </c>
    </row>
    <row r="116">
      <c r="A116" s="12">
        <f>CMP!H118</f>
        <v>1030.01</v>
      </c>
      <c r="B116" s="12">
        <f>CMP!J118</f>
        <v>1017.33</v>
      </c>
    </row>
    <row r="117">
      <c r="A117" s="12">
        <f>CMP!H119</f>
        <v>1013.66</v>
      </c>
      <c r="B117" s="12">
        <f>CMP!J119</f>
        <v>1037.31</v>
      </c>
    </row>
    <row r="118">
      <c r="A118" s="12">
        <f>CMP!H120</f>
        <v>1028.1</v>
      </c>
      <c r="B118" s="12">
        <f>CMP!J120</f>
        <v>1024.38</v>
      </c>
    </row>
    <row r="119">
      <c r="A119" s="12">
        <f>CMP!H121</f>
        <v>1019</v>
      </c>
      <c r="B119" s="12">
        <f>CMP!J121</f>
        <v>1023.72</v>
      </c>
    </row>
    <row r="120">
      <c r="A120" s="12">
        <f>CMP!H122</f>
        <v>1016.9</v>
      </c>
      <c r="B120" s="12">
        <f>CMP!J122</f>
        <v>1048.21</v>
      </c>
    </row>
    <row r="121">
      <c r="A121" s="12">
        <f>CMP!H123</f>
        <v>1049.23</v>
      </c>
      <c r="B121" s="12">
        <f>CMP!J123</f>
        <v>1054.79</v>
      </c>
    </row>
    <row r="122">
      <c r="A122" s="12">
        <f>CMP!H124</f>
        <v>1058.54</v>
      </c>
      <c r="B122" s="12">
        <f>CMP!J124</f>
        <v>1053.91</v>
      </c>
    </row>
    <row r="123">
      <c r="A123" s="12">
        <f>CMP!H125</f>
        <v>1058.1</v>
      </c>
      <c r="B123" s="12">
        <f>CMP!J125</f>
        <v>1082.76</v>
      </c>
    </row>
    <row r="124">
      <c r="A124" s="12">
        <f>CMP!H126</f>
        <v>1086.03</v>
      </c>
      <c r="B124" s="12">
        <f>CMP!J126</f>
        <v>1097.57</v>
      </c>
    </row>
    <row r="125">
      <c r="A125" s="12">
        <f>CMP!H127</f>
        <v>1093.6</v>
      </c>
      <c r="B125" s="12">
        <f>CMP!J127</f>
        <v>1098.26</v>
      </c>
    </row>
    <row r="126">
      <c r="A126" s="12">
        <f>CMP!H128</f>
        <v>1100</v>
      </c>
      <c r="B126" s="12">
        <f>CMP!J128</f>
        <v>1100.2</v>
      </c>
    </row>
    <row r="127">
      <c r="A127" s="12">
        <f>CMP!H129</f>
        <v>1090</v>
      </c>
      <c r="B127" s="12">
        <f>CMP!J129</f>
        <v>1079.23</v>
      </c>
    </row>
    <row r="128">
      <c r="A128" s="12">
        <f>CMP!H130</f>
        <v>1077.31</v>
      </c>
      <c r="B128" s="12">
        <f>CMP!J130</f>
        <v>1081.77</v>
      </c>
    </row>
    <row r="129">
      <c r="A129" s="12">
        <f>CMP!H131</f>
        <v>1079.89</v>
      </c>
      <c r="B129" s="12">
        <f>CMP!J131</f>
        <v>1078.59</v>
      </c>
    </row>
    <row r="130">
      <c r="A130" s="12">
        <f>CMP!H132</f>
        <v>1061.86</v>
      </c>
      <c r="B130" s="12">
        <f>CMP!J132</f>
        <v>1066.36</v>
      </c>
    </row>
    <row r="131">
      <c r="A131" s="12">
        <f>CMP!H133</f>
        <v>1074.06</v>
      </c>
      <c r="B131" s="12">
        <f>CMP!J133</f>
        <v>1079.58</v>
      </c>
    </row>
    <row r="132">
      <c r="A132" s="12">
        <f>CMP!H134</f>
        <v>1083.56</v>
      </c>
      <c r="B132" s="12">
        <f>CMP!J134</f>
        <v>1069.73</v>
      </c>
    </row>
    <row r="133">
      <c r="A133" s="12">
        <f>CMP!H135</f>
        <v>1065.13</v>
      </c>
      <c r="B133" s="12">
        <f>CMP!J135</f>
        <v>1079.69</v>
      </c>
    </row>
    <row r="134">
      <c r="A134" s="12">
        <f>CMP!H136</f>
        <v>1079</v>
      </c>
      <c r="B134" s="12">
        <f>CMP!J136</f>
        <v>1079.24</v>
      </c>
    </row>
    <row r="135">
      <c r="A135" s="12">
        <f>CMP!H137</f>
        <v>1079.02</v>
      </c>
      <c r="B135" s="12">
        <f>CMP!J137</f>
        <v>1075.66</v>
      </c>
    </row>
    <row r="136">
      <c r="A136" s="12">
        <f>CMP!H138</f>
        <v>1064.89</v>
      </c>
      <c r="B136" s="12">
        <f>CMP!J138</f>
        <v>1060.32</v>
      </c>
    </row>
    <row r="137">
      <c r="A137" s="12">
        <f>CMP!H139</f>
        <v>1063.03</v>
      </c>
      <c r="B137" s="12">
        <f>CMP!J139</f>
        <v>1067.8</v>
      </c>
    </row>
    <row r="138">
      <c r="A138" s="12">
        <f>CMP!H140</f>
        <v>1063.03</v>
      </c>
      <c r="B138" s="12">
        <f>CMP!J140</f>
        <v>1067.8</v>
      </c>
    </row>
    <row r="139">
      <c r="A139" s="12">
        <f>CMP!H141</f>
        <v>1099.35</v>
      </c>
      <c r="B139" s="12">
        <f>CMP!J141</f>
        <v>1119.5</v>
      </c>
    </row>
    <row r="140">
      <c r="A140" s="12">
        <f>CMP!H142</f>
        <v>1122.33</v>
      </c>
      <c r="B140" s="12">
        <f>CMP!J142</f>
        <v>1139.29</v>
      </c>
    </row>
    <row r="141">
      <c r="A141" s="12">
        <f>CMP!H143</f>
        <v>1140.99</v>
      </c>
      <c r="B141" s="12">
        <f>CMP!J143</f>
        <v>1139.66</v>
      </c>
    </row>
    <row r="142">
      <c r="A142" s="12">
        <f>CMP!H144</f>
        <v>1142.17</v>
      </c>
      <c r="B142" s="12">
        <f>CMP!J144</f>
        <v>1136.88</v>
      </c>
    </row>
    <row r="143">
      <c r="A143" s="12">
        <f>CMP!H145</f>
        <v>1131.32</v>
      </c>
      <c r="B143" s="12">
        <f>CMP!J145</f>
        <v>1123.86</v>
      </c>
    </row>
    <row r="144">
      <c r="A144" s="12">
        <f>CMP!H146</f>
        <v>1118.18</v>
      </c>
      <c r="B144" s="12">
        <f>CMP!J146</f>
        <v>1120.87</v>
      </c>
    </row>
    <row r="145">
      <c r="A145" s="12">
        <f>CMP!H147</f>
        <v>1118.6</v>
      </c>
      <c r="B145" s="12">
        <f>CMP!J147</f>
        <v>1129.99</v>
      </c>
    </row>
    <row r="146">
      <c r="A146" s="12">
        <f>CMP!H148</f>
        <v>1131.07</v>
      </c>
      <c r="B146" s="12">
        <f>CMP!J148</f>
        <v>1139.32</v>
      </c>
    </row>
    <row r="147">
      <c r="A147" s="12">
        <f>CMP!H149</f>
        <v>1141.12</v>
      </c>
      <c r="B147" s="12">
        <f>CMP!J149</f>
        <v>1134.79</v>
      </c>
    </row>
    <row r="148">
      <c r="A148" s="12">
        <f>CMP!H150</f>
        <v>1143.85</v>
      </c>
      <c r="B148" s="12">
        <f>CMP!J150</f>
        <v>1152.12</v>
      </c>
    </row>
    <row r="149">
      <c r="A149" s="12">
        <f>CMP!H151</f>
        <v>1148.86</v>
      </c>
      <c r="B149" s="12">
        <f>CMP!J151</f>
        <v>1152.26</v>
      </c>
    </row>
    <row r="150">
      <c r="A150" s="12">
        <f>CMP!H152</f>
        <v>1143.65</v>
      </c>
      <c r="B150" s="12">
        <f>CMP!J152</f>
        <v>1173.46</v>
      </c>
    </row>
    <row r="151">
      <c r="A151" s="12">
        <f>CMP!H153</f>
        <v>1158.5</v>
      </c>
      <c r="B151" s="12">
        <f>CMP!J153</f>
        <v>1168.06</v>
      </c>
    </row>
    <row r="152">
      <c r="A152" s="12">
        <f>CMP!H154</f>
        <v>1175.31</v>
      </c>
      <c r="B152" s="12">
        <f>CMP!J154</f>
        <v>1169.84</v>
      </c>
    </row>
    <row r="153">
      <c r="A153" s="12">
        <f>CMP!H155</f>
        <v>1174.85</v>
      </c>
      <c r="B153" s="12">
        <f>CMP!J155</f>
        <v>1157.66</v>
      </c>
    </row>
    <row r="154">
      <c r="A154" s="12">
        <f>CMP!H156</f>
        <v>1159.14</v>
      </c>
      <c r="B154" s="12">
        <f>CMP!J156</f>
        <v>1155.48</v>
      </c>
    </row>
    <row r="155">
      <c r="A155" s="12">
        <f>CMP!H157</f>
        <v>1143.6</v>
      </c>
      <c r="B155" s="12">
        <f>CMP!J157</f>
        <v>1124.81</v>
      </c>
    </row>
    <row r="156">
      <c r="A156" s="12">
        <f>CMP!H158</f>
        <v>1128</v>
      </c>
      <c r="B156" s="12">
        <f>CMP!J158</f>
        <v>1118.46</v>
      </c>
    </row>
    <row r="157">
      <c r="A157" s="12">
        <f>CMP!H159</f>
        <v>1121.34</v>
      </c>
      <c r="B157" s="12">
        <f>CMP!J159</f>
        <v>1103.98</v>
      </c>
    </row>
    <row r="158">
      <c r="A158" s="12">
        <f>CMP!H160</f>
        <v>1102.09</v>
      </c>
      <c r="B158" s="12">
        <f>CMP!J160</f>
        <v>1114.22</v>
      </c>
    </row>
    <row r="159">
      <c r="A159" s="12">
        <f>CMP!H161</f>
        <v>1120</v>
      </c>
      <c r="B159" s="12">
        <f>CMP!J161</f>
        <v>1115.65</v>
      </c>
    </row>
    <row r="160">
      <c r="A160" s="12">
        <f>CMP!H162</f>
        <v>1099</v>
      </c>
      <c r="B160" s="12">
        <f>CMP!J162</f>
        <v>1127.46</v>
      </c>
    </row>
    <row r="161">
      <c r="A161" s="12">
        <f>CMP!H163</f>
        <v>1135.82</v>
      </c>
      <c r="B161" s="12">
        <f>CMP!J163</f>
        <v>1102.89</v>
      </c>
    </row>
    <row r="162">
      <c r="A162" s="12">
        <f>CMP!H164</f>
        <v>1110.53</v>
      </c>
      <c r="B162" s="12">
        <f>CMP!J164</f>
        <v>1124.27</v>
      </c>
    </row>
    <row r="163">
      <c r="A163" s="12">
        <f>CMP!H165</f>
        <v>1123.58</v>
      </c>
      <c r="B163" s="12">
        <f>CMP!J165</f>
        <v>1140.17</v>
      </c>
    </row>
    <row r="164">
      <c r="A164" s="12">
        <f>CMP!H166</f>
        <v>1148.48</v>
      </c>
      <c r="B164" s="12">
        <f>CMP!J166</f>
        <v>1154.05</v>
      </c>
    </row>
    <row r="165">
      <c r="A165" s="12">
        <f>CMP!H167</f>
        <v>1156.98</v>
      </c>
      <c r="B165" s="12">
        <f>CMP!J167</f>
        <v>1152.84</v>
      </c>
    </row>
    <row r="166">
      <c r="A166" s="12">
        <f>CMP!H168</f>
        <v>1144.59</v>
      </c>
      <c r="B166" s="12">
        <f>CMP!J168</f>
        <v>1153.9</v>
      </c>
    </row>
    <row r="167">
      <c r="A167" s="12">
        <f>CMP!H169</f>
        <v>1159.89</v>
      </c>
      <c r="B167" s="12">
        <f>CMP!J169</f>
        <v>1183.48</v>
      </c>
    </row>
    <row r="168">
      <c r="A168" s="12">
        <f>CMP!H170</f>
        <v>1185</v>
      </c>
      <c r="B168" s="12">
        <f>CMP!J170</f>
        <v>1188.82</v>
      </c>
    </row>
    <row r="169">
      <c r="A169" s="12">
        <f>CMP!H171</f>
        <v>1189.39</v>
      </c>
      <c r="B169" s="12">
        <f>CMP!J171</f>
        <v>1183.86</v>
      </c>
    </row>
    <row r="170">
      <c r="A170" s="12">
        <f>CMP!H172</f>
        <v>1172.22</v>
      </c>
      <c r="B170" s="12">
        <f>CMP!J172</f>
        <v>1198.8</v>
      </c>
    </row>
    <row r="171">
      <c r="A171" s="12">
        <f>CMP!H173</f>
        <v>1196.56</v>
      </c>
      <c r="B171" s="12">
        <f>CMP!J173</f>
        <v>1195.88</v>
      </c>
    </row>
    <row r="172">
      <c r="A172" s="12">
        <f>CMP!H174</f>
        <v>1191</v>
      </c>
      <c r="B172" s="12">
        <f>CMP!J174</f>
        <v>1186.96</v>
      </c>
    </row>
    <row r="173">
      <c r="A173" s="12">
        <f>CMP!H175</f>
        <v>1186.96</v>
      </c>
      <c r="B173" s="12">
        <f>CMP!J175</f>
        <v>1184.91</v>
      </c>
    </row>
    <row r="174">
      <c r="A174" s="12">
        <f>CMP!H176</f>
        <v>1181.01</v>
      </c>
      <c r="B174" s="12">
        <f>CMP!J176</f>
        <v>1205.5</v>
      </c>
    </row>
    <row r="175">
      <c r="A175" s="12">
        <f>CMP!H177</f>
        <v>1262.59</v>
      </c>
      <c r="B175" s="12">
        <f>CMP!J177</f>
        <v>1248.08</v>
      </c>
    </row>
    <row r="176">
      <c r="A176" s="12">
        <f>CMP!H178</f>
        <v>1239.13</v>
      </c>
      <c r="B176" s="12">
        <f>CMP!J178</f>
        <v>1263.7</v>
      </c>
    </row>
    <row r="177">
      <c r="A177" s="12">
        <f>CMP!H179</f>
        <v>1251</v>
      </c>
      <c r="B177" s="12">
        <f>CMP!J179</f>
        <v>1268.33</v>
      </c>
    </row>
    <row r="178">
      <c r="A178" s="12">
        <f>CMP!H180</f>
        <v>1271</v>
      </c>
      <c r="B178" s="12">
        <f>CMP!J180</f>
        <v>1238.5</v>
      </c>
    </row>
    <row r="179">
      <c r="A179" s="12">
        <f>CMP!H181</f>
        <v>1228.01</v>
      </c>
      <c r="B179" s="12">
        <f>CMP!J181</f>
        <v>1219.74</v>
      </c>
    </row>
    <row r="180">
      <c r="A180" s="12">
        <f>CMP!H182</f>
        <v>1220.01</v>
      </c>
      <c r="B180" s="12">
        <f>CMP!J182</f>
        <v>1217.26</v>
      </c>
    </row>
    <row r="181">
      <c r="A181" s="12">
        <f>CMP!H183</f>
        <v>1228</v>
      </c>
      <c r="B181" s="12">
        <f>CMP!J183</f>
        <v>1220.01</v>
      </c>
    </row>
    <row r="182">
      <c r="A182" s="12">
        <f>CMP!H184</f>
        <v>1205.9</v>
      </c>
      <c r="B182" s="12">
        <f>CMP!J184</f>
        <v>1226.15</v>
      </c>
    </row>
    <row r="183">
      <c r="A183" s="12">
        <f>CMP!H185</f>
        <v>1229.62</v>
      </c>
      <c r="B183" s="12">
        <f>CMP!J185</f>
        <v>1223.71</v>
      </c>
    </row>
    <row r="184">
      <c r="A184" s="12">
        <f>CMP!H186</f>
        <v>1225</v>
      </c>
      <c r="B184" s="12">
        <f>CMP!J186</f>
        <v>1224.77</v>
      </c>
    </row>
    <row r="185">
      <c r="A185" s="12">
        <f>CMP!H187</f>
        <v>1237</v>
      </c>
      <c r="B185" s="12">
        <f>CMP!J187</f>
        <v>1242.22</v>
      </c>
    </row>
    <row r="186">
      <c r="A186" s="12">
        <f>CMP!H188</f>
        <v>1240.47</v>
      </c>
      <c r="B186" s="12">
        <f>CMP!J188</f>
        <v>1245.61</v>
      </c>
    </row>
    <row r="187">
      <c r="A187" s="12">
        <f>CMP!H189</f>
        <v>1249.9</v>
      </c>
      <c r="B187" s="12">
        <f>CMP!J189</f>
        <v>1249.1</v>
      </c>
    </row>
    <row r="188">
      <c r="A188" s="12">
        <f>CMP!H190</f>
        <v>1243</v>
      </c>
      <c r="B188" s="12">
        <f>CMP!J190</f>
        <v>1237.61</v>
      </c>
    </row>
    <row r="189">
      <c r="A189" s="12">
        <f>CMP!H191</f>
        <v>1236.98</v>
      </c>
      <c r="B189" s="12">
        <f>CMP!J191</f>
        <v>1235.01</v>
      </c>
    </row>
    <row r="190">
      <c r="A190" s="12">
        <f>CMP!H192</f>
        <v>1235.19</v>
      </c>
      <c r="B190" s="12">
        <f>CMP!J192</f>
        <v>1242.1</v>
      </c>
    </row>
    <row r="191">
      <c r="A191" s="12">
        <f>CMP!H193</f>
        <v>1229.26</v>
      </c>
      <c r="B191" s="12">
        <f>CMP!J193</f>
        <v>1214.38</v>
      </c>
    </row>
    <row r="192">
      <c r="A192" s="12">
        <f>CMP!H194</f>
        <v>1224.73</v>
      </c>
      <c r="B192" s="12">
        <f>CMP!J194</f>
        <v>1206.49</v>
      </c>
    </row>
    <row r="193">
      <c r="A193" s="12">
        <f>CMP!H195</f>
        <v>1202.03</v>
      </c>
      <c r="B193" s="12">
        <f>CMP!J195</f>
        <v>1200.96</v>
      </c>
    </row>
    <row r="194">
      <c r="A194" s="12">
        <f>CMP!H196</f>
        <v>1205.02</v>
      </c>
      <c r="B194" s="12">
        <f>CMP!J196</f>
        <v>1207.77</v>
      </c>
    </row>
    <row r="195">
      <c r="A195" s="12">
        <f>CMP!H197</f>
        <v>1208</v>
      </c>
      <c r="B195" s="12">
        <f>CMP!J197</f>
        <v>1201.62</v>
      </c>
    </row>
    <row r="196">
      <c r="A196" s="12">
        <f>CMP!H198</f>
        <v>1200</v>
      </c>
      <c r="B196" s="12">
        <f>CMP!J198</f>
        <v>1207.33</v>
      </c>
    </row>
    <row r="197">
      <c r="A197" s="12">
        <f>CMP!H199</f>
        <v>1207.14</v>
      </c>
      <c r="B197" s="12">
        <f>CMP!J199</f>
        <v>1205.38</v>
      </c>
    </row>
    <row r="198">
      <c r="A198" s="12">
        <f>CMP!H200</f>
        <v>1208.82</v>
      </c>
      <c r="B198" s="12">
        <f>CMP!J200</f>
        <v>1220.65</v>
      </c>
    </row>
    <row r="199">
      <c r="A199" s="12">
        <f>CMP!H201</f>
        <v>1227.6</v>
      </c>
      <c r="B199" s="12">
        <f>CMP!J201</f>
        <v>1241.82</v>
      </c>
    </row>
    <row r="200">
      <c r="A200" s="12">
        <f>CMP!H202</f>
        <v>1241.29</v>
      </c>
      <c r="B200" s="12">
        <f>CMP!J202</f>
        <v>1231.15</v>
      </c>
    </row>
    <row r="201">
      <c r="A201" s="12">
        <f>CMP!H203</f>
        <v>1237.45</v>
      </c>
      <c r="B201" s="12">
        <f>CMP!J203</f>
        <v>1249.3</v>
      </c>
    </row>
    <row r="202">
      <c r="A202" s="12">
        <f>CMP!H204</f>
        <v>1244.23</v>
      </c>
      <c r="B202" s="12">
        <f>CMP!J204</f>
        <v>1239.12</v>
      </c>
    </row>
    <row r="203">
      <c r="A203" s="12">
        <f>CMP!H205</f>
        <v>1234.98</v>
      </c>
      <c r="B203" s="12">
        <f>CMP!J205</f>
        <v>1218.19</v>
      </c>
    </row>
    <row r="204">
      <c r="A204" s="12">
        <f>CMP!H206</f>
        <v>1204.27</v>
      </c>
      <c r="B204" s="12">
        <f>CMP!J206</f>
        <v>1197</v>
      </c>
    </row>
    <row r="205">
      <c r="A205" s="12">
        <f>CMP!H207</f>
        <v>1193.8</v>
      </c>
      <c r="B205" s="12">
        <f>CMP!J207</f>
        <v>1186.48</v>
      </c>
    </row>
    <row r="206">
      <c r="A206" s="12">
        <f>CMP!H208</f>
        <v>1186.3</v>
      </c>
      <c r="B206" s="12">
        <f>CMP!J208</f>
        <v>1171.44</v>
      </c>
    </row>
    <row r="207">
      <c r="A207" s="12">
        <f>CMP!H209</f>
        <v>1158.67</v>
      </c>
      <c r="B207" s="12">
        <f>CMP!J209</f>
        <v>1164.83</v>
      </c>
    </row>
    <row r="208">
      <c r="A208" s="12">
        <f>CMP!H210</f>
        <v>1172.19</v>
      </c>
      <c r="B208" s="12">
        <f>CMP!J210</f>
        <v>1164.64</v>
      </c>
    </row>
    <row r="209">
      <c r="A209" s="12">
        <f>CMP!H211</f>
        <v>1161.63</v>
      </c>
      <c r="B209" s="12">
        <f>CMP!J211</f>
        <v>1177.36</v>
      </c>
    </row>
    <row r="210">
      <c r="A210" s="12">
        <f>CMP!H212</f>
        <v>1172.72</v>
      </c>
      <c r="B210" s="12">
        <f>CMP!J212</f>
        <v>1162.82</v>
      </c>
    </row>
    <row r="211">
      <c r="A211" s="12">
        <f>CMP!H213</f>
        <v>1170.74</v>
      </c>
      <c r="B211" s="12">
        <f>CMP!J213</f>
        <v>1175.33</v>
      </c>
    </row>
    <row r="212">
      <c r="A212" s="12">
        <f>CMP!H214</f>
        <v>1179.1</v>
      </c>
      <c r="B212" s="12">
        <f>CMP!J214</f>
        <v>1172.53</v>
      </c>
    </row>
    <row r="213">
      <c r="A213" s="12">
        <f>CMP!H215</f>
        <v>1170.14</v>
      </c>
      <c r="B213" s="12">
        <f>CMP!J215</f>
        <v>1156.05</v>
      </c>
    </row>
    <row r="214">
      <c r="A214" s="12">
        <f>CMP!H216</f>
        <v>1157.09</v>
      </c>
      <c r="B214" s="12">
        <f>CMP!J216</f>
        <v>1161.22</v>
      </c>
    </row>
    <row r="215">
      <c r="A215" s="12">
        <f>CMP!H217</f>
        <v>1164.98</v>
      </c>
      <c r="B215" s="12">
        <f>CMP!J217</f>
        <v>1171.09</v>
      </c>
    </row>
    <row r="216">
      <c r="A216" s="12">
        <f>CMP!H218</f>
        <v>1179.99</v>
      </c>
      <c r="B216" s="12">
        <f>CMP!J218</f>
        <v>1186.87</v>
      </c>
    </row>
    <row r="217">
      <c r="A217" s="12">
        <f>CMP!H219</f>
        <v>1192</v>
      </c>
      <c r="B217" s="12">
        <f>CMP!J219</f>
        <v>1166.09</v>
      </c>
    </row>
    <row r="218">
      <c r="A218" s="12">
        <f>CMP!H220</f>
        <v>1157.17</v>
      </c>
      <c r="B218" s="12">
        <f>CMP!J220</f>
        <v>1173.37</v>
      </c>
    </row>
    <row r="219">
      <c r="A219" s="12">
        <f>CMP!H221</f>
        <v>1176.15</v>
      </c>
      <c r="B219" s="12">
        <f>CMP!J221</f>
        <v>1184.65</v>
      </c>
    </row>
    <row r="220">
      <c r="A220" s="12">
        <f>CMP!H222</f>
        <v>1185.15</v>
      </c>
      <c r="B220" s="12">
        <f>CMP!J222</f>
        <v>1180.49</v>
      </c>
    </row>
    <row r="221">
      <c r="A221" s="12">
        <f>CMP!H223</f>
        <v>1186.73</v>
      </c>
      <c r="B221" s="12">
        <f>CMP!J223</f>
        <v>1194.64</v>
      </c>
    </row>
    <row r="222">
      <c r="A222" s="12">
        <f>CMP!H224</f>
        <v>1191.87</v>
      </c>
      <c r="B222" s="12">
        <f>CMP!J224</f>
        <v>1193.47</v>
      </c>
    </row>
    <row r="223">
      <c r="A223" s="12">
        <f>CMP!H225</f>
        <v>1199.89</v>
      </c>
      <c r="B223" s="12">
        <f>CMP!J225</f>
        <v>1195.31</v>
      </c>
    </row>
    <row r="224">
      <c r="A224" s="12">
        <f>CMP!H226</f>
        <v>1190.96</v>
      </c>
      <c r="B224" s="12">
        <f>CMP!J226</f>
        <v>1200.11</v>
      </c>
    </row>
    <row r="225">
      <c r="A225" s="12">
        <f>CMP!H227</f>
        <v>1205</v>
      </c>
      <c r="B225" s="12">
        <f>CMP!J227</f>
        <v>1202.95</v>
      </c>
    </row>
    <row r="226">
      <c r="A226" s="12">
        <f>CMP!H228</f>
        <v>1195.33</v>
      </c>
      <c r="B226" s="12">
        <f>CMP!J228</f>
        <v>1168.19</v>
      </c>
    </row>
    <row r="227">
      <c r="A227" s="12">
        <f>CMP!H229</f>
        <v>1167.5</v>
      </c>
      <c r="B227" s="12">
        <f>CMP!J229</f>
        <v>1157.35</v>
      </c>
    </row>
    <row r="228">
      <c r="A228" s="12">
        <f>CMP!H230</f>
        <v>1150.11</v>
      </c>
      <c r="B228" s="12">
        <f>CMP!J230</f>
        <v>1148.97</v>
      </c>
    </row>
    <row r="229">
      <c r="A229" s="12">
        <f>CMP!H231</f>
        <v>1146.15</v>
      </c>
      <c r="B229" s="12">
        <f>CMP!J231</f>
        <v>1138.82</v>
      </c>
    </row>
    <row r="230">
      <c r="A230" s="12">
        <f>CMP!H232</f>
        <v>1131.08</v>
      </c>
      <c r="B230" s="12">
        <f>CMP!J232</f>
        <v>1081.22</v>
      </c>
    </row>
    <row r="231">
      <c r="A231" s="12">
        <f>CMP!H233</f>
        <v>1072.94</v>
      </c>
      <c r="B231" s="12">
        <f>CMP!J233</f>
        <v>1079.32</v>
      </c>
    </row>
    <row r="232">
      <c r="A232" s="12">
        <f>CMP!H234</f>
        <v>1108</v>
      </c>
      <c r="B232" s="12">
        <f>CMP!J234</f>
        <v>1110.08</v>
      </c>
    </row>
    <row r="233">
      <c r="A233" s="12">
        <f>CMP!H235</f>
        <v>1108.91</v>
      </c>
      <c r="B233" s="12">
        <f>CMP!J235</f>
        <v>1092.25</v>
      </c>
    </row>
    <row r="234">
      <c r="A234" s="12">
        <f>CMP!H236</f>
        <v>1104.59</v>
      </c>
      <c r="B234" s="12">
        <f>CMP!J236</f>
        <v>1121.28</v>
      </c>
    </row>
    <row r="235">
      <c r="A235" s="12">
        <f>CMP!H237</f>
        <v>1126.46</v>
      </c>
      <c r="B235" s="12">
        <f>CMP!J237</f>
        <v>1115.69</v>
      </c>
    </row>
    <row r="236">
      <c r="A236" s="12">
        <f>CMP!H238</f>
        <v>1121.84</v>
      </c>
      <c r="B236" s="12">
        <f>CMP!J238</f>
        <v>1087.97</v>
      </c>
    </row>
    <row r="237">
      <c r="A237" s="12">
        <f>CMP!H239</f>
        <v>1093.37</v>
      </c>
      <c r="B237" s="12">
        <f>CMP!J239</f>
        <v>1096.46</v>
      </c>
    </row>
    <row r="238">
      <c r="A238" s="12">
        <f>CMP!H240</f>
        <v>1103.06</v>
      </c>
      <c r="B238" s="12">
        <f>CMP!J240</f>
        <v>1101.16</v>
      </c>
    </row>
    <row r="239">
      <c r="A239" s="12">
        <f>CMP!H241</f>
        <v>1080.89</v>
      </c>
      <c r="B239" s="12">
        <f>CMP!J241</f>
        <v>1103.69</v>
      </c>
    </row>
    <row r="240">
      <c r="A240" s="12">
        <f>CMP!H242</f>
        <v>1104.25</v>
      </c>
      <c r="B240" s="12">
        <f>CMP!J242</f>
        <v>1050.71</v>
      </c>
    </row>
    <row r="241">
      <c r="A241" s="12">
        <f>CMP!H243</f>
        <v>1071.79</v>
      </c>
      <c r="B241" s="12">
        <f>CMP!J243</f>
        <v>1095.57</v>
      </c>
    </row>
    <row r="242">
      <c r="A242" s="12">
        <f>CMP!H244</f>
        <v>1037.03</v>
      </c>
      <c r="B242" s="12">
        <f>CMP!J244</f>
        <v>1071.47</v>
      </c>
    </row>
    <row r="243">
      <c r="A243" s="12">
        <f>CMP!H245</f>
        <v>1082.47</v>
      </c>
      <c r="B243" s="12">
        <f>CMP!J245</f>
        <v>1020.08</v>
      </c>
    </row>
    <row r="244">
      <c r="A244" s="12">
        <f>CMP!H246</f>
        <v>1008.46</v>
      </c>
      <c r="B244" s="12">
        <f>CMP!J246</f>
        <v>1036.21</v>
      </c>
    </row>
    <row r="245">
      <c r="A245" s="12">
        <f>CMP!H247</f>
        <v>1059.81</v>
      </c>
      <c r="B245" s="12">
        <f>CMP!J247</f>
        <v>1076.77</v>
      </c>
    </row>
    <row r="246">
      <c r="A246" s="12">
        <f>CMP!H248</f>
        <v>1075.8</v>
      </c>
      <c r="B246" s="12">
        <f>CMP!J248</f>
        <v>1070</v>
      </c>
    </row>
    <row r="247">
      <c r="A247" s="12">
        <f>CMP!H249</f>
        <v>1073.73</v>
      </c>
      <c r="B247" s="12">
        <f>CMP!J249</f>
        <v>1057.79</v>
      </c>
    </row>
    <row r="248">
      <c r="A248" s="12">
        <f>CMP!H250</f>
        <v>1055</v>
      </c>
      <c r="B248" s="12">
        <f>CMP!J250</f>
        <v>1040.09</v>
      </c>
    </row>
    <row r="249">
      <c r="A249" s="12">
        <f>CMP!H251</f>
        <v>1039.48</v>
      </c>
      <c r="B249" s="12">
        <f>CMP!J251</f>
        <v>1055.81</v>
      </c>
    </row>
    <row r="250">
      <c r="A250" s="12">
        <f>CMP!H252</f>
        <v>1069</v>
      </c>
      <c r="B250" s="12">
        <f>CMP!J252</f>
        <v>1093.39</v>
      </c>
    </row>
    <row r="251">
      <c r="A251" s="12">
        <f>CMP!H253</f>
        <v>1091.38</v>
      </c>
      <c r="B251" s="12">
        <f>CMP!J253</f>
        <v>1082.4</v>
      </c>
    </row>
    <row r="252">
      <c r="A252" s="12">
        <f>CMP!H254</f>
        <v>1073.99</v>
      </c>
      <c r="B252" s="12">
        <f>CMP!J254</f>
        <v>1066.15</v>
      </c>
    </row>
    <row r="253">
      <c r="A253" s="12">
        <f>CMP!H255</f>
        <v>1061.39</v>
      </c>
      <c r="B253" s="12">
        <f>CMP!J255</f>
        <v>1038.63</v>
      </c>
    </row>
    <row r="254">
      <c r="A254" s="12">
        <f>CMP!H256</f>
        <v>1043.29</v>
      </c>
      <c r="B254" s="12">
        <f>CMP!J256</f>
        <v>1036.05</v>
      </c>
    </row>
    <row r="255">
      <c r="A255" s="12">
        <f>CMP!H257</f>
        <v>1050</v>
      </c>
      <c r="B255" s="12">
        <f>CMP!J257</f>
        <v>1043.66</v>
      </c>
    </row>
    <row r="256">
      <c r="A256" s="12">
        <f>CMP!H258</f>
        <v>1044.71</v>
      </c>
      <c r="B256" s="12">
        <f>CMP!J258</f>
        <v>1064.71</v>
      </c>
    </row>
    <row r="257">
      <c r="A257" s="12">
        <f>CMP!H259</f>
        <v>1059.41</v>
      </c>
      <c r="B257" s="12">
        <f>CMP!J259</f>
        <v>1061.49</v>
      </c>
    </row>
    <row r="258">
      <c r="A258" s="12">
        <f>CMP!H260</f>
        <v>1057.2</v>
      </c>
      <c r="B258" s="12">
        <f>CMP!J260</f>
        <v>1020</v>
      </c>
    </row>
    <row r="259">
      <c r="A259" s="12">
        <f>CMP!H261</f>
        <v>1000</v>
      </c>
      <c r="B259" s="12">
        <f>CMP!J261</f>
        <v>1025.76</v>
      </c>
    </row>
    <row r="260">
      <c r="A260" s="12">
        <f>CMP!H262</f>
        <v>1036.76</v>
      </c>
      <c r="B260" s="12">
        <f>CMP!J262</f>
        <v>1037.61</v>
      </c>
    </row>
    <row r="261">
      <c r="A261" s="12">
        <f>CMP!H263</f>
        <v>1030</v>
      </c>
      <c r="B261" s="12">
        <f>CMP!J263</f>
        <v>1023.88</v>
      </c>
    </row>
    <row r="262">
      <c r="A262" s="12">
        <f>CMP!H264</f>
        <v>1038.35</v>
      </c>
      <c r="B262" s="12">
        <f>CMP!J264</f>
        <v>1048.62</v>
      </c>
    </row>
    <row r="263">
      <c r="A263" s="12">
        <f>CMP!H265</f>
        <v>1041</v>
      </c>
      <c r="B263" s="12">
        <f>CMP!J265</f>
        <v>1044.41</v>
      </c>
    </row>
    <row r="264">
      <c r="A264" s="12">
        <f>CMP!H266</f>
        <v>1048.76</v>
      </c>
      <c r="B264" s="12">
        <f>CMP!J266</f>
        <v>1086.23</v>
      </c>
    </row>
    <row r="265">
      <c r="A265" s="12">
        <f>CMP!H267</f>
        <v>1076.08</v>
      </c>
      <c r="B265" s="12">
        <f>CMP!J267</f>
        <v>1088.3</v>
      </c>
    </row>
    <row r="266">
      <c r="A266" s="12">
        <f>CMP!H268</f>
        <v>1089.07</v>
      </c>
      <c r="B266" s="12">
        <f>CMP!J268</f>
        <v>1094.43</v>
      </c>
    </row>
    <row r="267">
      <c r="A267" s="12">
        <f>CMP!H269</f>
        <v>1123.14</v>
      </c>
      <c r="B267" s="12">
        <f>CMP!J269</f>
        <v>1106.43</v>
      </c>
    </row>
    <row r="268">
      <c r="A268" s="12">
        <f>CMP!H270</f>
        <v>1103.12</v>
      </c>
      <c r="B268" s="12">
        <f>CMP!J270</f>
        <v>1050.82</v>
      </c>
    </row>
    <row r="269">
      <c r="A269" s="12">
        <f>CMP!H271</f>
        <v>1034.26</v>
      </c>
      <c r="B269" s="12">
        <f>CMP!J271</f>
        <v>1068.73</v>
      </c>
    </row>
    <row r="270">
      <c r="A270" s="12">
        <f>CMP!H272</f>
        <v>1060.01</v>
      </c>
      <c r="B270" s="12">
        <f>CMP!J272</f>
        <v>1036.58</v>
      </c>
    </row>
    <row r="271">
      <c r="A271" s="12">
        <f>CMP!H273</f>
        <v>1035.05</v>
      </c>
      <c r="B271" s="12">
        <f>CMP!J273</f>
        <v>1039.55</v>
      </c>
    </row>
    <row r="272">
      <c r="A272" s="12">
        <f>CMP!H274</f>
        <v>1056.49</v>
      </c>
      <c r="B272" s="12">
        <f>CMP!J274</f>
        <v>1051.75</v>
      </c>
    </row>
    <row r="273">
      <c r="A273" s="12">
        <f>CMP!H275</f>
        <v>1068</v>
      </c>
      <c r="B273" s="12">
        <f>CMP!J275</f>
        <v>1063.68</v>
      </c>
    </row>
    <row r="274">
      <c r="A274" s="12">
        <f>CMP!H276</f>
        <v>1068.07</v>
      </c>
      <c r="B274" s="12">
        <f>CMP!J276</f>
        <v>1061.9</v>
      </c>
    </row>
    <row r="275">
      <c r="A275" s="12">
        <f>CMP!H277</f>
        <v>1049.98</v>
      </c>
      <c r="B275" s="12">
        <f>CMP!J277</f>
        <v>1042.1</v>
      </c>
    </row>
    <row r="276">
      <c r="A276" s="12">
        <f>CMP!H278</f>
        <v>1037.51</v>
      </c>
      <c r="B276" s="12">
        <f>CMP!J278</f>
        <v>1016.53</v>
      </c>
    </row>
    <row r="277">
      <c r="A277" s="12">
        <f>CMP!H279</f>
        <v>1026.09</v>
      </c>
      <c r="B277" s="12">
        <f>CMP!J279</f>
        <v>1028.71</v>
      </c>
    </row>
    <row r="278">
      <c r="A278" s="12">
        <f>CMP!H280</f>
        <v>1033.99</v>
      </c>
      <c r="B278" s="12">
        <f>CMP!J280</f>
        <v>1023.01</v>
      </c>
    </row>
    <row r="279">
      <c r="A279" s="12">
        <f>CMP!H281</f>
        <v>1018.13</v>
      </c>
      <c r="B279" s="12">
        <f>CMP!J281</f>
        <v>1009.41</v>
      </c>
    </row>
    <row r="280">
      <c r="A280" s="12">
        <f>CMP!H282</f>
        <v>1015.3</v>
      </c>
      <c r="B280" s="12">
        <f>CMP!J282</f>
        <v>979.54</v>
      </c>
    </row>
    <row r="281">
      <c r="A281" s="12">
        <f>CMP!H283</f>
        <v>973.9</v>
      </c>
      <c r="B281" s="12">
        <f>CMP!J283</f>
        <v>976.22</v>
      </c>
    </row>
    <row r="282">
      <c r="A282" s="12">
        <f>CMP!H284</f>
        <v>989.01</v>
      </c>
      <c r="B282" s="12">
        <f>CMP!J284</f>
        <v>1039.46</v>
      </c>
    </row>
    <row r="283">
      <c r="A283" s="12">
        <f>CMP!H285</f>
        <v>1017.15</v>
      </c>
      <c r="B283" s="12">
        <f>CMP!J285</f>
        <v>1043.88</v>
      </c>
    </row>
    <row r="284">
      <c r="A284" s="12">
        <f>CMP!H286</f>
        <v>1049.62</v>
      </c>
      <c r="B284" s="12">
        <f>CMP!J286</f>
        <v>1037.08</v>
      </c>
    </row>
    <row r="285">
      <c r="A285" s="12">
        <f>CMP!H287</f>
        <v>1050.96</v>
      </c>
      <c r="B285" s="12">
        <f>CMP!J287</f>
        <v>1035.61</v>
      </c>
    </row>
    <row r="286">
      <c r="A286" s="12">
        <f>CMP!H288</f>
        <v>1016.57</v>
      </c>
      <c r="B286" s="12">
        <f>CMP!J288</f>
        <v>1045.85</v>
      </c>
    </row>
    <row r="287">
      <c r="A287" s="12">
        <f>CMP!H289</f>
        <v>1041</v>
      </c>
      <c r="B287" s="12">
        <f>CMP!J289</f>
        <v>1016.06</v>
      </c>
    </row>
    <row r="288">
      <c r="A288" s="12">
        <f>CMP!H290</f>
        <v>1032.59</v>
      </c>
      <c r="B288" s="12">
        <f>CMP!J290</f>
        <v>1070.71</v>
      </c>
    </row>
    <row r="289">
      <c r="A289" s="12">
        <f>CMP!H291</f>
        <v>1071.5</v>
      </c>
      <c r="B289" s="12">
        <f>CMP!J291</f>
        <v>1068.39</v>
      </c>
    </row>
    <row r="290">
      <c r="A290" s="12">
        <f>CMP!H292</f>
        <v>1076.11</v>
      </c>
      <c r="B290" s="12">
        <f>CMP!J292</f>
        <v>1076.28</v>
      </c>
    </row>
    <row r="291">
      <c r="A291" s="12">
        <f>CMP!H293</f>
        <v>1081.65</v>
      </c>
      <c r="B291" s="12">
        <f>CMP!J293</f>
        <v>1074.66</v>
      </c>
    </row>
    <row r="292">
      <c r="A292" s="12">
        <f>CMP!H294</f>
        <v>1067.66</v>
      </c>
      <c r="B292" s="12">
        <f>CMP!J294</f>
        <v>1070.33</v>
      </c>
    </row>
    <row r="293">
      <c r="A293" s="12">
        <f>CMP!H295</f>
        <v>1063.18</v>
      </c>
      <c r="B293" s="12">
        <f>CMP!J295</f>
        <v>1057.19</v>
      </c>
    </row>
    <row r="294">
      <c r="A294" s="12">
        <f>CMP!H296</f>
        <v>1046.92</v>
      </c>
      <c r="B294" s="12">
        <f>CMP!J296</f>
        <v>1044.69</v>
      </c>
    </row>
    <row r="295">
      <c r="A295" s="12">
        <f>CMP!H297</f>
        <v>1050.17</v>
      </c>
      <c r="B295" s="12">
        <f>CMP!J297</f>
        <v>1077.15</v>
      </c>
    </row>
    <row r="296">
      <c r="A296" s="12">
        <f>CMP!H298</f>
        <v>1080</v>
      </c>
      <c r="B296" s="12">
        <f>CMP!J298</f>
        <v>1080.97</v>
      </c>
    </row>
    <row r="297">
      <c r="A297" s="12">
        <f>CMP!H299</f>
        <v>1079.47</v>
      </c>
      <c r="B297" s="12">
        <f>CMP!J299</f>
        <v>1089.9</v>
      </c>
    </row>
    <row r="298">
      <c r="A298" s="12">
        <f>CMP!H300</f>
        <v>1100</v>
      </c>
      <c r="B298" s="12">
        <f>CMP!J300</f>
        <v>1098.26</v>
      </c>
    </row>
    <row r="299">
      <c r="A299" s="12">
        <f>CMP!H301</f>
        <v>1088</v>
      </c>
      <c r="B299" s="12">
        <f>CMP!J301</f>
        <v>1070.52</v>
      </c>
    </row>
    <row r="300">
      <c r="A300" s="12">
        <f>CMP!H302</f>
        <v>1077.35</v>
      </c>
      <c r="B300" s="12">
        <f>CMP!J302</f>
        <v>1075.57</v>
      </c>
    </row>
    <row r="301">
      <c r="A301" s="12">
        <f>CMP!H303</f>
        <v>1076.48</v>
      </c>
      <c r="B301" s="12">
        <f>CMP!J303</f>
        <v>1073.9</v>
      </c>
    </row>
    <row r="302">
      <c r="A302" s="12">
        <f>CMP!H304</f>
        <v>1085</v>
      </c>
      <c r="B302" s="12">
        <f>CMP!J304</f>
        <v>1090.99</v>
      </c>
    </row>
    <row r="303">
      <c r="A303" s="12">
        <f>CMP!H305</f>
        <v>1080.11</v>
      </c>
      <c r="B303" s="12">
        <f>CMP!J305</f>
        <v>1070.08</v>
      </c>
    </row>
    <row r="304">
      <c r="A304" s="12">
        <f>CMP!H306</f>
        <v>1072.68</v>
      </c>
      <c r="B304" s="12">
        <f>CMP!J306</f>
        <v>1060.62</v>
      </c>
    </row>
    <row r="305">
      <c r="A305" s="12">
        <f>CMP!H307</f>
        <v>1068.43</v>
      </c>
      <c r="B305" s="12">
        <f>CMP!J307</f>
        <v>1089.06</v>
      </c>
    </row>
    <row r="306">
      <c r="A306" s="12">
        <f>CMP!H308</f>
        <v>1103</v>
      </c>
      <c r="B306" s="12">
        <f>CMP!J308</f>
        <v>1116.37</v>
      </c>
    </row>
    <row r="307">
      <c r="A307" s="12">
        <f>CMP!H309</f>
        <v>1112.4</v>
      </c>
      <c r="B307" s="12">
        <f>CMP!J309</f>
        <v>1110.75</v>
      </c>
    </row>
    <row r="308">
      <c r="A308" s="12">
        <f>CMP!H310</f>
        <v>1112.66</v>
      </c>
      <c r="B308" s="12">
        <f>CMP!J310</f>
        <v>1132.8</v>
      </c>
    </row>
    <row r="309">
      <c r="A309" s="12">
        <f>CMP!H311</f>
        <v>1124.84</v>
      </c>
      <c r="B309" s="12">
        <f>CMP!J311</f>
        <v>1145.99</v>
      </c>
    </row>
    <row r="310">
      <c r="A310" s="12">
        <f>CMP!H312</f>
        <v>1139.57</v>
      </c>
      <c r="B310" s="12">
        <f>CMP!J312</f>
        <v>1115.23</v>
      </c>
    </row>
    <row r="311">
      <c r="A311" s="12">
        <f>CMP!H313</f>
        <v>1104.16</v>
      </c>
      <c r="B311" s="12">
        <f>CMP!J313</f>
        <v>1098.71</v>
      </c>
    </row>
    <row r="312">
      <c r="A312" s="12">
        <f>CMP!H314</f>
        <v>1087</v>
      </c>
      <c r="B312" s="12">
        <f>CMP!J314</f>
        <v>1095.06</v>
      </c>
    </row>
    <row r="313">
      <c r="A313" s="12">
        <f>CMP!H315</f>
        <v>1096.95</v>
      </c>
      <c r="B313" s="12">
        <f>CMP!J315</f>
        <v>1095.01</v>
      </c>
    </row>
    <row r="314">
      <c r="A314" s="12">
        <f>CMP!H316</f>
        <v>1106.8</v>
      </c>
      <c r="B314" s="12">
        <f>CMP!J316</f>
        <v>1121.37</v>
      </c>
    </row>
    <row r="315">
      <c r="A315" s="12">
        <f>CMP!H317</f>
        <v>1124.99</v>
      </c>
      <c r="B315" s="12">
        <f>CMP!J317</f>
        <v>1120.16</v>
      </c>
    </row>
    <row r="316">
      <c r="A316" s="12">
        <f>CMP!H318</f>
        <v>1118.05</v>
      </c>
      <c r="B316" s="12">
        <f>CMP!J318</f>
        <v>1121.67</v>
      </c>
    </row>
    <row r="317">
      <c r="A317" s="12">
        <f>CMP!H319</f>
        <v>1130.08</v>
      </c>
      <c r="B317" s="12">
        <f>CMP!J319</f>
        <v>1113.65</v>
      </c>
    </row>
    <row r="318">
      <c r="A318" s="12">
        <f>CMP!H320</f>
        <v>1110</v>
      </c>
      <c r="B318" s="12">
        <f>CMP!J320</f>
        <v>1118.56</v>
      </c>
    </row>
    <row r="319">
      <c r="A319" s="12">
        <f>CMP!H321</f>
        <v>1119.99</v>
      </c>
      <c r="B319" s="12">
        <f>CMP!J321</f>
        <v>1113.8</v>
      </c>
    </row>
    <row r="320">
      <c r="A320" s="12">
        <f>CMP!H322</f>
        <v>1110.84</v>
      </c>
      <c r="B320" s="12">
        <f>CMP!J322</f>
        <v>1096.97</v>
      </c>
    </row>
    <row r="321">
      <c r="A321" s="12">
        <f>CMP!H323</f>
        <v>1100.9</v>
      </c>
      <c r="B321" s="12">
        <f>CMP!J323</f>
        <v>1110.37</v>
      </c>
    </row>
    <row r="322">
      <c r="A322" s="12">
        <f>CMP!H324</f>
        <v>1116</v>
      </c>
      <c r="B322" s="12">
        <f>CMP!J324</f>
        <v>1109.4</v>
      </c>
    </row>
    <row r="323">
      <c r="A323" s="12">
        <f>CMP!H325</f>
        <v>1105.75</v>
      </c>
      <c r="B323" s="12">
        <f>CMP!J325</f>
        <v>1115.13</v>
      </c>
    </row>
    <row r="324">
      <c r="A324" s="12">
        <f>CMP!H326</f>
        <v>1106.95</v>
      </c>
      <c r="B324" s="12">
        <f>CMP!J326</f>
        <v>1116.05</v>
      </c>
    </row>
    <row r="325">
      <c r="A325" s="12">
        <f>CMP!H327</f>
        <v>1111.3</v>
      </c>
      <c r="B325" s="12">
        <f>CMP!J327</f>
        <v>1119.92</v>
      </c>
    </row>
    <row r="326">
      <c r="A326" s="12">
        <f>CMP!H328</f>
        <v>1124.9</v>
      </c>
      <c r="B326" s="12">
        <f>CMP!J328</f>
        <v>1140.99</v>
      </c>
    </row>
    <row r="327">
      <c r="A327" s="12">
        <f>CMP!H329</f>
        <v>1146.99</v>
      </c>
      <c r="B327" s="12">
        <f>CMP!J329</f>
        <v>1147.8</v>
      </c>
    </row>
    <row r="328">
      <c r="A328" s="12">
        <f>CMP!H330</f>
        <v>1150.06</v>
      </c>
      <c r="B328" s="12">
        <f>CMP!J330</f>
        <v>1162.03</v>
      </c>
    </row>
    <row r="329">
      <c r="A329" s="12">
        <f>CMP!H331</f>
        <v>1162.49</v>
      </c>
      <c r="B329" s="12">
        <f>CMP!J331</f>
        <v>1157.86</v>
      </c>
    </row>
    <row r="330">
      <c r="A330" s="12">
        <f>CMP!H332</f>
        <v>1155.72</v>
      </c>
      <c r="B330" s="12">
        <f>CMP!J332</f>
        <v>1143.3</v>
      </c>
    </row>
    <row r="331">
      <c r="A331" s="12">
        <f>CMP!H333</f>
        <v>1126.73</v>
      </c>
      <c r="B331" s="12">
        <f>CMP!J333</f>
        <v>1142.32</v>
      </c>
    </row>
    <row r="332">
      <c r="A332" s="12">
        <f>CMP!H334</f>
        <v>1144.45</v>
      </c>
      <c r="B332" s="12">
        <f>CMP!J334</f>
        <v>1175.76</v>
      </c>
    </row>
    <row r="333">
      <c r="A333" s="12">
        <f>CMP!H335</f>
        <v>1178.26</v>
      </c>
      <c r="B333" s="12">
        <f>CMP!J335</f>
        <v>1193.2</v>
      </c>
    </row>
    <row r="334">
      <c r="A334" s="12">
        <f>CMP!H336</f>
        <v>1200.65</v>
      </c>
      <c r="B334" s="12">
        <f>CMP!J336</f>
        <v>1193.32</v>
      </c>
    </row>
    <row r="335">
      <c r="A335" s="12">
        <f>CMP!H337</f>
        <v>1194.51</v>
      </c>
      <c r="B335" s="12">
        <f>CMP!J337</f>
        <v>1185.55</v>
      </c>
    </row>
    <row r="336">
      <c r="A336" s="12">
        <f>CMP!H338</f>
        <v>1193.38</v>
      </c>
      <c r="B336" s="12">
        <f>CMP!J338</f>
        <v>1184.46</v>
      </c>
    </row>
    <row r="337">
      <c r="A337" s="12">
        <f>CMP!H339</f>
        <v>1183.3</v>
      </c>
      <c r="B337" s="12">
        <f>CMP!J339</f>
        <v>1184.26</v>
      </c>
    </row>
    <row r="338">
      <c r="A338" s="12">
        <f>CMP!H340</f>
        <v>1188.81</v>
      </c>
      <c r="B338" s="12">
        <f>CMP!J340</f>
        <v>1198.85</v>
      </c>
    </row>
    <row r="339">
      <c r="A339" s="12">
        <f>CMP!H341</f>
        <v>1197.35</v>
      </c>
      <c r="B339" s="12">
        <f>CMP!J341</f>
        <v>1223.97</v>
      </c>
    </row>
    <row r="340">
      <c r="A340" s="12">
        <f>CMP!H342</f>
        <v>1216</v>
      </c>
      <c r="B340" s="12">
        <f>CMP!J342</f>
        <v>1231.54</v>
      </c>
    </row>
    <row r="341">
      <c r="A341" s="12">
        <f>CMP!H343</f>
        <v>1226.32</v>
      </c>
      <c r="B341" s="12">
        <f>CMP!J343</f>
        <v>1205.5</v>
      </c>
    </row>
    <row r="342">
      <c r="A342" s="12">
        <f>CMP!H344</f>
        <v>1196.93</v>
      </c>
      <c r="B342" s="12">
        <f>CMP!J344</f>
        <v>1193</v>
      </c>
    </row>
    <row r="343">
      <c r="A343" s="12">
        <f>CMP!H345</f>
        <v>1198.53</v>
      </c>
      <c r="B343" s="12">
        <f>CMP!J345</f>
        <v>1184.62</v>
      </c>
    </row>
    <row r="344">
      <c r="A344" s="12">
        <f>CMP!H346</f>
        <v>1185.5</v>
      </c>
      <c r="B344" s="12">
        <f>CMP!J346</f>
        <v>1173.02</v>
      </c>
    </row>
    <row r="345">
      <c r="A345" s="12">
        <f>CMP!H347</f>
        <v>1171.54</v>
      </c>
      <c r="B345" s="12">
        <f>CMP!J347</f>
        <v>1168.49</v>
      </c>
    </row>
    <row r="346">
      <c r="A346" s="12">
        <f>CMP!H348</f>
        <v>1174.9</v>
      </c>
      <c r="B346" s="12">
        <f>CMP!J348</f>
        <v>1173.31</v>
      </c>
    </row>
    <row r="347">
      <c r="A347" s="12">
        <f>CMP!H349</f>
        <v>1184.1</v>
      </c>
      <c r="B347" s="12">
        <f>CMP!J349</f>
        <v>1194.43</v>
      </c>
    </row>
    <row r="348">
      <c r="A348" s="12">
        <f>CMP!H350</f>
        <v>1195.32</v>
      </c>
      <c r="B348" s="12">
        <f>CMP!J350</f>
        <v>1200.49</v>
      </c>
    </row>
    <row r="349">
      <c r="A349" s="12">
        <f>CMP!H351</f>
        <v>1207.48</v>
      </c>
      <c r="B349" s="12">
        <f>CMP!J351</f>
        <v>1205.92</v>
      </c>
    </row>
    <row r="350">
      <c r="A350" s="12">
        <f>CMP!H352</f>
        <v>1205.94</v>
      </c>
      <c r="B350" s="12">
        <f>CMP!J352</f>
        <v>1215</v>
      </c>
    </row>
    <row r="351">
      <c r="A351" s="12">
        <f>CMP!H353</f>
        <v>1214.99</v>
      </c>
      <c r="B351" s="12">
        <f>CMP!J353</f>
        <v>1207.15</v>
      </c>
    </row>
    <row r="352">
      <c r="A352" s="12">
        <f>CMP!H354</f>
        <v>1207.89</v>
      </c>
      <c r="B352" s="12">
        <f>CMP!J354</f>
        <v>1203.84</v>
      </c>
    </row>
    <row r="353">
      <c r="A353" s="12">
        <f>CMP!H355</f>
        <v>1196</v>
      </c>
      <c r="B353" s="12">
        <f>CMP!J355</f>
        <v>1197.25</v>
      </c>
    </row>
    <row r="354">
      <c r="A354" s="12">
        <f>CMP!H356</f>
        <v>1200.68</v>
      </c>
      <c r="B354" s="12">
        <f>CMP!J356</f>
        <v>1202.16</v>
      </c>
    </row>
    <row r="355">
      <c r="A355" s="12">
        <f>CMP!H357</f>
        <v>1203.96</v>
      </c>
      <c r="B355" s="12">
        <f>CMP!J357</f>
        <v>1204.62</v>
      </c>
    </row>
    <row r="356">
      <c r="A356" s="12">
        <f>CMP!H358</f>
        <v>1210</v>
      </c>
      <c r="B356" s="12">
        <f>CMP!J358</f>
        <v>1217.87</v>
      </c>
    </row>
    <row r="357">
      <c r="A357" s="12">
        <f>CMP!H359</f>
        <v>1218</v>
      </c>
      <c r="B357" s="12">
        <f>CMP!J359</f>
        <v>1221.1</v>
      </c>
    </row>
    <row r="358">
      <c r="A358" s="12">
        <f>CMP!H360</f>
        <v>1225</v>
      </c>
      <c r="B358" s="12">
        <f>CMP!J360</f>
        <v>1227.13</v>
      </c>
    </row>
    <row r="359">
      <c r="A359" s="12">
        <f>CMP!H361</f>
        <v>1233</v>
      </c>
      <c r="B359" s="12">
        <f>CMP!J361</f>
        <v>1236.34</v>
      </c>
    </row>
    <row r="360">
      <c r="A360" s="12">
        <f>CMP!H362</f>
        <v>1239.18</v>
      </c>
      <c r="B360" s="12">
        <f>CMP!J362</f>
        <v>1236.37</v>
      </c>
    </row>
    <row r="361">
      <c r="A361" s="12">
        <f>CMP!H363</f>
        <v>1235.99</v>
      </c>
      <c r="B361" s="12">
        <f>CMP!J363</f>
        <v>1248.84</v>
      </c>
    </row>
    <row r="362">
      <c r="A362" s="12">
        <f>CMP!H364</f>
        <v>1250.69</v>
      </c>
      <c r="B362" s="12">
        <f>CMP!J364</f>
        <v>1264.55</v>
      </c>
    </row>
    <row r="363">
      <c r="A363" s="12">
        <f>CMP!H365</f>
        <v>1264.12</v>
      </c>
      <c r="B363" s="12">
        <f>CMP!J365</f>
        <v>1256</v>
      </c>
    </row>
    <row r="364">
      <c r="A364" s="12">
        <f>CMP!H366</f>
        <v>1264.77</v>
      </c>
      <c r="B364" s="12">
        <f>CMP!J366</f>
        <v>1263.45</v>
      </c>
    </row>
    <row r="365">
      <c r="A365" s="12">
        <f>CMP!H367</f>
        <v>1269</v>
      </c>
      <c r="B365" s="12">
        <f>CMP!J367</f>
        <v>1272.18</v>
      </c>
    </row>
    <row r="366">
      <c r="A366" s="12">
        <f>CMP!H368</f>
        <v>1274</v>
      </c>
      <c r="B366" s="12">
        <f>CMP!J368</f>
        <v>1287.58</v>
      </c>
    </row>
    <row r="367">
      <c r="A367" s="12">
        <f>CMP!H369</f>
        <v>1185</v>
      </c>
      <c r="B367" s="12">
        <f>CMP!J369</f>
        <v>1188.48</v>
      </c>
    </row>
    <row r="368">
      <c r="A368" s="12">
        <f>CMP!H370</f>
        <v>1188.05</v>
      </c>
      <c r="B368" s="12">
        <f>CMP!J370</f>
        <v>1168.08</v>
      </c>
    </row>
    <row r="369">
      <c r="A369" s="12">
        <f>CMP!H371</f>
        <v>1167.76</v>
      </c>
      <c r="B369" s="12">
        <f>CMP!J371</f>
        <v>1162.61</v>
      </c>
    </row>
    <row r="370">
      <c r="A370" s="12">
        <f>CMP!H372</f>
        <v>1173.65</v>
      </c>
      <c r="B370" s="12">
        <f>CMP!J372</f>
        <v>1185.4</v>
      </c>
    </row>
    <row r="371">
      <c r="A371" s="12">
        <f>CMP!H373</f>
        <v>1166.26</v>
      </c>
      <c r="B371" s="12">
        <f>CMP!J373</f>
        <v>1189.39</v>
      </c>
    </row>
    <row r="372">
      <c r="A372" s="12">
        <f>CMP!H374</f>
        <v>1180.47</v>
      </c>
      <c r="B372" s="12">
        <f>CMP!J374</f>
        <v>1174.1</v>
      </c>
    </row>
    <row r="373">
      <c r="A373" s="12">
        <f>CMP!H375</f>
        <v>1172.01</v>
      </c>
      <c r="B373" s="12">
        <f>CMP!J375</f>
        <v>1166.27</v>
      </c>
    </row>
    <row r="374">
      <c r="A374" s="12">
        <f>CMP!H376</f>
        <v>1159.03</v>
      </c>
      <c r="B374" s="12">
        <f>CMP!J376</f>
        <v>1162.38</v>
      </c>
    </row>
    <row r="375">
      <c r="A375" s="12">
        <f>CMP!H377</f>
        <v>1163.59</v>
      </c>
      <c r="B375" s="12">
        <f>CMP!J377</f>
        <v>1164.27</v>
      </c>
    </row>
    <row r="376">
      <c r="A376" s="12">
        <f>CMP!H378</f>
        <v>1141.96</v>
      </c>
      <c r="B376" s="12">
        <f>CMP!J378</f>
        <v>1132.03</v>
      </c>
    </row>
    <row r="377">
      <c r="A377" s="12">
        <f>CMP!H379</f>
        <v>1137.21</v>
      </c>
      <c r="B377" s="12">
        <f>CMP!J379</f>
        <v>1120.44</v>
      </c>
    </row>
    <row r="378">
      <c r="A378" s="12">
        <f>CMP!H380</f>
        <v>1117.87</v>
      </c>
      <c r="B378" s="12">
        <f>CMP!J380</f>
        <v>1164.21</v>
      </c>
    </row>
    <row r="379">
      <c r="A379" s="12">
        <f>CMP!H381</f>
        <v>1164.51</v>
      </c>
      <c r="B379" s="12">
        <f>CMP!J381</f>
        <v>1178.98</v>
      </c>
    </row>
    <row r="380">
      <c r="A380" s="12">
        <f>CMP!H382</f>
        <v>1168.47</v>
      </c>
      <c r="B380" s="12">
        <f>CMP!J382</f>
        <v>1162.3</v>
      </c>
    </row>
    <row r="381">
      <c r="A381" s="12">
        <f>CMP!H383</f>
        <v>1144.5</v>
      </c>
      <c r="B381" s="12">
        <f>CMP!J383</f>
        <v>1138.85</v>
      </c>
    </row>
    <row r="382">
      <c r="A382" s="12">
        <f>CMP!H384</f>
        <v>1148.49</v>
      </c>
      <c r="B382" s="12">
        <f>CMP!J384</f>
        <v>1149.63</v>
      </c>
    </row>
    <row r="383">
      <c r="A383" s="12">
        <f>CMP!H385</f>
        <v>1146.75</v>
      </c>
      <c r="B383" s="12">
        <f>CMP!J385</f>
        <v>1151.42</v>
      </c>
    </row>
    <row r="384">
      <c r="A384" s="12">
        <f>CMP!H386</f>
        <v>1140.5</v>
      </c>
      <c r="B384" s="12">
        <f>CMP!J386</f>
        <v>1140.77</v>
      </c>
    </row>
    <row r="385">
      <c r="A385" s="12">
        <f>CMP!H387</f>
        <v>1147.36</v>
      </c>
      <c r="B385" s="12">
        <f>CMP!J387</f>
        <v>1133.47</v>
      </c>
    </row>
    <row r="386">
      <c r="A386" s="12">
        <f>CMP!H388</f>
        <v>1134</v>
      </c>
      <c r="B386" s="12">
        <f>CMP!J388</f>
        <v>1134.15</v>
      </c>
    </row>
    <row r="387">
      <c r="A387" s="12">
        <f>CMP!H389</f>
        <v>1127.52</v>
      </c>
      <c r="B387" s="12">
        <f>CMP!J389</f>
        <v>1116.46</v>
      </c>
    </row>
    <row r="388">
      <c r="A388" s="12">
        <f>CMP!H390</f>
        <v>1115.54</v>
      </c>
      <c r="B388" s="12">
        <f>CMP!J390</f>
        <v>1117.95</v>
      </c>
    </row>
    <row r="389">
      <c r="A389" s="12">
        <f>CMP!H391</f>
        <v>1101.29</v>
      </c>
      <c r="B389" s="12">
        <f>CMP!J391</f>
        <v>1103.63</v>
      </c>
    </row>
    <row r="390">
      <c r="A390" s="12">
        <f>CMP!H392</f>
        <v>1065.5</v>
      </c>
      <c r="B390" s="12">
        <f>CMP!J392</f>
        <v>1036.23</v>
      </c>
    </row>
    <row r="391">
      <c r="A391" s="12">
        <f>CMP!H393</f>
        <v>1042.9</v>
      </c>
      <c r="B391" s="12">
        <f>CMP!J393</f>
        <v>1053.05</v>
      </c>
    </row>
    <row r="392">
      <c r="A392" s="12">
        <f>CMP!H394</f>
        <v>1051.54</v>
      </c>
      <c r="B392" s="12">
        <f>CMP!J394</f>
        <v>1042.22</v>
      </c>
    </row>
    <row r="393">
      <c r="A393" s="12">
        <f>CMP!H395</f>
        <v>1044.99</v>
      </c>
      <c r="B393" s="12">
        <f>CMP!J395</f>
        <v>1044.34</v>
      </c>
    </row>
    <row r="394">
      <c r="A394" s="12">
        <f>CMP!H396</f>
        <v>1050.63</v>
      </c>
      <c r="B394" s="12">
        <f>CMP!J396</f>
        <v>1066.04</v>
      </c>
    </row>
    <row r="395">
      <c r="A395" s="12">
        <f>CMP!H397</f>
        <v>1072.98</v>
      </c>
      <c r="B395" s="12">
        <f>CMP!J397</f>
        <v>1080.38</v>
      </c>
    </row>
    <row r="396">
      <c r="A396" s="12">
        <f>CMP!H398</f>
        <v>1093.98</v>
      </c>
      <c r="B396" s="12">
        <f>CMP!J398</f>
        <v>1078.72</v>
      </c>
    </row>
    <row r="397">
      <c r="A397" s="12">
        <f>CMP!H399</f>
        <v>1078</v>
      </c>
      <c r="B397" s="12">
        <f>CMP!J399</f>
        <v>1077.03</v>
      </c>
    </row>
    <row r="398">
      <c r="A398" s="12">
        <f>CMP!H400</f>
        <v>1083.64</v>
      </c>
      <c r="B398" s="12">
        <f>CMP!J400</f>
        <v>1088.77</v>
      </c>
    </row>
    <row r="399">
      <c r="A399" s="12">
        <f>CMP!H401</f>
        <v>1086.42</v>
      </c>
      <c r="B399" s="12">
        <f>CMP!J401</f>
        <v>1085.35</v>
      </c>
    </row>
    <row r="400">
      <c r="A400" s="12">
        <f>CMP!H402</f>
        <v>1086.28</v>
      </c>
      <c r="B400" s="12">
        <f>CMP!J402</f>
        <v>1092.5</v>
      </c>
    </row>
    <row r="401">
      <c r="A401" s="12">
        <f>CMP!H403</f>
        <v>1109.69</v>
      </c>
      <c r="B401" s="12">
        <f>CMP!J403</f>
        <v>1103.6</v>
      </c>
    </row>
    <row r="402">
      <c r="A402" s="12">
        <f>CMP!H404</f>
        <v>1105.6</v>
      </c>
      <c r="B402" s="12">
        <f>CMP!J404</f>
        <v>1102.33</v>
      </c>
    </row>
    <row r="403">
      <c r="A403" s="12">
        <f>CMP!H405</f>
        <v>1119.99</v>
      </c>
      <c r="B403" s="12">
        <f>CMP!J405</f>
        <v>1111.42</v>
      </c>
    </row>
    <row r="404">
      <c r="A404" s="12">
        <f>CMP!H406</f>
        <v>1109.24</v>
      </c>
      <c r="B404" s="12">
        <f>CMP!J406</f>
        <v>1121.88</v>
      </c>
    </row>
    <row r="405">
      <c r="A405" s="12">
        <f>CMP!H407</f>
        <v>1119.61</v>
      </c>
      <c r="B405" s="12">
        <f>CMP!J407</f>
        <v>1115.52</v>
      </c>
    </row>
    <row r="406">
      <c r="A406" s="12">
        <f>CMP!H408</f>
        <v>1112.66</v>
      </c>
      <c r="B406" s="12">
        <f>CMP!J408</f>
        <v>1086.35</v>
      </c>
    </row>
    <row r="407">
      <c r="A407" s="12">
        <f>CMP!H409</f>
        <v>1086.5</v>
      </c>
      <c r="B407" s="12">
        <f>CMP!J409</f>
        <v>1079.8</v>
      </c>
    </row>
    <row r="408">
      <c r="A408" s="12">
        <f>CMP!H410</f>
        <v>1084</v>
      </c>
      <c r="B408" s="12">
        <f>CMP!J410</f>
        <v>1076.01</v>
      </c>
    </row>
    <row r="409">
      <c r="A409" s="12">
        <f>CMP!H411</f>
        <v>1076.39</v>
      </c>
      <c r="B409" s="12">
        <f>CMP!J411</f>
        <v>1080.91</v>
      </c>
    </row>
    <row r="410">
      <c r="A410" s="12">
        <f>CMP!H412</f>
        <v>1098</v>
      </c>
      <c r="B410" s="12">
        <f>CMP!J412</f>
        <v>1097.95</v>
      </c>
    </row>
    <row r="411">
      <c r="A411" s="12">
        <f>CMP!H413</f>
        <v>1102.24</v>
      </c>
      <c r="B411" s="12">
        <f>CMP!J413</f>
        <v>1111.25</v>
      </c>
    </row>
    <row r="412">
      <c r="A412" s="12">
        <f>CMP!H414</f>
        <v>1117.41</v>
      </c>
      <c r="B412" s="12">
        <f>CMP!J414</f>
        <v>1121.58</v>
      </c>
    </row>
    <row r="413">
      <c r="A413" s="12">
        <f>CMP!H415</f>
        <v>1117.8</v>
      </c>
      <c r="B413" s="12">
        <f>CMP!J415</f>
        <v>1131.59</v>
      </c>
    </row>
    <row r="414">
      <c r="A414" s="12">
        <f>CMP!H416</f>
        <v>1125.17</v>
      </c>
      <c r="B414" s="12">
        <f>CMP!J416</f>
        <v>1116.35</v>
      </c>
    </row>
    <row r="415">
      <c r="A415" s="12">
        <f>CMP!H417</f>
        <v>1111.8</v>
      </c>
      <c r="B415" s="12">
        <f>CMP!J417</f>
        <v>1124.83</v>
      </c>
    </row>
    <row r="416">
      <c r="A416" s="12">
        <f>CMP!H418</f>
        <v>1131.22</v>
      </c>
      <c r="B416" s="12">
        <f>CMP!J418</f>
        <v>1140.48</v>
      </c>
    </row>
    <row r="417">
      <c r="A417" s="12">
        <f>CMP!H419</f>
        <v>1143.25</v>
      </c>
      <c r="B417" s="12">
        <f>CMP!J419</f>
        <v>1144.21</v>
      </c>
    </row>
    <row r="418">
      <c r="A418" s="12">
        <f>CMP!H420</f>
        <v>1143.99</v>
      </c>
      <c r="B418" s="12">
        <f>CMP!J420</f>
        <v>1144.9</v>
      </c>
    </row>
    <row r="419">
      <c r="A419" s="12">
        <f>CMP!H421</f>
        <v>1146.86</v>
      </c>
      <c r="B419" s="12">
        <f>CMP!J421</f>
        <v>1150.34</v>
      </c>
    </row>
    <row r="420">
      <c r="A420" s="12">
        <f>CMP!H422</f>
        <v>1146</v>
      </c>
      <c r="B420" s="12">
        <f>CMP!J422</f>
        <v>1153.58</v>
      </c>
    </row>
    <row r="421">
      <c r="A421" s="12">
        <f>CMP!H423</f>
        <v>1150.97</v>
      </c>
      <c r="B421" s="12">
        <f>CMP!J423</f>
        <v>1146.35</v>
      </c>
    </row>
    <row r="422">
      <c r="A422" s="12">
        <f>CMP!H424</f>
        <v>1141.74</v>
      </c>
      <c r="B422" s="12">
        <f>CMP!J424</f>
        <v>1146.33</v>
      </c>
    </row>
    <row r="423">
      <c r="A423" s="12">
        <f>CMP!H425</f>
        <v>1148.19</v>
      </c>
      <c r="B423" s="12">
        <f>CMP!J425</f>
        <v>1130.1</v>
      </c>
    </row>
    <row r="424">
      <c r="A424" s="12">
        <f>CMP!H426</f>
        <v>1133.45</v>
      </c>
      <c r="B424" s="12">
        <f>CMP!J426</f>
        <v>1138.07</v>
      </c>
    </row>
    <row r="425">
      <c r="A425" s="12">
        <f>CMP!H427</f>
        <v>1144</v>
      </c>
      <c r="B425" s="12">
        <f>CMP!J427</f>
        <v>1146.21</v>
      </c>
    </row>
    <row r="426">
      <c r="A426" s="12">
        <f>CMP!H428</f>
        <v>1131.9</v>
      </c>
      <c r="B426" s="12">
        <f>CMP!J428</f>
        <v>1137.81</v>
      </c>
    </row>
    <row r="427">
      <c r="A427" s="12">
        <f>CMP!H429</f>
        <v>1137.82</v>
      </c>
      <c r="B427" s="12">
        <f>CMP!J429</f>
        <v>1132.12</v>
      </c>
    </row>
    <row r="428">
      <c r="A428" s="12">
        <f>CMP!H430</f>
        <v>1224.04</v>
      </c>
      <c r="B428" s="12">
        <f>CMP!J430</f>
        <v>1250.41</v>
      </c>
    </row>
    <row r="429">
      <c r="A429" s="12">
        <f>CMP!H431</f>
        <v>1241.05</v>
      </c>
      <c r="B429" s="12">
        <f>CMP!J431</f>
        <v>1239.41</v>
      </c>
    </row>
    <row r="430">
      <c r="A430" s="12">
        <f>CMP!H432</f>
        <v>1225.41</v>
      </c>
      <c r="B430" s="12">
        <f>CMP!J432</f>
        <v>1225.14</v>
      </c>
    </row>
    <row r="431">
      <c r="A431" s="12">
        <f>CMP!H433</f>
        <v>1223</v>
      </c>
      <c r="B431" s="12">
        <f>CMP!J433</f>
        <v>1216.68</v>
      </c>
    </row>
    <row r="432">
      <c r="A432" s="12">
        <f>CMP!H434</f>
        <v>1214.03</v>
      </c>
      <c r="B432" s="12">
        <f>CMP!J434</f>
        <v>1209.01</v>
      </c>
    </row>
    <row r="433">
      <c r="A433" s="12">
        <f>CMP!H435</f>
        <v>1200.74</v>
      </c>
      <c r="B433" s="12">
        <f>CMP!J435</f>
        <v>1193.99</v>
      </c>
    </row>
    <row r="434">
      <c r="A434" s="12">
        <f>CMP!H436</f>
        <v>1170.04</v>
      </c>
      <c r="B434" s="12">
        <f>CMP!J436</f>
        <v>1152.32</v>
      </c>
    </row>
    <row r="435">
      <c r="A435" s="12">
        <f>CMP!H437</f>
        <v>1163.31</v>
      </c>
      <c r="B435" s="12">
        <f>CMP!J437</f>
        <v>1169.95</v>
      </c>
    </row>
    <row r="436">
      <c r="A436" s="12">
        <f>CMP!H438</f>
        <v>1156</v>
      </c>
      <c r="B436" s="12">
        <f>CMP!J438</f>
        <v>1173.99</v>
      </c>
    </row>
    <row r="437">
      <c r="A437" s="12">
        <f>CMP!H439</f>
        <v>1182.83</v>
      </c>
      <c r="B437" s="12">
        <f>CMP!J439</f>
        <v>1204.8</v>
      </c>
    </row>
    <row r="438">
      <c r="A438" s="12">
        <f>CMP!H440</f>
        <v>1197.99</v>
      </c>
      <c r="B438" s="12">
        <f>CMP!J440</f>
        <v>1188.01</v>
      </c>
    </row>
    <row r="439">
      <c r="A439" s="12">
        <f>CMP!H441</f>
        <v>1179.21</v>
      </c>
      <c r="B439" s="12">
        <f>CMP!J441</f>
        <v>1174.71</v>
      </c>
    </row>
    <row r="440">
      <c r="A440" s="12">
        <f>CMP!H442</f>
        <v>1171.46</v>
      </c>
      <c r="B440" s="12">
        <f>CMP!J442</f>
        <v>1197.27</v>
      </c>
    </row>
    <row r="441">
      <c r="A441" s="12">
        <f>CMP!H443</f>
        <v>1176.31</v>
      </c>
      <c r="B441" s="12">
        <f>CMP!J443</f>
        <v>1164.29</v>
      </c>
    </row>
    <row r="442">
      <c r="A442" s="12">
        <f>CMP!H444</f>
        <v>1163.5</v>
      </c>
      <c r="B442" s="12">
        <f>CMP!J444</f>
        <v>1167.26</v>
      </c>
    </row>
    <row r="443">
      <c r="A443" s="12">
        <f>CMP!H445</f>
        <v>1179.55</v>
      </c>
      <c r="B443" s="12">
        <f>CMP!J445</f>
        <v>1177.6</v>
      </c>
    </row>
    <row r="444">
      <c r="A444" s="12">
        <f>CMP!H446</f>
        <v>1190.09</v>
      </c>
      <c r="B444" s="12">
        <f>CMP!J446</f>
        <v>1198.45</v>
      </c>
    </row>
    <row r="445">
      <c r="A445" s="12">
        <f>CMP!H447</f>
        <v>1195.25</v>
      </c>
      <c r="B445" s="12">
        <f>CMP!J447</f>
        <v>1182.69</v>
      </c>
    </row>
    <row r="446">
      <c r="A446" s="12">
        <f>CMP!H448</f>
        <v>1193.15</v>
      </c>
      <c r="B446" s="12">
        <f>CMP!J448</f>
        <v>1191.25</v>
      </c>
    </row>
    <row r="447">
      <c r="A447" s="12">
        <f>CMP!H449</f>
        <v>1194.07</v>
      </c>
      <c r="B447" s="12">
        <f>CMP!J449</f>
        <v>1189.53</v>
      </c>
    </row>
    <row r="448">
      <c r="A448" s="12">
        <f>CMP!H450</f>
        <v>1181.99</v>
      </c>
      <c r="B448" s="12">
        <f>CMP!J450</f>
        <v>1151.29</v>
      </c>
    </row>
    <row r="449">
      <c r="A449" s="12">
        <f>CMP!H451</f>
        <v>1157.26</v>
      </c>
      <c r="B449" s="12">
        <f>CMP!J451</f>
        <v>1168.89</v>
      </c>
    </row>
    <row r="450">
      <c r="A450" s="12">
        <f>CMP!H452</f>
        <v>1180.53</v>
      </c>
      <c r="B450" s="12">
        <f>CMP!J452</f>
        <v>1167.84</v>
      </c>
    </row>
    <row r="451">
      <c r="A451" s="12">
        <f>CMP!H453</f>
        <v>1161.71</v>
      </c>
      <c r="B451" s="12">
        <f>CMP!J453</f>
        <v>1171.02</v>
      </c>
    </row>
    <row r="452">
      <c r="A452" s="12">
        <f>CMP!H454</f>
        <v>1181.12</v>
      </c>
      <c r="B452" s="12">
        <f>CMP!J454</f>
        <v>1192.85</v>
      </c>
    </row>
    <row r="453">
      <c r="A453" s="12">
        <f>CMP!H455</f>
        <v>1198.5</v>
      </c>
      <c r="B453" s="12">
        <f>CMP!J455</f>
        <v>1188.1</v>
      </c>
    </row>
    <row r="454">
      <c r="A454" s="12">
        <f>CMP!H456</f>
        <v>1177.03</v>
      </c>
      <c r="B454" s="12">
        <f>CMP!J456</f>
        <v>1168.39</v>
      </c>
    </row>
    <row r="455">
      <c r="A455" s="12">
        <f>CMP!H457</f>
        <v>1176.71</v>
      </c>
      <c r="B455" s="12">
        <f>CMP!J457</f>
        <v>1181.41</v>
      </c>
    </row>
    <row r="456">
      <c r="A456" s="12">
        <f>CMP!H458</f>
        <v>1191.53</v>
      </c>
      <c r="B456" s="12">
        <f>CMP!J458</f>
        <v>1211.38</v>
      </c>
    </row>
    <row r="457">
      <c r="A457" s="12">
        <f>CMP!H459</f>
        <v>1208.13</v>
      </c>
      <c r="B457" s="12">
        <f>CMP!J459</f>
        <v>1204.93</v>
      </c>
    </row>
    <row r="458">
      <c r="A458" s="12">
        <f>CMP!H460</f>
        <v>1204</v>
      </c>
      <c r="B458" s="12">
        <f>CMP!J460</f>
        <v>1204.41</v>
      </c>
    </row>
    <row r="459">
      <c r="A459" s="12">
        <f>CMP!H461</f>
        <v>1195.15</v>
      </c>
      <c r="B459" s="12">
        <f>CMP!J461</f>
        <v>1206</v>
      </c>
    </row>
    <row r="460">
      <c r="A460" s="12">
        <f>CMP!H462</f>
        <v>1203.41</v>
      </c>
      <c r="B460" s="12">
        <f>CMP!J462</f>
        <v>1220.17</v>
      </c>
    </row>
    <row r="461">
      <c r="A461" s="12">
        <f>CMP!H463</f>
        <v>1224.3</v>
      </c>
      <c r="B461" s="12">
        <f>CMP!J463</f>
        <v>1234.25</v>
      </c>
    </row>
    <row r="462">
      <c r="A462" s="12">
        <f>CMP!H464</f>
        <v>1231.35</v>
      </c>
      <c r="B462" s="12">
        <f>CMP!J464</f>
        <v>1239.56</v>
      </c>
    </row>
    <row r="463">
      <c r="A463" s="12">
        <f>CMP!H465</f>
        <v>1229.52</v>
      </c>
      <c r="B463" s="12">
        <f>CMP!J465</f>
        <v>1231.3</v>
      </c>
    </row>
    <row r="464">
      <c r="A464" s="12">
        <f>CMP!H466</f>
        <v>1230.4</v>
      </c>
      <c r="B464" s="12">
        <f>CMP!J466</f>
        <v>1229.15</v>
      </c>
    </row>
    <row r="465">
      <c r="A465" s="12">
        <f>CMP!H467</f>
        <v>1227.51</v>
      </c>
      <c r="B465" s="12">
        <f>CMP!J467</f>
        <v>1232.41</v>
      </c>
    </row>
    <row r="466">
      <c r="A466" s="12">
        <f>CMP!H468</f>
        <v>1232.06</v>
      </c>
      <c r="B466" s="12">
        <f>CMP!J468</f>
        <v>1238.71</v>
      </c>
    </row>
    <row r="467">
      <c r="A467" s="12">
        <f>CMP!H469</f>
        <v>1233.12</v>
      </c>
      <c r="B467" s="12">
        <f>CMP!J469</f>
        <v>1229.93</v>
      </c>
    </row>
    <row r="468">
      <c r="A468" s="12">
        <f>CMP!H470</f>
        <v>1226</v>
      </c>
      <c r="B468" s="12">
        <f>CMP!J470</f>
        <v>1234.03</v>
      </c>
    </row>
    <row r="469">
      <c r="A469" s="12">
        <f>CMP!H471</f>
        <v>1240</v>
      </c>
      <c r="B469" s="12">
        <f>CMP!J471</f>
        <v>1218.76</v>
      </c>
    </row>
    <row r="470">
      <c r="A470" s="12">
        <f>CMP!H472</f>
        <v>1215.82</v>
      </c>
      <c r="B470" s="12">
        <f>CMP!J472</f>
        <v>1246.52</v>
      </c>
    </row>
    <row r="471">
      <c r="A471" s="12">
        <f>CMP!H473</f>
        <v>1241.96</v>
      </c>
      <c r="B471" s="12">
        <f>CMP!J473</f>
        <v>1241.39</v>
      </c>
    </row>
    <row r="472">
      <c r="A472" s="12">
        <f>CMP!H474</f>
        <v>1243.01</v>
      </c>
      <c r="B472" s="12">
        <f>CMP!J474</f>
        <v>1225.09</v>
      </c>
    </row>
    <row r="473">
      <c r="A473" s="12">
        <f>CMP!H475</f>
        <v>1220.97</v>
      </c>
      <c r="B473" s="12">
        <f>CMP!J475</f>
        <v>1219</v>
      </c>
    </row>
    <row r="474">
      <c r="A474" s="12">
        <f>CMP!H476</f>
        <v>1219</v>
      </c>
      <c r="B474" s="12">
        <f>CMP!J476</f>
        <v>1205.1</v>
      </c>
    </row>
    <row r="475">
      <c r="A475" s="12">
        <f>CMP!H477</f>
        <v>1196.98</v>
      </c>
      <c r="B475" s="12">
        <f>CMP!J477</f>
        <v>1176.63</v>
      </c>
    </row>
    <row r="476">
      <c r="A476" s="12">
        <f>CMP!H478</f>
        <v>1180</v>
      </c>
      <c r="B476" s="12">
        <f>CMP!J478</f>
        <v>1187.83</v>
      </c>
    </row>
    <row r="477">
      <c r="A477" s="12">
        <f>CMP!H479</f>
        <v>1191.89</v>
      </c>
      <c r="B477" s="12">
        <f>CMP!J479</f>
        <v>1209</v>
      </c>
    </row>
    <row r="478">
      <c r="A478" s="12">
        <f>CMP!H480</f>
        <v>1204.4</v>
      </c>
      <c r="B478" s="12">
        <f>CMP!J480</f>
        <v>1207.68</v>
      </c>
    </row>
    <row r="479">
      <c r="A479" s="12">
        <f>CMP!H481</f>
        <v>1197.59</v>
      </c>
      <c r="B479" s="12">
        <f>CMP!J481</f>
        <v>1189.13</v>
      </c>
    </row>
    <row r="480">
      <c r="A480" s="12">
        <f>CMP!H482</f>
        <v>1199.35</v>
      </c>
      <c r="B480" s="12">
        <f>CMP!J482</f>
        <v>1202.31</v>
      </c>
    </row>
    <row r="481">
      <c r="A481" s="12">
        <f>CMP!H483</f>
        <v>1198.58</v>
      </c>
      <c r="B481" s="12">
        <f>CMP!J483</f>
        <v>1208.67</v>
      </c>
    </row>
    <row r="482">
      <c r="A482" s="12">
        <f>CMP!H484</f>
        <v>1222.21</v>
      </c>
      <c r="B482" s="12">
        <f>CMP!J484</f>
        <v>1215.45</v>
      </c>
    </row>
    <row r="483">
      <c r="A483" s="12">
        <f>CMP!H485</f>
        <v>1212.34</v>
      </c>
      <c r="B483" s="12">
        <f>CMP!J485</f>
        <v>1217.14</v>
      </c>
    </row>
    <row r="484">
      <c r="A484" s="12">
        <f>CMP!H486</f>
        <v>1220.4</v>
      </c>
      <c r="B484" s="12">
        <f>CMP!J486</f>
        <v>1243.01</v>
      </c>
    </row>
    <row r="485">
      <c r="A485" s="12">
        <f>CMP!H487</f>
        <v>1241.17</v>
      </c>
      <c r="B485" s="12">
        <f>CMP!J487</f>
        <v>1243.64</v>
      </c>
    </row>
    <row r="486">
      <c r="A486" s="12">
        <f>CMP!H488</f>
        <v>1250.93</v>
      </c>
      <c r="B486" s="12">
        <f>CMP!J488</f>
        <v>1253.07</v>
      </c>
    </row>
    <row r="487">
      <c r="A487" s="12">
        <f>CMP!H489</f>
        <v>1253.46</v>
      </c>
      <c r="B487" s="12">
        <f>CMP!J489</f>
        <v>1245.49</v>
      </c>
    </row>
    <row r="488">
      <c r="A488" s="12">
        <f>CMP!H490</f>
        <v>1252.26</v>
      </c>
      <c r="B488" s="12">
        <f>CMP!J490</f>
        <v>1246.15</v>
      </c>
    </row>
    <row r="489">
      <c r="A489" s="12">
        <f>CMP!H491</f>
        <v>1247.85</v>
      </c>
      <c r="B489" s="12">
        <f>CMP!J491</f>
        <v>1242.8</v>
      </c>
    </row>
    <row r="490">
      <c r="A490" s="12">
        <f>CMP!H492</f>
        <v>1242.36</v>
      </c>
      <c r="B490" s="12">
        <f>CMP!J492</f>
        <v>1259.13</v>
      </c>
    </row>
    <row r="491">
      <c r="A491" s="12">
        <f>CMP!H493</f>
        <v>1260.9</v>
      </c>
      <c r="B491" s="12">
        <f>CMP!J493</f>
        <v>1260.99</v>
      </c>
    </row>
    <row r="492">
      <c r="A492" s="12">
        <f>CMP!H494</f>
        <v>1251.03</v>
      </c>
      <c r="B492" s="12">
        <f>CMP!J494</f>
        <v>1265.13</v>
      </c>
    </row>
    <row r="493">
      <c r="A493" s="12">
        <f>CMP!H495</f>
        <v>1275.45</v>
      </c>
      <c r="B493" s="12">
        <f>CMP!J495</f>
        <v>1290</v>
      </c>
    </row>
    <row r="494">
      <c r="A494" s="12">
        <f>CMP!H496</f>
        <v>1276.23</v>
      </c>
      <c r="B494" s="12">
        <f>CMP!J496</f>
        <v>1262.62</v>
      </c>
    </row>
    <row r="495">
      <c r="A495" s="12">
        <f>CMP!H497</f>
        <v>1252.97</v>
      </c>
      <c r="B495" s="12">
        <f>CMP!J497</f>
        <v>1261.29</v>
      </c>
    </row>
    <row r="496">
      <c r="A496" s="12">
        <f>CMP!H498</f>
        <v>1261.28</v>
      </c>
      <c r="B496" s="12">
        <f>CMP!J498</f>
        <v>1260.11</v>
      </c>
    </row>
    <row r="497">
      <c r="A497" s="12">
        <f>CMP!H499</f>
        <v>1265</v>
      </c>
      <c r="B497" s="12">
        <f>CMP!J499</f>
        <v>1273.74</v>
      </c>
    </row>
    <row r="498">
      <c r="A498" s="12">
        <f>CMP!H500</f>
        <v>1276.45</v>
      </c>
      <c r="B498" s="12">
        <f>CMP!J500</f>
        <v>1291.37</v>
      </c>
    </row>
    <row r="499">
      <c r="A499" s="12">
        <f>CMP!H501</f>
        <v>1292.89</v>
      </c>
      <c r="B499" s="12">
        <f>CMP!J501</f>
        <v>1292.03</v>
      </c>
    </row>
    <row r="500">
      <c r="A500" s="12">
        <f>CMP!H502</f>
        <v>1289.46</v>
      </c>
      <c r="B500" s="12">
        <f>CMP!J502</f>
        <v>1291.8</v>
      </c>
    </row>
    <row r="501">
      <c r="A501" s="12">
        <f>CMP!H503</f>
        <v>1294.28</v>
      </c>
      <c r="B501" s="12">
        <f>CMP!J503</f>
        <v>1308.86</v>
      </c>
    </row>
    <row r="502">
      <c r="A502" s="12">
        <f>CMP!H504</f>
        <v>1305.28</v>
      </c>
      <c r="B502" s="12">
        <f>CMP!J504</f>
        <v>1311.37</v>
      </c>
    </row>
    <row r="503">
      <c r="A503" s="12">
        <f>CMP!H505</f>
        <v>1303.18</v>
      </c>
      <c r="B503" s="12">
        <f>CMP!J505</f>
        <v>1299.19</v>
      </c>
    </row>
    <row r="504">
      <c r="A504" s="12">
        <f>CMP!H506</f>
        <v>1300</v>
      </c>
      <c r="B504" s="12">
        <f>CMP!J506</f>
        <v>1298.8</v>
      </c>
    </row>
    <row r="505">
      <c r="A505" s="12">
        <f>CMP!H507</f>
        <v>1294.07</v>
      </c>
      <c r="B505" s="12">
        <f>CMP!J507</f>
        <v>1298</v>
      </c>
    </row>
    <row r="506">
      <c r="A506" s="12">
        <f>CMP!H508</f>
        <v>1297.5</v>
      </c>
      <c r="B506" s="12">
        <f>CMP!J508</f>
        <v>1311.46</v>
      </c>
    </row>
    <row r="507">
      <c r="A507" s="12">
        <f>CMP!H509</f>
        <v>1318.94</v>
      </c>
      <c r="B507" s="12">
        <f>CMP!J509</f>
        <v>1334.87</v>
      </c>
    </row>
    <row r="508">
      <c r="A508" s="12">
        <f>CMP!H510</f>
        <v>1332.22</v>
      </c>
      <c r="B508" s="12">
        <f>CMP!J510</f>
        <v>1320.7</v>
      </c>
    </row>
    <row r="509">
      <c r="A509" s="12">
        <f>CMP!H511</f>
        <v>1327.7</v>
      </c>
      <c r="B509" s="12">
        <f>CMP!J511</f>
        <v>1315.46</v>
      </c>
    </row>
    <row r="510">
      <c r="A510" s="12">
        <f>CMP!H512</f>
        <v>1311.74</v>
      </c>
      <c r="B510" s="12">
        <f>CMP!J512</f>
        <v>1303.05</v>
      </c>
    </row>
    <row r="511">
      <c r="A511" s="12">
        <f>CMP!H513</f>
        <v>1301.48</v>
      </c>
      <c r="B511" s="12">
        <f>CMP!J513</f>
        <v>1301.35</v>
      </c>
    </row>
    <row r="512">
      <c r="A512" s="12">
        <f>CMP!H514</f>
        <v>1305.62</v>
      </c>
      <c r="B512" s="12">
        <f>CMP!J514</f>
        <v>1295.34</v>
      </c>
    </row>
    <row r="513">
      <c r="A513" s="12">
        <f>CMP!H515</f>
        <v>1299.18</v>
      </c>
      <c r="B513" s="12">
        <f>CMP!J515</f>
        <v>1306.69</v>
      </c>
    </row>
    <row r="514">
      <c r="A514" s="12">
        <f>CMP!H516</f>
        <v>1309.86</v>
      </c>
      <c r="B514" s="12">
        <f>CMP!J516</f>
        <v>1313.55</v>
      </c>
    </row>
    <row r="515">
      <c r="A515" s="12">
        <f>CMP!H517</f>
        <v>1315</v>
      </c>
      <c r="B515" s="12">
        <f>CMP!J517</f>
        <v>1312.99</v>
      </c>
    </row>
    <row r="516">
      <c r="A516" s="12">
        <f>CMP!H518</f>
        <v>1307.12</v>
      </c>
      <c r="B516" s="12">
        <f>CMP!J518</f>
        <v>1304.96</v>
      </c>
    </row>
    <row r="517">
      <c r="A517" s="12">
        <f>CMP!H519</f>
        <v>1301</v>
      </c>
      <c r="B517" s="12">
        <f>CMP!J519</f>
        <v>1289.92</v>
      </c>
    </row>
    <row r="518">
      <c r="A518" s="12">
        <f>CMP!H520</f>
        <v>1279.57</v>
      </c>
      <c r="B518" s="12">
        <f>CMP!J520</f>
        <v>1295.28</v>
      </c>
    </row>
    <row r="519">
      <c r="A519" s="12">
        <f>CMP!H521</f>
        <v>1307.01</v>
      </c>
      <c r="B519" s="12">
        <f>CMP!J521</f>
        <v>1320.54</v>
      </c>
    </row>
    <row r="520">
      <c r="A520" s="12">
        <f>CMP!H522</f>
        <v>1328</v>
      </c>
      <c r="B520" s="12">
        <f>CMP!J522</f>
        <v>1328.13</v>
      </c>
    </row>
    <row r="521">
      <c r="A521" s="12">
        <f>CMP!H523</f>
        <v>1333.44</v>
      </c>
      <c r="B521" s="12">
        <f>CMP!J523</f>
        <v>1340.62</v>
      </c>
    </row>
    <row r="522">
      <c r="A522" s="12">
        <f>CMP!H524</f>
        <v>1338.04</v>
      </c>
      <c r="B522" s="12">
        <f>CMP!J524</f>
        <v>1343.56</v>
      </c>
    </row>
    <row r="523">
      <c r="A523" s="12">
        <f>CMP!H525</f>
        <v>1341.5</v>
      </c>
      <c r="B523" s="12">
        <f>CMP!J525</f>
        <v>1344.66</v>
      </c>
    </row>
    <row r="524">
      <c r="A524" s="12">
        <f>CMP!H526</f>
        <v>1350.84</v>
      </c>
      <c r="B524" s="12">
        <f>CMP!J526</f>
        <v>1345.02</v>
      </c>
    </row>
    <row r="525">
      <c r="A525" s="12">
        <f>CMP!H527</f>
        <v>1345.94</v>
      </c>
      <c r="B525" s="12">
        <f>CMP!J527</f>
        <v>1350.27</v>
      </c>
    </row>
    <row r="526">
      <c r="A526" s="12">
        <f>CMP!H528</f>
        <v>1347.95</v>
      </c>
      <c r="B526" s="12">
        <f>CMP!J528</f>
        <v>1347.83</v>
      </c>
    </row>
    <row r="527">
      <c r="A527" s="12">
        <f>CMP!H529</f>
        <v>1356.5</v>
      </c>
      <c r="B527" s="12">
        <f>CMP!J529</f>
        <v>1361.17</v>
      </c>
    </row>
    <row r="528">
      <c r="A528" s="12">
        <f>CMP!H530</f>
        <v>1362.89</v>
      </c>
      <c r="B528" s="12">
        <f>CMP!J530</f>
        <v>1355.12</v>
      </c>
    </row>
    <row r="529">
      <c r="A529" s="12">
        <f>CMP!H531</f>
        <v>1356.6</v>
      </c>
      <c r="B529" s="12">
        <f>CMP!J531</f>
        <v>1352.62</v>
      </c>
    </row>
    <row r="530">
      <c r="A530" s="12">
        <f>CMP!H532</f>
        <v>1351.82</v>
      </c>
      <c r="B530" s="12">
        <f>CMP!J532</f>
        <v>1356.04</v>
      </c>
    </row>
    <row r="531">
      <c r="A531" s="12">
        <f>CMP!H533</f>
        <v>1363.35</v>
      </c>
      <c r="B531" s="12">
        <f>CMP!J533</f>
        <v>1349.59</v>
      </c>
    </row>
    <row r="532">
      <c r="A532" s="12">
        <f>CMP!H534</f>
        <v>1355.87</v>
      </c>
      <c r="B532" s="12">
        <f>CMP!J534</f>
        <v>1348.84</v>
      </c>
    </row>
    <row r="533">
      <c r="A533" s="12">
        <f>CMP!H535</f>
        <v>1348.5</v>
      </c>
      <c r="B533" s="12">
        <f>CMP!J535</f>
        <v>1343.56</v>
      </c>
    </row>
    <row r="534">
      <c r="A534" s="12">
        <f>CMP!H536</f>
        <v>1346.17</v>
      </c>
      <c r="B534" s="12">
        <f>CMP!J536</f>
        <v>1360.4</v>
      </c>
    </row>
    <row r="535">
      <c r="A535" s="12">
        <f>CMP!H537</f>
        <v>1362.99</v>
      </c>
      <c r="B535" s="12">
        <f>CMP!J537</f>
        <v>1351.89</v>
      </c>
    </row>
    <row r="536">
      <c r="A536" s="12">
        <f>CMP!H538</f>
        <v>1350</v>
      </c>
      <c r="B536" s="12">
        <f>CMP!J538</f>
        <v>1336.14</v>
      </c>
    </row>
    <row r="537">
      <c r="A537" s="12">
        <f>CMP!H539</f>
        <v>1330.11</v>
      </c>
      <c r="B537" s="12">
        <f>CMP!J539</f>
        <v>1337.02</v>
      </c>
    </row>
    <row r="538">
      <c r="A538" s="12">
        <f>CMP!H540</f>
        <v>1341.55</v>
      </c>
      <c r="B538" s="12">
        <f>CMP!J540</f>
        <v>1367.37</v>
      </c>
    </row>
    <row r="539">
      <c r="A539" s="12">
        <f>CMP!H541</f>
        <v>1347.86</v>
      </c>
      <c r="B539" s="12">
        <f>CMP!J541</f>
        <v>1360.66</v>
      </c>
    </row>
    <row r="540">
      <c r="A540" s="12">
        <f>CMP!H542</f>
        <v>1350</v>
      </c>
      <c r="B540" s="12">
        <f>CMP!J542</f>
        <v>1394.21</v>
      </c>
    </row>
    <row r="541">
      <c r="A541" s="12">
        <f>CMP!H543</f>
        <v>1397.94</v>
      </c>
      <c r="B541" s="12">
        <f>CMP!J543</f>
        <v>1393.34</v>
      </c>
    </row>
    <row r="542">
      <c r="A542" s="12">
        <f>CMP!H544</f>
        <v>1392.08</v>
      </c>
      <c r="B542" s="12">
        <f>CMP!J544</f>
        <v>1404.32</v>
      </c>
    </row>
    <row r="543">
      <c r="A543" s="12">
        <f>CMP!H545</f>
        <v>1420.57</v>
      </c>
      <c r="B543" s="12">
        <f>CMP!J545</f>
        <v>1419.83</v>
      </c>
    </row>
    <row r="544">
      <c r="A544" s="12">
        <f>CMP!H546</f>
        <v>1427.56</v>
      </c>
      <c r="B544" s="12">
        <f>CMP!J546</f>
        <v>1429.73</v>
      </c>
    </row>
    <row r="545">
      <c r="A545" s="12">
        <f>CMP!H547</f>
        <v>1436.13</v>
      </c>
      <c r="B545" s="12">
        <f>CMP!J547</f>
        <v>1439.23</v>
      </c>
    </row>
    <row r="546">
      <c r="A546" s="12">
        <f>CMP!H548</f>
        <v>1439.01</v>
      </c>
      <c r="B546" s="12">
        <f>CMP!J548</f>
        <v>1430.88</v>
      </c>
    </row>
    <row r="547">
      <c r="A547" s="12">
        <f>CMP!H549</f>
        <v>1430.21</v>
      </c>
      <c r="B547" s="12">
        <f>CMP!J549</f>
        <v>1439.2</v>
      </c>
    </row>
    <row r="548">
      <c r="A548" s="12">
        <f>CMP!H550</f>
        <v>1447.44</v>
      </c>
      <c r="B548" s="12">
        <f>CMP!J550</f>
        <v>1451.7</v>
      </c>
    </row>
    <row r="549">
      <c r="A549" s="12">
        <f>CMP!H551</f>
        <v>1462.91</v>
      </c>
      <c r="B549" s="12">
        <f>CMP!J551</f>
        <v>1480.39</v>
      </c>
    </row>
    <row r="550">
      <c r="A550" s="12">
        <f>CMP!H552</f>
        <v>1479.12</v>
      </c>
      <c r="B550" s="12">
        <f>CMP!J552</f>
        <v>1484.4</v>
      </c>
    </row>
    <row r="551">
      <c r="A551" s="12">
        <f>CMP!H553</f>
        <v>1491</v>
      </c>
      <c r="B551" s="12">
        <f>CMP!J553</f>
        <v>1485.95</v>
      </c>
    </row>
    <row r="552">
      <c r="A552" s="12">
        <f>CMP!H554</f>
        <v>1487.64</v>
      </c>
      <c r="B552" s="12">
        <f>CMP!J554</f>
        <v>1486.65</v>
      </c>
    </row>
    <row r="553">
      <c r="A553" s="12">
        <f>CMP!H555</f>
        <v>1493.59</v>
      </c>
      <c r="B553" s="12">
        <f>CMP!J555</f>
        <v>1466.71</v>
      </c>
    </row>
    <row r="554">
      <c r="A554" s="12">
        <f>CMP!H556</f>
        <v>1431</v>
      </c>
      <c r="B554" s="12">
        <f>CMP!J556</f>
        <v>1433.9</v>
      </c>
    </row>
    <row r="555">
      <c r="A555" s="12">
        <f>CMP!H557</f>
        <v>1443</v>
      </c>
      <c r="B555" s="12">
        <f>CMP!J557</f>
        <v>1452.56</v>
      </c>
    </row>
    <row r="556">
      <c r="A556" s="12">
        <f>CMP!H558</f>
        <v>1458.8</v>
      </c>
      <c r="B556" s="12">
        <f>CMP!J558</f>
        <v>1458.63</v>
      </c>
    </row>
    <row r="557">
      <c r="A557" s="12">
        <f>CMP!H559</f>
        <v>1439.96</v>
      </c>
      <c r="B557" s="12">
        <f>CMP!J559</f>
        <v>1455.84</v>
      </c>
    </row>
    <row r="558">
      <c r="A558" s="12">
        <f>CMP!H560</f>
        <v>1468.9</v>
      </c>
      <c r="B558" s="12">
        <f>CMP!J560</f>
        <v>1434.23</v>
      </c>
    </row>
    <row r="559">
      <c r="A559" s="12">
        <f>CMP!H561</f>
        <v>1462</v>
      </c>
      <c r="B559" s="12">
        <f>CMP!J561</f>
        <v>1485.94</v>
      </c>
    </row>
    <row r="560">
      <c r="A560" s="12">
        <f>CMP!H562</f>
        <v>1457.07</v>
      </c>
      <c r="B560" s="12">
        <f>CMP!J562</f>
        <v>1447.07</v>
      </c>
    </row>
    <row r="561">
      <c r="A561" s="12">
        <f>CMP!H563</f>
        <v>1462.42</v>
      </c>
      <c r="B561" s="12">
        <f>CMP!J563</f>
        <v>1448.23</v>
      </c>
    </row>
    <row r="562">
      <c r="A562" s="12">
        <f>CMP!H564</f>
        <v>1450.33</v>
      </c>
      <c r="B562" s="12">
        <f>CMP!J564</f>
        <v>1476.23</v>
      </c>
    </row>
    <row r="563">
      <c r="A563" s="12">
        <f>CMP!H565</f>
        <v>1467.3</v>
      </c>
      <c r="B563" s="12">
        <f>CMP!J565</f>
        <v>1479.23</v>
      </c>
    </row>
    <row r="564">
      <c r="A564" s="12">
        <f>CMP!H566</f>
        <v>1474.32</v>
      </c>
      <c r="B564" s="12">
        <f>CMP!J566</f>
        <v>1508.68</v>
      </c>
    </row>
    <row r="565">
      <c r="A565" s="12">
        <f>CMP!H567</f>
        <v>1511.81</v>
      </c>
      <c r="B565" s="12">
        <f>CMP!J567</f>
        <v>1508.79</v>
      </c>
    </row>
    <row r="566">
      <c r="A566" s="12">
        <f>CMP!H568</f>
        <v>1514.48</v>
      </c>
      <c r="B566" s="12">
        <f>CMP!J568</f>
        <v>1518.27</v>
      </c>
    </row>
    <row r="567">
      <c r="A567" s="12">
        <f>CMP!H569</f>
        <v>1512.69</v>
      </c>
      <c r="B567" s="12">
        <f>CMP!J569</f>
        <v>1514.66</v>
      </c>
    </row>
    <row r="568">
      <c r="A568" s="12">
        <f>CMP!H570</f>
        <v>1515.6</v>
      </c>
      <c r="B568" s="12">
        <f>CMP!J570</f>
        <v>1520.74</v>
      </c>
    </row>
    <row r="569">
      <c r="A569" s="12">
        <f>CMP!H571</f>
        <v>1515</v>
      </c>
      <c r="B569" s="12">
        <f>CMP!J571</f>
        <v>1519.67</v>
      </c>
    </row>
    <row r="570">
      <c r="A570" s="12">
        <f>CMP!H572</f>
        <v>1525.07</v>
      </c>
      <c r="B570" s="12">
        <f>CMP!J572</f>
        <v>1526.69</v>
      </c>
    </row>
    <row r="571">
      <c r="A571" s="12">
        <f>CMP!H573</f>
        <v>1522</v>
      </c>
      <c r="B571" s="12">
        <f>CMP!J573</f>
        <v>1518.15</v>
      </c>
    </row>
    <row r="572">
      <c r="A572" s="12">
        <f>CMP!H574</f>
        <v>1508.03</v>
      </c>
      <c r="B572" s="12">
        <f>CMP!J574</f>
        <v>1485.11</v>
      </c>
    </row>
    <row r="573">
      <c r="A573" s="12">
        <f>CMP!H575</f>
        <v>1426.11</v>
      </c>
      <c r="B573" s="12">
        <f>CMP!J575</f>
        <v>1421.59</v>
      </c>
    </row>
    <row r="574">
      <c r="A574" s="12">
        <f>CMP!H576</f>
        <v>1433</v>
      </c>
      <c r="B574" s="12">
        <f>CMP!J576</f>
        <v>1388.45</v>
      </c>
    </row>
    <row r="575">
      <c r="A575" s="12">
        <f>CMP!H577</f>
        <v>1396.14</v>
      </c>
      <c r="B575" s="12">
        <f>CMP!J577</f>
        <v>1393.18</v>
      </c>
    </row>
    <row r="576">
      <c r="A576" s="12">
        <f>CMP!H578</f>
        <v>1362.06</v>
      </c>
      <c r="B576" s="12">
        <f>CMP!J578</f>
        <v>1318.09</v>
      </c>
    </row>
    <row r="577">
      <c r="A577" s="12">
        <f>CMP!H579</f>
        <v>1277.5</v>
      </c>
      <c r="B577" s="12">
        <f>CMP!J579</f>
        <v>1339.33</v>
      </c>
    </row>
    <row r="578">
      <c r="A578" s="12">
        <f>CMP!H580</f>
        <v>1351.61</v>
      </c>
      <c r="B578" s="12">
        <f>CMP!J580</f>
        <v>1389.11</v>
      </c>
    </row>
    <row r="579">
      <c r="A579" s="12">
        <f>CMP!H581</f>
        <v>1399.42</v>
      </c>
      <c r="B579" s="12">
        <f>CMP!J581</f>
        <v>1341.39</v>
      </c>
    </row>
    <row r="580">
      <c r="A580" s="12">
        <f>CMP!H582</f>
        <v>1359.23</v>
      </c>
      <c r="B580" s="12">
        <f>CMP!J582</f>
        <v>1386.52</v>
      </c>
    </row>
    <row r="581">
      <c r="A581" s="12">
        <f>CMP!H583</f>
        <v>1350.2</v>
      </c>
      <c r="B581" s="12">
        <f>CMP!J583</f>
        <v>1319.04</v>
      </c>
    </row>
    <row r="582">
      <c r="A582" s="12">
        <f>CMP!H584</f>
        <v>1277.06</v>
      </c>
      <c r="B582" s="12">
        <f>CMP!J584</f>
        <v>1298.41</v>
      </c>
    </row>
    <row r="583">
      <c r="A583" s="12">
        <f>CMP!H585</f>
        <v>1205.3</v>
      </c>
      <c r="B583" s="12">
        <f>CMP!J585</f>
        <v>1215.56</v>
      </c>
    </row>
    <row r="584">
      <c r="A584" s="12">
        <f>CMP!H586</f>
        <v>1260</v>
      </c>
      <c r="B584" s="12">
        <f>CMP!J586</f>
        <v>1280.39</v>
      </c>
    </row>
    <row r="585">
      <c r="A585" s="12">
        <f>CMP!H587</f>
        <v>1249.7</v>
      </c>
      <c r="B585" s="12">
        <f>CMP!J587</f>
        <v>1215.41</v>
      </c>
    </row>
    <row r="586">
      <c r="A586" s="12">
        <f>CMP!H588</f>
        <v>1126</v>
      </c>
      <c r="B586" s="12">
        <f>CMP!J588</f>
        <v>1114.91</v>
      </c>
    </row>
    <row r="587">
      <c r="A587" s="12">
        <f>CMP!H589</f>
        <v>1179</v>
      </c>
      <c r="B587" s="12">
        <f>CMP!J589</f>
        <v>1219.73</v>
      </c>
    </row>
    <row r="588">
      <c r="A588" s="12">
        <f>CMP!H590</f>
        <v>1096</v>
      </c>
      <c r="B588" s="12">
        <f>CMP!J590</f>
        <v>1084.33</v>
      </c>
    </row>
    <row r="589">
      <c r="A589" s="12">
        <f>CMP!H591</f>
        <v>1093.11</v>
      </c>
      <c r="B589" s="12">
        <f>CMP!J591</f>
        <v>1119.8</v>
      </c>
    </row>
    <row r="590">
      <c r="A590" s="12">
        <f>CMP!H592</f>
        <v>1056.51</v>
      </c>
      <c r="B590" s="12">
        <f>CMP!J592</f>
        <v>1096.8</v>
      </c>
    </row>
    <row r="591">
      <c r="A591" s="12">
        <f>CMP!H593</f>
        <v>1093.05</v>
      </c>
      <c r="B591" s="12">
        <f>CMP!J593</f>
        <v>1115.29</v>
      </c>
    </row>
    <row r="592">
      <c r="A592" s="12">
        <f>CMP!H594</f>
        <v>1135.72</v>
      </c>
      <c r="B592" s="12">
        <f>CMP!J594</f>
        <v>1072.32</v>
      </c>
    </row>
    <row r="593">
      <c r="A593" s="12">
        <f>CMP!H595</f>
        <v>1061.32</v>
      </c>
      <c r="B593" s="12">
        <f>CMP!J595</f>
        <v>1056.62</v>
      </c>
    </row>
    <row r="594">
      <c r="A594" s="12">
        <f>CMP!H596</f>
        <v>1103.77</v>
      </c>
      <c r="B594" s="12">
        <f>CMP!J596</f>
        <v>1134.46</v>
      </c>
    </row>
    <row r="595">
      <c r="A595" s="12">
        <f>CMP!H597</f>
        <v>1126.47</v>
      </c>
      <c r="B595" s="12">
        <f>CMP!J597</f>
        <v>1102.49</v>
      </c>
    </row>
    <row r="596">
      <c r="A596" s="12">
        <f>CMP!H598</f>
        <v>1111.8</v>
      </c>
      <c r="B596" s="12">
        <f>CMP!J598</f>
        <v>1161.75</v>
      </c>
    </row>
    <row r="597">
      <c r="A597" s="12">
        <f>CMP!H599</f>
        <v>1125.67</v>
      </c>
      <c r="B597" s="12">
        <f>CMP!J599</f>
        <v>1110.71</v>
      </c>
    </row>
    <row r="598">
      <c r="A598" s="12">
        <f>CMP!H600</f>
        <v>1125.04</v>
      </c>
      <c r="B598" s="12">
        <f>CMP!J600</f>
        <v>1146.82</v>
      </c>
    </row>
    <row r="599">
      <c r="A599" s="12">
        <f>CMP!H601</f>
        <v>1147.3</v>
      </c>
      <c r="B599" s="12">
        <f>CMP!J601</f>
        <v>1162.81</v>
      </c>
    </row>
    <row r="600">
      <c r="A600" s="12">
        <f>CMP!H602</f>
        <v>1122</v>
      </c>
      <c r="B600" s="12">
        <f>CMP!J602</f>
        <v>1105.62</v>
      </c>
    </row>
    <row r="601">
      <c r="A601" s="12">
        <f>CMP!H603</f>
        <v>1098.26</v>
      </c>
      <c r="B601" s="12">
        <f>CMP!J603</f>
        <v>1120.84</v>
      </c>
    </row>
    <row r="602">
      <c r="A602" s="12">
        <f>CMP!H604</f>
        <v>1119.02</v>
      </c>
      <c r="B602" s="12">
        <f>CMP!J604</f>
        <v>1097.88</v>
      </c>
    </row>
    <row r="603">
      <c r="A603" s="12">
        <f>CMP!H605</f>
        <v>1138</v>
      </c>
      <c r="B603" s="12">
        <f>CMP!J605</f>
        <v>1186.92</v>
      </c>
    </row>
    <row r="604">
      <c r="A604" s="12">
        <f>CMP!H606</f>
        <v>1221</v>
      </c>
      <c r="B604" s="12">
        <f>CMP!J606</f>
        <v>1186.51</v>
      </c>
    </row>
    <row r="605">
      <c r="A605" s="12">
        <f>CMP!H607</f>
        <v>1206.5</v>
      </c>
      <c r="B605" s="12">
        <f>CMP!J607</f>
        <v>1210.28</v>
      </c>
    </row>
    <row r="606">
      <c r="A606" s="12">
        <f>CMP!H608</f>
        <v>1224.08</v>
      </c>
      <c r="B606" s="12">
        <f>CMP!J608</f>
        <v>1211.45</v>
      </c>
    </row>
    <row r="607">
      <c r="A607" s="12">
        <f>CMP!H609</f>
        <v>1209.18</v>
      </c>
      <c r="B607" s="12">
        <f>CMP!J609</f>
        <v>1217.56</v>
      </c>
    </row>
    <row r="608">
      <c r="A608" s="12">
        <f>CMP!H610</f>
        <v>1245.09</v>
      </c>
      <c r="B608" s="12">
        <f>CMP!J610</f>
        <v>1269.23</v>
      </c>
    </row>
    <row r="609">
      <c r="A609" s="12">
        <f>CMP!H611</f>
        <v>1245.61</v>
      </c>
      <c r="B609" s="12">
        <f>CMP!J611</f>
        <v>1262.47</v>
      </c>
    </row>
    <row r="610">
      <c r="A610" s="12">
        <f>CMP!H612</f>
        <v>1274.1</v>
      </c>
      <c r="B610" s="12">
        <f>CMP!J612</f>
        <v>1263.47</v>
      </c>
    </row>
    <row r="611">
      <c r="A611" s="12">
        <f>CMP!H613</f>
        <v>1284.85</v>
      </c>
      <c r="B611" s="12">
        <f>CMP!J613</f>
        <v>1283.25</v>
      </c>
    </row>
    <row r="612">
      <c r="A612" s="12">
        <f>CMP!H614</f>
        <v>1271</v>
      </c>
      <c r="B612" s="12">
        <f>CMP!J614</f>
        <v>1266.61</v>
      </c>
    </row>
    <row r="613">
      <c r="A613" s="12">
        <f>CMP!H615</f>
        <v>1247</v>
      </c>
      <c r="B613" s="12">
        <f>CMP!J615</f>
        <v>1216.34</v>
      </c>
    </row>
    <row r="614">
      <c r="A614" s="12">
        <f>CMP!H616</f>
        <v>1245.54</v>
      </c>
      <c r="B614" s="12">
        <f>CMP!J616</f>
        <v>1263.21</v>
      </c>
    </row>
    <row r="615">
      <c r="A615" s="12">
        <f>CMP!H617</f>
        <v>1271.55</v>
      </c>
      <c r="B615" s="12">
        <f>CMP!J617</f>
        <v>1276.31</v>
      </c>
    </row>
    <row r="616">
      <c r="A616" s="12">
        <f>CMP!H618</f>
        <v>1261.17</v>
      </c>
      <c r="B616" s="12">
        <f>CMP!J618</f>
        <v>1279.31</v>
      </c>
    </row>
    <row r="617">
      <c r="A617" s="12">
        <f>CMP!H619</f>
        <v>1296</v>
      </c>
      <c r="B617" s="12">
        <f>CMP!J619</f>
        <v>1275.88</v>
      </c>
    </row>
    <row r="618">
      <c r="A618" s="12">
        <f>CMP!H620</f>
        <v>1287.93</v>
      </c>
      <c r="B618" s="12">
        <f>CMP!J620</f>
        <v>1233.67</v>
      </c>
    </row>
    <row r="619">
      <c r="A619" s="12">
        <f>CMP!H621</f>
        <v>1341.46</v>
      </c>
      <c r="B619" s="12">
        <f>CMP!J621</f>
        <v>1341.48</v>
      </c>
    </row>
    <row r="620">
      <c r="A620" s="12">
        <f>CMP!H622</f>
        <v>1324.88</v>
      </c>
      <c r="B620" s="12">
        <f>CMP!J622</f>
        <v>1348.66</v>
      </c>
    </row>
    <row r="621">
      <c r="A621" s="12">
        <f>CMP!H623</f>
        <v>1328.5</v>
      </c>
      <c r="B621" s="12">
        <f>CMP!J623</f>
        <v>1320.61</v>
      </c>
    </row>
    <row r="622">
      <c r="A622" s="12">
        <f>CMP!H624</f>
        <v>1308.23</v>
      </c>
      <c r="B622" s="12">
        <f>CMP!J624</f>
        <v>1326.8</v>
      </c>
    </row>
    <row r="623">
      <c r="A623" s="12">
        <f>CMP!H625</f>
        <v>1337.92</v>
      </c>
      <c r="B623" s="12">
        <f>CMP!J625</f>
        <v>1351.11</v>
      </c>
    </row>
    <row r="624">
      <c r="A624" s="12">
        <f>CMP!H626</f>
        <v>1361.69</v>
      </c>
      <c r="B624" s="12">
        <f>CMP!J626</f>
        <v>1347.3</v>
      </c>
    </row>
    <row r="625">
      <c r="A625" s="12">
        <f>CMP!H627</f>
        <v>1365.94</v>
      </c>
      <c r="B625" s="12">
        <f>CMP!J627</f>
        <v>1372.56</v>
      </c>
    </row>
    <row r="626">
      <c r="A626" s="12">
        <f>CMP!H628</f>
        <v>1383.13</v>
      </c>
      <c r="B626" s="12">
        <f>CMP!J628</f>
        <v>1388.37</v>
      </c>
    </row>
    <row r="627">
      <c r="A627" s="12">
        <f>CMP!H629</f>
        <v>1378.28</v>
      </c>
      <c r="B627" s="12">
        <f>CMP!J629</f>
        <v>1403.26</v>
      </c>
    </row>
    <row r="628">
      <c r="A628" s="12">
        <f>CMP!H630</f>
        <v>1407.12</v>
      </c>
      <c r="B628" s="12">
        <f>CMP!J630</f>
        <v>1375.74</v>
      </c>
    </row>
    <row r="629">
      <c r="A629" s="12">
        <f>CMP!H631</f>
        <v>1377.05</v>
      </c>
      <c r="B629" s="12">
        <f>CMP!J631</f>
        <v>1349.33</v>
      </c>
    </row>
    <row r="630">
      <c r="A630" s="12">
        <f>CMP!H632</f>
        <v>1335.02</v>
      </c>
      <c r="B630" s="12">
        <f>CMP!J632</f>
        <v>1356.13</v>
      </c>
    </row>
    <row r="631">
      <c r="A631" s="12">
        <f>CMP!H633</f>
        <v>1350</v>
      </c>
      <c r="B631" s="12">
        <f>CMP!J633</f>
        <v>1373.19</v>
      </c>
    </row>
    <row r="632">
      <c r="A632" s="12">
        <f>CMP!H634</f>
        <v>1361.75</v>
      </c>
      <c r="B632" s="12">
        <f>CMP!J634</f>
        <v>1383.94</v>
      </c>
    </row>
    <row r="633">
      <c r="A633" s="12">
        <f>CMP!H635</f>
        <v>1387</v>
      </c>
      <c r="B633" s="12">
        <f>CMP!J635</f>
        <v>1373.49</v>
      </c>
    </row>
    <row r="634">
      <c r="A634" s="12">
        <f>CMP!H636</f>
        <v>1389.58</v>
      </c>
      <c r="B634" s="12">
        <f>CMP!J636</f>
        <v>1406.72</v>
      </c>
    </row>
    <row r="635">
      <c r="A635" s="12">
        <f>CMP!H637</f>
        <v>1408</v>
      </c>
      <c r="B635" s="12">
        <f>CMP!J637</f>
        <v>1402.8</v>
      </c>
    </row>
    <row r="636">
      <c r="A636" s="12">
        <f>CMP!H638</f>
        <v>1396.71</v>
      </c>
      <c r="B636" s="12">
        <f>CMP!J638</f>
        <v>1410.42</v>
      </c>
    </row>
    <row r="637">
      <c r="A637" s="12">
        <f>CMP!H639</f>
        <v>1437.27</v>
      </c>
      <c r="B637" s="12">
        <f>CMP!J639</f>
        <v>1417.02</v>
      </c>
    </row>
    <row r="638">
      <c r="A638" s="12">
        <f>CMP!H640</f>
        <v>1417.25</v>
      </c>
      <c r="B638" s="12">
        <f>CMP!J640</f>
        <v>1417.84</v>
      </c>
    </row>
    <row r="639">
      <c r="A639" s="12">
        <f>CMP!H641</f>
        <v>1396.86</v>
      </c>
      <c r="B639" s="12">
        <f>CMP!J641</f>
        <v>1416.73</v>
      </c>
    </row>
    <row r="640">
      <c r="A640" s="12">
        <f>CMP!H642</f>
        <v>1416.94</v>
      </c>
      <c r="B640" s="12">
        <f>CMP!J642</f>
        <v>1428.92</v>
      </c>
    </row>
    <row r="641">
      <c r="A641" s="12">
        <f>CMP!H643</f>
        <v>1418.39</v>
      </c>
      <c r="B641" s="12">
        <f>CMP!J643</f>
        <v>1431.82</v>
      </c>
    </row>
    <row r="642">
      <c r="A642" s="12">
        <f>CMP!H644</f>
        <v>1430.55</v>
      </c>
      <c r="B642" s="12">
        <f>CMP!J644</f>
        <v>1439.22</v>
      </c>
    </row>
    <row r="643">
      <c r="A643" s="12">
        <f>CMP!H645</f>
        <v>1438.3</v>
      </c>
      <c r="B643" s="12">
        <f>CMP!J645</f>
        <v>1436.38</v>
      </c>
    </row>
    <row r="644">
      <c r="A644" s="12">
        <f>CMP!H646</f>
        <v>1430.4</v>
      </c>
      <c r="B644" s="12">
        <f>CMP!J646</f>
        <v>1412.18</v>
      </c>
    </row>
    <row r="645">
      <c r="A645" s="12">
        <f>CMP!H647</f>
        <v>1413.17</v>
      </c>
      <c r="B645" s="12">
        <f>CMP!J647</f>
        <v>1438.39</v>
      </c>
    </row>
    <row r="646">
      <c r="A646" s="12">
        <f>CMP!H648</f>
        <v>1422.34</v>
      </c>
      <c r="B646" s="12">
        <f>CMP!J648</f>
        <v>1446.61</v>
      </c>
    </row>
    <row r="647">
      <c r="A647" s="12">
        <f>CMP!H649</f>
        <v>1445.36</v>
      </c>
      <c r="B647" s="12">
        <f>CMP!J649</f>
        <v>1456.16</v>
      </c>
    </row>
    <row r="648">
      <c r="A648" s="12">
        <f>CMP!H650</f>
        <v>1459.54</v>
      </c>
      <c r="B648" s="12">
        <f>CMP!J650</f>
        <v>1465.85</v>
      </c>
    </row>
    <row r="649">
      <c r="A649" s="12">
        <f>CMP!H651</f>
        <v>1442.48</v>
      </c>
      <c r="B649" s="12">
        <f>CMP!J651</f>
        <v>1403.84</v>
      </c>
    </row>
    <row r="650">
      <c r="A650" s="12">
        <f>CMP!H652</f>
        <v>1428.49</v>
      </c>
      <c r="B650" s="12">
        <f>CMP!J652</f>
        <v>1413.18</v>
      </c>
    </row>
    <row r="651">
      <c r="A651" s="12">
        <f>CMP!H653</f>
        <v>1390.8</v>
      </c>
      <c r="B651" s="12">
        <f>CMP!J653</f>
        <v>1419.85</v>
      </c>
    </row>
    <row r="652">
      <c r="A652" s="12">
        <f>CMP!H654</f>
        <v>1445.22</v>
      </c>
      <c r="B652" s="12">
        <f>CMP!J654</f>
        <v>1442.72</v>
      </c>
    </row>
    <row r="653">
      <c r="A653" s="12">
        <f>CMP!H655</f>
        <v>1447.16</v>
      </c>
      <c r="B653" s="12">
        <f>CMP!J655</f>
        <v>1451.12</v>
      </c>
    </row>
    <row r="654">
      <c r="A654" s="12">
        <f>CMP!H656</f>
        <v>1449.16</v>
      </c>
      <c r="B654" s="12">
        <f>CMP!J656</f>
        <v>1435.96</v>
      </c>
    </row>
    <row r="655">
      <c r="A655" s="12">
        <f>CMP!H657</f>
        <v>1444</v>
      </c>
      <c r="B655" s="12">
        <f>CMP!J657</f>
        <v>1431.72</v>
      </c>
    </row>
    <row r="656">
      <c r="A656" s="12">
        <f>CMP!H658</f>
        <v>1429</v>
      </c>
      <c r="B656" s="12">
        <f>CMP!J658</f>
        <v>1451.86</v>
      </c>
    </row>
    <row r="657">
      <c r="A657" s="12">
        <f>CMP!H659</f>
        <v>1455.64</v>
      </c>
      <c r="B657" s="12">
        <f>CMP!J659</f>
        <v>1464.41</v>
      </c>
    </row>
    <row r="658">
      <c r="A658" s="12">
        <f>CMP!H660</f>
        <v>1461.51</v>
      </c>
      <c r="B658" s="12">
        <f>CMP!J660</f>
        <v>1431.97</v>
      </c>
    </row>
    <row r="659">
      <c r="A659" s="12">
        <f>CMP!H661</f>
        <v>1429.9</v>
      </c>
      <c r="B659" s="12">
        <f>CMP!J661</f>
        <v>1441.33</v>
      </c>
    </row>
    <row r="660">
      <c r="A660" s="12">
        <f>CMP!H662</f>
        <v>1431.39</v>
      </c>
      <c r="B660" s="12">
        <f>CMP!J662</f>
        <v>1359.9</v>
      </c>
    </row>
    <row r="661">
      <c r="A661" s="12">
        <f>CMP!H663</f>
        <v>1358.18</v>
      </c>
      <c r="B661" s="12">
        <f>CMP!J663</f>
        <v>1394.97</v>
      </c>
    </row>
    <row r="662">
      <c r="A662" s="12">
        <f>CMP!H664</f>
        <v>1390.44</v>
      </c>
      <c r="B662" s="12">
        <f>CMP!J664</f>
        <v>1413.61</v>
      </c>
    </row>
    <row r="663">
      <c r="A663" s="12">
        <f>CMP!H665</f>
        <v>1411.1</v>
      </c>
      <c r="B663" s="12">
        <f>CMP!J665</f>
        <v>1438.04</v>
      </c>
    </row>
    <row r="664">
      <c r="A664" s="12">
        <f>CMP!H666</f>
        <v>1446.94</v>
      </c>
      <c r="B664" s="12">
        <f>CMP!J666</f>
        <v>1464.7</v>
      </c>
    </row>
    <row r="665">
      <c r="A665" s="12">
        <f>CMP!H667</f>
        <v>1480.06</v>
      </c>
      <c r="B665" s="12">
        <f>CMP!J667</f>
        <v>1495.7</v>
      </c>
    </row>
    <row r="666">
      <c r="A666" s="12">
        <f>CMP!H668</f>
        <v>1490</v>
      </c>
      <c r="B666" s="12">
        <f>CMP!J668</f>
        <v>1485.18</v>
      </c>
    </row>
    <row r="667">
      <c r="A667" s="12">
        <f>CMP!H669</f>
        <v>1494.32</v>
      </c>
      <c r="B667" s="12">
        <f>CMP!J669</f>
        <v>1496</v>
      </c>
    </row>
    <row r="668">
      <c r="A668" s="12">
        <f>CMP!H670</f>
        <v>1506.45</v>
      </c>
      <c r="B668" s="12">
        <f>CMP!J670</f>
        <v>1510.99</v>
      </c>
    </row>
    <row r="669">
      <c r="A669" s="12">
        <f>CMP!H671</f>
        <v>1506.15</v>
      </c>
      <c r="B669" s="12">
        <f>CMP!J671</f>
        <v>1541.74</v>
      </c>
    </row>
    <row r="670">
      <c r="A670" s="12">
        <f>CMP!H672</f>
        <v>1550</v>
      </c>
      <c r="B670" s="12">
        <f>CMP!J672</f>
        <v>1511.34</v>
      </c>
    </row>
    <row r="671">
      <c r="A671" s="12">
        <f>CMP!H673</f>
        <v>1490.31</v>
      </c>
      <c r="B671" s="12">
        <f>CMP!J673</f>
        <v>1520.58</v>
      </c>
    </row>
    <row r="672">
      <c r="A672" s="12">
        <f>CMP!H674</f>
        <v>1523.13</v>
      </c>
      <c r="B672" s="12">
        <f>CMP!J674</f>
        <v>1513.64</v>
      </c>
    </row>
    <row r="673">
      <c r="A673" s="12">
        <f>CMP!H675</f>
        <v>1500</v>
      </c>
      <c r="B673" s="12">
        <f>CMP!J675</f>
        <v>1518</v>
      </c>
    </row>
    <row r="674">
      <c r="A674" s="12">
        <f>CMP!H676</f>
        <v>1521.62</v>
      </c>
      <c r="B674" s="12">
        <f>CMP!J676</f>
        <v>1515.55</v>
      </c>
    </row>
    <row r="675">
      <c r="A675" s="12">
        <f>CMP!H677</f>
        <v>1515.26</v>
      </c>
      <c r="B675" s="12">
        <f>CMP!J677</f>
        <v>1565.72</v>
      </c>
    </row>
    <row r="676">
      <c r="A676" s="12">
        <f>CMP!H678</f>
        <v>1586.99</v>
      </c>
      <c r="B676" s="12">
        <f>CMP!J678</f>
        <v>1558.42</v>
      </c>
    </row>
    <row r="677">
      <c r="A677" s="12">
        <f>CMP!H679</f>
        <v>1560.5</v>
      </c>
      <c r="B677" s="12">
        <f>CMP!J679</f>
        <v>1568.49</v>
      </c>
    </row>
    <row r="678">
      <c r="A678" s="12">
        <f>CMP!H680</f>
        <v>1566.97</v>
      </c>
      <c r="B678" s="12">
        <f>CMP!J680</f>
        <v>1515.68</v>
      </c>
    </row>
    <row r="679">
      <c r="A679" s="12">
        <f>CMP!H681</f>
        <v>1498.93</v>
      </c>
      <c r="B679" s="12">
        <f>CMP!J681</f>
        <v>1511.87</v>
      </c>
    </row>
    <row r="680">
      <c r="A680" s="12">
        <f>CMP!H682</f>
        <v>1515.6</v>
      </c>
      <c r="B680" s="12">
        <f>CMP!J682</f>
        <v>1530.2</v>
      </c>
    </row>
    <row r="681">
      <c r="A681" s="12">
        <f>CMP!H683</f>
        <v>1525.18</v>
      </c>
      <c r="B681" s="12">
        <f>CMP!J683</f>
        <v>1500.34</v>
      </c>
    </row>
    <row r="682">
      <c r="A682" s="12">
        <f>CMP!H684</f>
        <v>1506.32</v>
      </c>
      <c r="B682" s="12">
        <f>CMP!J684</f>
        <v>1522.02</v>
      </c>
    </row>
    <row r="683">
      <c r="A683" s="12">
        <f>CMP!H685</f>
        <v>1497</v>
      </c>
      <c r="B683" s="12">
        <f>CMP!J685</f>
        <v>1531.45</v>
      </c>
    </row>
    <row r="684">
      <c r="A684" s="12">
        <f>CMP!H686</f>
        <v>1505.01</v>
      </c>
      <c r="B684" s="12">
        <f>CMP!J686</f>
        <v>1482.96</v>
      </c>
    </row>
    <row r="685">
      <c r="A685" s="12">
        <f>CMP!H687</f>
        <v>1486.64</v>
      </c>
      <c r="B685" s="12">
        <f>CMP!J687</f>
        <v>1474.45</v>
      </c>
    </row>
    <row r="686">
      <c r="A686" s="12">
        <f>CMP!H688</f>
        <v>1476.57</v>
      </c>
      <c r="B686" s="12">
        <f>CMP!J688</f>
        <v>1464.97</v>
      </c>
    </row>
    <row r="687">
      <c r="A687" s="12">
        <f>CMP!H689</f>
        <v>1469.3</v>
      </c>
      <c r="B687" s="12">
        <f>CMP!J689</f>
        <v>1473.61</v>
      </c>
    </row>
    <row r="688">
      <c r="A688" s="12">
        <f>CMP!H690</f>
        <v>1471.75</v>
      </c>
      <c r="B688" s="12">
        <f>CMP!J690</f>
        <v>1500.1</v>
      </c>
    </row>
    <row r="689">
      <c r="A689" s="12">
        <f>CMP!H691</f>
        <v>1500</v>
      </c>
      <c r="B689" s="12">
        <f>CMP!J691</f>
        <v>1494.49</v>
      </c>
    </row>
    <row r="690">
      <c r="A690" s="12">
        <f>CMP!H692</f>
        <v>1487.18</v>
      </c>
      <c r="B690" s="12">
        <f>CMP!J692</f>
        <v>1496.1</v>
      </c>
    </row>
    <row r="691">
      <c r="A691" s="12">
        <f>CMP!H693</f>
        <v>1492.44</v>
      </c>
      <c r="B691" s="12">
        <f>CMP!J693</f>
        <v>1480.32</v>
      </c>
    </row>
    <row r="692">
      <c r="A692" s="12">
        <f>CMP!H694</f>
        <v>1485.58</v>
      </c>
      <c r="B692" s="12">
        <f>CMP!J694</f>
        <v>1506.62</v>
      </c>
    </row>
    <row r="693">
      <c r="A693" s="12">
        <f>CMP!H695</f>
        <v>1510.34</v>
      </c>
      <c r="B693" s="12">
        <f>CMP!J695</f>
        <v>1518.45</v>
      </c>
    </row>
    <row r="694">
      <c r="A694" s="12">
        <f>CMP!H696</f>
        <v>1515.66</v>
      </c>
      <c r="B694" s="12">
        <f>CMP!J696</f>
        <v>1507.73</v>
      </c>
    </row>
    <row r="695">
      <c r="A695" s="12">
        <f>CMP!H697</f>
        <v>1514.67</v>
      </c>
      <c r="B695" s="12">
        <f>CMP!J697</f>
        <v>1517.98</v>
      </c>
    </row>
    <row r="696">
      <c r="A696" s="12">
        <f>CMP!H698</f>
        <v>1526.18</v>
      </c>
      <c r="B696" s="12">
        <f>CMP!J698</f>
        <v>1558.6</v>
      </c>
    </row>
    <row r="697">
      <c r="A697" s="12">
        <f>CMP!H699</f>
        <v>1553.31</v>
      </c>
      <c r="B697" s="12">
        <f>CMP!J699</f>
        <v>1547.53</v>
      </c>
    </row>
    <row r="698">
      <c r="A698" s="12">
        <f>CMP!H700</f>
        <v>1543.45</v>
      </c>
      <c r="B698" s="12">
        <f>CMP!J700</f>
        <v>1581.75</v>
      </c>
    </row>
    <row r="699">
      <c r="A699" s="12">
        <f>CMP!H701</f>
        <v>1577.03</v>
      </c>
      <c r="B699" s="12">
        <f>CMP!J701</f>
        <v>1580.42</v>
      </c>
    </row>
    <row r="700">
      <c r="A700" s="12">
        <f>CMP!H702</f>
        <v>1593.98</v>
      </c>
      <c r="B700" s="12">
        <f>CMP!J702</f>
        <v>1588.2</v>
      </c>
    </row>
    <row r="701">
      <c r="A701" s="12">
        <f>CMP!H703</f>
        <v>1582.07</v>
      </c>
      <c r="B701" s="12">
        <f>CMP!J703</f>
        <v>1608.22</v>
      </c>
    </row>
    <row r="702">
      <c r="A702" s="12">
        <f>CMP!H704</f>
        <v>1608</v>
      </c>
      <c r="B702" s="12">
        <f>CMP!J704</f>
        <v>1652.38</v>
      </c>
    </row>
    <row r="703">
      <c r="A703" s="12">
        <f>CMP!H705</f>
        <v>1653.68</v>
      </c>
      <c r="B703" s="12">
        <f>CMP!J705</f>
        <v>1634.33</v>
      </c>
    </row>
    <row r="704">
      <c r="A704" s="12">
        <f>CMP!H706</f>
        <v>1633.49</v>
      </c>
      <c r="B704" s="12">
        <f>CMP!J706</f>
        <v>1644.41</v>
      </c>
    </row>
    <row r="705">
      <c r="A705" s="12">
        <f>CMP!H707</f>
        <v>1647.89</v>
      </c>
      <c r="B705" s="12">
        <f>CMP!J707</f>
        <v>1634.18</v>
      </c>
    </row>
    <row r="706">
      <c r="A706" s="12">
        <f>CMP!H708</f>
        <v>1636.63</v>
      </c>
      <c r="B706" s="12">
        <f>CMP!J708</f>
        <v>1660.71</v>
      </c>
    </row>
    <row r="707">
      <c r="A707" s="12">
        <f>CMP!H709</f>
        <v>1673.78</v>
      </c>
      <c r="B707" s="12">
        <f>CMP!J709</f>
        <v>1728.28</v>
      </c>
    </row>
    <row r="708">
      <c r="A708" s="12">
        <f>CMP!H710</f>
        <v>1709.71</v>
      </c>
      <c r="B708" s="12">
        <f>CMP!J710</f>
        <v>1641.84</v>
      </c>
    </row>
    <row r="709">
      <c r="A709" s="12">
        <f>CMP!H711</f>
        <v>1624.26</v>
      </c>
      <c r="B709" s="12">
        <f>CMP!J711</f>
        <v>1591.04</v>
      </c>
    </row>
    <row r="710">
      <c r="A710" s="12">
        <f>CMP!H712</f>
        <v>1533.51</v>
      </c>
      <c r="B710" s="12">
        <f>CMP!J712</f>
        <v>1532.39</v>
      </c>
    </row>
    <row r="711">
      <c r="A711" s="12">
        <f>CMP!H713</f>
        <v>1557.53</v>
      </c>
      <c r="B711" s="12">
        <f>CMP!J713</f>
        <v>1556.96</v>
      </c>
    </row>
    <row r="712">
      <c r="A712" s="12">
        <f>CMP!H714</f>
        <v>1560.64</v>
      </c>
      <c r="B712" s="12">
        <f>CMP!J714</f>
        <v>1532.02</v>
      </c>
    </row>
    <row r="713">
      <c r="A713" s="12">
        <f>CMP!H715</f>
        <v>1536</v>
      </c>
      <c r="B713" s="12">
        <f>CMP!J715</f>
        <v>1520.72</v>
      </c>
    </row>
    <row r="714">
      <c r="A714" s="12">
        <f>CMP!H716</f>
        <v>1539.01</v>
      </c>
      <c r="B714" s="12">
        <f>CMP!J716</f>
        <v>1519.28</v>
      </c>
    </row>
    <row r="715">
      <c r="A715" s="12">
        <f>CMP!H717</f>
        <v>1536</v>
      </c>
      <c r="B715" s="12">
        <f>CMP!J717</f>
        <v>1541.44</v>
      </c>
    </row>
    <row r="716">
      <c r="A716" s="12">
        <f>CMP!H718</f>
        <v>1555.54</v>
      </c>
      <c r="B716" s="12">
        <f>CMP!J718</f>
        <v>1520.9</v>
      </c>
    </row>
    <row r="717">
      <c r="A717" s="12">
        <f>CMP!H719</f>
        <v>1496</v>
      </c>
      <c r="B717" s="12">
        <f>CMP!J719</f>
        <v>1495.53</v>
      </c>
    </row>
    <row r="718">
      <c r="A718" s="12">
        <f>CMP!H720</f>
        <v>1498.01</v>
      </c>
      <c r="B718" s="12">
        <f>CMP!J720</f>
        <v>1459.99</v>
      </c>
    </row>
    <row r="719">
      <c r="A719" s="12">
        <f>CMP!H721</f>
        <v>1440.06</v>
      </c>
      <c r="B719" s="12">
        <f>CMP!J721</f>
        <v>1431.16</v>
      </c>
    </row>
    <row r="720">
      <c r="A720" s="12">
        <f>CMP!H722</f>
        <v>1450.09</v>
      </c>
      <c r="B720" s="12">
        <f>CMP!J722</f>
        <v>1465.46</v>
      </c>
    </row>
    <row r="721">
      <c r="A721" s="12">
        <f>CMP!H723</f>
        <v>1458.78</v>
      </c>
      <c r="B721" s="12">
        <f>CMP!J723</f>
        <v>1415.21</v>
      </c>
    </row>
    <row r="722">
      <c r="A722" s="12">
        <f>CMP!H724</f>
        <v>1411.03</v>
      </c>
      <c r="B722" s="12">
        <f>CMP!J724</f>
        <v>1428.29</v>
      </c>
    </row>
    <row r="723">
      <c r="A723" s="12">
        <f>CMP!H725</f>
        <v>1432.63</v>
      </c>
      <c r="B723" s="12">
        <f>CMP!J725</f>
        <v>1444.96</v>
      </c>
    </row>
    <row r="724">
      <c r="A724" s="12">
        <f>CMP!H726</f>
        <v>1474.21</v>
      </c>
      <c r="B724" s="12">
        <f>CMP!J726</f>
        <v>1464.52</v>
      </c>
    </row>
    <row r="725">
      <c r="A725" s="12">
        <f>CMP!H727</f>
        <v>1470.39</v>
      </c>
      <c r="B725" s="12">
        <f>CMP!J727</f>
        <v>1469.33</v>
      </c>
    </row>
    <row r="726">
      <c r="A726" s="12">
        <f>CMP!H728</f>
        <v>1466.8</v>
      </c>
      <c r="B726" s="12">
        <f>CMP!J728</f>
        <v>1469.6</v>
      </c>
    </row>
    <row r="727">
      <c r="A727" s="12">
        <f>CMP!H729</f>
        <v>1484.27</v>
      </c>
      <c r="B727" s="12">
        <f>CMP!J729</f>
        <v>1490.09</v>
      </c>
    </row>
    <row r="728">
      <c r="A728" s="12">
        <f>CMP!H730</f>
        <v>1462.03</v>
      </c>
      <c r="B728" s="12">
        <f>CMP!J730</f>
        <v>1458.42</v>
      </c>
    </row>
    <row r="729">
      <c r="A729" s="12">
        <f>CMP!H731</f>
        <v>1466.21</v>
      </c>
      <c r="B729" s="12">
        <f>CMP!J731</f>
        <v>1486.02</v>
      </c>
    </row>
    <row r="730">
      <c r="A730" s="12">
        <f>CMP!H732</f>
        <v>1475.58</v>
      </c>
      <c r="B730" s="12">
        <f>CMP!J732</f>
        <v>1453.44</v>
      </c>
    </row>
    <row r="731">
      <c r="A731" s="12">
        <f>CMP!H733</f>
        <v>1464.29</v>
      </c>
      <c r="B731" s="12">
        <f>CMP!J733</f>
        <v>1460.29</v>
      </c>
    </row>
    <row r="732">
      <c r="A732" s="12">
        <f>CMP!H734</f>
        <v>1465.09</v>
      </c>
      <c r="B732" s="12">
        <f>CMP!J734</f>
        <v>1485.93</v>
      </c>
    </row>
    <row r="733">
      <c r="A733" s="12">
        <f>CMP!H735</f>
        <v>1494.7</v>
      </c>
      <c r="B733" s="12">
        <f>CMP!J735</f>
        <v>1515.22</v>
      </c>
    </row>
    <row r="734">
      <c r="A734" s="12">
        <f>CMP!H736</f>
        <v>1543</v>
      </c>
      <c r="B734" s="12">
        <f>CMP!J736</f>
        <v>1569.15</v>
      </c>
    </row>
    <row r="735">
      <c r="A735" s="12">
        <f>CMP!H737</f>
        <v>1583.73</v>
      </c>
      <c r="B735" s="12">
        <f>CMP!J737</f>
        <v>1571.68</v>
      </c>
    </row>
    <row r="736">
      <c r="A736" s="12">
        <f>CMP!H738</f>
        <v>1578.59</v>
      </c>
      <c r="B736" s="12">
        <f>CMP!J738</f>
        <v>1568.08</v>
      </c>
    </row>
    <row r="737">
      <c r="A737" s="12">
        <f>CMP!H739</f>
        <v>1547.15</v>
      </c>
      <c r="B737" s="12">
        <f>CMP!J739</f>
        <v>1559.13</v>
      </c>
    </row>
    <row r="738">
      <c r="A738" s="12">
        <f>CMP!H740</f>
        <v>1565.85</v>
      </c>
      <c r="B738" s="12">
        <f>CMP!J740</f>
        <v>1573.01</v>
      </c>
    </row>
    <row r="739">
      <c r="A739" s="12">
        <f>CMP!H741</f>
        <v>1580.46</v>
      </c>
      <c r="B739" s="12">
        <f>CMP!J741</f>
        <v>1534.61</v>
      </c>
    </row>
    <row r="740">
      <c r="A740" s="12">
        <f>CMP!H742</f>
        <v>1527.05</v>
      </c>
      <c r="B740" s="12">
        <f>CMP!J742</f>
        <v>1555.93</v>
      </c>
    </row>
    <row r="741">
      <c r="A741" s="12">
        <f>CMP!H743</f>
        <v>1573.33</v>
      </c>
      <c r="B741" s="12">
        <f>CMP!J743</f>
        <v>1593.31</v>
      </c>
    </row>
    <row r="742">
      <c r="A742" s="12">
        <f>CMP!H744</f>
        <v>1593.05</v>
      </c>
      <c r="B742" s="12">
        <f>CMP!J744</f>
        <v>1615.33</v>
      </c>
    </row>
    <row r="743">
      <c r="A743" s="12">
        <f>CMP!H745</f>
        <v>1626.07</v>
      </c>
      <c r="B743" s="12">
        <f>CMP!J745</f>
        <v>1641</v>
      </c>
    </row>
    <row r="744">
      <c r="A744" s="12">
        <f>CMP!H746</f>
        <v>1625.01</v>
      </c>
      <c r="B744" s="12">
        <f>CMP!J746</f>
        <v>1590.45</v>
      </c>
    </row>
    <row r="745">
      <c r="A745" s="12">
        <f>CMP!H747</f>
        <v>1595.67</v>
      </c>
      <c r="B745" s="12">
        <f>CMP!J747</f>
        <v>1604.26</v>
      </c>
    </row>
    <row r="746">
      <c r="A746" s="12">
        <f>CMP!H748</f>
        <v>1559.74</v>
      </c>
      <c r="B746" s="12">
        <f>CMP!J748</f>
        <v>1516.62</v>
      </c>
    </row>
    <row r="747">
      <c r="A747" s="12">
        <f>CMP!H749</f>
        <v>1522.36</v>
      </c>
      <c r="B747" s="12">
        <f>CMP!J749</f>
        <v>1567.24</v>
      </c>
    </row>
    <row r="748">
      <c r="A748" s="12">
        <f>CMP!H750</f>
        <v>1672.11</v>
      </c>
      <c r="B748" s="12">
        <f>CMP!J750</f>
        <v>1621.01</v>
      </c>
    </row>
    <row r="749">
      <c r="A749" s="12">
        <f>CMP!H751</f>
        <v>1628.16</v>
      </c>
      <c r="B749" s="12">
        <f>CMP!J751</f>
        <v>1626.03</v>
      </c>
    </row>
    <row r="750">
      <c r="A750" s="12">
        <f>CMP!H752</f>
        <v>1631.78</v>
      </c>
      <c r="B750" s="12">
        <f>CMP!J752</f>
        <v>1650.21</v>
      </c>
    </row>
    <row r="751">
      <c r="A751" s="12">
        <f>CMP!H753</f>
        <v>1710.28</v>
      </c>
      <c r="B751" s="12">
        <f>CMP!J753</f>
        <v>1749.13</v>
      </c>
    </row>
    <row r="752">
      <c r="A752" s="12">
        <f>CMP!H754</f>
        <v>1781</v>
      </c>
      <c r="B752" s="12">
        <f>CMP!J754</f>
        <v>1763.37</v>
      </c>
    </row>
    <row r="753">
      <c r="A753" s="12">
        <f>CMP!H755</f>
        <v>1753.95</v>
      </c>
      <c r="B753" s="12">
        <f>CMP!J755</f>
        <v>1761.75</v>
      </c>
    </row>
    <row r="754">
      <c r="A754" s="12">
        <f>CMP!H756</f>
        <v>1790.9</v>
      </c>
      <c r="B754" s="12">
        <f>CMP!J756</f>
        <v>1763</v>
      </c>
    </row>
    <row r="755">
      <c r="A755" s="12">
        <f>CMP!H757</f>
        <v>1731.09</v>
      </c>
      <c r="B755" s="12">
        <f>CMP!J757</f>
        <v>1740.39</v>
      </c>
    </row>
    <row r="756">
      <c r="A756" s="12">
        <f>CMP!H758</f>
        <v>1750</v>
      </c>
      <c r="B756" s="12">
        <f>CMP!J758</f>
        <v>1752.71</v>
      </c>
    </row>
    <row r="757">
      <c r="A757" s="12">
        <f>CMP!H759</f>
        <v>1747.63</v>
      </c>
      <c r="B757" s="12">
        <f>CMP!J759</f>
        <v>1749.84</v>
      </c>
    </row>
    <row r="758">
      <c r="A758" s="12">
        <f>CMP!H760</f>
        <v>1757.63</v>
      </c>
      <c r="B758" s="12">
        <f>CMP!J760</f>
        <v>1777.02</v>
      </c>
    </row>
    <row r="759">
      <c r="A759" s="12">
        <f>CMP!H761</f>
        <v>1771.7</v>
      </c>
      <c r="B759" s="12">
        <f>CMP!J761</f>
        <v>1781.38</v>
      </c>
    </row>
    <row r="760">
      <c r="A760" s="12">
        <f>CMP!H762</f>
        <v>1776.94</v>
      </c>
      <c r="B760" s="12">
        <f>CMP!J762</f>
        <v>1770.15</v>
      </c>
    </row>
    <row r="761">
      <c r="A761" s="12">
        <f>CMP!H763</f>
        <v>1765.23</v>
      </c>
      <c r="B761" s="12">
        <f>CMP!J763</f>
        <v>1746.78</v>
      </c>
    </row>
    <row r="762">
      <c r="A762" s="12">
        <f>CMP!H764</f>
        <v>1738.38</v>
      </c>
      <c r="B762" s="12">
        <f>CMP!J764</f>
        <v>1763.92</v>
      </c>
    </row>
    <row r="763">
      <c r="A763" s="12">
        <f>CMP!H765</f>
        <v>1765.21</v>
      </c>
      <c r="B763" s="12">
        <f>CMP!J765</f>
        <v>1742.19</v>
      </c>
    </row>
    <row r="764">
      <c r="A764" s="12">
        <f>CMP!H766</f>
        <v>1749.6</v>
      </c>
      <c r="B764" s="12">
        <f>CMP!J766</f>
        <v>1734.86</v>
      </c>
    </row>
    <row r="765">
      <c r="A765" s="12">
        <f>CMP!H767</f>
        <v>1730.5</v>
      </c>
      <c r="B765" s="12">
        <f>CMP!J767</f>
        <v>1768.88</v>
      </c>
    </row>
    <row r="766">
      <c r="A766" s="12">
        <f>CMP!H768</f>
        <v>1772.89</v>
      </c>
      <c r="B766" s="12">
        <f>CMP!J768</f>
        <v>1771.43</v>
      </c>
    </row>
    <row r="767">
      <c r="A767" s="12">
        <f>CMP!H769</f>
        <v>1773.09</v>
      </c>
      <c r="B767" s="12">
        <f>CMP!J769</f>
        <v>1793.19</v>
      </c>
    </row>
    <row r="768">
      <c r="A768" s="12">
        <f>CMP!H770</f>
        <v>1781.18</v>
      </c>
      <c r="B768" s="12">
        <f>CMP!J770</f>
        <v>1760.74</v>
      </c>
    </row>
    <row r="769">
      <c r="A769" s="12">
        <f>CMP!H771</f>
        <v>1774.37</v>
      </c>
      <c r="B769" s="12">
        <f>CMP!J771</f>
        <v>1798.1</v>
      </c>
    </row>
    <row r="770">
      <c r="A770" s="12">
        <f>CMP!H772</f>
        <v>1798.1</v>
      </c>
      <c r="B770" s="12">
        <f>CMP!J772</f>
        <v>1827.95</v>
      </c>
    </row>
    <row r="771">
      <c r="A771" s="12">
        <f>CMP!H773</f>
        <v>1824.01</v>
      </c>
      <c r="B771" s="12">
        <f>CMP!J773</f>
        <v>1826.77</v>
      </c>
    </row>
    <row r="772">
      <c r="A772" s="12">
        <f>CMP!H774</f>
        <v>1824.52</v>
      </c>
      <c r="B772" s="12">
        <f>CMP!J774</f>
        <v>1827.99</v>
      </c>
    </row>
    <row r="773">
      <c r="A773" s="12">
        <f>CMP!H775</f>
        <v>1819</v>
      </c>
      <c r="B773" s="12">
        <f>CMP!J775</f>
        <v>1819.48</v>
      </c>
    </row>
    <row r="774">
      <c r="A774" s="12">
        <f>CMP!H776</f>
        <v>1810.1</v>
      </c>
      <c r="B774" s="12">
        <f>CMP!J776</f>
        <v>1818.55</v>
      </c>
    </row>
    <row r="775">
      <c r="A775" s="12">
        <f>CMP!H777</f>
        <v>1812.01</v>
      </c>
      <c r="B775" s="12">
        <f>CMP!J777</f>
        <v>1784.13</v>
      </c>
    </row>
    <row r="776">
      <c r="A776" s="12">
        <f>CMP!H778</f>
        <v>1769.8</v>
      </c>
      <c r="B776" s="12">
        <f>CMP!J778</f>
        <v>1775.33</v>
      </c>
    </row>
    <row r="777">
      <c r="A777" s="12">
        <f>CMP!H779</f>
        <v>1763.06</v>
      </c>
      <c r="B777" s="12">
        <f>CMP!J779</f>
        <v>1781.77</v>
      </c>
    </row>
    <row r="778">
      <c r="A778" s="12">
        <f>CMP!H780</f>
        <v>1775</v>
      </c>
      <c r="B778" s="12">
        <f>CMP!J780</f>
        <v>1760.06</v>
      </c>
    </row>
    <row r="779">
      <c r="A779" s="12">
        <f>CMP!H781</f>
        <v>1764.42</v>
      </c>
      <c r="B779" s="12">
        <f>CMP!J781</f>
        <v>1767.77</v>
      </c>
    </row>
    <row r="780">
      <c r="A780" s="12">
        <f>CMP!H782</f>
        <v>1772.88</v>
      </c>
      <c r="B780" s="12">
        <f>CMP!J782</f>
        <v>1763</v>
      </c>
    </row>
    <row r="781">
      <c r="A781" s="12">
        <f>CMP!H783</f>
        <v>1768.51</v>
      </c>
      <c r="B781" s="12">
        <f>CMP!J783</f>
        <v>1747.9</v>
      </c>
    </row>
    <row r="782">
      <c r="A782" s="12">
        <f>CMP!H784</f>
        <v>1754.18</v>
      </c>
      <c r="B782" s="12">
        <f>CMP!J784</f>
        <v>1731.01</v>
      </c>
    </row>
    <row r="783">
      <c r="A783" s="12">
        <f>CMP!H785</f>
        <v>1713.51</v>
      </c>
      <c r="B783" s="12">
        <f>CMP!J785</f>
        <v>1739.37</v>
      </c>
    </row>
    <row r="784">
      <c r="A784" s="12">
        <f>CMP!H786</f>
        <v>1734.43</v>
      </c>
      <c r="B784" s="12">
        <f>CMP!J786</f>
        <v>1723.5</v>
      </c>
    </row>
    <row r="785">
      <c r="A785" s="12">
        <f>CMP!H787</f>
        <v>1728.11</v>
      </c>
      <c r="B785" s="12">
        <f>CMP!J787</f>
        <v>1732.38</v>
      </c>
    </row>
    <row r="786">
      <c r="A786" s="12">
        <f>CMP!H788</f>
        <v>1735</v>
      </c>
      <c r="B786" s="12">
        <f>CMP!J788</f>
        <v>1738.85</v>
      </c>
    </row>
    <row r="787">
      <c r="A787" s="12">
        <f>CMP!H789</f>
        <v>1751.64</v>
      </c>
      <c r="B787" s="12">
        <f>CMP!J789</f>
        <v>1776.09</v>
      </c>
    </row>
    <row r="788">
      <c r="A788" s="12">
        <f>CMP!H790</f>
        <v>1787.79</v>
      </c>
      <c r="B788" s="12">
        <f>CMP!J790</f>
        <v>1758.72</v>
      </c>
    </row>
    <row r="789">
      <c r="A789" s="12">
        <f>CMP!H791</f>
        <v>1762.01</v>
      </c>
      <c r="B789" s="12">
        <f>CMP!J791</f>
        <v>1739.52</v>
      </c>
    </row>
    <row r="790">
      <c r="A790" s="12">
        <f>CMP!H792</f>
        <v>1735.42</v>
      </c>
      <c r="B790" s="12">
        <f>CMP!J792</f>
        <v>1751.88</v>
      </c>
    </row>
    <row r="791">
      <c r="A791" s="12">
        <f>CMP!H793</f>
        <v>1757.54</v>
      </c>
      <c r="B791" s="12">
        <f>CMP!J793</f>
        <v>1728.24</v>
      </c>
    </row>
    <row r="792">
      <c r="A792" s="12">
        <f>CMP!H794</f>
        <v>1725</v>
      </c>
      <c r="B792" s="12">
        <f>CMP!J794</f>
        <v>1740.92</v>
      </c>
    </row>
    <row r="793">
      <c r="A793" s="12">
        <f>CMP!H795</f>
        <v>1702.63</v>
      </c>
      <c r="B793" s="12">
        <f>CMP!J795</f>
        <v>1735.29</v>
      </c>
    </row>
    <row r="794">
      <c r="A794" s="12">
        <f>CMP!H796</f>
        <v>1740.06</v>
      </c>
      <c r="B794" s="12">
        <f>CMP!J796</f>
        <v>1787.25</v>
      </c>
    </row>
    <row r="795">
      <c r="A795" s="12">
        <f>CMP!H797</f>
        <v>1787.98</v>
      </c>
      <c r="B795" s="12">
        <f>CMP!J797</f>
        <v>1807.21</v>
      </c>
    </row>
    <row r="796">
      <c r="A796" s="12">
        <f>CMP!H798</f>
        <v>1786.07</v>
      </c>
      <c r="B796" s="12">
        <f>CMP!J798</f>
        <v>1766.72</v>
      </c>
    </row>
    <row r="797">
      <c r="A797" s="12">
        <f>CMP!H799</f>
        <v>1753.92</v>
      </c>
      <c r="B797" s="12">
        <f>CMP!J799</f>
        <v>1746.55</v>
      </c>
    </row>
    <row r="798">
      <c r="A798" s="12">
        <f>CMP!H800</f>
        <v>1738.58</v>
      </c>
      <c r="B798" s="12">
        <f>CMP!J800</f>
        <v>1754.4</v>
      </c>
    </row>
    <row r="799">
      <c r="A799" s="12">
        <f>CMP!H801</f>
        <v>1753.62</v>
      </c>
      <c r="B799" s="12">
        <f>CMP!J801</f>
        <v>1740.18</v>
      </c>
    </row>
    <row r="800">
      <c r="A800" s="12">
        <f>CMP!H802</f>
        <v>1738.19</v>
      </c>
      <c r="B800" s="12">
        <f>CMP!J802</f>
        <v>1736.19</v>
      </c>
    </row>
    <row r="801">
      <c r="A801" s="12">
        <f>CMP!H803</f>
        <v>1752.25</v>
      </c>
      <c r="B801" s="12">
        <f>CMP!J803</f>
        <v>1790.86</v>
      </c>
    </row>
    <row r="802">
      <c r="A802" s="12">
        <f>CMP!H804</f>
        <v>1831.46</v>
      </c>
      <c r="B802" s="12">
        <f>CMP!J804</f>
        <v>1886.9</v>
      </c>
    </row>
    <row r="803">
      <c r="A803" s="12">
        <f>CMP!H805</f>
        <v>1898</v>
      </c>
      <c r="B803" s="12">
        <f>CMP!J805</f>
        <v>1891.25</v>
      </c>
    </row>
    <row r="804">
      <c r="A804" s="12">
        <f>CMP!H806</f>
        <v>1895.68</v>
      </c>
      <c r="B804" s="12">
        <f>CMP!J806</f>
        <v>1901.05</v>
      </c>
    </row>
    <row r="805">
      <c r="A805" s="12">
        <f>CMP!H807</f>
        <v>1920.67</v>
      </c>
      <c r="B805" s="12">
        <f>CMP!J807</f>
        <v>1899.4</v>
      </c>
    </row>
    <row r="806">
      <c r="A806" s="12">
        <f>CMP!H808</f>
        <v>1888.84</v>
      </c>
      <c r="B806" s="12">
        <f>CMP!J808</f>
        <v>1917.24</v>
      </c>
    </row>
    <row r="807">
      <c r="A807" s="12">
        <f>CMP!H809</f>
        <v>1882.53</v>
      </c>
      <c r="B807" s="12">
        <f>CMP!J809</f>
        <v>1830.79</v>
      </c>
    </row>
    <row r="808">
      <c r="A808" s="12">
        <f>CMP!H810</f>
        <v>1843.94</v>
      </c>
      <c r="B808" s="12">
        <f>CMP!J810</f>
        <v>1863.11</v>
      </c>
    </row>
    <row r="809">
      <c r="A809" s="12">
        <f>CMP!H811</f>
        <v>1846.17</v>
      </c>
      <c r="B809" s="12">
        <f>CMP!J811</f>
        <v>1835.74</v>
      </c>
    </row>
    <row r="810">
      <c r="A810" s="12">
        <f>CMP!H812</f>
        <v>1853.57</v>
      </c>
      <c r="B810" s="12">
        <f>CMP!J812</f>
        <v>1901.35</v>
      </c>
    </row>
    <row r="811">
      <c r="A811" s="12">
        <f>CMP!H813</f>
        <v>1922.56</v>
      </c>
      <c r="B811" s="12">
        <f>CMP!J813</f>
        <v>1927.51</v>
      </c>
    </row>
    <row r="812">
      <c r="A812" s="12">
        <f>CMP!H814</f>
        <v>2073</v>
      </c>
      <c r="B812" s="12">
        <f>CMP!J814</f>
        <v>2070.07</v>
      </c>
    </row>
    <row r="813">
      <c r="A813" s="12">
        <f>CMP!H815</f>
        <v>2068.89</v>
      </c>
      <c r="B813" s="12">
        <f>CMP!J815</f>
        <v>2062.37</v>
      </c>
    </row>
    <row r="814">
      <c r="A814" s="12">
        <f>CMP!H816</f>
        <v>2070</v>
      </c>
      <c r="B814" s="12">
        <f>CMP!J816</f>
        <v>2098</v>
      </c>
    </row>
    <row r="815">
      <c r="A815" s="12">
        <f>CMP!H817</f>
        <v>2105.91</v>
      </c>
      <c r="B815" s="12">
        <f>CMP!J817</f>
        <v>2092.91</v>
      </c>
    </row>
    <row r="816">
      <c r="A816" s="12">
        <f>CMP!H818</f>
        <v>2078.54</v>
      </c>
      <c r="B816" s="12">
        <f>CMP!J818</f>
        <v>2083.51</v>
      </c>
    </row>
    <row r="817">
      <c r="A817" s="12">
        <f>CMP!H819</f>
        <v>2094.21</v>
      </c>
      <c r="B817" s="12">
        <f>CMP!J819</f>
        <v>2095.38</v>
      </c>
    </row>
    <row r="818">
      <c r="A818" s="12">
        <f>CMP!H820</f>
        <v>2099.51</v>
      </c>
      <c r="B818" s="12">
        <f>CMP!J820</f>
        <v>2095.89</v>
      </c>
    </row>
    <row r="819">
      <c r="A819" s="12">
        <f>CMP!H821</f>
        <v>2090.25</v>
      </c>
      <c r="B819" s="12">
        <f>CMP!J821</f>
        <v>2104.11</v>
      </c>
    </row>
    <row r="820">
      <c r="A820" s="12">
        <f>CMP!H822</f>
        <v>2104.36</v>
      </c>
      <c r="B820" s="12">
        <f>CMP!J822</f>
        <v>2121.9</v>
      </c>
    </row>
    <row r="821">
      <c r="A821" s="12">
        <f>CMP!H823</f>
        <v>2100</v>
      </c>
      <c r="B821" s="12">
        <f>CMP!J823</f>
        <v>2128.31</v>
      </c>
    </row>
    <row r="822">
      <c r="A822" s="12">
        <f>CMP!H824</f>
        <v>2110.39</v>
      </c>
      <c r="B822" s="12">
        <f>CMP!J824</f>
        <v>2117.2</v>
      </c>
    </row>
    <row r="823">
      <c r="A823" s="12">
        <f>CMP!H825</f>
        <v>2119.27</v>
      </c>
      <c r="B823" s="12">
        <f>CMP!J825</f>
        <v>2101.14</v>
      </c>
    </row>
    <row r="824">
      <c r="A824" s="12">
        <f>CMP!H826</f>
        <v>2067</v>
      </c>
      <c r="B824" s="12">
        <f>CMP!J826</f>
        <v>2064.88</v>
      </c>
    </row>
    <row r="825">
      <c r="A825" s="12">
        <f>CMP!H827</f>
        <v>2025.01</v>
      </c>
      <c r="B825" s="12">
        <f>CMP!J827</f>
        <v>2070.86</v>
      </c>
    </row>
    <row r="826">
      <c r="A826" s="12">
        <f>CMP!H828</f>
        <v>2041.83</v>
      </c>
      <c r="B826" s="12">
        <f>CMP!J828</f>
        <v>2095.17</v>
      </c>
    </row>
    <row r="827">
      <c r="A827" s="12">
        <f>CMP!H829</f>
        <v>2067.45</v>
      </c>
      <c r="B827" s="12">
        <f>CMP!J829</f>
        <v>2031.36</v>
      </c>
    </row>
    <row r="828">
      <c r="A828" s="12">
        <f>CMP!H830</f>
        <v>2050.52</v>
      </c>
      <c r="B828" s="12">
        <f>CMP!J830</f>
        <v>2036.86</v>
      </c>
    </row>
    <row r="829">
      <c r="A829" s="12">
        <f>CMP!H831</f>
        <v>2056.52</v>
      </c>
      <c r="B829" s="12">
        <f>CMP!J831</f>
        <v>2081.51</v>
      </c>
    </row>
    <row r="830">
      <c r="A830" s="12">
        <f>CMP!H832</f>
        <v>2076.19</v>
      </c>
      <c r="B830" s="12">
        <f>CMP!J832</f>
        <v>2075.84</v>
      </c>
    </row>
    <row r="831">
      <c r="A831" s="12">
        <f>CMP!H833</f>
        <v>2067.21</v>
      </c>
      <c r="B831" s="12">
        <f>CMP!J833</f>
        <v>2026.71</v>
      </c>
    </row>
    <row r="832">
      <c r="A832" s="12">
        <f>CMP!H834</f>
        <v>2023.37</v>
      </c>
      <c r="B832" s="12">
        <f>CMP!J834</f>
        <v>2049.09</v>
      </c>
    </row>
    <row r="833">
      <c r="A833" s="12">
        <f>CMP!H835</f>
        <v>2073.12</v>
      </c>
      <c r="B833" s="12">
        <f>CMP!J835</f>
        <v>2108.54</v>
      </c>
    </row>
    <row r="834">
      <c r="A834" s="12">
        <f>CMP!H836</f>
        <v>2101.13</v>
      </c>
      <c r="B834" s="12">
        <f>CMP!J836</f>
        <v>2024.17</v>
      </c>
    </row>
    <row r="835">
      <c r="A835" s="12">
        <f>CMP!H837</f>
        <v>2070</v>
      </c>
      <c r="B835" s="12">
        <f>CMP!J837</f>
        <v>2052.7</v>
      </c>
    </row>
    <row r="836">
      <c r="A836" s="12">
        <f>CMP!H838</f>
        <v>2071.76</v>
      </c>
      <c r="B836" s="12">
        <f>CMP!J838</f>
        <v>2055.03</v>
      </c>
    </row>
    <row r="837">
      <c r="A837" s="12">
        <f>CMP!H839</f>
        <v>2074.06</v>
      </c>
      <c r="B837" s="12">
        <f>CMP!J839</f>
        <v>2114.77</v>
      </c>
    </row>
    <row r="838">
      <c r="A838" s="12">
        <f>CMP!H840</f>
        <v>2085</v>
      </c>
      <c r="B838" s="12">
        <f>CMP!J840</f>
        <v>2061.92</v>
      </c>
    </row>
    <row r="839">
      <c r="A839" s="12">
        <f>CMP!H841</f>
        <v>2062.3</v>
      </c>
      <c r="B839" s="12">
        <f>CMP!J841</f>
        <v>2066.49</v>
      </c>
    </row>
    <row r="840">
      <c r="A840" s="12">
        <f>CMP!H842</f>
        <v>2078.99</v>
      </c>
      <c r="B840" s="12">
        <f>CMP!J842</f>
        <v>2092.52</v>
      </c>
    </row>
    <row r="841">
      <c r="A841" s="12">
        <f>CMP!H843</f>
        <v>2076.03</v>
      </c>
      <c r="B841" s="12">
        <f>CMP!J843</f>
        <v>2091.08</v>
      </c>
    </row>
    <row r="842">
      <c r="A842" s="12">
        <f>CMP!H844</f>
        <v>2061</v>
      </c>
      <c r="B842" s="12">
        <f>CMP!J844</f>
        <v>2036.22</v>
      </c>
    </row>
    <row r="843">
      <c r="A843" s="12">
        <f>CMP!H845</f>
        <v>2042.05</v>
      </c>
      <c r="B843" s="12">
        <f>CMP!J845</f>
        <v>2043.2</v>
      </c>
    </row>
    <row r="844">
      <c r="A844" s="12">
        <f>CMP!H846</f>
        <v>2041.84</v>
      </c>
      <c r="B844" s="12">
        <f>CMP!J846</f>
        <v>2038.59</v>
      </c>
    </row>
    <row r="845">
      <c r="A845" s="12">
        <f>CMP!H847</f>
        <v>2051.7</v>
      </c>
      <c r="B845" s="12">
        <f>CMP!J847</f>
        <v>2052.96</v>
      </c>
    </row>
    <row r="846">
      <c r="A846" s="12">
        <f>CMP!H848</f>
        <v>2065.37</v>
      </c>
      <c r="B846" s="12">
        <f>CMP!J848</f>
        <v>2045.06</v>
      </c>
    </row>
    <row r="847">
      <c r="A847" s="12">
        <f>CMP!H849</f>
        <v>2044.81</v>
      </c>
      <c r="B847" s="12">
        <f>CMP!J849</f>
        <v>2044.36</v>
      </c>
    </row>
    <row r="848">
      <c r="A848" s="12">
        <f>CMP!H850</f>
        <v>2038.86</v>
      </c>
      <c r="B848" s="12">
        <f>CMP!J850</f>
        <v>2035.55</v>
      </c>
    </row>
    <row r="849">
      <c r="A849" s="12">
        <f>CMP!H851</f>
        <v>2027.88</v>
      </c>
      <c r="B849" s="12">
        <f>CMP!J851</f>
        <v>2055.95</v>
      </c>
    </row>
    <row r="850">
      <c r="A850" s="12">
        <f>CMP!H852</f>
        <v>2057.63</v>
      </c>
      <c r="B850" s="12">
        <f>CMP!J852</f>
        <v>2055.54</v>
      </c>
    </row>
    <row r="851">
      <c r="A851" s="12">
        <f>CMP!H853</f>
        <v>2059.12</v>
      </c>
      <c r="B851" s="12">
        <f>CMP!J853</f>
        <v>2068.63</v>
      </c>
    </row>
    <row r="852">
      <c r="A852" s="12">
        <f>CMP!H854</f>
        <v>2097.95</v>
      </c>
      <c r="B852" s="12">
        <f>CMP!J854</f>
        <v>2137.75</v>
      </c>
    </row>
    <row r="853">
      <c r="A853" s="12">
        <f>CMP!H855</f>
        <v>2152.94</v>
      </c>
      <c r="B853" s="12">
        <f>CMP!J855</f>
        <v>2225.55</v>
      </c>
    </row>
    <row r="854">
      <c r="A854" s="12">
        <f>CMP!H856</f>
        <v>2222.5</v>
      </c>
      <c r="B854" s="12">
        <f>CMP!J856</f>
        <v>2224.75</v>
      </c>
    </row>
    <row r="855">
      <c r="A855" s="12">
        <f>CMP!H857</f>
        <v>2226.13</v>
      </c>
      <c r="B855" s="12">
        <f>CMP!J857</f>
        <v>2249.68</v>
      </c>
    </row>
    <row r="856">
      <c r="A856" s="12">
        <f>CMP!H858</f>
        <v>2277.96</v>
      </c>
      <c r="B856" s="12">
        <f>CMP!J858</f>
        <v>2265.44</v>
      </c>
    </row>
    <row r="857">
      <c r="A857" s="12">
        <f>CMP!H859</f>
        <v>2256.7</v>
      </c>
      <c r="B857" s="12">
        <f>CMP!J859</f>
        <v>2285.88</v>
      </c>
    </row>
    <row r="858">
      <c r="A858" s="12">
        <f>CMP!H860</f>
        <v>2266.25</v>
      </c>
      <c r="B858" s="12">
        <f>CMP!J860</f>
        <v>2254.79</v>
      </c>
    </row>
    <row r="859">
      <c r="A859" s="12">
        <f>CMP!H861</f>
        <v>2261.47</v>
      </c>
      <c r="B859" s="12">
        <f>CMP!J861</f>
        <v>2267.27</v>
      </c>
    </row>
    <row r="860">
      <c r="A860" s="12">
        <f>CMP!H862</f>
        <v>2275.16</v>
      </c>
      <c r="B860" s="12">
        <f>CMP!J862</f>
        <v>2254.84</v>
      </c>
    </row>
    <row r="861">
      <c r="A861" s="12">
        <f>CMP!H863</f>
        <v>2276.98</v>
      </c>
      <c r="B861" s="12">
        <f>CMP!J863</f>
        <v>2296.66</v>
      </c>
    </row>
    <row r="862">
      <c r="A862" s="12">
        <f>CMP!H864</f>
        <v>2303</v>
      </c>
      <c r="B862" s="12">
        <f>CMP!J864</f>
        <v>2297.76</v>
      </c>
    </row>
    <row r="863">
      <c r="A863" s="12">
        <f>CMP!H865</f>
        <v>2291.98</v>
      </c>
      <c r="B863" s="12">
        <f>CMP!J865</f>
        <v>2302.4</v>
      </c>
    </row>
    <row r="864">
      <c r="A864" s="12">
        <f>CMP!H866</f>
        <v>2307.89</v>
      </c>
      <c r="B864" s="12">
        <f>CMP!J866</f>
        <v>2293.63</v>
      </c>
    </row>
    <row r="865">
      <c r="A865" s="12">
        <f>CMP!H867</f>
        <v>2285.25</v>
      </c>
      <c r="B865" s="12">
        <f>CMP!J867</f>
        <v>2293.29</v>
      </c>
    </row>
    <row r="866">
      <c r="A866" s="12">
        <f>CMP!H868</f>
        <v>2293.23</v>
      </c>
      <c r="B866" s="12">
        <f>CMP!J868</f>
        <v>2267.92</v>
      </c>
    </row>
    <row r="867">
      <c r="A867" s="12">
        <f>CMP!H869</f>
        <v>2283.47</v>
      </c>
      <c r="B867" s="12">
        <f>CMP!J869</f>
        <v>2315.3</v>
      </c>
    </row>
    <row r="868">
      <c r="A868" s="12">
        <f>CMP!H870</f>
        <v>2319.93</v>
      </c>
      <c r="B868" s="12">
        <f>CMP!J870</f>
        <v>2326.74</v>
      </c>
    </row>
    <row r="869">
      <c r="A869" s="12">
        <f>CMP!H871</f>
        <v>2336</v>
      </c>
      <c r="B869" s="12">
        <f>CMP!J871</f>
        <v>2307.12</v>
      </c>
    </row>
    <row r="870">
      <c r="A870" s="12">
        <f>CMP!H872</f>
        <v>2407.15</v>
      </c>
      <c r="B870" s="12">
        <f>CMP!J872</f>
        <v>2379.91</v>
      </c>
    </row>
    <row r="871">
      <c r="A871" s="12">
        <f>CMP!H873</f>
        <v>2410.33</v>
      </c>
      <c r="B871" s="12">
        <f>CMP!J873</f>
        <v>2429.89</v>
      </c>
    </row>
    <row r="872">
      <c r="A872" s="12">
        <f>CMP!H874</f>
        <v>2404.49</v>
      </c>
      <c r="B872" s="12">
        <f>CMP!J874</f>
        <v>2410.12</v>
      </c>
    </row>
    <row r="873">
      <c r="A873" s="12">
        <f>CMP!H875</f>
        <v>2402.72</v>
      </c>
      <c r="B873" s="12">
        <f>CMP!J875</f>
        <v>2395.17</v>
      </c>
    </row>
    <row r="874">
      <c r="A874" s="12">
        <f>CMP!H876</f>
        <v>2369.74</v>
      </c>
      <c r="B874" s="12">
        <f>CMP!J876</f>
        <v>2354.25</v>
      </c>
    </row>
    <row r="875">
      <c r="A875" s="12">
        <f>CMP!H877</f>
        <v>2368.42</v>
      </c>
      <c r="B875" s="12">
        <f>CMP!J877</f>
        <v>2356.74</v>
      </c>
    </row>
    <row r="876">
      <c r="A876" s="12">
        <f>CMP!H878</f>
        <v>2350.64</v>
      </c>
      <c r="B876" s="12">
        <f>CMP!J878</f>
        <v>2381.35</v>
      </c>
    </row>
    <row r="877">
      <c r="A877" s="12">
        <f>CMP!H879</f>
        <v>2400</v>
      </c>
      <c r="B877" s="12">
        <f>CMP!J879</f>
        <v>2398.69</v>
      </c>
    </row>
    <row r="878">
      <c r="A878" s="12">
        <f>CMP!H880</f>
        <v>2374.89</v>
      </c>
      <c r="B878" s="12">
        <f>CMP!J880</f>
        <v>2341.66</v>
      </c>
    </row>
    <row r="879">
      <c r="A879" s="12">
        <f>CMP!H881</f>
        <v>2291.86</v>
      </c>
      <c r="B879" s="12">
        <f>CMP!J881</f>
        <v>2308.76</v>
      </c>
    </row>
    <row r="880">
      <c r="A880" s="12">
        <f>CMP!H882</f>
        <v>2261.71</v>
      </c>
      <c r="B880" s="12">
        <f>CMP!J882</f>
        <v>2239.08</v>
      </c>
    </row>
    <row r="881">
      <c r="A881" s="12">
        <f>CMP!H883</f>
        <v>2261.09</v>
      </c>
      <c r="B881" s="12">
        <f>CMP!J883</f>
        <v>2261.97</v>
      </c>
    </row>
    <row r="882">
      <c r="A882" s="12">
        <f>CMP!H884</f>
        <v>2291.83</v>
      </c>
      <c r="B882" s="12">
        <f>CMP!J884</f>
        <v>2316.16</v>
      </c>
    </row>
    <row r="883">
      <c r="A883" s="12">
        <f>CMP!H885</f>
        <v>2309.32</v>
      </c>
      <c r="B883" s="12">
        <f>CMP!J885</f>
        <v>2321.41</v>
      </c>
    </row>
    <row r="884">
      <c r="A884" s="12">
        <f>CMP!H886</f>
        <v>2336.91</v>
      </c>
      <c r="B884" s="12">
        <f>CMP!J886</f>
        <v>2303.43</v>
      </c>
    </row>
    <row r="885">
      <c r="A885" s="12">
        <f>CMP!H887</f>
        <v>2264.4</v>
      </c>
      <c r="B885" s="12">
        <f>CMP!J887</f>
        <v>2308.71</v>
      </c>
    </row>
    <row r="886">
      <c r="A886" s="12">
        <f>CMP!H888</f>
        <v>2328.04</v>
      </c>
      <c r="B886" s="12">
        <f>CMP!J888</f>
        <v>2356.09</v>
      </c>
    </row>
    <row r="887">
      <c r="A887" s="12">
        <f>CMP!H889</f>
        <v>2365.99</v>
      </c>
      <c r="B887" s="12">
        <f>CMP!J889</f>
        <v>2345.1</v>
      </c>
    </row>
    <row r="888">
      <c r="A888" s="12">
        <f>CMP!H890</f>
        <v>2367</v>
      </c>
      <c r="B888" s="12">
        <f>CMP!J890</f>
        <v>2406.67</v>
      </c>
    </row>
    <row r="889">
      <c r="A889" s="12">
        <f>CMP!H891</f>
        <v>2420</v>
      </c>
      <c r="B889" s="12">
        <f>CMP!J891</f>
        <v>2409.07</v>
      </c>
    </row>
    <row r="890">
      <c r="A890" s="12">
        <f>CMP!H892</f>
        <v>2412.84</v>
      </c>
      <c r="B890" s="12">
        <f>CMP!J892</f>
        <v>2433.53</v>
      </c>
    </row>
    <row r="891">
      <c r="A891" s="12">
        <f>CMP!H893</f>
        <v>2436.94</v>
      </c>
      <c r="B891" s="12">
        <f>CMP!J893</f>
        <v>2402.51</v>
      </c>
    </row>
    <row r="892">
      <c r="A892" s="12">
        <f>CMP!H894</f>
        <v>2421.96</v>
      </c>
      <c r="B892" s="12">
        <f>CMP!J894</f>
        <v>2411.56</v>
      </c>
    </row>
    <row r="893">
      <c r="A893" s="12">
        <f>CMP!H895</f>
        <v>2422</v>
      </c>
      <c r="B893" s="12">
        <f>CMP!J895</f>
        <v>2429.81</v>
      </c>
    </row>
    <row r="894">
      <c r="A894" s="12">
        <f>CMP!H896</f>
        <v>2435.31</v>
      </c>
      <c r="B894" s="12">
        <f>CMP!J896</f>
        <v>2421.28</v>
      </c>
    </row>
    <row r="895">
      <c r="A895" s="12">
        <f>CMP!H897</f>
        <v>2395.02</v>
      </c>
      <c r="B895" s="12">
        <f>CMP!J897</f>
        <v>2404.61</v>
      </c>
    </row>
    <row r="896">
      <c r="A896" s="12">
        <f>CMP!H898</f>
        <v>2422.52</v>
      </c>
      <c r="B896" s="12">
        <f>CMP!J898</f>
        <v>2451.76</v>
      </c>
    </row>
    <row r="897">
      <c r="A897" s="12">
        <f>CMP!H899</f>
        <v>2451.32</v>
      </c>
      <c r="B897" s="12">
        <f>CMP!J899</f>
        <v>2466.09</v>
      </c>
    </row>
    <row r="898">
      <c r="A898" s="12">
        <f>CMP!H900</f>
        <v>2479.9</v>
      </c>
      <c r="B898" s="12">
        <f>CMP!J900</f>
        <v>2482.85</v>
      </c>
    </row>
    <row r="899">
      <c r="A899" s="12">
        <f>CMP!H901</f>
        <v>2499.5</v>
      </c>
      <c r="B899" s="12">
        <f>CMP!J901</f>
        <v>2491.4</v>
      </c>
    </row>
    <row r="900">
      <c r="A900" s="12">
        <f>CMP!H902</f>
        <v>2494.01</v>
      </c>
      <c r="B900" s="12">
        <f>CMP!J902</f>
        <v>2521.6</v>
      </c>
    </row>
    <row r="901">
      <c r="A901" s="12">
        <f>CMP!H903</f>
        <v>2524.92</v>
      </c>
      <c r="B901" s="12">
        <f>CMP!J903</f>
        <v>2513.93</v>
      </c>
    </row>
    <row r="902">
      <c r="A902" s="12">
        <f>CMP!H904</f>
        <v>2513.39</v>
      </c>
      <c r="B902" s="12">
        <f>CMP!J904</f>
        <v>2527.04</v>
      </c>
    </row>
    <row r="903">
      <c r="A903" s="12">
        <f>CMP!H905</f>
        <v>2530.44</v>
      </c>
      <c r="B903" s="12">
        <f>CMP!J905</f>
        <v>2520.66</v>
      </c>
    </row>
    <row r="904">
      <c r="A904" s="12">
        <f>CMP!H906</f>
        <v>2524.95</v>
      </c>
      <c r="B904" s="12">
        <f>CMP!J906</f>
        <v>2513.93</v>
      </c>
    </row>
    <row r="905">
      <c r="A905" s="12">
        <f>CMP!H907</f>
        <v>2510.46</v>
      </c>
      <c r="B905" s="12">
        <f>CMP!J907</f>
        <v>2527.42</v>
      </c>
    </row>
    <row r="906">
      <c r="A906" s="12">
        <f>CMP!H908</f>
        <v>2514.11</v>
      </c>
      <c r="B906" s="12">
        <f>CMP!J908</f>
        <v>2511.35</v>
      </c>
    </row>
    <row r="907">
      <c r="A907" s="12">
        <f>CMP!H909</f>
        <v>2514.8</v>
      </c>
      <c r="B907" s="12">
        <f>CMP!J909</f>
        <v>2529.1</v>
      </c>
    </row>
    <row r="908">
      <c r="A908" s="12">
        <f>CMP!H910</f>
        <v>2529</v>
      </c>
      <c r="B908" s="12">
        <f>CMP!J910</f>
        <v>2539.99</v>
      </c>
    </row>
    <row r="909">
      <c r="A909" s="12">
        <f>CMP!H911</f>
        <v>2531</v>
      </c>
      <c r="B909" s="12">
        <f>CMP!J911</f>
        <v>2529.23</v>
      </c>
    </row>
    <row r="910">
      <c r="A910" s="12">
        <f>CMP!H912</f>
        <v>2541.07</v>
      </c>
      <c r="B910" s="12">
        <f>CMP!J912</f>
        <v>2545.64</v>
      </c>
    </row>
    <row r="911">
      <c r="A911" s="12">
        <f>CMP!H913</f>
        <v>2539.14</v>
      </c>
      <c r="B911" s="12">
        <f>CMP!J913</f>
        <v>2539.9</v>
      </c>
    </row>
    <row r="912">
      <c r="A912" s="12">
        <f>CMP!H914</f>
        <v>2540</v>
      </c>
      <c r="B912" s="12">
        <f>CMP!J914</f>
        <v>2536.39</v>
      </c>
    </row>
    <row r="913">
      <c r="A913" s="12">
        <f>CMP!H915</f>
        <v>2535.45</v>
      </c>
      <c r="B913" s="12">
        <f>CMP!J915</f>
        <v>2520.37</v>
      </c>
    </row>
    <row r="914">
      <c r="A914" s="12">
        <f>CMP!H916</f>
        <v>2513.07</v>
      </c>
      <c r="B914" s="12">
        <f>CMP!J916</f>
        <v>2506.32</v>
      </c>
    </row>
    <row r="915">
      <c r="A915" s="12">
        <f>CMP!H917</f>
        <v>2497</v>
      </c>
      <c r="B915" s="12">
        <f>CMP!J917</f>
        <v>2527.37</v>
      </c>
    </row>
    <row r="916">
      <c r="A916" s="12">
        <f>CMP!H918</f>
        <v>2536.79</v>
      </c>
      <c r="B916" s="12">
        <f>CMP!J918</f>
        <v>2574.38</v>
      </c>
    </row>
    <row r="917">
      <c r="A917" s="12">
        <f>CMP!H919</f>
        <v>2588.99</v>
      </c>
      <c r="B917" s="12">
        <f>CMP!J919</f>
        <v>2595.42</v>
      </c>
    </row>
    <row r="918">
      <c r="A918" s="12">
        <f>CMP!H920</f>
        <v>2606.82</v>
      </c>
      <c r="B918" s="12">
        <f>CMP!J920</f>
        <v>2601.55</v>
      </c>
    </row>
    <row r="919">
      <c r="A919" s="12">
        <f>CMP!H921</f>
        <v>2565</v>
      </c>
      <c r="B919" s="12">
        <f>CMP!J921</f>
        <v>2583.54</v>
      </c>
    </row>
    <row r="920">
      <c r="A920" s="12">
        <f>CMP!H922</f>
        <v>2578.89</v>
      </c>
      <c r="B920" s="12">
        <f>CMP!J922</f>
        <v>2591.49</v>
      </c>
    </row>
    <row r="921">
      <c r="A921" s="12">
        <f>CMP!H923</f>
        <v>2596.67</v>
      </c>
      <c r="B921" s="12">
        <f>CMP!J923</f>
        <v>2611.28</v>
      </c>
    </row>
    <row r="922">
      <c r="A922" s="12">
        <f>CMP!H924</f>
        <v>2617.63</v>
      </c>
      <c r="B922" s="12">
        <f>CMP!J924</f>
        <v>2619.89</v>
      </c>
    </row>
    <row r="923">
      <c r="A923" s="12">
        <f>CMP!H925</f>
        <v>2638.03</v>
      </c>
      <c r="B923" s="12">
        <f>CMP!J925</f>
        <v>2641.65</v>
      </c>
    </row>
    <row r="924">
      <c r="A924" s="12">
        <f>CMP!H926</f>
        <v>2650</v>
      </c>
      <c r="B924" s="12">
        <f>CMP!J926</f>
        <v>2625.33</v>
      </c>
    </row>
    <row r="925">
      <c r="A925" s="12">
        <f>CMP!H927</f>
        <v>2632.82</v>
      </c>
      <c r="B925" s="12">
        <f>CMP!J927</f>
        <v>2636.91</v>
      </c>
    </row>
    <row r="926">
      <c r="A926" s="12">
        <f>CMP!H928</f>
        <v>2623.11</v>
      </c>
      <c r="B926" s="12">
        <f>CMP!J928</f>
        <v>2585.08</v>
      </c>
    </row>
    <row r="927">
      <c r="A927" s="12">
        <f>CMP!H929</f>
        <v>2600.08</v>
      </c>
      <c r="B927" s="12">
        <f>CMP!J929</f>
        <v>2622.03</v>
      </c>
    </row>
    <row r="928">
      <c r="A928" s="12">
        <f>CMP!H930</f>
        <v>2615.74</v>
      </c>
      <c r="B928" s="12">
        <f>CMP!J930</f>
        <v>2652.01</v>
      </c>
    </row>
    <row r="929">
      <c r="A929" s="12">
        <f>CMP!H931</f>
        <v>2653</v>
      </c>
      <c r="B929" s="12">
        <f>CMP!J931</f>
        <v>2666.57</v>
      </c>
    </row>
    <row r="930">
      <c r="A930" s="12">
        <f>CMP!H932</f>
        <v>2705.2</v>
      </c>
      <c r="B930" s="12">
        <f>CMP!J932</f>
        <v>2756.32</v>
      </c>
    </row>
    <row r="931">
      <c r="A931" s="12">
        <f>CMP!H933</f>
        <v>2765</v>
      </c>
      <c r="B931" s="12">
        <f>CMP!J933</f>
        <v>2792.89</v>
      </c>
    </row>
    <row r="932">
      <c r="A932" s="12">
        <f>CMP!H934</f>
        <v>2800.22</v>
      </c>
      <c r="B932" s="12">
        <f>CMP!J934</f>
        <v>2735.93</v>
      </c>
    </row>
    <row r="933">
      <c r="A933" s="12">
        <f>CMP!H935</f>
        <v>2771.24</v>
      </c>
      <c r="B933" s="12">
        <f>CMP!J935</f>
        <v>2727.63</v>
      </c>
    </row>
    <row r="934">
      <c r="A934" s="12">
        <f>CMP!H936</f>
        <v>2727.61</v>
      </c>
      <c r="B934" s="12">
        <f>CMP!J936</f>
        <v>2730.81</v>
      </c>
    </row>
    <row r="935">
      <c r="A935" s="12">
        <f>CMP!H937</f>
        <v>2710.22</v>
      </c>
      <c r="B935" s="12">
        <f>CMP!J937</f>
        <v>2704.42</v>
      </c>
    </row>
    <row r="936">
      <c r="A936" s="12">
        <f>CMP!H938</f>
        <v>2709.69</v>
      </c>
      <c r="B936" s="12">
        <f>CMP!J938</f>
        <v>2719.79</v>
      </c>
    </row>
    <row r="937">
      <c r="A937" s="12">
        <f>CMP!H939</f>
        <v>2720</v>
      </c>
      <c r="B937" s="12">
        <f>CMP!J939</f>
        <v>2725.6</v>
      </c>
    </row>
    <row r="938">
      <c r="A938" s="12">
        <f>CMP!H940</f>
        <v>2724.99</v>
      </c>
      <c r="B938" s="12">
        <f>CMP!J940</f>
        <v>2720.57</v>
      </c>
    </row>
    <row r="939">
      <c r="A939" s="12">
        <f>CMP!H941</f>
        <v>2720.57</v>
      </c>
      <c r="B939" s="12">
        <f>CMP!J941</f>
        <v>2738.8</v>
      </c>
    </row>
    <row r="940">
      <c r="A940" s="12">
        <f>CMP!H942</f>
        <v>2725.9</v>
      </c>
      <c r="B940" s="12">
        <f>CMP!J942</f>
        <v>2740.72</v>
      </c>
    </row>
    <row r="941">
      <c r="A941" s="12">
        <f>CMP!H943</f>
        <v>2738.98</v>
      </c>
      <c r="B941" s="12">
        <f>CMP!J943</f>
        <v>2760.04</v>
      </c>
    </row>
    <row r="942">
      <c r="A942" s="12">
        <f>CMP!H944</f>
        <v>2761.59</v>
      </c>
      <c r="B942" s="12">
        <f>CMP!J944</f>
        <v>2761.93</v>
      </c>
    </row>
    <row r="943">
      <c r="A943" s="12">
        <f>CMP!H945</f>
        <v>2765.66</v>
      </c>
      <c r="B943" s="12">
        <f>CMP!J945</f>
        <v>2753.79</v>
      </c>
    </row>
    <row r="944">
      <c r="A944" s="12">
        <f>CMP!H946</f>
        <v>2754.26</v>
      </c>
      <c r="B944" s="12">
        <f>CMP!J946</f>
        <v>2767.79</v>
      </c>
    </row>
    <row r="945">
      <c r="A945" s="12">
        <f>CMP!H947</f>
        <v>2767.15</v>
      </c>
      <c r="B945" s="12">
        <f>CMP!J947</f>
        <v>2768.12</v>
      </c>
    </row>
    <row r="946">
      <c r="A946" s="12">
        <f>CMP!H948</f>
        <v>2760</v>
      </c>
      <c r="B946" s="12">
        <f>CMP!J948</f>
        <v>2778.32</v>
      </c>
    </row>
    <row r="947">
      <c r="A947" s="12">
        <f>CMP!H949</f>
        <v>2763.82</v>
      </c>
      <c r="B947" s="12">
        <f>CMP!J949</f>
        <v>2746.01</v>
      </c>
    </row>
    <row r="948">
      <c r="A948" s="12">
        <f>CMP!H950</f>
        <v>2742.31</v>
      </c>
      <c r="B948" s="12">
        <f>CMP!J950</f>
        <v>2731.4</v>
      </c>
    </row>
    <row r="949">
      <c r="A949" s="12">
        <f>CMP!H951</f>
        <v>2709.35</v>
      </c>
      <c r="B949" s="12">
        <f>CMP!J951</f>
        <v>2738.27</v>
      </c>
    </row>
    <row r="950">
      <c r="A950" s="12">
        <f>CMP!H952</f>
        <v>2741.66</v>
      </c>
      <c r="B950" s="12">
        <f>CMP!J952</f>
        <v>2768.74</v>
      </c>
    </row>
    <row r="951">
      <c r="A951" s="12">
        <f>CMP!H953</f>
        <v>2779.97</v>
      </c>
      <c r="B951" s="12">
        <f>CMP!J953</f>
        <v>2821.99</v>
      </c>
    </row>
    <row r="952">
      <c r="A952" s="12">
        <f>CMP!H954</f>
        <v>2830.87</v>
      </c>
      <c r="B952" s="12">
        <f>CMP!J954</f>
        <v>2847.97</v>
      </c>
    </row>
    <row r="953">
      <c r="A953" s="12">
        <f>CMP!H955</f>
        <v>2857.66</v>
      </c>
      <c r="B953" s="12">
        <f>CMP!J955</f>
        <v>2859</v>
      </c>
    </row>
    <row r="954">
      <c r="A954" s="12">
        <f>CMP!H956</f>
        <v>2852.37</v>
      </c>
      <c r="B954" s="12">
        <f>CMP!J956</f>
        <v>2842.46</v>
      </c>
    </row>
    <row r="955">
      <c r="A955" s="12">
        <f>CMP!H957</f>
        <v>2842.25</v>
      </c>
      <c r="B955" s="12">
        <f>CMP!J957</f>
        <v>2891.01</v>
      </c>
    </row>
    <row r="956">
      <c r="A956" s="12">
        <f>CMP!H958</f>
        <v>2894.09</v>
      </c>
      <c r="B956" s="12">
        <f>CMP!J958</f>
        <v>2909.39</v>
      </c>
    </row>
    <row r="957">
      <c r="A957" s="12">
        <f>CMP!H959</f>
        <v>2917.69</v>
      </c>
      <c r="B957" s="12">
        <f>CMP!J959</f>
        <v>2909.24</v>
      </c>
    </row>
    <row r="958">
      <c r="A958" s="12">
        <f>CMP!H960</f>
        <v>2913</v>
      </c>
      <c r="B958" s="12">
        <f>CMP!J960</f>
        <v>2916.84</v>
      </c>
    </row>
    <row r="959">
      <c r="A959" s="12">
        <f>CMP!H961</f>
        <v>2918.99</v>
      </c>
      <c r="B959" s="12">
        <f>CMP!J961</f>
        <v>2884.38</v>
      </c>
    </row>
    <row r="960">
      <c r="A960" s="12">
        <f>CMP!H962</f>
        <v>2882.92</v>
      </c>
      <c r="B960" s="12">
        <f>CMP!J962</f>
        <v>2895.5</v>
      </c>
    </row>
    <row r="961">
      <c r="A961" s="12">
        <f>CMP!H963</f>
        <v>2894.99</v>
      </c>
      <c r="B961" s="12">
        <f>CMP!J963</f>
        <v>2910.38</v>
      </c>
    </row>
    <row r="962">
      <c r="A962" s="12">
        <f>CMP!H964</f>
        <v>2907.87</v>
      </c>
      <c r="B962" s="12">
        <f>CMP!J964</f>
        <v>2897.67</v>
      </c>
    </row>
    <row r="963">
      <c r="A963" s="12">
        <f>CMP!H965</f>
        <v>2897.67</v>
      </c>
      <c r="B963" s="12">
        <f>CMP!J965</f>
        <v>2898.27</v>
      </c>
    </row>
    <row r="964">
      <c r="A964" s="12">
        <f>CMP!H966</f>
        <v>2908.87</v>
      </c>
      <c r="B964" s="12">
        <f>CMP!J966</f>
        <v>2838.42</v>
      </c>
    </row>
    <row r="965">
      <c r="A965" s="12">
        <f>CMP!H967</f>
        <v>2864.02</v>
      </c>
      <c r="B965" s="12">
        <f>CMP!J967</f>
        <v>2869.3</v>
      </c>
    </row>
    <row r="966">
      <c r="A966" s="12">
        <f>CMP!H968</f>
        <v>2883.22</v>
      </c>
      <c r="B966" s="12">
        <f>CMP!J968</f>
        <v>2868.12</v>
      </c>
    </row>
    <row r="967">
      <c r="A967" s="12">
        <f>CMP!H969</f>
        <v>2875.18</v>
      </c>
      <c r="B967" s="12">
        <f>CMP!J969</f>
        <v>2904.12</v>
      </c>
    </row>
    <row r="968">
      <c r="A968" s="12">
        <f>CMP!H970</f>
        <v>2902.42</v>
      </c>
      <c r="B968" s="12">
        <f>CMP!J970</f>
        <v>2887.47</v>
      </c>
    </row>
    <row r="969">
      <c r="A969" s="12">
        <f>CMP!H971</f>
        <v>2875.97</v>
      </c>
      <c r="B969" s="12">
        <f>CMP!J971</f>
        <v>2829.27</v>
      </c>
    </row>
    <row r="970">
      <c r="A970" s="12">
        <f>CMP!H972</f>
        <v>2780</v>
      </c>
      <c r="B970" s="12">
        <f>CMP!J972</f>
        <v>2780.34</v>
      </c>
    </row>
    <row r="971">
      <c r="A971" s="12">
        <f>CMP!H973</f>
        <v>2802.34</v>
      </c>
      <c r="B971" s="12">
        <f>CMP!J973</f>
        <v>2792.93</v>
      </c>
    </row>
    <row r="972">
      <c r="A972" s="12">
        <f>CMP!H974</f>
        <v>2801.01</v>
      </c>
      <c r="B972" s="12">
        <f>CMP!J974</f>
        <v>2818.77</v>
      </c>
    </row>
    <row r="973">
      <c r="A973" s="12">
        <f>CMP!H975</f>
        <v>2832.19</v>
      </c>
      <c r="B973" s="12">
        <f>CMP!J975</f>
        <v>2836.53</v>
      </c>
    </row>
    <row r="974">
      <c r="A974" s="12">
        <f>CMP!H976</f>
        <v>2818.92</v>
      </c>
      <c r="B974" s="12">
        <f>CMP!J976</f>
        <v>2852.66</v>
      </c>
    </row>
    <row r="975">
      <c r="A975" s="12">
        <f>CMP!H977</f>
        <v>2831.71</v>
      </c>
      <c r="B975" s="12">
        <f>CMP!J977</f>
        <v>2830.02</v>
      </c>
    </row>
    <row r="976">
      <c r="A976" s="12">
        <f>CMP!H978</f>
        <v>2781.77</v>
      </c>
      <c r="B976" s="12">
        <f>CMP!J978</f>
        <v>2723.68</v>
      </c>
    </row>
    <row r="977">
      <c r="A977" s="12">
        <f>CMP!H979</f>
        <v>2742.19</v>
      </c>
      <c r="B977" s="12">
        <f>CMP!J979</f>
        <v>2690.42</v>
      </c>
    </row>
    <row r="978">
      <c r="A978" s="12">
        <f>CMP!H980</f>
        <v>2686.5</v>
      </c>
      <c r="B978" s="12">
        <f>CMP!J980</f>
        <v>2665.31</v>
      </c>
    </row>
    <row r="979">
      <c r="A979" s="12">
        <f>CMP!H981</f>
        <v>2671.09</v>
      </c>
      <c r="B979" s="12">
        <f>CMP!J981</f>
        <v>2729.25</v>
      </c>
    </row>
    <row r="980">
      <c r="A980" s="12">
        <f>CMP!H982</f>
        <v>2713.99</v>
      </c>
      <c r="B980" s="12">
        <f>CMP!J982</f>
        <v>2675.3</v>
      </c>
    </row>
    <row r="981">
      <c r="A981" s="12">
        <f>CMP!H983</f>
        <v>2680</v>
      </c>
      <c r="B981" s="12">
        <f>CMP!J983</f>
        <v>2723.54</v>
      </c>
    </row>
    <row r="982">
      <c r="A982" s="12">
        <f>CMP!H984</f>
        <v>2692.51</v>
      </c>
      <c r="B982" s="12">
        <f>CMP!J984</f>
        <v>2747.08</v>
      </c>
    </row>
    <row r="983">
      <c r="A983" s="12">
        <f>CMP!H985</f>
        <v>2777.26</v>
      </c>
      <c r="B983" s="12">
        <f>CMP!J985</f>
        <v>2783.71</v>
      </c>
    </row>
    <row r="984">
      <c r="A984" s="12">
        <f>CMP!H986</f>
        <v>2798.12</v>
      </c>
      <c r="B984" s="12">
        <f>CMP!J986</f>
        <v>2801.12</v>
      </c>
    </row>
    <row r="985">
      <c r="A985" s="12">
        <f>CMP!H987</f>
        <v>2796</v>
      </c>
      <c r="B985" s="12">
        <f>CMP!J987</f>
        <v>2776.95</v>
      </c>
    </row>
    <row r="986">
      <c r="A986" s="12">
        <f>CMP!H988</f>
        <v>2792.75</v>
      </c>
      <c r="B986" s="12">
        <f>CMP!J988</f>
        <v>2734.26</v>
      </c>
    </row>
    <row r="987">
      <c r="A987" s="12">
        <f>CMP!H989</f>
        <v>2755</v>
      </c>
      <c r="B987" s="12">
        <f>CMP!J989</f>
        <v>2758</v>
      </c>
    </row>
    <row r="988">
      <c r="A988" s="12">
        <f>CMP!H990</f>
        <v>2799.04</v>
      </c>
      <c r="B988" s="12">
        <f>CMP!J990</f>
        <v>2828.24</v>
      </c>
    </row>
    <row r="989">
      <c r="A989" s="12">
        <f>CMP!H991</f>
        <v>2844</v>
      </c>
      <c r="B989" s="12">
        <f>CMP!J991</f>
        <v>2833.5</v>
      </c>
    </row>
    <row r="990">
      <c r="A990" s="12">
        <f>CMP!H992</f>
        <v>2824.27</v>
      </c>
      <c r="B990" s="12">
        <f>CMP!J992</f>
        <v>2859.21</v>
      </c>
    </row>
    <row r="991">
      <c r="A991" s="12">
        <f>CMP!H993</f>
        <v>2865.83</v>
      </c>
      <c r="B991" s="12">
        <f>CMP!J993</f>
        <v>2876.44</v>
      </c>
    </row>
    <row r="992">
      <c r="A992" s="12">
        <f>CMP!H994</f>
        <v>2884.45</v>
      </c>
      <c r="B992" s="12">
        <f>CMP!J994</f>
        <v>2848.3</v>
      </c>
    </row>
    <row r="993">
      <c r="A993" s="12">
        <f>CMP!H995</f>
        <v>2843.84</v>
      </c>
      <c r="B993" s="12">
        <f>CMP!J995</f>
        <v>2855.61</v>
      </c>
    </row>
    <row r="994">
      <c r="A994" s="12">
        <f>CMP!H996</f>
        <v>2807.02</v>
      </c>
      <c r="B994" s="12">
        <f>CMP!J996</f>
        <v>2772.5</v>
      </c>
    </row>
    <row r="995">
      <c r="A995" s="12">
        <f>CMP!H997</f>
        <v>2776.21</v>
      </c>
      <c r="B995" s="12">
        <f>CMP!J997</f>
        <v>2775.46</v>
      </c>
    </row>
    <row r="996">
      <c r="A996" s="12">
        <f>CMP!H998</f>
        <v>2812.12</v>
      </c>
      <c r="B996" s="12">
        <f>CMP!J998</f>
        <v>2793.44</v>
      </c>
    </row>
    <row r="997">
      <c r="A997" s="12">
        <f>CMP!H999</f>
        <v>2798.05</v>
      </c>
      <c r="B997" s="12">
        <f>CMP!J999</f>
        <v>2928.55</v>
      </c>
    </row>
    <row r="998">
      <c r="A998" s="12">
        <f>CMP!H1000</f>
        <v>2945.98</v>
      </c>
      <c r="B998" s="12">
        <f>CMP!J1000</f>
        <v>2922.58</v>
      </c>
    </row>
    <row r="999">
      <c r="A999" s="12">
        <f>CMP!H1001</f>
        <v>2910.4</v>
      </c>
      <c r="B999" s="12">
        <f>CMP!J1001</f>
        <v>2965.41</v>
      </c>
    </row>
    <row r="1000">
      <c r="A1000" s="12">
        <f>CMP!H1002</f>
        <v>2963.3</v>
      </c>
      <c r="B1000" s="12">
        <f>CMP!J1002</f>
        <v>2875.48</v>
      </c>
    </row>
    <row r="1001">
      <c r="A1001" s="12">
        <f>CMP!H1003</f>
        <v>2896.19</v>
      </c>
      <c r="B1001" s="12">
        <f>CMP!J1003</f>
        <v>2917.26</v>
      </c>
    </row>
    <row r="1002">
      <c r="A1002" s="12">
        <f>CMP!H1004</f>
        <v>2925.5</v>
      </c>
      <c r="B1002" s="12">
        <f>CMP!J1004</f>
        <v>2935.8</v>
      </c>
    </row>
    <row r="1003">
      <c r="A1003" s="12">
        <f>CMP!H1005</f>
        <v>2944</v>
      </c>
      <c r="B1003" s="12">
        <f>CMP!J1005</f>
        <v>2973.66</v>
      </c>
    </row>
    <row r="1004">
      <c r="A1004" s="12">
        <f>CMP!H1006</f>
        <v>2987.07</v>
      </c>
      <c r="B1004" s="12">
        <f>CMP!J1006</f>
        <v>2984.82</v>
      </c>
    </row>
    <row r="1005">
      <c r="A1005" s="12">
        <f>CMP!H1007</f>
        <v>3000</v>
      </c>
      <c r="B1005" s="12">
        <f>CMP!J1007</f>
        <v>2987.03</v>
      </c>
    </row>
    <row r="1006">
      <c r="A1006" s="12">
        <f>CMP!H1008</f>
        <v>2994.92</v>
      </c>
      <c r="B1006" s="12">
        <f>CMP!J1008</f>
        <v>2984.97</v>
      </c>
    </row>
    <row r="1007">
      <c r="A1007" s="12">
        <f>CMP!H1009</f>
        <v>2960.2</v>
      </c>
      <c r="B1007" s="12">
        <f>CMP!J1009</f>
        <v>2932.52</v>
      </c>
    </row>
    <row r="1008">
      <c r="A1008" s="12">
        <f>CMP!H1010</f>
        <v>2942.14</v>
      </c>
      <c r="B1008" s="12">
        <f>CMP!J1010</f>
        <v>2934.96</v>
      </c>
    </row>
    <row r="1009">
      <c r="A1009" s="12">
        <f>CMP!H1011</f>
        <v>2956.63</v>
      </c>
      <c r="B1009" s="12">
        <f>CMP!J1011</f>
        <v>2992.91</v>
      </c>
    </row>
    <row r="1010">
      <c r="A1010" s="12">
        <f>CMP!H1012</f>
        <v>3000</v>
      </c>
      <c r="B1010" s="12">
        <f>CMP!J1012</f>
        <v>2987.76</v>
      </c>
    </row>
    <row r="1011">
      <c r="A1011" s="12">
        <f>CMP!H1013</f>
        <v>2983.41</v>
      </c>
      <c r="B1011" s="12">
        <f>CMP!J1013</f>
        <v>2981.52</v>
      </c>
    </row>
    <row r="1012">
      <c r="A1012" s="12">
        <f>CMP!H1014</f>
        <v>2984.58</v>
      </c>
      <c r="B1012" s="12">
        <f>CMP!J1014</f>
        <v>2981.24</v>
      </c>
    </row>
    <row r="1013">
      <c r="A1013" s="12">
        <f>CMP!H1015</f>
        <v>2982.92</v>
      </c>
      <c r="B1013" s="12">
        <f>CMP!J1015</f>
        <v>3014.18</v>
      </c>
    </row>
    <row r="1014">
      <c r="A1014" s="12">
        <f>CMP!H1016</f>
        <v>3020</v>
      </c>
      <c r="B1014" s="12">
        <f>CMP!J1016</f>
        <v>2999.05</v>
      </c>
    </row>
    <row r="1015">
      <c r="A1015" s="12">
        <f>CMP!H1017</f>
        <v>3002.84</v>
      </c>
      <c r="B1015" s="12">
        <f>CMP!J1017</f>
        <v>2941.57</v>
      </c>
    </row>
    <row r="1016">
      <c r="A1016" s="12">
        <f>CMP!H1018</f>
        <v>2942.26</v>
      </c>
      <c r="B1016" s="12">
        <f>CMP!J1018</f>
        <v>2935.14</v>
      </c>
    </row>
    <row r="1017">
      <c r="A1017" s="12">
        <f>CMP!H1019</f>
        <v>2927</v>
      </c>
      <c r="B1017" s="12">
        <f>CMP!J1019</f>
        <v>2934.35</v>
      </c>
    </row>
    <row r="1018">
      <c r="A1018" s="12">
        <f>CMP!H1020</f>
        <v>2900.31</v>
      </c>
      <c r="B1018" s="12">
        <f>CMP!J1020</f>
        <v>2856.12</v>
      </c>
    </row>
    <row r="1019">
      <c r="A1019" s="12">
        <f>CMP!H1021</f>
        <v>2885.97</v>
      </c>
      <c r="B1019" s="12">
        <f>CMP!J1021</f>
        <v>2922.28</v>
      </c>
    </row>
    <row r="1020">
      <c r="A1020" s="12">
        <f>CMP!H1022</f>
        <v>2909.01</v>
      </c>
      <c r="B1020" s="12">
        <f>CMP!J1022</f>
        <v>2849.04</v>
      </c>
    </row>
    <row r="1021">
      <c r="A1021" s="12">
        <f>CMP!H1023</f>
        <v>2884.25</v>
      </c>
      <c r="B1021" s="12">
        <f>CMP!J1023</f>
        <v>2832.36</v>
      </c>
    </row>
    <row r="1022">
      <c r="A1022" s="12">
        <f>CMP!H1024</f>
        <v>2836.48</v>
      </c>
      <c r="B1022" s="12">
        <f>CMP!J1024</f>
        <v>2875.53</v>
      </c>
    </row>
    <row r="1023">
      <c r="A1023" s="12">
        <f>CMP!H1025</f>
        <v>2889.91</v>
      </c>
      <c r="B1023" s="12">
        <f>CMP!J1025</f>
        <v>2850.41</v>
      </c>
    </row>
    <row r="1024">
      <c r="A1024" s="12">
        <f>CMP!H1026</f>
        <v>2871.48</v>
      </c>
      <c r="B1024" s="12">
        <f>CMP!J1026</f>
        <v>2875.93</v>
      </c>
    </row>
    <row r="1025">
      <c r="A1025" s="12">
        <f>CMP!H1027</f>
        <v>2919</v>
      </c>
      <c r="B1025" s="12">
        <f>CMP!J1027</f>
        <v>2960.73</v>
      </c>
    </row>
    <row r="1026">
      <c r="A1026" s="12">
        <f>CMP!H1028</f>
        <v>2966.63</v>
      </c>
      <c r="B1026" s="12">
        <f>CMP!J1028</f>
        <v>2974.41</v>
      </c>
    </row>
    <row r="1027">
      <c r="A1027" s="12">
        <f>CMP!H1029</f>
        <v>2963.52</v>
      </c>
      <c r="B1027" s="12">
        <f>CMP!J1029</f>
        <v>2962.12</v>
      </c>
    </row>
    <row r="1028">
      <c r="A1028" s="12">
        <f>CMP!H1030</f>
        <v>2982</v>
      </c>
      <c r="B1028" s="12">
        <f>CMP!J1030</f>
        <v>2973.5</v>
      </c>
    </row>
    <row r="1029">
      <c r="A1029" s="12">
        <f>CMP!H1031</f>
        <v>2968.88</v>
      </c>
      <c r="B1029" s="12">
        <f>CMP!J1031</f>
        <v>2934.09</v>
      </c>
    </row>
    <row r="1030">
      <c r="A1030" s="12">
        <f>CMP!H1032</f>
        <v>2895.4</v>
      </c>
      <c r="B1030" s="12">
        <f>CMP!J1032</f>
        <v>2899.41</v>
      </c>
    </row>
    <row r="1031">
      <c r="A1031" s="12">
        <f>CMP!H1033</f>
        <v>2887.32</v>
      </c>
      <c r="B1031" s="12">
        <f>CMP!J1033</f>
        <v>2947.37</v>
      </c>
    </row>
    <row r="1032">
      <c r="A1032" s="12">
        <f>CMP!H1034</f>
        <v>2961.54</v>
      </c>
      <c r="B1032" s="12">
        <f>CMP!J1034</f>
        <v>2896.77</v>
      </c>
    </row>
    <row r="1033">
      <c r="A1033" s="12">
        <f>CMP!H1035</f>
        <v>2854.29</v>
      </c>
      <c r="B1033" s="12">
        <f>CMP!J1035</f>
        <v>2856.06</v>
      </c>
    </row>
    <row r="1034">
      <c r="A1034" s="12" t="str">
        <f>CMP!H1036</f>
        <v/>
      </c>
      <c r="B1034" s="12" t="str">
        <f>CMP!J1036</f>
        <v/>
      </c>
    </row>
    <row r="1035">
      <c r="A1035" s="12" t="str">
        <f>CMP!H1037</f>
        <v/>
      </c>
    </row>
    <row r="1036">
      <c r="A1036" s="12" t="str">
        <f>CMP!H1038</f>
        <v/>
      </c>
    </row>
    <row r="1037">
      <c r="A1037" s="12" t="str">
        <f>CMP!H1039</f>
        <v/>
      </c>
    </row>
    <row r="1038">
      <c r="A1038" s="12" t="str">
        <f>CMP!H1040</f>
        <v/>
      </c>
    </row>
    <row r="1039">
      <c r="A1039" s="12" t="str">
        <f>CMP!H1041</f>
        <v/>
      </c>
    </row>
    <row r="1040">
      <c r="A1040" s="12" t="str">
        <f>CMP!H1042</f>
        <v/>
      </c>
    </row>
    <row r="1041">
      <c r="A1041" s="12" t="str">
        <f>CMP!H1043</f>
        <v/>
      </c>
    </row>
    <row r="1042">
      <c r="A1042" s="12" t="str">
        <f>CMP!H1044</f>
        <v/>
      </c>
    </row>
    <row r="1043">
      <c r="A1043" s="12" t="str">
        <f>CMP!H1045</f>
        <v/>
      </c>
    </row>
    <row r="1044">
      <c r="A1044" s="12" t="str">
        <f>CMP!H1046</f>
        <v/>
      </c>
    </row>
    <row r="1045">
      <c r="A1045" s="12" t="str">
        <f>CMP!H1047</f>
        <v/>
      </c>
    </row>
    <row r="1046">
      <c r="A1046" s="12" t="str">
        <f>CMP!H1048</f>
        <v/>
      </c>
    </row>
    <row r="1047">
      <c r="A1047" s="12" t="str">
        <f>CMP!H1049</f>
        <v/>
      </c>
    </row>
    <row r="1048">
      <c r="A1048" s="12" t="str">
        <f>CMP!H1050</f>
        <v/>
      </c>
    </row>
    <row r="1049">
      <c r="A1049" s="12" t="str">
        <f>CMP!H1051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CMP!M4</f>
        <v>43.38</v>
      </c>
      <c r="B2" s="12">
        <f>CMP!O4</f>
        <v>43.49</v>
      </c>
    </row>
    <row r="3">
      <c r="A3" s="12">
        <f>CMP!M5</f>
        <v>161.12</v>
      </c>
      <c r="B3" s="12">
        <f>CMP!O5</f>
        <v>161.41</v>
      </c>
    </row>
    <row r="4">
      <c r="A4" s="12">
        <f>CMP!M6</f>
        <v>160.75</v>
      </c>
      <c r="B4" s="12">
        <f>CMP!O6</f>
        <v>161.94</v>
      </c>
    </row>
    <row r="5">
      <c r="A5" s="12">
        <f>CMP!M7</f>
        <v>159.57</v>
      </c>
      <c r="B5" s="12">
        <f>CMP!O7</f>
        <v>156.81</v>
      </c>
    </row>
    <row r="6">
      <c r="A6" s="12">
        <f>CMP!M8</f>
        <v>159.37</v>
      </c>
      <c r="B6" s="12">
        <f>CMP!O8</f>
        <v>160.24</v>
      </c>
    </row>
    <row r="7">
      <c r="A7" s="12">
        <f>CMP!M9</f>
        <v>159.99</v>
      </c>
      <c r="B7" s="12">
        <f>CMP!O9</f>
        <v>165.3</v>
      </c>
    </row>
    <row r="8">
      <c r="A8" s="12">
        <f>CMP!M10</f>
        <v>167.48</v>
      </c>
      <c r="B8" s="12">
        <f>CMP!O10</f>
        <v>164.77</v>
      </c>
    </row>
    <row r="9">
      <c r="A9" s="12">
        <f>CMP!M11</f>
        <v>158.74</v>
      </c>
      <c r="B9" s="12">
        <f>CMP!O11</f>
        <v>163.76</v>
      </c>
    </row>
    <row r="10">
      <c r="A10" s="12">
        <f>CMP!M12</f>
        <v>164.02</v>
      </c>
      <c r="B10" s="12">
        <f>CMP!O12</f>
        <v>161.84</v>
      </c>
    </row>
    <row r="11">
      <c r="A11" s="12">
        <f>CMP!M13</f>
        <v>164.29</v>
      </c>
      <c r="B11" s="12">
        <f>CMP!O13</f>
        <v>165.32</v>
      </c>
    </row>
    <row r="12">
      <c r="A12" s="12">
        <f>CMP!M14</f>
        <v>169.08</v>
      </c>
      <c r="B12" s="12">
        <f>CMP!O14</f>
        <v>171.18</v>
      </c>
    </row>
    <row r="13">
      <c r="A13" s="12">
        <f>CMP!M15</f>
        <v>172.13</v>
      </c>
      <c r="B13" s="12">
        <f>CMP!O15</f>
        <v>175.08</v>
      </c>
    </row>
    <row r="14">
      <c r="A14" s="12">
        <f>CMP!M16</f>
        <v>174.91</v>
      </c>
      <c r="B14" s="12">
        <f>CMP!O16</f>
        <v>174.56</v>
      </c>
    </row>
    <row r="15">
      <c r="A15" s="12">
        <f>CMP!M17</f>
        <v>175.21</v>
      </c>
      <c r="B15" s="12">
        <f>CMP!O17</f>
        <v>179.45</v>
      </c>
    </row>
    <row r="16">
      <c r="A16" s="12">
        <f>CMP!M18</f>
        <v>181.12</v>
      </c>
      <c r="B16" s="12">
        <f>CMP!O18</f>
        <v>175.74</v>
      </c>
    </row>
    <row r="17">
      <c r="A17" s="12">
        <f>CMP!M19</f>
        <v>175.25</v>
      </c>
      <c r="B17" s="12">
        <f>CMP!O19</f>
        <v>174.33</v>
      </c>
    </row>
    <row r="18">
      <c r="A18" s="12">
        <f>CMP!M20</f>
        <v>175.11</v>
      </c>
      <c r="B18" s="12">
        <f>CMP!O20</f>
        <v>179.3</v>
      </c>
    </row>
    <row r="19">
      <c r="A19" s="12">
        <f>CMP!M21</f>
        <v>179.28</v>
      </c>
      <c r="B19" s="12">
        <f>CMP!O21</f>
        <v>172.26</v>
      </c>
    </row>
    <row r="20">
      <c r="A20" s="12">
        <f>CMP!M22</f>
        <v>42.62</v>
      </c>
      <c r="B20" s="12">
        <f>CMP!O22</f>
        <v>42.34</v>
      </c>
    </row>
    <row r="21">
      <c r="A21" s="12">
        <f>CMP!M23</f>
        <v>42.3</v>
      </c>
      <c r="B21" s="12">
        <f>CMP!O23</f>
        <v>43.17</v>
      </c>
    </row>
    <row r="22">
      <c r="A22" s="12">
        <f>CMP!M24</f>
        <v>43.04</v>
      </c>
      <c r="B22" s="12">
        <f>CMP!O24</f>
        <v>42.93</v>
      </c>
    </row>
    <row r="23">
      <c r="A23" s="12">
        <f>CMP!M25</f>
        <v>43.13</v>
      </c>
      <c r="B23" s="12">
        <f>CMP!O25</f>
        <v>43.07</v>
      </c>
    </row>
    <row r="24">
      <c r="A24" s="12">
        <f>CMP!M26</f>
        <v>43.1</v>
      </c>
      <c r="B24" s="12">
        <f>CMP!O26</f>
        <v>43.06</v>
      </c>
    </row>
    <row r="25">
      <c r="A25" s="12">
        <f>CMP!M27</f>
        <v>43.41</v>
      </c>
      <c r="B25" s="12">
        <f>CMP!O27</f>
        <v>43.49</v>
      </c>
    </row>
    <row r="26">
      <c r="A26" s="12">
        <f>CMP!M28</f>
        <v>43.72</v>
      </c>
      <c r="B26" s="12">
        <f>CMP!O28</f>
        <v>44.11</v>
      </c>
    </row>
    <row r="27">
      <c r="A27" s="12">
        <f>CMP!M29</f>
        <v>43.76</v>
      </c>
      <c r="B27" s="12">
        <f>CMP!O29</f>
        <v>43.64</v>
      </c>
    </row>
    <row r="28">
      <c r="A28" s="12">
        <f>CMP!M30</f>
        <v>43.72</v>
      </c>
      <c r="B28" s="12">
        <f>CMP!O30</f>
        <v>43.59</v>
      </c>
    </row>
    <row r="29">
      <c r="A29" s="12">
        <f>CMP!M31</f>
        <v>43.54</v>
      </c>
      <c r="B29" s="12">
        <f>CMP!O31</f>
        <v>43.75</v>
      </c>
    </row>
    <row r="30">
      <c r="A30" s="12">
        <f>CMP!M32</f>
        <v>43.67</v>
      </c>
      <c r="B30" s="12">
        <f>CMP!O32</f>
        <v>43.75</v>
      </c>
    </row>
    <row r="31">
      <c r="A31" s="12">
        <f>CMP!M33</f>
        <v>42.7</v>
      </c>
      <c r="B31" s="12">
        <f>CMP!O33</f>
        <v>42.64</v>
      </c>
    </row>
    <row r="32">
      <c r="A32" s="12">
        <f>CMP!M34</f>
        <v>42.53</v>
      </c>
      <c r="B32" s="12">
        <f>CMP!O34</f>
        <v>42.65</v>
      </c>
    </row>
    <row r="33">
      <c r="A33" s="12">
        <f>CMP!M35</f>
        <v>42.75</v>
      </c>
      <c r="B33" s="12">
        <f>CMP!O35</f>
        <v>42.77</v>
      </c>
    </row>
    <row r="34">
      <c r="A34" s="12">
        <f>CMP!M36</f>
        <v>42.63</v>
      </c>
      <c r="B34" s="12">
        <f>CMP!O36</f>
        <v>42.31</v>
      </c>
    </row>
    <row r="35">
      <c r="A35" s="12">
        <f>CMP!M37</f>
        <v>42.54</v>
      </c>
      <c r="B35" s="12">
        <f>CMP!O37</f>
        <v>43.07</v>
      </c>
    </row>
    <row r="36">
      <c r="A36" s="12">
        <f>CMP!M38</f>
        <v>43.13</v>
      </c>
      <c r="B36" s="12">
        <f>CMP!O38</f>
        <v>43.06</v>
      </c>
    </row>
    <row r="37">
      <c r="A37" s="12">
        <f>CMP!M39</f>
        <v>43.14</v>
      </c>
      <c r="B37" s="12">
        <f>CMP!O39</f>
        <v>43.26</v>
      </c>
    </row>
    <row r="38">
      <c r="A38" s="12">
        <f>CMP!M40</f>
        <v>43.36</v>
      </c>
      <c r="B38" s="12">
        <f>CMP!O40</f>
        <v>43.75</v>
      </c>
    </row>
    <row r="39">
      <c r="A39" s="12">
        <f>CMP!M41</f>
        <v>43.59</v>
      </c>
      <c r="B39" s="12">
        <f>CMP!O41</f>
        <v>43.59</v>
      </c>
    </row>
    <row r="40">
      <c r="A40" s="12">
        <f>CMP!M42</f>
        <v>43.64</v>
      </c>
      <c r="B40" s="12">
        <f>CMP!O42</f>
        <v>43.58</v>
      </c>
    </row>
    <row r="41">
      <c r="A41" s="12">
        <f>CMP!M43</f>
        <v>43.29</v>
      </c>
      <c r="B41" s="12">
        <f>CMP!O43</f>
        <v>43.57</v>
      </c>
    </row>
    <row r="42">
      <c r="A42" s="12">
        <f>CMP!M44</f>
        <v>43.65</v>
      </c>
      <c r="B42" s="12">
        <f>CMP!O44</f>
        <v>43.82</v>
      </c>
    </row>
    <row r="43">
      <c r="A43" s="12">
        <f>CMP!M45</f>
        <v>44.05</v>
      </c>
      <c r="B43" s="12">
        <f>CMP!O45</f>
        <v>44.27</v>
      </c>
    </row>
    <row r="44">
      <c r="A44" s="12">
        <f>CMP!M46</f>
        <v>44.48</v>
      </c>
      <c r="B44" s="12">
        <f>CMP!O46</f>
        <v>44.05</v>
      </c>
    </row>
    <row r="45">
      <c r="A45" s="12">
        <f>CMP!M47</f>
        <v>44.04</v>
      </c>
      <c r="B45" s="12">
        <f>CMP!O47</f>
        <v>44.78</v>
      </c>
    </row>
    <row r="46">
      <c r="A46" s="12">
        <f>CMP!M48</f>
        <v>44.84</v>
      </c>
      <c r="B46" s="12">
        <f>CMP!O48</f>
        <v>44.82</v>
      </c>
    </row>
    <row r="47">
      <c r="A47" s="12">
        <f>CMP!M49</f>
        <v>44.65</v>
      </c>
      <c r="B47" s="12">
        <f>CMP!O49</f>
        <v>44.62</v>
      </c>
    </row>
    <row r="48">
      <c r="A48" s="12">
        <f>CMP!M50</f>
        <v>44.33</v>
      </c>
      <c r="B48" s="12">
        <f>CMP!O50</f>
        <v>44.25</v>
      </c>
    </row>
    <row r="49">
      <c r="A49" s="12">
        <f>CMP!M51</f>
        <v>44.33</v>
      </c>
      <c r="B49" s="12">
        <f>CMP!O51</f>
        <v>44.26</v>
      </c>
    </row>
    <row r="50">
      <c r="A50" s="12">
        <f>CMP!M52</f>
        <v>44.31</v>
      </c>
      <c r="B50" s="12">
        <f>CMP!O52</f>
        <v>43.56</v>
      </c>
    </row>
    <row r="51">
      <c r="A51" s="12">
        <f>CMP!M53</f>
        <v>43.63</v>
      </c>
      <c r="B51" s="12">
        <f>CMP!O53</f>
        <v>42.78</v>
      </c>
    </row>
    <row r="52">
      <c r="A52" s="12">
        <f>CMP!M54</f>
        <v>43</v>
      </c>
      <c r="B52" s="12">
        <f>CMP!O54</f>
        <v>42.88</v>
      </c>
    </row>
    <row r="53">
      <c r="A53" s="12">
        <f>CMP!M55</f>
        <v>42.54</v>
      </c>
      <c r="B53" s="12">
        <f>CMP!O55</f>
        <v>41.99</v>
      </c>
    </row>
    <row r="54">
      <c r="A54" s="12">
        <f>CMP!M56</f>
        <v>41.38</v>
      </c>
      <c r="B54" s="12">
        <f>CMP!O56</f>
        <v>41.74</v>
      </c>
    </row>
    <row r="55">
      <c r="A55" s="12">
        <f>CMP!M57</f>
        <v>41.72</v>
      </c>
      <c r="B55" s="12">
        <f>CMP!O57</f>
        <v>41.86</v>
      </c>
    </row>
    <row r="56">
      <c r="A56" s="12">
        <f>CMP!M58</f>
        <v>41.79</v>
      </c>
      <c r="B56" s="12">
        <f>CMP!O58</f>
        <v>41.95</v>
      </c>
    </row>
    <row r="57">
      <c r="A57" s="12">
        <f>CMP!M59</f>
        <v>41.5</v>
      </c>
      <c r="B57" s="12">
        <f>CMP!O59</f>
        <v>40.13</v>
      </c>
    </row>
    <row r="58">
      <c r="A58" s="12">
        <f>CMP!M60</f>
        <v>39.78</v>
      </c>
      <c r="B58" s="12">
        <f>CMP!O60</f>
        <v>39.12</v>
      </c>
    </row>
    <row r="59">
      <c r="A59" s="12">
        <f>CMP!M61</f>
        <v>38.71</v>
      </c>
      <c r="B59" s="12">
        <f>CMP!O61</f>
        <v>40.76</v>
      </c>
    </row>
    <row r="60">
      <c r="A60" s="12">
        <f>CMP!M62</f>
        <v>40.77</v>
      </c>
      <c r="B60" s="12">
        <f>CMP!O62</f>
        <v>39.89</v>
      </c>
    </row>
    <row r="61">
      <c r="A61" s="12">
        <f>CMP!M63</f>
        <v>40.07</v>
      </c>
      <c r="B61" s="12">
        <f>CMP!O63</f>
        <v>38.79</v>
      </c>
    </row>
    <row r="62">
      <c r="A62" s="12">
        <f>CMP!M64</f>
        <v>39.27</v>
      </c>
      <c r="B62" s="12">
        <f>CMP!O64</f>
        <v>39.1</v>
      </c>
    </row>
    <row r="63">
      <c r="A63" s="12">
        <f>CMP!M65</f>
        <v>39.63</v>
      </c>
      <c r="B63" s="12">
        <f>CMP!O65</f>
        <v>40.68</v>
      </c>
    </row>
    <row r="64">
      <c r="A64" s="12">
        <f>CMP!M66</f>
        <v>40.49</v>
      </c>
      <c r="B64" s="12">
        <f>CMP!O66</f>
        <v>41.09</v>
      </c>
    </row>
    <row r="65">
      <c r="A65" s="12">
        <f>CMP!M67</f>
        <v>40.76</v>
      </c>
      <c r="B65" s="12">
        <f>CMP!O67</f>
        <v>41.84</v>
      </c>
    </row>
    <row r="66">
      <c r="A66" s="12">
        <f>CMP!M68</f>
        <v>42.45</v>
      </c>
      <c r="B66" s="12">
        <f>CMP!O68</f>
        <v>43.25</v>
      </c>
    </row>
    <row r="67">
      <c r="A67" s="12">
        <f>CMP!M69</f>
        <v>43.09</v>
      </c>
      <c r="B67" s="12">
        <f>CMP!O69</f>
        <v>43.11</v>
      </c>
    </row>
    <row r="68">
      <c r="A68" s="12">
        <f>CMP!M70</f>
        <v>43.01</v>
      </c>
      <c r="B68" s="12">
        <f>CMP!O70</f>
        <v>42.96</v>
      </c>
    </row>
    <row r="69">
      <c r="A69" s="12">
        <f>CMP!M71</f>
        <v>43.21</v>
      </c>
      <c r="B69" s="12">
        <f>CMP!O71</f>
        <v>42.77</v>
      </c>
    </row>
    <row r="70">
      <c r="A70" s="12">
        <f>CMP!M72</f>
        <v>42.95</v>
      </c>
      <c r="B70" s="12">
        <f>CMP!O72</f>
        <v>43.13</v>
      </c>
    </row>
    <row r="71">
      <c r="A71" s="12">
        <f>CMP!M73</f>
        <v>43.42</v>
      </c>
      <c r="B71" s="12">
        <f>CMP!O73</f>
        <v>43.88</v>
      </c>
    </row>
    <row r="72">
      <c r="A72" s="12">
        <f>CMP!M74</f>
        <v>44.09</v>
      </c>
      <c r="B72" s="12">
        <f>CMP!O74</f>
        <v>44.74</v>
      </c>
    </row>
    <row r="73">
      <c r="A73" s="12">
        <f>CMP!M75</f>
        <v>44.78</v>
      </c>
      <c r="B73" s="12">
        <f>CMP!O75</f>
        <v>44.6</v>
      </c>
    </row>
    <row r="74">
      <c r="A74" s="12">
        <f>CMP!M76</f>
        <v>44.82</v>
      </c>
      <c r="B74" s="12">
        <f>CMP!O76</f>
        <v>44.53</v>
      </c>
    </row>
    <row r="75">
      <c r="A75" s="12">
        <f>CMP!M77</f>
        <v>44.64</v>
      </c>
      <c r="B75" s="12">
        <f>CMP!O77</f>
        <v>43.75</v>
      </c>
    </row>
    <row r="76">
      <c r="A76" s="12">
        <f>CMP!M78</f>
        <v>43.2</v>
      </c>
      <c r="B76" s="12">
        <f>CMP!O78</f>
        <v>44.05</v>
      </c>
    </row>
    <row r="77">
      <c r="A77" s="12">
        <f>CMP!M79</f>
        <v>43.8</v>
      </c>
      <c r="B77" s="12">
        <f>CMP!O79</f>
        <v>44.21</v>
      </c>
    </row>
    <row r="78">
      <c r="A78" s="12">
        <f>CMP!M80</f>
        <v>44.48</v>
      </c>
      <c r="B78" s="12">
        <f>CMP!O80</f>
        <v>44.17</v>
      </c>
    </row>
    <row r="79">
      <c r="A79" s="12">
        <f>CMP!M81</f>
        <v>43.74</v>
      </c>
      <c r="B79" s="12">
        <f>CMP!O81</f>
        <v>43.76</v>
      </c>
    </row>
    <row r="80">
      <c r="A80" s="12">
        <f>CMP!M82</f>
        <v>43.87</v>
      </c>
      <c r="B80" s="12">
        <f>CMP!O82</f>
        <v>44.24</v>
      </c>
    </row>
    <row r="81">
      <c r="A81" s="12">
        <f>CMP!M83</f>
        <v>44.49</v>
      </c>
      <c r="B81" s="12">
        <f>CMP!O83</f>
        <v>45</v>
      </c>
    </row>
    <row r="82">
      <c r="A82" s="12">
        <f>CMP!M84</f>
        <v>45.07</v>
      </c>
      <c r="B82" s="12">
        <f>CMP!O84</f>
        <v>45.43</v>
      </c>
    </row>
    <row r="83">
      <c r="A83" s="12">
        <f>CMP!M85</f>
        <v>45.65</v>
      </c>
      <c r="B83" s="12">
        <f>CMP!O85</f>
        <v>44.99</v>
      </c>
    </row>
    <row r="84">
      <c r="A84" s="12">
        <f>CMP!M86</f>
        <v>45.08</v>
      </c>
      <c r="B84" s="12">
        <f>CMP!O86</f>
        <v>44.61</v>
      </c>
    </row>
    <row r="85">
      <c r="A85" s="12">
        <f>CMP!M87</f>
        <v>44.63</v>
      </c>
      <c r="B85" s="12">
        <f>CMP!O87</f>
        <v>44.66</v>
      </c>
    </row>
    <row r="86">
      <c r="A86" s="12">
        <f>CMP!M88</f>
        <v>44.66</v>
      </c>
      <c r="B86" s="12">
        <f>CMP!O88</f>
        <v>44.51</v>
      </c>
    </row>
    <row r="87">
      <c r="A87" s="12">
        <f>CMP!M89</f>
        <v>44.33</v>
      </c>
      <c r="B87" s="12">
        <f>CMP!O89</f>
        <v>43.83</v>
      </c>
    </row>
    <row r="88">
      <c r="A88" s="12">
        <f>CMP!M90</f>
        <v>43.81</v>
      </c>
      <c r="B88" s="12">
        <f>CMP!O90</f>
        <v>43.81</v>
      </c>
    </row>
    <row r="89">
      <c r="A89" s="12">
        <f>CMP!M91</f>
        <v>43.76</v>
      </c>
      <c r="B89" s="12">
        <f>CMP!O91</f>
        <v>42.82</v>
      </c>
    </row>
    <row r="90">
      <c r="A90" s="12">
        <f>CMP!M92</f>
        <v>42.5</v>
      </c>
      <c r="B90" s="12">
        <f>CMP!O92</f>
        <v>42.21</v>
      </c>
    </row>
    <row r="91">
      <c r="A91" s="12">
        <f>CMP!M93</f>
        <v>42.1</v>
      </c>
      <c r="B91" s="12">
        <f>CMP!O93</f>
        <v>41.24</v>
      </c>
    </row>
    <row r="92">
      <c r="A92" s="12">
        <f>CMP!M94</f>
        <v>42.02</v>
      </c>
      <c r="B92" s="12">
        <f>CMP!O94</f>
        <v>43.19</v>
      </c>
    </row>
    <row r="93">
      <c r="A93" s="12">
        <f>CMP!M95</f>
        <v>43.42</v>
      </c>
      <c r="B93" s="12">
        <f>CMP!O95</f>
        <v>42.09</v>
      </c>
    </row>
    <row r="94">
      <c r="A94" s="12">
        <f>CMP!M96</f>
        <v>41.81</v>
      </c>
      <c r="B94" s="12">
        <f>CMP!O96</f>
        <v>41.62</v>
      </c>
    </row>
    <row r="95">
      <c r="A95" s="12">
        <f>CMP!M97</f>
        <v>41.95</v>
      </c>
      <c r="B95" s="12">
        <f>CMP!O97</f>
        <v>41.95</v>
      </c>
    </row>
    <row r="96">
      <c r="A96" s="12">
        <f>CMP!M98</f>
        <v>41.97</v>
      </c>
      <c r="B96" s="12">
        <f>CMP!O98</f>
        <v>41.67</v>
      </c>
    </row>
    <row r="97">
      <c r="A97" s="12">
        <f>CMP!M99</f>
        <v>41.91</v>
      </c>
      <c r="B97" s="12">
        <f>CMP!O99</f>
        <v>42.1</v>
      </c>
    </row>
    <row r="98">
      <c r="A98" s="12">
        <f>CMP!M100</f>
        <v>41.22</v>
      </c>
      <c r="B98" s="12">
        <f>CMP!O100</f>
        <v>42.9</v>
      </c>
    </row>
    <row r="99">
      <c r="A99" s="12">
        <f>CMP!M101</f>
        <v>43.15</v>
      </c>
      <c r="B99" s="12">
        <f>CMP!O101</f>
        <v>43.2</v>
      </c>
    </row>
    <row r="100">
      <c r="A100" s="12">
        <f>CMP!M102</f>
        <v>42.74</v>
      </c>
      <c r="B100" s="12">
        <f>CMP!O102</f>
        <v>42.1</v>
      </c>
    </row>
    <row r="101">
      <c r="A101" s="12">
        <f>CMP!M103</f>
        <v>42.47</v>
      </c>
      <c r="B101" s="12">
        <f>CMP!O103</f>
        <v>42.51</v>
      </c>
    </row>
    <row r="102">
      <c r="A102" s="12">
        <f>CMP!M104</f>
        <v>43.25</v>
      </c>
      <c r="B102" s="12">
        <f>CMP!O104</f>
        <v>43.31</v>
      </c>
    </row>
    <row r="103">
      <c r="A103" s="12">
        <f>CMP!M105</f>
        <v>43.06</v>
      </c>
      <c r="B103" s="12">
        <f>CMP!O105</f>
        <v>43.11</v>
      </c>
    </row>
    <row r="104">
      <c r="A104" s="12">
        <f>CMP!M106</f>
        <v>43.35</v>
      </c>
      <c r="B104" s="12">
        <f>CMP!O106</f>
        <v>43.54</v>
      </c>
    </row>
    <row r="105">
      <c r="A105" s="12">
        <f>CMP!M107</f>
        <v>43.7</v>
      </c>
      <c r="B105" s="12">
        <f>CMP!O107</f>
        <v>43.68</v>
      </c>
    </row>
    <row r="106">
      <c r="A106" s="12">
        <f>CMP!M108</f>
        <v>43.76</v>
      </c>
      <c r="B106" s="12">
        <f>CMP!O108</f>
        <v>43.96</v>
      </c>
    </row>
    <row r="107">
      <c r="A107" s="12">
        <f>CMP!M109</f>
        <v>44.12</v>
      </c>
      <c r="B107" s="12">
        <f>CMP!O109</f>
        <v>44.56</v>
      </c>
    </row>
    <row r="108">
      <c r="A108" s="12">
        <f>CMP!M110</f>
        <v>44.45</v>
      </c>
      <c r="B108" s="12">
        <f>CMP!O110</f>
        <v>44.46</v>
      </c>
    </row>
    <row r="109">
      <c r="A109" s="12">
        <f>CMP!M111</f>
        <v>43.74</v>
      </c>
      <c r="B109" s="12">
        <f>CMP!O111</f>
        <v>43.2</v>
      </c>
    </row>
    <row r="110">
      <c r="A110" s="12">
        <f>CMP!M112</f>
        <v>42.65</v>
      </c>
      <c r="B110" s="12">
        <f>CMP!O112</f>
        <v>41.43</v>
      </c>
    </row>
    <row r="111">
      <c r="A111" s="12">
        <f>CMP!M113</f>
        <v>41.71</v>
      </c>
      <c r="B111" s="12">
        <f>CMP!O113</f>
        <v>41.31</v>
      </c>
    </row>
    <row r="112">
      <c r="A112" s="12">
        <f>CMP!M114</f>
        <v>41.42</v>
      </c>
      <c r="B112" s="12">
        <f>CMP!O114</f>
        <v>40.74</v>
      </c>
    </row>
    <row r="113">
      <c r="A113" s="12">
        <f>CMP!M115</f>
        <v>40.66</v>
      </c>
      <c r="B113" s="12">
        <f>CMP!O115</f>
        <v>40.91</v>
      </c>
    </row>
    <row r="114">
      <c r="A114" s="12">
        <f>CMP!M116</f>
        <v>41.03</v>
      </c>
      <c r="B114" s="12">
        <f>CMP!O116</f>
        <v>41.06</v>
      </c>
    </row>
    <row r="115">
      <c r="A115" s="12">
        <f>CMP!M117</f>
        <v>41</v>
      </c>
      <c r="B115" s="12">
        <f>CMP!O117</f>
        <v>40.58</v>
      </c>
    </row>
    <row r="116">
      <c r="A116" s="12">
        <f>CMP!M118</f>
        <v>40.53</v>
      </c>
      <c r="B116" s="12">
        <f>CMP!O118</f>
        <v>41.32</v>
      </c>
    </row>
    <row r="117">
      <c r="A117" s="12">
        <f>CMP!M119</f>
        <v>41.6</v>
      </c>
      <c r="B117" s="12">
        <f>CMP!O119</f>
        <v>42.28</v>
      </c>
    </row>
    <row r="118">
      <c r="A118" s="12">
        <f>CMP!M120</f>
        <v>43.81</v>
      </c>
      <c r="B118" s="12">
        <f>CMP!O120</f>
        <v>44.14</v>
      </c>
    </row>
    <row r="119">
      <c r="A119" s="12">
        <f>CMP!M121</f>
        <v>43.97</v>
      </c>
      <c r="B119" s="12">
        <f>CMP!O121</f>
        <v>44.22</v>
      </c>
    </row>
    <row r="120">
      <c r="A120" s="12">
        <f>CMP!M122</f>
        <v>44.56</v>
      </c>
      <c r="B120" s="12">
        <f>CMP!O122</f>
        <v>45.96</v>
      </c>
    </row>
    <row r="121">
      <c r="A121" s="12">
        <f>CMP!M123</f>
        <v>46.3</v>
      </c>
      <c r="B121" s="12">
        <f>CMP!O123</f>
        <v>46.29</v>
      </c>
    </row>
    <row r="122">
      <c r="A122" s="12">
        <f>CMP!M124</f>
        <v>46.25</v>
      </c>
      <c r="B122" s="12">
        <f>CMP!O124</f>
        <v>46.51</v>
      </c>
    </row>
    <row r="123">
      <c r="A123" s="12">
        <f>CMP!M125</f>
        <v>46.64</v>
      </c>
      <c r="B123" s="12">
        <f>CMP!O125</f>
        <v>46.84</v>
      </c>
    </row>
    <row r="124">
      <c r="A124" s="12">
        <f>CMP!M126</f>
        <v>46.94</v>
      </c>
      <c r="B124" s="12">
        <f>CMP!O126</f>
        <v>47.51</v>
      </c>
    </row>
    <row r="125">
      <c r="A125" s="12">
        <f>CMP!M127</f>
        <v>47.37</v>
      </c>
      <c r="B125" s="12">
        <f>CMP!O127</f>
        <v>47.15</v>
      </c>
    </row>
    <row r="126">
      <c r="A126" s="12">
        <f>CMP!M128</f>
        <v>47.25</v>
      </c>
      <c r="B126" s="12">
        <f>CMP!O128</f>
        <v>47.04</v>
      </c>
    </row>
    <row r="127">
      <c r="A127" s="12">
        <f>CMP!M129</f>
        <v>46.7</v>
      </c>
      <c r="B127" s="12">
        <f>CMP!O129</f>
        <v>46.61</v>
      </c>
    </row>
    <row r="128">
      <c r="A128" s="12">
        <f>CMP!M130</f>
        <v>46.52</v>
      </c>
      <c r="B128" s="12">
        <f>CMP!O130</f>
        <v>47.05</v>
      </c>
    </row>
    <row r="129">
      <c r="A129" s="12">
        <f>CMP!M131</f>
        <v>47</v>
      </c>
      <c r="B129" s="12">
        <f>CMP!O131</f>
        <v>46.75</v>
      </c>
    </row>
    <row r="130">
      <c r="A130" s="12">
        <f>CMP!M132</f>
        <v>46.8</v>
      </c>
      <c r="B130" s="12">
        <f>CMP!O132</f>
        <v>46.58</v>
      </c>
    </row>
    <row r="131">
      <c r="A131" s="12">
        <f>CMP!M133</f>
        <v>47</v>
      </c>
      <c r="B131" s="12">
        <f>CMP!O133</f>
        <v>46.91</v>
      </c>
    </row>
    <row r="132">
      <c r="A132" s="12">
        <f>CMP!M134</f>
        <v>47.09</v>
      </c>
      <c r="B132" s="12">
        <f>CMP!O134</f>
        <v>46.79</v>
      </c>
    </row>
    <row r="133">
      <c r="A133" s="12">
        <f>CMP!M135</f>
        <v>46.59</v>
      </c>
      <c r="B133" s="12">
        <f>CMP!O135</f>
        <v>47.09</v>
      </c>
    </row>
    <row r="134">
      <c r="A134" s="12">
        <f>CMP!M136</f>
        <v>47.19</v>
      </c>
      <c r="B134" s="12">
        <f>CMP!O136</f>
        <v>47.04</v>
      </c>
    </row>
    <row r="135">
      <c r="A135" s="12">
        <f>CMP!M137</f>
        <v>47.06</v>
      </c>
      <c r="B135" s="12">
        <f>CMP!O137</f>
        <v>47.15</v>
      </c>
    </row>
    <row r="136">
      <c r="A136" s="12">
        <f>CMP!M138</f>
        <v>46.9</v>
      </c>
      <c r="B136" s="12">
        <f>CMP!O138</f>
        <v>46.98</v>
      </c>
    </row>
    <row r="137">
      <c r="A137" s="12">
        <f>CMP!M139</f>
        <v>46.93</v>
      </c>
      <c r="B137" s="12">
        <f>CMP!O139</f>
        <v>46.88</v>
      </c>
    </row>
    <row r="138">
      <c r="A138" s="12">
        <f>CMP!M140</f>
        <v>46.93</v>
      </c>
      <c r="B138" s="12">
        <f>CMP!O140</f>
        <v>46.88</v>
      </c>
    </row>
    <row r="139">
      <c r="A139" s="12">
        <f>CMP!M141</f>
        <v>47</v>
      </c>
      <c r="B139" s="12">
        <f>CMP!O141</f>
        <v>47.56</v>
      </c>
    </row>
    <row r="140">
      <c r="A140" s="12">
        <f>CMP!M142</f>
        <v>47.91</v>
      </c>
      <c r="B140" s="12">
        <f>CMP!O142</f>
        <v>47.96</v>
      </c>
    </row>
    <row r="141">
      <c r="A141" s="12">
        <f>CMP!M143</f>
        <v>48.27</v>
      </c>
      <c r="B141" s="12">
        <f>CMP!O143</f>
        <v>48.33</v>
      </c>
    </row>
    <row r="142">
      <c r="A142" s="12">
        <f>CMP!M144</f>
        <v>48.41</v>
      </c>
      <c r="B142" s="12">
        <f>CMP!O144</f>
        <v>48.5</v>
      </c>
    </row>
    <row r="143">
      <c r="A143" s="12">
        <f>CMP!M145</f>
        <v>48.54</v>
      </c>
      <c r="B143" s="12">
        <f>CMP!O145</f>
        <v>48.37</v>
      </c>
    </row>
    <row r="144">
      <c r="A144" s="12">
        <f>CMP!M146</f>
        <v>47.79</v>
      </c>
      <c r="B144" s="12">
        <f>CMP!O146</f>
        <v>47.93</v>
      </c>
    </row>
    <row r="145">
      <c r="A145" s="12">
        <f>CMP!M147</f>
        <v>47.84</v>
      </c>
      <c r="B145" s="12">
        <f>CMP!O147</f>
        <v>47.81</v>
      </c>
    </row>
    <row r="146">
      <c r="A146" s="12">
        <f>CMP!M148</f>
        <v>47.85</v>
      </c>
      <c r="B146" s="12">
        <f>CMP!O148</f>
        <v>48.07</v>
      </c>
    </row>
    <row r="147">
      <c r="A147" s="12">
        <f>CMP!M149</f>
        <v>48.11</v>
      </c>
      <c r="B147" s="12">
        <f>CMP!O149</f>
        <v>47.68</v>
      </c>
    </row>
    <row r="148">
      <c r="A148" s="12">
        <f>CMP!M150</f>
        <v>47.89</v>
      </c>
      <c r="B148" s="12">
        <f>CMP!O150</f>
        <v>47.7</v>
      </c>
    </row>
    <row r="149">
      <c r="A149" s="12">
        <f>CMP!M151</f>
        <v>47.51</v>
      </c>
      <c r="B149" s="12">
        <f>CMP!O151</f>
        <v>47.21</v>
      </c>
    </row>
    <row r="150">
      <c r="A150" s="12">
        <f>CMP!M152</f>
        <v>46.97</v>
      </c>
      <c r="B150" s="12">
        <f>CMP!O152</f>
        <v>47.19</v>
      </c>
    </row>
    <row r="151">
      <c r="A151" s="12">
        <f>CMP!M153</f>
        <v>46.29</v>
      </c>
      <c r="B151" s="12">
        <f>CMP!O153</f>
        <v>46.42</v>
      </c>
    </row>
    <row r="152">
      <c r="A152" s="12">
        <f>CMP!M154</f>
        <v>46.59</v>
      </c>
      <c r="B152" s="12">
        <f>CMP!O154</f>
        <v>46.63</v>
      </c>
    </row>
    <row r="153">
      <c r="A153" s="12">
        <f>CMP!M155</f>
        <v>46.81</v>
      </c>
      <c r="B153" s="12">
        <f>CMP!O155</f>
        <v>46.37</v>
      </c>
    </row>
    <row r="154">
      <c r="A154" s="12">
        <f>CMP!M156</f>
        <v>46.53</v>
      </c>
      <c r="B154" s="12">
        <f>CMP!O156</f>
        <v>46.23</v>
      </c>
    </row>
    <row r="155">
      <c r="A155" s="12">
        <f>CMP!M157</f>
        <v>45.85</v>
      </c>
      <c r="B155" s="12">
        <f>CMP!O157</f>
        <v>45.54</v>
      </c>
    </row>
    <row r="156">
      <c r="A156" s="12">
        <f>CMP!M158</f>
        <v>45.75</v>
      </c>
      <c r="B156" s="12">
        <f>CMP!O158</f>
        <v>46.11</v>
      </c>
    </row>
    <row r="157">
      <c r="A157" s="12">
        <f>CMP!M159</f>
        <v>46.31</v>
      </c>
      <c r="B157" s="12">
        <f>CMP!O159</f>
        <v>46.04</v>
      </c>
    </row>
    <row r="158">
      <c r="A158" s="12">
        <f>CMP!M160</f>
        <v>46.03</v>
      </c>
      <c r="B158" s="12">
        <f>CMP!O160</f>
        <v>46.38</v>
      </c>
    </row>
    <row r="159">
      <c r="A159" s="12">
        <f>CMP!M161</f>
        <v>46.57</v>
      </c>
      <c r="B159" s="12">
        <f>CMP!O161</f>
        <v>46.28</v>
      </c>
    </row>
    <row r="160">
      <c r="A160" s="12">
        <f>CMP!M162</f>
        <v>45.96</v>
      </c>
      <c r="B160" s="12">
        <f>CMP!O162</f>
        <v>46.8</v>
      </c>
    </row>
    <row r="161">
      <c r="A161" s="12">
        <f>CMP!M163</f>
        <v>46.95</v>
      </c>
      <c r="B161" s="12">
        <f>CMP!O163</f>
        <v>45.98</v>
      </c>
    </row>
    <row r="162">
      <c r="A162" s="12">
        <f>CMP!M164</f>
        <v>46.32</v>
      </c>
      <c r="B162" s="12">
        <f>CMP!O164</f>
        <v>46.35</v>
      </c>
    </row>
    <row r="163">
      <c r="A163" s="12">
        <f>CMP!M165</f>
        <v>46.36</v>
      </c>
      <c r="B163" s="12">
        <f>CMP!O165</f>
        <v>46.99</v>
      </c>
    </row>
    <row r="164">
      <c r="A164" s="12">
        <f>CMP!M166</f>
        <v>47.38</v>
      </c>
      <c r="B164" s="12">
        <f>CMP!O166</f>
        <v>47.65</v>
      </c>
    </row>
    <row r="165">
      <c r="A165" s="12">
        <f>CMP!M167</f>
        <v>47.68</v>
      </c>
      <c r="B165" s="12">
        <f>CMP!O167</f>
        <v>47.59</v>
      </c>
    </row>
    <row r="166">
      <c r="A166" s="12">
        <f>CMP!M168</f>
        <v>47.13</v>
      </c>
      <c r="B166" s="12">
        <f>CMP!O168</f>
        <v>46.97</v>
      </c>
    </row>
    <row r="167">
      <c r="A167" s="12">
        <f>CMP!M169</f>
        <v>47.38</v>
      </c>
      <c r="B167" s="12">
        <f>CMP!O169</f>
        <v>47.76</v>
      </c>
    </row>
    <row r="168">
      <c r="A168" s="12">
        <f>CMP!M170</f>
        <v>47.77</v>
      </c>
      <c r="B168" s="12">
        <f>CMP!O170</f>
        <v>47.83</v>
      </c>
    </row>
    <row r="169">
      <c r="A169" s="12">
        <f>CMP!M171</f>
        <v>47.88</v>
      </c>
      <c r="B169" s="12">
        <f>CMP!O171</f>
        <v>47.73</v>
      </c>
    </row>
    <row r="170">
      <c r="A170" s="12">
        <f>CMP!M172</f>
        <v>47.44</v>
      </c>
      <c r="B170" s="12">
        <f>CMP!O172</f>
        <v>47.86</v>
      </c>
    </row>
    <row r="171">
      <c r="A171" s="12">
        <f>CMP!M173</f>
        <v>47.95</v>
      </c>
      <c r="B171" s="12">
        <f>CMP!O173</f>
        <v>47.6</v>
      </c>
    </row>
    <row r="172">
      <c r="A172" s="12">
        <f>CMP!M174</f>
        <v>47.42</v>
      </c>
      <c r="B172" s="12">
        <f>CMP!O174</f>
        <v>47.97</v>
      </c>
    </row>
    <row r="173">
      <c r="A173" s="12">
        <f>CMP!M175</f>
        <v>47.95</v>
      </c>
      <c r="B173" s="12">
        <f>CMP!O175</f>
        <v>47.86</v>
      </c>
    </row>
    <row r="174">
      <c r="A174" s="12">
        <f>CMP!M176</f>
        <v>47.95</v>
      </c>
      <c r="B174" s="12">
        <f>CMP!O176</f>
        <v>47.86</v>
      </c>
    </row>
    <row r="175">
      <c r="A175" s="12">
        <f>CMP!M177</f>
        <v>48.11</v>
      </c>
      <c r="B175" s="12">
        <f>CMP!O177</f>
        <v>48.25</v>
      </c>
    </row>
    <row r="176">
      <c r="A176" s="12">
        <f>CMP!M178</f>
        <v>48.27</v>
      </c>
      <c r="B176" s="12">
        <f>CMP!O178</f>
        <v>48.71</v>
      </c>
    </row>
    <row r="177">
      <c r="A177" s="12">
        <f>CMP!M179</f>
        <v>48.65</v>
      </c>
      <c r="B177" s="12">
        <f>CMP!O179</f>
        <v>48.55</v>
      </c>
    </row>
    <row r="178">
      <c r="A178" s="12">
        <f>CMP!M180</f>
        <v>48.75</v>
      </c>
      <c r="B178" s="12">
        <f>CMP!O180</f>
        <v>47.75</v>
      </c>
    </row>
    <row r="179">
      <c r="A179" s="12">
        <f>CMP!M181</f>
        <v>47.98</v>
      </c>
      <c r="B179" s="12">
        <f>CMP!O181</f>
        <v>47.48</v>
      </c>
    </row>
    <row r="180">
      <c r="A180" s="12">
        <f>CMP!M182</f>
        <v>47.58</v>
      </c>
      <c r="B180" s="12">
        <f>CMP!O182</f>
        <v>47.57</v>
      </c>
    </row>
    <row r="181">
      <c r="A181" s="12">
        <f>CMP!M183</f>
        <v>49.78</v>
      </c>
      <c r="B181" s="12">
        <f>CMP!O183</f>
        <v>50.38</v>
      </c>
    </row>
    <row r="182">
      <c r="A182" s="12">
        <f>CMP!M184</f>
        <v>50.15</v>
      </c>
      <c r="B182" s="12">
        <f>CMP!O184</f>
        <v>51.85</v>
      </c>
    </row>
    <row r="183">
      <c r="A183" s="12">
        <f>CMP!M185</f>
        <v>51.76</v>
      </c>
      <c r="B183" s="12">
        <f>CMP!O185</f>
        <v>52</v>
      </c>
    </row>
    <row r="184">
      <c r="A184" s="12">
        <f>CMP!M186</f>
        <v>52</v>
      </c>
      <c r="B184" s="12">
        <f>CMP!O186</f>
        <v>52.27</v>
      </c>
    </row>
    <row r="185">
      <c r="A185" s="12">
        <f>CMP!M187</f>
        <v>52.33</v>
      </c>
      <c r="B185" s="12">
        <f>CMP!O187</f>
        <v>51.78</v>
      </c>
    </row>
    <row r="186">
      <c r="A186" s="12">
        <f>CMP!M188</f>
        <v>51.51</v>
      </c>
      <c r="B186" s="12">
        <f>CMP!O188</f>
        <v>51.81</v>
      </c>
    </row>
    <row r="187">
      <c r="A187" s="12">
        <f>CMP!M189</f>
        <v>51.82</v>
      </c>
      <c r="B187" s="12">
        <f>CMP!O189</f>
        <v>52.22</v>
      </c>
    </row>
    <row r="188">
      <c r="A188" s="12">
        <f>CMP!M190</f>
        <v>51.84</v>
      </c>
      <c r="B188" s="12">
        <f>CMP!O190</f>
        <v>51.88</v>
      </c>
    </row>
    <row r="189">
      <c r="A189" s="12">
        <f>CMP!M191</f>
        <v>51.93</v>
      </c>
      <c r="B189" s="12">
        <f>CMP!O191</f>
        <v>52.22</v>
      </c>
    </row>
    <row r="190">
      <c r="A190" s="12">
        <f>CMP!M192</f>
        <v>52.54</v>
      </c>
      <c r="B190" s="12">
        <f>CMP!O192</f>
        <v>52.44</v>
      </c>
    </row>
    <row r="191">
      <c r="A191" s="12">
        <f>CMP!M193</f>
        <v>52.31</v>
      </c>
      <c r="B191" s="12">
        <f>CMP!O193</f>
        <v>52.56</v>
      </c>
    </row>
    <row r="192">
      <c r="A192" s="12">
        <f>CMP!M194</f>
        <v>52.94</v>
      </c>
      <c r="B192" s="12">
        <f>CMP!O194</f>
        <v>53.33</v>
      </c>
    </row>
    <row r="193">
      <c r="A193" s="12">
        <f>CMP!M195</f>
        <v>53.36</v>
      </c>
      <c r="B193" s="12">
        <f>CMP!O195</f>
        <v>54.4</v>
      </c>
    </row>
    <row r="194">
      <c r="A194" s="12">
        <f>CMP!M196</f>
        <v>54.53</v>
      </c>
      <c r="B194" s="12">
        <f>CMP!O196</f>
        <v>53.87</v>
      </c>
    </row>
    <row r="195">
      <c r="A195" s="12">
        <f>CMP!M197</f>
        <v>54.2</v>
      </c>
      <c r="B195" s="12">
        <f>CMP!O197</f>
        <v>53.76</v>
      </c>
    </row>
    <row r="196">
      <c r="A196" s="12">
        <f>CMP!M198</f>
        <v>53.53</v>
      </c>
      <c r="B196" s="12">
        <f>CMP!O198</f>
        <v>53.76</v>
      </c>
    </row>
    <row r="197">
      <c r="A197" s="12">
        <f>CMP!M199</f>
        <v>53.66</v>
      </c>
      <c r="B197" s="12">
        <f>CMP!O199</f>
        <v>53.87</v>
      </c>
    </row>
    <row r="198">
      <c r="A198" s="12">
        <f>CMP!M200</f>
        <v>54.15</v>
      </c>
      <c r="B198" s="12">
        <f>CMP!O200</f>
        <v>54.04</v>
      </c>
    </row>
    <row r="199">
      <c r="A199" s="12">
        <f>CMP!M201</f>
        <v>54.29</v>
      </c>
      <c r="B199" s="12">
        <f>CMP!O201</f>
        <v>54.49</v>
      </c>
    </row>
    <row r="200">
      <c r="A200" s="12">
        <f>CMP!M202</f>
        <v>54.75</v>
      </c>
      <c r="B200" s="12">
        <f>CMP!O202</f>
        <v>54.93</v>
      </c>
    </row>
    <row r="201">
      <c r="A201" s="12">
        <f>CMP!M203</f>
        <v>55.04</v>
      </c>
      <c r="B201" s="12">
        <f>CMP!O203</f>
        <v>55.75</v>
      </c>
    </row>
    <row r="202">
      <c r="A202" s="12">
        <f>CMP!M204</f>
        <v>55.81</v>
      </c>
      <c r="B202" s="12">
        <f>CMP!O204</f>
        <v>56.26</v>
      </c>
    </row>
    <row r="203">
      <c r="A203" s="12">
        <f>CMP!M205</f>
        <v>56.63</v>
      </c>
      <c r="B203" s="12">
        <f>CMP!O205</f>
        <v>56.91</v>
      </c>
    </row>
    <row r="204">
      <c r="A204" s="12">
        <f>CMP!M206</f>
        <v>57.1</v>
      </c>
      <c r="B204" s="12">
        <f>CMP!O206</f>
        <v>57.09</v>
      </c>
    </row>
    <row r="205">
      <c r="A205" s="12">
        <f>CMP!M207</f>
        <v>57.25</v>
      </c>
      <c r="B205" s="12">
        <f>CMP!O207</f>
        <v>56.72</v>
      </c>
    </row>
    <row r="206">
      <c r="A206" s="12">
        <f>CMP!M208</f>
        <v>56.56</v>
      </c>
      <c r="B206" s="12">
        <f>CMP!O208</f>
        <v>55.78</v>
      </c>
    </row>
    <row r="207">
      <c r="A207" s="12">
        <f>CMP!M209</f>
        <v>55.46</v>
      </c>
      <c r="B207" s="12">
        <f>CMP!O209</f>
        <v>55.33</v>
      </c>
    </row>
    <row r="208">
      <c r="A208" s="12">
        <f>CMP!M210</f>
        <v>55.24</v>
      </c>
      <c r="B208" s="12">
        <f>CMP!O210</f>
        <v>54.58</v>
      </c>
    </row>
    <row r="209">
      <c r="A209" s="12">
        <f>CMP!M211</f>
        <v>54.5</v>
      </c>
      <c r="B209" s="12">
        <f>CMP!O211</f>
        <v>55.96</v>
      </c>
    </row>
    <row r="210">
      <c r="A210" s="12">
        <f>CMP!M212</f>
        <v>56.24</v>
      </c>
      <c r="B210" s="12">
        <f>CMP!O212</f>
        <v>55.27</v>
      </c>
    </row>
    <row r="211">
      <c r="A211" s="12">
        <f>CMP!M213</f>
        <v>55.88</v>
      </c>
      <c r="B211" s="12">
        <f>CMP!O213</f>
        <v>56.6</v>
      </c>
    </row>
    <row r="212">
      <c r="A212" s="12">
        <f>CMP!M214</f>
        <v>56.44</v>
      </c>
      <c r="B212" s="12">
        <f>CMP!O214</f>
        <v>55.96</v>
      </c>
    </row>
    <row r="213">
      <c r="A213" s="12">
        <f>CMP!M215</f>
        <v>55.54</v>
      </c>
      <c r="B213" s="12">
        <f>CMP!O215</f>
        <v>54.47</v>
      </c>
    </row>
    <row r="214">
      <c r="A214" s="12">
        <f>CMP!M216</f>
        <v>54.45</v>
      </c>
      <c r="B214" s="12">
        <f>CMP!O216</f>
        <v>54.56</v>
      </c>
    </row>
    <row r="215">
      <c r="A215" s="12">
        <f>CMP!M217</f>
        <v>54.63</v>
      </c>
      <c r="B215" s="12">
        <f>CMP!O217</f>
        <v>54.59</v>
      </c>
    </row>
    <row r="216">
      <c r="A216" s="12">
        <f>CMP!M218</f>
        <v>55.06</v>
      </c>
      <c r="B216" s="12">
        <f>CMP!O218</f>
        <v>55.01</v>
      </c>
    </row>
    <row r="217">
      <c r="A217" s="12">
        <f>CMP!M219</f>
        <v>55.2</v>
      </c>
      <c r="B217" s="12">
        <f>CMP!O219</f>
        <v>54.42</v>
      </c>
    </row>
    <row r="218">
      <c r="A218" s="12">
        <f>CMP!M220</f>
        <v>54.21</v>
      </c>
      <c r="B218" s="12">
        <f>CMP!O220</f>
        <v>55.2</v>
      </c>
    </row>
    <row r="219">
      <c r="A219" s="12">
        <f>CMP!M221</f>
        <v>54.94</v>
      </c>
      <c r="B219" s="12">
        <f>CMP!O221</f>
        <v>55.55</v>
      </c>
    </row>
    <row r="220">
      <c r="A220" s="12">
        <f>CMP!M222</f>
        <v>55.25</v>
      </c>
      <c r="B220" s="12">
        <f>CMP!O222</f>
        <v>55.11</v>
      </c>
    </row>
    <row r="221">
      <c r="A221" s="12">
        <f>CMP!M223</f>
        <v>55.96</v>
      </c>
      <c r="B221" s="12">
        <f>CMP!O223</f>
        <v>56.24</v>
      </c>
    </row>
    <row r="222">
      <c r="A222" s="12">
        <f>CMP!M224</f>
        <v>56.2</v>
      </c>
      <c r="B222" s="12">
        <f>CMP!O224</f>
        <v>56.44</v>
      </c>
    </row>
    <row r="223">
      <c r="A223" s="12">
        <f>CMP!M225</f>
        <v>56.99</v>
      </c>
      <c r="B223" s="12">
        <f>CMP!O225</f>
        <v>56.82</v>
      </c>
    </row>
    <row r="224">
      <c r="A224" s="12">
        <f>CMP!M226</f>
        <v>56.81</v>
      </c>
      <c r="B224" s="12">
        <f>CMP!O226</f>
        <v>57.32</v>
      </c>
    </row>
    <row r="225">
      <c r="A225" s="12">
        <f>CMP!M227</f>
        <v>57.51</v>
      </c>
      <c r="B225" s="12">
        <f>CMP!O227</f>
        <v>58.02</v>
      </c>
    </row>
    <row r="226">
      <c r="A226" s="12">
        <f>CMP!M228</f>
        <v>57.7</v>
      </c>
      <c r="B226" s="12">
        <f>CMP!O228</f>
        <v>57</v>
      </c>
    </row>
    <row r="227">
      <c r="A227" s="12">
        <f>CMP!M229</f>
        <v>56.99</v>
      </c>
      <c r="B227" s="12">
        <f>CMP!O229</f>
        <v>56.07</v>
      </c>
    </row>
    <row r="228">
      <c r="A228" s="12">
        <f>CMP!M230</f>
        <v>55.55</v>
      </c>
      <c r="B228" s="12">
        <f>CMP!O230</f>
        <v>55.94</v>
      </c>
    </row>
    <row r="229">
      <c r="A229" s="12">
        <f>CMP!M231</f>
        <v>55.91</v>
      </c>
      <c r="B229" s="12">
        <f>CMP!O231</f>
        <v>56.72</v>
      </c>
    </row>
    <row r="230">
      <c r="A230" s="12">
        <f>CMP!M232</f>
        <v>56.37</v>
      </c>
      <c r="B230" s="12">
        <f>CMP!O232</f>
        <v>54.09</v>
      </c>
    </row>
    <row r="231">
      <c r="A231" s="12">
        <f>CMP!M233</f>
        <v>53.63</v>
      </c>
      <c r="B231" s="12">
        <f>CMP!O233</f>
        <v>53.61</v>
      </c>
    </row>
    <row r="232">
      <c r="A232" s="12">
        <f>CMP!M234</f>
        <v>55.11</v>
      </c>
      <c r="B232" s="12">
        <f>CMP!O234</f>
        <v>55.53</v>
      </c>
    </row>
    <row r="233">
      <c r="A233" s="12">
        <f>CMP!M235</f>
        <v>55.29</v>
      </c>
      <c r="B233" s="12">
        <f>CMP!O235</f>
        <v>54.34</v>
      </c>
    </row>
    <row r="234">
      <c r="A234" s="12">
        <f>CMP!M236</f>
        <v>54.73</v>
      </c>
      <c r="B234" s="12">
        <f>CMP!O236</f>
        <v>55.54</v>
      </c>
    </row>
    <row r="235">
      <c r="A235" s="12">
        <f>CMP!M237</f>
        <v>55.58</v>
      </c>
      <c r="B235" s="12">
        <f>CMP!O237</f>
        <v>55.3</v>
      </c>
    </row>
    <row r="236">
      <c r="A236" s="12">
        <f>CMP!M238</f>
        <v>54.47</v>
      </c>
      <c r="B236" s="12">
        <f>CMP!O238</f>
        <v>54.01</v>
      </c>
    </row>
    <row r="237">
      <c r="A237" s="12">
        <f>CMP!M239</f>
        <v>54.52</v>
      </c>
      <c r="B237" s="12">
        <f>CMP!O239</f>
        <v>54.83</v>
      </c>
    </row>
    <row r="238">
      <c r="A238" s="12">
        <f>CMP!M240</f>
        <v>54.95</v>
      </c>
      <c r="B238" s="12">
        <f>CMP!O240</f>
        <v>55.16</v>
      </c>
    </row>
    <row r="239">
      <c r="A239" s="12">
        <f>CMP!M241</f>
        <v>53.96</v>
      </c>
      <c r="B239" s="12">
        <f>CMP!O241</f>
        <v>55.68</v>
      </c>
    </row>
    <row r="240">
      <c r="A240" s="12">
        <f>CMP!M242</f>
        <v>55.65</v>
      </c>
      <c r="B240" s="12">
        <f>CMP!O242</f>
        <v>53.77</v>
      </c>
    </row>
    <row r="241">
      <c r="A241" s="12">
        <f>CMP!M243</f>
        <v>54.43</v>
      </c>
      <c r="B241" s="12">
        <f>CMP!O243</f>
        <v>54.95</v>
      </c>
    </row>
    <row r="242">
      <c r="A242" s="12">
        <f>CMP!M244</f>
        <v>53.98</v>
      </c>
      <c r="B242" s="12">
        <f>CMP!O244</f>
        <v>54.08</v>
      </c>
    </row>
    <row r="243">
      <c r="A243" s="12">
        <f>CMP!M245</f>
        <v>54.8</v>
      </c>
      <c r="B243" s="12">
        <f>CMP!O245</f>
        <v>53.06</v>
      </c>
    </row>
    <row r="244">
      <c r="A244" s="12">
        <f>CMP!M246</f>
        <v>52.79</v>
      </c>
      <c r="B244" s="12">
        <f>CMP!O246</f>
        <v>53.33</v>
      </c>
    </row>
    <row r="245">
      <c r="A245" s="12">
        <f>CMP!M247</f>
        <v>54.22</v>
      </c>
      <c r="B245" s="12">
        <f>CMP!O247</f>
        <v>54.72</v>
      </c>
    </row>
    <row r="246">
      <c r="A246" s="12">
        <f>CMP!M248</f>
        <v>54.76</v>
      </c>
      <c r="B246" s="12">
        <f>CMP!O248</f>
        <v>55.56</v>
      </c>
    </row>
    <row r="247">
      <c r="A247" s="12">
        <f>CMP!M249</f>
        <v>52.39</v>
      </c>
      <c r="B247" s="12">
        <f>CMP!O249</f>
        <v>51.87</v>
      </c>
    </row>
    <row r="248">
      <c r="A248" s="12">
        <f>CMP!M250</f>
        <v>51.08</v>
      </c>
      <c r="B248" s="12">
        <f>CMP!O250</f>
        <v>50.4</v>
      </c>
    </row>
    <row r="249">
      <c r="A249" s="12">
        <f>CMP!M251</f>
        <v>50.48</v>
      </c>
      <c r="B249" s="12">
        <f>CMP!O251</f>
        <v>50.94</v>
      </c>
    </row>
    <row r="250">
      <c r="A250" s="12">
        <f>CMP!M252</f>
        <v>51.49</v>
      </c>
      <c r="B250" s="12">
        <f>CMP!O252</f>
        <v>52.49</v>
      </c>
    </row>
    <row r="251">
      <c r="A251" s="12">
        <f>CMP!M253</f>
        <v>52.5</v>
      </c>
      <c r="B251" s="12">
        <f>CMP!O253</f>
        <v>52.12</v>
      </c>
    </row>
    <row r="252">
      <c r="A252" s="12">
        <f>CMP!M254</f>
        <v>51.39</v>
      </c>
      <c r="B252" s="12">
        <f>CMP!O254</f>
        <v>51.12</v>
      </c>
    </row>
    <row r="253">
      <c r="A253" s="12">
        <f>CMP!M255</f>
        <v>49.75</v>
      </c>
      <c r="B253" s="12">
        <f>CMP!O255</f>
        <v>48.54</v>
      </c>
    </row>
    <row r="254">
      <c r="A254" s="12">
        <f>CMP!M256</f>
        <v>47.91</v>
      </c>
      <c r="B254" s="12">
        <f>CMP!O256</f>
        <v>48.06</v>
      </c>
    </row>
    <row r="255">
      <c r="A255" s="12">
        <f>CMP!M257</f>
        <v>48.48</v>
      </c>
      <c r="B255" s="12">
        <f>CMP!O257</f>
        <v>46.7</v>
      </c>
    </row>
    <row r="256">
      <c r="A256" s="12">
        <f>CMP!M258</f>
        <v>47.1</v>
      </c>
      <c r="B256" s="12">
        <f>CMP!O258</f>
        <v>47.85</v>
      </c>
    </row>
    <row r="257">
      <c r="A257" s="12">
        <f>CMP!M259</f>
        <v>47.63</v>
      </c>
      <c r="B257" s="12">
        <f>CMP!O259</f>
        <v>48.38</v>
      </c>
    </row>
    <row r="258">
      <c r="A258" s="12">
        <f>CMP!M260</f>
        <v>47.5</v>
      </c>
      <c r="B258" s="12">
        <f>CMP!O260</f>
        <v>46.47</v>
      </c>
    </row>
    <row r="259">
      <c r="A259" s="12">
        <f>CMP!M261</f>
        <v>44.59</v>
      </c>
      <c r="B259" s="12">
        <f>CMP!O261</f>
        <v>44.25</v>
      </c>
    </row>
    <row r="260">
      <c r="A260" s="12">
        <f>CMP!M262</f>
        <v>44.93</v>
      </c>
      <c r="B260" s="12">
        <f>CMP!O262</f>
        <v>44.2</v>
      </c>
    </row>
    <row r="261">
      <c r="A261" s="12">
        <f>CMP!M263</f>
        <v>43.74</v>
      </c>
      <c r="B261" s="12">
        <f>CMP!O263</f>
        <v>43.07</v>
      </c>
    </row>
    <row r="262">
      <c r="A262" s="12">
        <f>CMP!M264</f>
        <v>43.56</v>
      </c>
      <c r="B262" s="12">
        <f>CMP!O264</f>
        <v>43.66</v>
      </c>
    </row>
    <row r="263">
      <c r="A263" s="12">
        <f>CMP!M265</f>
        <v>42.88</v>
      </c>
      <c r="B263" s="12">
        <f>CMP!O265</f>
        <v>43.56</v>
      </c>
    </row>
    <row r="264">
      <c r="A264" s="12">
        <f>CMP!M266</f>
        <v>44.18</v>
      </c>
      <c r="B264" s="12">
        <f>CMP!O266</f>
        <v>45.24</v>
      </c>
    </row>
    <row r="265">
      <c r="A265" s="12">
        <f>CMP!M267</f>
        <v>45.67</v>
      </c>
      <c r="B265" s="12">
        <f>CMP!O267</f>
        <v>44.89</v>
      </c>
    </row>
    <row r="266">
      <c r="A266" s="12">
        <f>CMP!M268</f>
        <v>45.07</v>
      </c>
      <c r="B266" s="12">
        <f>CMP!O268</f>
        <v>44.65</v>
      </c>
    </row>
    <row r="267">
      <c r="A267" s="12">
        <f>CMP!M269</f>
        <v>46.12</v>
      </c>
      <c r="B267" s="12">
        <f>CMP!O269</f>
        <v>46.21</v>
      </c>
    </row>
    <row r="268">
      <c r="A268" s="12">
        <f>CMP!M270</f>
        <v>45.24</v>
      </c>
      <c r="B268" s="12">
        <f>CMP!O270</f>
        <v>44.17</v>
      </c>
    </row>
    <row r="269">
      <c r="A269" s="12">
        <f>CMP!M271</f>
        <v>42.94</v>
      </c>
      <c r="B269" s="12">
        <f>CMP!O271</f>
        <v>43.68</v>
      </c>
    </row>
    <row r="270">
      <c r="A270" s="12">
        <f>CMP!M272</f>
        <v>43.37</v>
      </c>
      <c r="B270" s="12">
        <f>CMP!O272</f>
        <v>42.12</v>
      </c>
    </row>
    <row r="271">
      <c r="A271" s="12">
        <f>CMP!M273</f>
        <v>41.25</v>
      </c>
      <c r="B271" s="12">
        <f>CMP!O273</f>
        <v>42.4</v>
      </c>
    </row>
    <row r="272">
      <c r="A272" s="12">
        <f>CMP!M274</f>
        <v>42.92</v>
      </c>
      <c r="B272" s="12">
        <f>CMP!O274</f>
        <v>42.16</v>
      </c>
    </row>
    <row r="273">
      <c r="A273" s="12">
        <f>CMP!M275</f>
        <v>42.6</v>
      </c>
      <c r="B273" s="12">
        <f>CMP!O275</f>
        <v>42.28</v>
      </c>
    </row>
    <row r="274">
      <c r="A274" s="12">
        <f>CMP!M276</f>
        <v>42.62</v>
      </c>
      <c r="B274" s="12">
        <f>CMP!O276</f>
        <v>42.74</v>
      </c>
    </row>
    <row r="275">
      <c r="A275" s="12">
        <f>CMP!M277</f>
        <v>42.25</v>
      </c>
      <c r="B275" s="12">
        <f>CMP!O277</f>
        <v>41.37</v>
      </c>
    </row>
    <row r="276">
      <c r="A276" s="12">
        <f>CMP!M278</f>
        <v>41.36</v>
      </c>
      <c r="B276" s="12">
        <f>CMP!O278</f>
        <v>40.99</v>
      </c>
    </row>
    <row r="277">
      <c r="A277" s="12">
        <f>CMP!M279</f>
        <v>41.35</v>
      </c>
      <c r="B277" s="12">
        <f>CMP!O279</f>
        <v>41.52</v>
      </c>
    </row>
    <row r="278">
      <c r="A278" s="12">
        <f>CMP!M280</f>
        <v>41.5</v>
      </c>
      <c r="B278" s="12">
        <f>CMP!O280</f>
        <v>40.22</v>
      </c>
    </row>
    <row r="279">
      <c r="A279" s="12">
        <f>CMP!M281</f>
        <v>40.1</v>
      </c>
      <c r="B279" s="12">
        <f>CMP!O281</f>
        <v>39.21</v>
      </c>
    </row>
    <row r="280">
      <c r="A280" s="12">
        <f>CMP!M282</f>
        <v>39.22</v>
      </c>
      <c r="B280" s="12">
        <f>CMP!O282</f>
        <v>37.68</v>
      </c>
    </row>
    <row r="281">
      <c r="A281" s="12">
        <f>CMP!M283</f>
        <v>37.04</v>
      </c>
      <c r="B281" s="12">
        <f>CMP!O283</f>
        <v>36.71</v>
      </c>
    </row>
    <row r="282">
      <c r="A282" s="12">
        <f>CMP!M284</f>
        <v>37.08</v>
      </c>
      <c r="B282" s="12">
        <f>CMP!O284</f>
        <v>39.29</v>
      </c>
    </row>
    <row r="283">
      <c r="A283" s="12">
        <f>CMP!M285</f>
        <v>38.96</v>
      </c>
      <c r="B283" s="12">
        <f>CMP!O285</f>
        <v>39.04</v>
      </c>
    </row>
    <row r="284">
      <c r="A284" s="12">
        <f>CMP!M286</f>
        <v>39.38</v>
      </c>
      <c r="B284" s="12">
        <f>CMP!O286</f>
        <v>39.06</v>
      </c>
    </row>
    <row r="285">
      <c r="A285" s="12">
        <f>CMP!M287</f>
        <v>39.63</v>
      </c>
      <c r="B285" s="12">
        <f>CMP!O287</f>
        <v>39.44</v>
      </c>
    </row>
    <row r="286">
      <c r="A286" s="12">
        <f>CMP!M288</f>
        <v>38.72</v>
      </c>
      <c r="B286" s="12">
        <f>CMP!O288</f>
        <v>39.48</v>
      </c>
    </row>
    <row r="287">
      <c r="A287" s="12">
        <f>CMP!M289</f>
        <v>35.99</v>
      </c>
      <c r="B287" s="12">
        <f>CMP!O289</f>
        <v>35.55</v>
      </c>
    </row>
    <row r="288">
      <c r="A288" s="12">
        <f>CMP!M290</f>
        <v>36.13</v>
      </c>
      <c r="B288" s="12">
        <f>CMP!O290</f>
        <v>37.07</v>
      </c>
    </row>
    <row r="289">
      <c r="A289" s="12">
        <f>CMP!M291</f>
        <v>37.17</v>
      </c>
      <c r="B289" s="12">
        <f>CMP!O291</f>
        <v>36.98</v>
      </c>
    </row>
    <row r="290">
      <c r="A290" s="12">
        <f>CMP!M292</f>
        <v>37.39</v>
      </c>
      <c r="B290" s="12">
        <f>CMP!O292</f>
        <v>37.69</v>
      </c>
    </row>
    <row r="291">
      <c r="A291" s="12">
        <f>CMP!M293</f>
        <v>37.82</v>
      </c>
      <c r="B291" s="12">
        <f>CMP!O293</f>
        <v>38.33</v>
      </c>
    </row>
    <row r="292">
      <c r="A292" s="12">
        <f>CMP!M294</f>
        <v>38.13</v>
      </c>
      <c r="B292" s="12">
        <f>CMP!O294</f>
        <v>38.45</v>
      </c>
    </row>
    <row r="293">
      <c r="A293" s="12">
        <f>CMP!M295</f>
        <v>38.22</v>
      </c>
      <c r="B293" s="12">
        <f>CMP!O295</f>
        <v>38.07</v>
      </c>
    </row>
    <row r="294">
      <c r="A294" s="12">
        <f>CMP!M296</f>
        <v>37.71</v>
      </c>
      <c r="B294" s="12">
        <f>CMP!O296</f>
        <v>37.5</v>
      </c>
    </row>
    <row r="295">
      <c r="A295" s="12">
        <f>CMP!M297</f>
        <v>37.57</v>
      </c>
      <c r="B295" s="12">
        <f>CMP!O297</f>
        <v>38.27</v>
      </c>
    </row>
    <row r="296">
      <c r="A296" s="12">
        <f>CMP!M298</f>
        <v>38.27</v>
      </c>
      <c r="B296" s="12">
        <f>CMP!O298</f>
        <v>38.74</v>
      </c>
    </row>
    <row r="297">
      <c r="A297" s="12">
        <f>CMP!M299</f>
        <v>38.55</v>
      </c>
      <c r="B297" s="12">
        <f>CMP!O299</f>
        <v>38.97</v>
      </c>
    </row>
    <row r="298">
      <c r="A298" s="12">
        <f>CMP!M300</f>
        <v>39.38</v>
      </c>
      <c r="B298" s="12">
        <f>CMP!O300</f>
        <v>39.21</v>
      </c>
    </row>
    <row r="299">
      <c r="A299" s="12">
        <f>CMP!M301</f>
        <v>39.1</v>
      </c>
      <c r="B299" s="12">
        <f>CMP!O301</f>
        <v>38.33</v>
      </c>
    </row>
    <row r="300">
      <c r="A300" s="12">
        <f>CMP!M302</f>
        <v>38.54</v>
      </c>
      <c r="B300" s="12">
        <f>CMP!O302</f>
        <v>38.48</v>
      </c>
    </row>
    <row r="301">
      <c r="A301" s="12">
        <f>CMP!M303</f>
        <v>38.53</v>
      </c>
      <c r="B301" s="12">
        <f>CMP!O303</f>
        <v>38.17</v>
      </c>
    </row>
    <row r="302">
      <c r="A302" s="12">
        <f>CMP!M304</f>
        <v>38.87</v>
      </c>
      <c r="B302" s="12">
        <f>CMP!O304</f>
        <v>39.44</v>
      </c>
    </row>
    <row r="303">
      <c r="A303" s="12">
        <f>CMP!M305</f>
        <v>38.95</v>
      </c>
      <c r="B303" s="12">
        <f>CMP!O305</f>
        <v>39.08</v>
      </c>
    </row>
    <row r="304">
      <c r="A304" s="12">
        <f>CMP!M306</f>
        <v>39.06</v>
      </c>
      <c r="B304" s="12">
        <f>CMP!O306</f>
        <v>38.67</v>
      </c>
    </row>
    <row r="305">
      <c r="A305" s="12">
        <f>CMP!M307</f>
        <v>40.81</v>
      </c>
      <c r="B305" s="12">
        <f>CMP!O307</f>
        <v>41.31</v>
      </c>
    </row>
    <row r="306">
      <c r="A306" s="12">
        <f>CMP!M308</f>
        <v>41.53</v>
      </c>
      <c r="B306" s="12">
        <f>CMP!O308</f>
        <v>41.61</v>
      </c>
    </row>
    <row r="307">
      <c r="A307" s="12">
        <f>CMP!M309</f>
        <v>41.74</v>
      </c>
      <c r="B307" s="12">
        <f>CMP!O309</f>
        <v>41.63</v>
      </c>
    </row>
    <row r="308">
      <c r="A308" s="12">
        <f>CMP!M310</f>
        <v>41.85</v>
      </c>
      <c r="B308" s="12">
        <f>CMP!O310</f>
        <v>42.81</v>
      </c>
    </row>
    <row r="309">
      <c r="A309" s="12">
        <f>CMP!M311</f>
        <v>43.22</v>
      </c>
      <c r="B309" s="12">
        <f>CMP!O311</f>
        <v>43.55</v>
      </c>
    </row>
    <row r="310">
      <c r="A310" s="12">
        <f>CMP!M312</f>
        <v>43.66</v>
      </c>
      <c r="B310" s="12">
        <f>CMP!O312</f>
        <v>43.56</v>
      </c>
    </row>
    <row r="311">
      <c r="A311" s="12">
        <f>CMP!M313</f>
        <v>43.1</v>
      </c>
      <c r="B311" s="12">
        <f>CMP!O313</f>
        <v>42.74</v>
      </c>
    </row>
    <row r="312">
      <c r="A312" s="12">
        <f>CMP!M314</f>
        <v>42.25</v>
      </c>
      <c r="B312" s="12">
        <f>CMP!O314</f>
        <v>42.6</v>
      </c>
    </row>
    <row r="313">
      <c r="A313" s="12">
        <f>CMP!M315</f>
        <v>42.76</v>
      </c>
      <c r="B313" s="12">
        <f>CMP!O315</f>
        <v>42.36</v>
      </c>
    </row>
    <row r="314">
      <c r="A314" s="12">
        <f>CMP!M316</f>
        <v>42.53</v>
      </c>
      <c r="B314" s="12">
        <f>CMP!O316</f>
        <v>42.72</v>
      </c>
    </row>
    <row r="315">
      <c r="A315" s="12">
        <f>CMP!M317</f>
        <v>42.85</v>
      </c>
      <c r="B315" s="12">
        <f>CMP!O317</f>
        <v>42.55</v>
      </c>
    </row>
    <row r="316">
      <c r="A316" s="12">
        <f>CMP!M318</f>
        <v>42.43</v>
      </c>
      <c r="B316" s="12">
        <f>CMP!O318</f>
        <v>42.7</v>
      </c>
    </row>
    <row r="317">
      <c r="A317" s="12">
        <f>CMP!M319</f>
        <v>42.81</v>
      </c>
      <c r="B317" s="12">
        <f>CMP!O319</f>
        <v>42.61</v>
      </c>
    </row>
    <row r="318">
      <c r="A318" s="12">
        <f>CMP!M320</f>
        <v>42.43</v>
      </c>
      <c r="B318" s="12">
        <f>CMP!O320</f>
        <v>42.73</v>
      </c>
    </row>
    <row r="319">
      <c r="A319" s="12">
        <f>CMP!M321</f>
        <v>42.8</v>
      </c>
      <c r="B319" s="12">
        <f>CMP!O321</f>
        <v>43.01</v>
      </c>
    </row>
    <row r="320">
      <c r="A320" s="12">
        <f>CMP!M322</f>
        <v>42.95</v>
      </c>
      <c r="B320" s="12">
        <f>CMP!O322</f>
        <v>42.77</v>
      </c>
    </row>
    <row r="321">
      <c r="A321" s="12">
        <f>CMP!M323</f>
        <v>42.9</v>
      </c>
      <c r="B321" s="12">
        <f>CMP!O323</f>
        <v>43.24</v>
      </c>
    </row>
    <row r="322">
      <c r="A322" s="12">
        <f>CMP!M324</f>
        <v>43.54</v>
      </c>
      <c r="B322" s="12">
        <f>CMP!O324</f>
        <v>43.56</v>
      </c>
    </row>
    <row r="323">
      <c r="A323" s="12">
        <f>CMP!M325</f>
        <v>43.43</v>
      </c>
      <c r="B323" s="12">
        <f>CMP!O325</f>
        <v>43.58</v>
      </c>
    </row>
    <row r="324">
      <c r="A324" s="12">
        <f>CMP!M326</f>
        <v>43.3</v>
      </c>
      <c r="B324" s="12">
        <f>CMP!O326</f>
        <v>43.72</v>
      </c>
    </row>
    <row r="325">
      <c r="A325" s="12">
        <f>CMP!M327</f>
        <v>43.58</v>
      </c>
      <c r="B325" s="12">
        <f>CMP!O327</f>
        <v>43.29</v>
      </c>
    </row>
    <row r="326">
      <c r="A326" s="12">
        <f>CMP!M328</f>
        <v>43.57</v>
      </c>
      <c r="B326" s="12">
        <f>CMP!O328</f>
        <v>43.74</v>
      </c>
    </row>
    <row r="327">
      <c r="A327" s="12">
        <f>CMP!M329</f>
        <v>43.92</v>
      </c>
      <c r="B327" s="12">
        <f>CMP!O329</f>
        <v>43.96</v>
      </c>
    </row>
    <row r="328">
      <c r="A328" s="12">
        <f>CMP!M330</f>
        <v>43.99</v>
      </c>
      <c r="B328" s="12">
        <f>CMP!O330</f>
        <v>43.88</v>
      </c>
    </row>
    <row r="329">
      <c r="A329" s="12">
        <f>CMP!M331</f>
        <v>43.67</v>
      </c>
      <c r="B329" s="12">
        <f>CMP!O331</f>
        <v>43.63</v>
      </c>
    </row>
    <row r="330">
      <c r="A330" s="12">
        <f>CMP!M332</f>
        <v>43.47</v>
      </c>
      <c r="B330" s="12">
        <f>CMP!O332</f>
        <v>43.13</v>
      </c>
    </row>
    <row r="331">
      <c r="A331" s="12">
        <f>CMP!M333</f>
        <v>42.58</v>
      </c>
      <c r="B331" s="12">
        <f>CMP!O333</f>
        <v>43.23</v>
      </c>
    </row>
    <row r="332">
      <c r="A332" s="12">
        <f>CMP!M334</f>
        <v>43.87</v>
      </c>
      <c r="B332" s="12">
        <f>CMP!O334</f>
        <v>44.73</v>
      </c>
    </row>
    <row r="333">
      <c r="A333" s="12">
        <f>CMP!M335</f>
        <v>45</v>
      </c>
      <c r="B333" s="12">
        <f>CMP!O335</f>
        <v>45.23</v>
      </c>
    </row>
    <row r="334">
      <c r="A334" s="12">
        <f>CMP!M336</f>
        <v>45.56</v>
      </c>
      <c r="B334" s="12">
        <f>CMP!O336</f>
        <v>45.43</v>
      </c>
    </row>
    <row r="335">
      <c r="A335" s="12">
        <f>CMP!M337</f>
        <v>45.98</v>
      </c>
      <c r="B335" s="12">
        <f>CMP!O337</f>
        <v>45.93</v>
      </c>
    </row>
    <row r="336">
      <c r="A336" s="12">
        <f>CMP!M338</f>
        <v>46.21</v>
      </c>
      <c r="B336" s="12">
        <f>CMP!O338</f>
        <v>46.53</v>
      </c>
    </row>
    <row r="337">
      <c r="A337" s="12">
        <f>CMP!M339</f>
        <v>46.45</v>
      </c>
      <c r="B337" s="12">
        <f>CMP!O339</f>
        <v>47.01</v>
      </c>
    </row>
    <row r="338">
      <c r="A338" s="12">
        <f>CMP!M340</f>
        <v>47.09</v>
      </c>
      <c r="B338" s="12">
        <f>CMP!O340</f>
        <v>46.63</v>
      </c>
    </row>
    <row r="339">
      <c r="A339" s="12">
        <f>CMP!M341</f>
        <v>46.56</v>
      </c>
      <c r="B339" s="12">
        <f>CMP!O341</f>
        <v>47.04</v>
      </c>
    </row>
    <row r="340">
      <c r="A340" s="12">
        <f>CMP!M342</f>
        <v>47.51</v>
      </c>
      <c r="B340" s="12">
        <f>CMP!O342</f>
        <v>48.77</v>
      </c>
    </row>
    <row r="341">
      <c r="A341" s="12">
        <f>CMP!M343</f>
        <v>48.84</v>
      </c>
      <c r="B341" s="12">
        <f>CMP!O343</f>
        <v>47.76</v>
      </c>
    </row>
    <row r="342">
      <c r="A342" s="12">
        <f>CMP!M344</f>
        <v>47.88</v>
      </c>
      <c r="B342" s="12">
        <f>CMP!O344</f>
        <v>47.19</v>
      </c>
    </row>
    <row r="343">
      <c r="A343" s="12">
        <f>CMP!M345</f>
        <v>47.92</v>
      </c>
      <c r="B343" s="12">
        <f>CMP!O345</f>
        <v>46.7</v>
      </c>
    </row>
    <row r="344">
      <c r="A344" s="12">
        <f>CMP!M346</f>
        <v>47.19</v>
      </c>
      <c r="B344" s="12">
        <f>CMP!O346</f>
        <v>47.12</v>
      </c>
    </row>
    <row r="345">
      <c r="A345" s="12">
        <f>CMP!M347</f>
        <v>47.24</v>
      </c>
      <c r="B345" s="12">
        <f>CMP!O347</f>
        <v>47.18</v>
      </c>
    </row>
    <row r="346">
      <c r="A346" s="12">
        <f>CMP!M348</f>
        <v>47.46</v>
      </c>
      <c r="B346" s="12">
        <f>CMP!O348</f>
        <v>47.49</v>
      </c>
    </row>
    <row r="347">
      <c r="A347" s="12">
        <f>CMP!M349</f>
        <v>47.91</v>
      </c>
      <c r="B347" s="12">
        <f>CMP!O349</f>
        <v>47.81</v>
      </c>
    </row>
    <row r="348">
      <c r="A348" s="12">
        <f>CMP!M350</f>
        <v>47.77</v>
      </c>
      <c r="B348" s="12">
        <f>CMP!O350</f>
        <v>48.51</v>
      </c>
    </row>
    <row r="349">
      <c r="A349" s="12">
        <f>CMP!M351</f>
        <v>48.31</v>
      </c>
      <c r="B349" s="12">
        <f>CMP!O351</f>
        <v>48.84</v>
      </c>
    </row>
    <row r="350">
      <c r="A350" s="12">
        <f>CMP!M352</f>
        <v>48.7</v>
      </c>
      <c r="B350" s="12">
        <f>CMP!O352</f>
        <v>48.92</v>
      </c>
    </row>
    <row r="351">
      <c r="A351" s="12">
        <f>CMP!M353</f>
        <v>49.11</v>
      </c>
      <c r="B351" s="12">
        <f>CMP!O353</f>
        <v>49.25</v>
      </c>
    </row>
    <row r="352">
      <c r="A352" s="12">
        <f>CMP!M354</f>
        <v>49.11</v>
      </c>
      <c r="B352" s="12">
        <f>CMP!O354</f>
        <v>50.03</v>
      </c>
    </row>
    <row r="353">
      <c r="A353" s="12">
        <f>CMP!M355</f>
        <v>50.08</v>
      </c>
      <c r="B353" s="12">
        <f>CMP!O355</f>
        <v>49.88</v>
      </c>
    </row>
    <row r="354">
      <c r="A354" s="12">
        <f>CMP!M356</f>
        <v>49.67</v>
      </c>
      <c r="B354" s="12">
        <f>CMP!O356</f>
        <v>50.16</v>
      </c>
    </row>
    <row r="355">
      <c r="A355" s="12">
        <f>CMP!M357</f>
        <v>50.21</v>
      </c>
      <c r="B355" s="12">
        <f>CMP!O357</f>
        <v>49.74</v>
      </c>
    </row>
    <row r="356">
      <c r="A356" s="12">
        <f>CMP!M358</f>
        <v>49.8</v>
      </c>
      <c r="B356" s="12">
        <f>CMP!O358</f>
        <v>49.72</v>
      </c>
    </row>
    <row r="357">
      <c r="A357" s="12">
        <f>CMP!M359</f>
        <v>49.65</v>
      </c>
      <c r="B357" s="12">
        <f>CMP!O359</f>
        <v>49.81</v>
      </c>
    </row>
    <row r="358">
      <c r="A358" s="12">
        <f>CMP!M360</f>
        <v>49.87</v>
      </c>
      <c r="B358" s="12">
        <f>CMP!O360</f>
        <v>49.81</v>
      </c>
    </row>
    <row r="359">
      <c r="A359" s="12">
        <f>CMP!M361</f>
        <v>49.89</v>
      </c>
      <c r="B359" s="12">
        <f>CMP!O361</f>
        <v>50.78</v>
      </c>
    </row>
    <row r="360">
      <c r="A360" s="12">
        <f>CMP!M362</f>
        <v>50.78</v>
      </c>
      <c r="B360" s="12">
        <f>CMP!O362</f>
        <v>50.97</v>
      </c>
    </row>
    <row r="361">
      <c r="A361" s="12">
        <f>CMP!M363</f>
        <v>50.71</v>
      </c>
      <c r="B361" s="12">
        <f>CMP!O363</f>
        <v>51.13</v>
      </c>
    </row>
    <row r="362">
      <c r="A362" s="12">
        <f>CMP!M364</f>
        <v>51.11</v>
      </c>
      <c r="B362" s="12">
        <f>CMP!O364</f>
        <v>51.87</v>
      </c>
    </row>
    <row r="363">
      <c r="A363" s="12">
        <f>CMP!M365</f>
        <v>51.84</v>
      </c>
      <c r="B363" s="12">
        <f>CMP!O365</f>
        <v>51.79</v>
      </c>
    </row>
    <row r="364">
      <c r="A364" s="12">
        <f>CMP!M366</f>
        <v>51.71</v>
      </c>
      <c r="B364" s="12">
        <f>CMP!O366</f>
        <v>51.32</v>
      </c>
    </row>
    <row r="365">
      <c r="A365" s="12">
        <f>CMP!M367</f>
        <v>51.23</v>
      </c>
      <c r="B365" s="12">
        <f>CMP!O367</f>
        <v>51.08</v>
      </c>
    </row>
    <row r="366">
      <c r="A366" s="12">
        <f>CMP!M368</f>
        <v>51.1</v>
      </c>
      <c r="B366" s="12">
        <f>CMP!O368</f>
        <v>51.15</v>
      </c>
    </row>
    <row r="367">
      <c r="A367" s="12">
        <f>CMP!M369</f>
        <v>50.77</v>
      </c>
      <c r="B367" s="12">
        <f>CMP!O369</f>
        <v>50.17</v>
      </c>
    </row>
    <row r="368">
      <c r="A368" s="12">
        <f>CMP!M370</f>
        <v>52.47</v>
      </c>
      <c r="B368" s="12">
        <f>CMP!O370</f>
        <v>52.63</v>
      </c>
    </row>
    <row r="369">
      <c r="A369" s="12">
        <f>CMP!M371</f>
        <v>52.46</v>
      </c>
      <c r="B369" s="12">
        <f>CMP!O371</f>
        <v>52.29</v>
      </c>
    </row>
    <row r="370">
      <c r="A370" s="12">
        <f>CMP!M372</f>
        <v>52.72</v>
      </c>
      <c r="B370" s="12">
        <f>CMP!O372</f>
        <v>52.94</v>
      </c>
    </row>
    <row r="371">
      <c r="A371" s="12">
        <f>CMP!M373</f>
        <v>51.07</v>
      </c>
      <c r="B371" s="12">
        <f>CMP!O373</f>
        <v>52.12</v>
      </c>
    </row>
    <row r="372">
      <c r="A372" s="12">
        <f>CMP!M374</f>
        <v>51.47</v>
      </c>
      <c r="B372" s="12">
        <f>CMP!O374</f>
        <v>50.72</v>
      </c>
    </row>
    <row r="373">
      <c r="A373" s="12">
        <f>CMP!M375</f>
        <v>50.48</v>
      </c>
      <c r="B373" s="12">
        <f>CMP!O375</f>
        <v>50.73</v>
      </c>
    </row>
    <row r="374">
      <c r="A374" s="12">
        <f>CMP!M376</f>
        <v>50.1</v>
      </c>
      <c r="B374" s="12">
        <f>CMP!O376</f>
        <v>50.18</v>
      </c>
    </row>
    <row r="375">
      <c r="A375" s="12">
        <f>CMP!M377</f>
        <v>49.35</v>
      </c>
      <c r="B375" s="12">
        <f>CMP!O377</f>
        <v>49.3</v>
      </c>
    </row>
    <row r="376">
      <c r="A376" s="12">
        <f>CMP!M378</f>
        <v>46.93</v>
      </c>
      <c r="B376" s="12">
        <f>CMP!O378</f>
        <v>46.43</v>
      </c>
    </row>
    <row r="377">
      <c r="A377" s="12">
        <f>CMP!M379</f>
        <v>46.6</v>
      </c>
      <c r="B377" s="12">
        <f>CMP!O379</f>
        <v>47.17</v>
      </c>
    </row>
    <row r="378">
      <c r="A378" s="12">
        <f>CMP!M380</f>
        <v>46.57</v>
      </c>
      <c r="B378" s="12">
        <f>CMP!O380</f>
        <v>47.73</v>
      </c>
    </row>
    <row r="379">
      <c r="A379" s="12">
        <f>CMP!M381</f>
        <v>47.48</v>
      </c>
      <c r="B379" s="12">
        <f>CMP!O381</f>
        <v>47.52</v>
      </c>
    </row>
    <row r="380">
      <c r="A380" s="12">
        <f>CMP!M382</f>
        <v>46.73</v>
      </c>
      <c r="B380" s="12">
        <f>CMP!O382</f>
        <v>47.25</v>
      </c>
    </row>
    <row r="381">
      <c r="A381" s="12">
        <f>CMP!M383</f>
        <v>45.88</v>
      </c>
      <c r="B381" s="12">
        <f>CMP!O383</f>
        <v>45.77</v>
      </c>
    </row>
    <row r="382">
      <c r="A382" s="12">
        <f>CMP!M384</f>
        <v>46.31</v>
      </c>
      <c r="B382" s="12">
        <f>CMP!O384</f>
        <v>46.65</v>
      </c>
    </row>
    <row r="383">
      <c r="A383" s="12">
        <f>CMP!M385</f>
        <v>46.17</v>
      </c>
      <c r="B383" s="12">
        <f>CMP!O385</f>
        <v>45.7</v>
      </c>
    </row>
    <row r="384">
      <c r="A384" s="12">
        <f>CMP!M386</f>
        <v>44.95</v>
      </c>
      <c r="B384" s="12">
        <f>CMP!O386</f>
        <v>44.92</v>
      </c>
    </row>
    <row r="385">
      <c r="A385" s="12">
        <f>CMP!M387</f>
        <v>45.05</v>
      </c>
      <c r="B385" s="12">
        <f>CMP!O387</f>
        <v>44.74</v>
      </c>
    </row>
    <row r="386">
      <c r="A386" s="12">
        <f>CMP!M388</f>
        <v>44.73</v>
      </c>
      <c r="B386" s="12">
        <f>CMP!O388</f>
        <v>44.56</v>
      </c>
    </row>
    <row r="387">
      <c r="A387" s="12">
        <f>CMP!M389</f>
        <v>44.11</v>
      </c>
      <c r="B387" s="12">
        <f>CMP!O389</f>
        <v>44.35</v>
      </c>
    </row>
    <row r="388">
      <c r="A388" s="12">
        <f>CMP!M390</f>
        <v>44.49</v>
      </c>
      <c r="B388" s="12">
        <f>CMP!O390</f>
        <v>44.58</v>
      </c>
    </row>
    <row r="389">
      <c r="A389" s="12">
        <f>CMP!M391</f>
        <v>44.06</v>
      </c>
      <c r="B389" s="12">
        <f>CMP!O391</f>
        <v>43.77</v>
      </c>
    </row>
    <row r="390">
      <c r="A390" s="12">
        <f>CMP!M392</f>
        <v>43.9</v>
      </c>
      <c r="B390" s="12">
        <f>CMP!O392</f>
        <v>43.33</v>
      </c>
    </row>
    <row r="391">
      <c r="A391" s="12">
        <f>CMP!M393</f>
        <v>43.86</v>
      </c>
      <c r="B391" s="12">
        <f>CMP!O393</f>
        <v>44.91</v>
      </c>
    </row>
    <row r="392">
      <c r="A392" s="12">
        <f>CMP!M394</f>
        <v>46.07</v>
      </c>
      <c r="B392" s="12">
        <f>CMP!O394</f>
        <v>45.64</v>
      </c>
    </row>
    <row r="393">
      <c r="A393" s="12">
        <f>CMP!M395</f>
        <v>45.77</v>
      </c>
      <c r="B393" s="12">
        <f>CMP!O395</f>
        <v>46.31</v>
      </c>
    </row>
    <row r="394">
      <c r="A394" s="12">
        <f>CMP!M396</f>
        <v>46.63</v>
      </c>
      <c r="B394" s="12">
        <f>CMP!O396</f>
        <v>47.54</v>
      </c>
    </row>
    <row r="395">
      <c r="A395" s="12">
        <f>CMP!M397</f>
        <v>47.95</v>
      </c>
      <c r="B395" s="12">
        <f>CMP!O397</f>
        <v>48.15</v>
      </c>
    </row>
    <row r="396">
      <c r="A396" s="12">
        <f>CMP!M398</f>
        <v>48.72</v>
      </c>
      <c r="B396" s="12">
        <f>CMP!O398</f>
        <v>48.7</v>
      </c>
    </row>
    <row r="397">
      <c r="A397" s="12">
        <f>CMP!M399</f>
        <v>48.49</v>
      </c>
      <c r="B397" s="12">
        <f>CMP!O399</f>
        <v>48.55</v>
      </c>
    </row>
    <row r="398">
      <c r="A398" s="12">
        <f>CMP!M400</f>
        <v>48.68</v>
      </c>
      <c r="B398" s="12">
        <f>CMP!O400</f>
        <v>48.54</v>
      </c>
    </row>
    <row r="399">
      <c r="A399" s="12">
        <f>CMP!M401</f>
        <v>47.89</v>
      </c>
      <c r="B399" s="12">
        <f>CMP!O401</f>
        <v>48.19</v>
      </c>
    </row>
    <row r="400">
      <c r="A400" s="12">
        <f>CMP!M402</f>
        <v>48.23</v>
      </c>
      <c r="B400" s="12">
        <f>CMP!O402</f>
        <v>48.47</v>
      </c>
    </row>
    <row r="401">
      <c r="A401" s="12">
        <f>CMP!M403</f>
        <v>49.01</v>
      </c>
      <c r="B401" s="12">
        <f>CMP!O403</f>
        <v>49.61</v>
      </c>
    </row>
    <row r="402">
      <c r="A402" s="12">
        <f>CMP!M404</f>
        <v>49.92</v>
      </c>
      <c r="B402" s="12">
        <f>CMP!O404</f>
        <v>49.47</v>
      </c>
    </row>
    <row r="403">
      <c r="A403" s="12">
        <f>CMP!M405</f>
        <v>50.09</v>
      </c>
      <c r="B403" s="12">
        <f>CMP!O405</f>
        <v>49.87</v>
      </c>
    </row>
    <row r="404">
      <c r="A404" s="12">
        <f>CMP!M406</f>
        <v>49.7</v>
      </c>
      <c r="B404" s="12">
        <f>CMP!O406</f>
        <v>49.7</v>
      </c>
    </row>
    <row r="405">
      <c r="A405" s="12">
        <f>CMP!M407</f>
        <v>49.64</v>
      </c>
      <c r="B405" s="12">
        <f>CMP!O407</f>
        <v>49.65</v>
      </c>
    </row>
    <row r="406">
      <c r="A406" s="12">
        <f>CMP!M408</f>
        <v>49.61</v>
      </c>
      <c r="B406" s="12">
        <f>CMP!O408</f>
        <v>48.89</v>
      </c>
    </row>
    <row r="407">
      <c r="A407" s="12">
        <f>CMP!M409</f>
        <v>49.44</v>
      </c>
      <c r="B407" s="12">
        <f>CMP!O409</f>
        <v>49.95</v>
      </c>
    </row>
    <row r="408">
      <c r="A408" s="12">
        <f>CMP!M410</f>
        <v>50.07</v>
      </c>
      <c r="B408" s="12">
        <f>CMP!O410</f>
        <v>49.94</v>
      </c>
    </row>
    <row r="409">
      <c r="A409" s="12">
        <f>CMP!M411</f>
        <v>49.67</v>
      </c>
      <c r="B409" s="12">
        <f>CMP!O411</f>
        <v>49.48</v>
      </c>
    </row>
    <row r="410">
      <c r="A410" s="12">
        <f>CMP!M412</f>
        <v>50.79</v>
      </c>
      <c r="B410" s="12">
        <f>CMP!O412</f>
        <v>50.39</v>
      </c>
    </row>
    <row r="411">
      <c r="A411" s="12">
        <f>CMP!M413</f>
        <v>50.35</v>
      </c>
      <c r="B411" s="12">
        <f>CMP!O413</f>
        <v>50.68</v>
      </c>
    </row>
    <row r="412">
      <c r="A412" s="12">
        <f>CMP!M414</f>
        <v>50.82</v>
      </c>
      <c r="B412" s="12">
        <f>CMP!O414</f>
        <v>51.1</v>
      </c>
    </row>
    <row r="413">
      <c r="A413" s="12">
        <f>CMP!M415</f>
        <v>50.84</v>
      </c>
      <c r="B413" s="12">
        <f>CMP!O415</f>
        <v>51.06</v>
      </c>
    </row>
    <row r="414">
      <c r="A414" s="12">
        <f>CMP!M416</f>
        <v>50.2</v>
      </c>
      <c r="B414" s="12">
        <f>CMP!O416</f>
        <v>50.01</v>
      </c>
    </row>
    <row r="415">
      <c r="A415" s="12">
        <f>CMP!M417</f>
        <v>49.8</v>
      </c>
      <c r="B415" s="12">
        <f>CMP!O417</f>
        <v>50.31</v>
      </c>
    </row>
    <row r="416">
      <c r="A416" s="12">
        <f>CMP!M418</f>
        <v>50.46</v>
      </c>
      <c r="B416" s="12">
        <f>CMP!O418</f>
        <v>50.81</v>
      </c>
    </row>
    <row r="417">
      <c r="A417" s="12">
        <f>CMP!M419</f>
        <v>50.83</v>
      </c>
      <c r="B417" s="12">
        <f>CMP!O419</f>
        <v>50.44</v>
      </c>
    </row>
    <row r="418">
      <c r="A418" s="12">
        <f>CMP!M420</f>
        <v>50.61</v>
      </c>
      <c r="B418" s="12">
        <f>CMP!O420</f>
        <v>50.83</v>
      </c>
    </row>
    <row r="419">
      <c r="A419" s="12">
        <f>CMP!M421</f>
        <v>51.02</v>
      </c>
      <c r="B419" s="12">
        <f>CMP!O421</f>
        <v>51.3</v>
      </c>
    </row>
    <row r="420">
      <c r="A420" s="12">
        <f>CMP!M422</f>
        <v>51.15</v>
      </c>
      <c r="B420" s="12">
        <f>CMP!O422</f>
        <v>51.13</v>
      </c>
    </row>
    <row r="421">
      <c r="A421" s="12">
        <f>CMP!M423</f>
        <v>51.01</v>
      </c>
      <c r="B421" s="12">
        <f>CMP!O423</f>
        <v>50.84</v>
      </c>
    </row>
    <row r="422">
      <c r="A422" s="12">
        <f>CMP!M424</f>
        <v>51</v>
      </c>
      <c r="B422" s="12">
        <f>CMP!O424</f>
        <v>51.42</v>
      </c>
    </row>
    <row r="423">
      <c r="A423" s="12">
        <f>CMP!M425</f>
        <v>51.45</v>
      </c>
      <c r="B423" s="12">
        <f>CMP!O425</f>
        <v>50.65</v>
      </c>
    </row>
    <row r="424">
      <c r="A424" s="12">
        <f>CMP!M426</f>
        <v>50.91</v>
      </c>
      <c r="B424" s="12">
        <f>CMP!O426</f>
        <v>51.81</v>
      </c>
    </row>
    <row r="425">
      <c r="A425" s="12">
        <f>CMP!M427</f>
        <v>52.12</v>
      </c>
      <c r="B425" s="12">
        <f>CMP!O427</f>
        <v>52.21</v>
      </c>
    </row>
    <row r="426">
      <c r="A426" s="12">
        <f>CMP!M428</f>
        <v>51.92</v>
      </c>
      <c r="B426" s="12">
        <f>CMP!O428</f>
        <v>52.17</v>
      </c>
    </row>
    <row r="427">
      <c r="A427" s="12">
        <f>CMP!M429</f>
        <v>52.22</v>
      </c>
      <c r="B427" s="12">
        <f>CMP!O429</f>
        <v>51.76</v>
      </c>
    </row>
    <row r="428">
      <c r="A428" s="12">
        <f>CMP!M430</f>
        <v>51.87</v>
      </c>
      <c r="B428" s="12">
        <f>CMP!O430</f>
        <v>51.94</v>
      </c>
    </row>
    <row r="429">
      <c r="A429" s="12">
        <f>CMP!M431</f>
        <v>52.12</v>
      </c>
      <c r="B429" s="12">
        <f>CMP!O431</f>
        <v>52.42</v>
      </c>
    </row>
    <row r="430">
      <c r="A430" s="12">
        <f>CMP!M432</f>
        <v>52.19</v>
      </c>
      <c r="B430" s="12">
        <f>CMP!O432</f>
        <v>52.2</v>
      </c>
    </row>
    <row r="431">
      <c r="A431" s="12">
        <f>CMP!M433</f>
        <v>54.11</v>
      </c>
      <c r="B431" s="12">
        <f>CMP!O433</f>
        <v>53.26</v>
      </c>
    </row>
    <row r="432">
      <c r="A432" s="12">
        <f>CMP!M434</f>
        <v>53.48</v>
      </c>
      <c r="B432" s="12">
        <f>CMP!O434</f>
        <v>52.11</v>
      </c>
    </row>
    <row r="433">
      <c r="A433" s="12">
        <f>CMP!M435</f>
        <v>51.38</v>
      </c>
      <c r="B433" s="12">
        <f>CMP!O435</f>
        <v>51.01</v>
      </c>
    </row>
    <row r="434">
      <c r="A434" s="12">
        <f>CMP!M436</f>
        <v>49.5</v>
      </c>
      <c r="B434" s="12">
        <f>CMP!O436</f>
        <v>48.34</v>
      </c>
    </row>
    <row r="435">
      <c r="A435" s="12">
        <f>CMP!M437</f>
        <v>49.08</v>
      </c>
      <c r="B435" s="12">
        <f>CMP!O437</f>
        <v>49.25</v>
      </c>
    </row>
    <row r="436">
      <c r="A436" s="12">
        <f>CMP!M438</f>
        <v>48.85</v>
      </c>
      <c r="B436" s="12">
        <f>CMP!O438</f>
        <v>49.76</v>
      </c>
    </row>
    <row r="437">
      <c r="A437" s="12">
        <f>CMP!M439</f>
        <v>50.05</v>
      </c>
      <c r="B437" s="12">
        <f>CMP!O439</f>
        <v>50.86</v>
      </c>
    </row>
    <row r="438">
      <c r="A438" s="12">
        <f>CMP!M440</f>
        <v>50.33</v>
      </c>
      <c r="B438" s="12">
        <f>CMP!O440</f>
        <v>50.25</v>
      </c>
    </row>
    <row r="439">
      <c r="A439" s="12">
        <f>CMP!M441</f>
        <v>49.91</v>
      </c>
      <c r="B439" s="12">
        <f>CMP!O441</f>
        <v>50.12</v>
      </c>
    </row>
    <row r="440">
      <c r="A440" s="12">
        <f>CMP!M442</f>
        <v>50.26</v>
      </c>
      <c r="B440" s="12">
        <f>CMP!O442</f>
        <v>52.24</v>
      </c>
    </row>
    <row r="441">
      <c r="A441" s="12">
        <f>CMP!M443</f>
        <v>50.79</v>
      </c>
      <c r="B441" s="12">
        <f>CMP!O443</f>
        <v>50.69</v>
      </c>
    </row>
    <row r="442">
      <c r="A442" s="12">
        <f>CMP!M444</f>
        <v>50.87</v>
      </c>
      <c r="B442" s="12">
        <f>CMP!O444</f>
        <v>50.44</v>
      </c>
    </row>
    <row r="443">
      <c r="A443" s="12">
        <f>CMP!M445</f>
        <v>51.07</v>
      </c>
      <c r="B443" s="12">
        <f>CMP!O445</f>
        <v>51.63</v>
      </c>
    </row>
    <row r="444">
      <c r="A444" s="12">
        <f>CMP!M446</f>
        <v>52.66</v>
      </c>
      <c r="B444" s="12">
        <f>CMP!O446</f>
        <v>52.59</v>
      </c>
    </row>
    <row r="445">
      <c r="A445" s="12">
        <f>CMP!M447</f>
        <v>52.72</v>
      </c>
      <c r="B445" s="12">
        <f>CMP!O447</f>
        <v>52.59</v>
      </c>
    </row>
    <row r="446">
      <c r="A446" s="12">
        <f>CMP!M448</f>
        <v>53.25</v>
      </c>
      <c r="B446" s="12">
        <f>CMP!O448</f>
        <v>53.16</v>
      </c>
    </row>
    <row r="447">
      <c r="A447" s="12">
        <f>CMP!M449</f>
        <v>53.3</v>
      </c>
      <c r="B447" s="12">
        <f>CMP!O449</f>
        <v>53.12</v>
      </c>
    </row>
    <row r="448">
      <c r="A448" s="12">
        <f>CMP!M450</f>
        <v>52.36</v>
      </c>
      <c r="B448" s="12">
        <f>CMP!O450</f>
        <v>50.66</v>
      </c>
    </row>
    <row r="449">
      <c r="A449" s="12">
        <f>CMP!M451</f>
        <v>51.47</v>
      </c>
      <c r="B449" s="12">
        <f>CMP!O451</f>
        <v>51.62</v>
      </c>
    </row>
    <row r="450">
      <c r="A450" s="12">
        <f>CMP!M452</f>
        <v>51.97</v>
      </c>
      <c r="B450" s="12">
        <f>CMP!O452</f>
        <v>51.04</v>
      </c>
    </row>
    <row r="451">
      <c r="A451" s="12">
        <f>CMP!M453</f>
        <v>51.03</v>
      </c>
      <c r="B451" s="12">
        <f>CMP!O453</f>
        <v>51.38</v>
      </c>
    </row>
    <row r="452">
      <c r="A452" s="12">
        <f>CMP!M454</f>
        <v>52.13</v>
      </c>
      <c r="B452" s="12">
        <f>CMP!O454</f>
        <v>52.25</v>
      </c>
    </row>
    <row r="453">
      <c r="A453" s="12">
        <f>CMP!M455</f>
        <v>52.54</v>
      </c>
      <c r="B453" s="12">
        <f>CMP!O455</f>
        <v>52.19</v>
      </c>
    </row>
    <row r="454">
      <c r="A454" s="12">
        <f>CMP!M456</f>
        <v>51.61</v>
      </c>
      <c r="B454" s="12">
        <f>CMP!O456</f>
        <v>51.43</v>
      </c>
    </row>
    <row r="455">
      <c r="A455" s="12">
        <f>CMP!M457</f>
        <v>52.1</v>
      </c>
      <c r="B455" s="12">
        <f>CMP!O457</f>
        <v>52.3</v>
      </c>
    </row>
    <row r="456">
      <c r="A456" s="12">
        <f>CMP!M458</f>
        <v>53</v>
      </c>
      <c r="B456" s="12">
        <f>CMP!O458</f>
        <v>53.32</v>
      </c>
    </row>
    <row r="457">
      <c r="A457" s="12">
        <f>CMP!M459</f>
        <v>53.51</v>
      </c>
      <c r="B457" s="12">
        <f>CMP!O459</f>
        <v>53.32</v>
      </c>
    </row>
    <row r="458">
      <c r="A458" s="12">
        <f>CMP!M460</f>
        <v>53.71</v>
      </c>
      <c r="B458" s="12">
        <f>CMP!O460</f>
        <v>53.54</v>
      </c>
    </row>
    <row r="459">
      <c r="A459" s="12">
        <f>CMP!M461</f>
        <v>53.47</v>
      </c>
      <c r="B459" s="12">
        <f>CMP!O461</f>
        <v>54.18</v>
      </c>
    </row>
    <row r="460">
      <c r="A460" s="12">
        <f>CMP!M462</f>
        <v>54.52</v>
      </c>
      <c r="B460" s="12">
        <f>CMP!O462</f>
        <v>55.9</v>
      </c>
    </row>
    <row r="461">
      <c r="A461" s="12">
        <f>CMP!M463</f>
        <v>56.2</v>
      </c>
      <c r="B461" s="12">
        <f>CMP!O463</f>
        <v>55.77</v>
      </c>
    </row>
    <row r="462">
      <c r="A462" s="12">
        <f>CMP!M464</f>
        <v>55</v>
      </c>
      <c r="B462" s="12">
        <f>CMP!O464</f>
        <v>54.69</v>
      </c>
    </row>
    <row r="463">
      <c r="A463" s="12">
        <f>CMP!M465</f>
        <v>54.43</v>
      </c>
      <c r="B463" s="12">
        <f>CMP!O465</f>
        <v>54.98</v>
      </c>
    </row>
    <row r="464">
      <c r="A464" s="12">
        <f>CMP!M466</f>
        <v>54.99</v>
      </c>
      <c r="B464" s="12">
        <f>CMP!O466</f>
        <v>55.18</v>
      </c>
    </row>
    <row r="465">
      <c r="A465" s="12">
        <f>CMP!M467</f>
        <v>55.27</v>
      </c>
      <c r="B465" s="12">
        <f>CMP!O467</f>
        <v>55.69</v>
      </c>
    </row>
    <row r="466">
      <c r="A466" s="12">
        <f>CMP!M468</f>
        <v>55.5</v>
      </c>
      <c r="B466" s="12">
        <f>CMP!O468</f>
        <v>55.24</v>
      </c>
    </row>
    <row r="467">
      <c r="A467" s="12">
        <f>CMP!M469</f>
        <v>55.35</v>
      </c>
      <c r="B467" s="12">
        <f>CMP!O469</f>
        <v>54.43</v>
      </c>
    </row>
    <row r="468">
      <c r="A468" s="12">
        <f>CMP!M470</f>
        <v>54.74</v>
      </c>
      <c r="B468" s="12">
        <f>CMP!O470</f>
        <v>54.68</v>
      </c>
    </row>
    <row r="469">
      <c r="A469" s="12">
        <f>CMP!M471</f>
        <v>55.26</v>
      </c>
      <c r="B469" s="12">
        <f>CMP!O471</f>
        <v>54.42</v>
      </c>
    </row>
    <row r="470">
      <c r="A470" s="12">
        <f>CMP!M472</f>
        <v>54.64</v>
      </c>
      <c r="B470" s="12">
        <f>CMP!O472</f>
        <v>55.26</v>
      </c>
    </row>
    <row r="471">
      <c r="A471" s="12">
        <f>CMP!M473</f>
        <v>55</v>
      </c>
      <c r="B471" s="12">
        <f>CMP!O473</f>
        <v>54.97</v>
      </c>
    </row>
    <row r="472">
      <c r="A472" s="12">
        <f>CMP!M474</f>
        <v>55.14</v>
      </c>
      <c r="B472" s="12">
        <f>CMP!O474</f>
        <v>54.71</v>
      </c>
    </row>
    <row r="473">
      <c r="A473" s="12">
        <f>CMP!M475</f>
        <v>55.23</v>
      </c>
      <c r="B473" s="12">
        <f>CMP!O475</f>
        <v>55.99</v>
      </c>
    </row>
    <row r="474">
      <c r="A474" s="12">
        <f>CMP!M476</f>
        <v>56.27</v>
      </c>
      <c r="B474" s="12">
        <f>CMP!O476</f>
        <v>56.15</v>
      </c>
    </row>
    <row r="475">
      <c r="A475" s="12">
        <f>CMP!M477</f>
        <v>55.77</v>
      </c>
      <c r="B475" s="12">
        <f>CMP!O477</f>
        <v>54.74</v>
      </c>
    </row>
    <row r="476">
      <c r="A476" s="12">
        <f>CMP!M478</f>
        <v>54.61</v>
      </c>
      <c r="B476" s="12">
        <f>CMP!O478</f>
        <v>55.21</v>
      </c>
    </row>
    <row r="477">
      <c r="A477" s="12">
        <f>CMP!M479</f>
        <v>56.41</v>
      </c>
      <c r="B477" s="12">
        <f>CMP!O479</f>
        <v>56.75</v>
      </c>
    </row>
    <row r="478">
      <c r="A478" s="12">
        <f>CMP!M480</f>
        <v>56.57</v>
      </c>
      <c r="B478" s="12">
        <f>CMP!O480</f>
        <v>56.77</v>
      </c>
    </row>
    <row r="479">
      <c r="A479" s="12">
        <f>CMP!M481</f>
        <v>56.46</v>
      </c>
      <c r="B479" s="12">
        <f>CMP!O481</f>
        <v>56.1</v>
      </c>
    </row>
    <row r="480">
      <c r="A480" s="12">
        <f>CMP!M482</f>
        <v>56.76</v>
      </c>
      <c r="B480" s="12">
        <f>CMP!O482</f>
        <v>56.76</v>
      </c>
    </row>
    <row r="481">
      <c r="A481" s="12">
        <f>CMP!M483</f>
        <v>56.98</v>
      </c>
      <c r="B481" s="12">
        <f>CMP!O483</f>
        <v>57.52</v>
      </c>
    </row>
    <row r="482">
      <c r="A482" s="12">
        <f>CMP!M484</f>
        <v>58.24</v>
      </c>
      <c r="B482" s="12">
        <f>CMP!O484</f>
        <v>59.05</v>
      </c>
    </row>
    <row r="483">
      <c r="A483" s="12">
        <f>CMP!M485</f>
        <v>58.73</v>
      </c>
      <c r="B483" s="12">
        <f>CMP!O485</f>
        <v>58.97</v>
      </c>
    </row>
    <row r="484">
      <c r="A484" s="12">
        <f>CMP!M486</f>
        <v>59.1</v>
      </c>
      <c r="B484" s="12">
        <f>CMP!O486</f>
        <v>58.83</v>
      </c>
    </row>
    <row r="485">
      <c r="A485" s="12">
        <f>CMP!M487</f>
        <v>58.34</v>
      </c>
      <c r="B485" s="12">
        <f>CMP!O487</f>
        <v>58.59</v>
      </c>
    </row>
    <row r="486">
      <c r="A486" s="12">
        <f>CMP!M488</f>
        <v>58.77</v>
      </c>
      <c r="B486" s="12">
        <f>CMP!O488</f>
        <v>58.82</v>
      </c>
    </row>
    <row r="487">
      <c r="A487" s="12">
        <f>CMP!M489</f>
        <v>58.65</v>
      </c>
      <c r="B487" s="12">
        <f>CMP!O489</f>
        <v>59.1</v>
      </c>
    </row>
    <row r="488">
      <c r="A488" s="12">
        <f>CMP!M490</f>
        <v>59.38</v>
      </c>
      <c r="B488" s="12">
        <f>CMP!O490</f>
        <v>60.13</v>
      </c>
    </row>
    <row r="489">
      <c r="A489" s="12">
        <f>CMP!M491</f>
        <v>60.29</v>
      </c>
      <c r="B489" s="12">
        <f>CMP!O491</f>
        <v>59.99</v>
      </c>
    </row>
    <row r="490">
      <c r="A490" s="12">
        <f>CMP!M492</f>
        <v>60.53</v>
      </c>
      <c r="B490" s="12">
        <f>CMP!O492</f>
        <v>60.8</v>
      </c>
    </row>
    <row r="491">
      <c r="A491" s="12">
        <f>CMP!M493</f>
        <v>61.13</v>
      </c>
      <c r="B491" s="12">
        <f>CMP!O493</f>
        <v>60.9</v>
      </c>
    </row>
    <row r="492">
      <c r="A492" s="12">
        <f>CMP!M494</f>
        <v>60.79</v>
      </c>
      <c r="B492" s="12">
        <f>CMP!O494</f>
        <v>61.65</v>
      </c>
    </row>
    <row r="493">
      <c r="A493" s="12">
        <f>CMP!M495</f>
        <v>61.86</v>
      </c>
      <c r="B493" s="12">
        <f>CMP!O495</f>
        <v>62.26</v>
      </c>
    </row>
    <row r="494">
      <c r="A494" s="12">
        <f>CMP!M496</f>
        <v>62.24</v>
      </c>
      <c r="B494" s="12">
        <f>CMP!O496</f>
        <v>60.82</v>
      </c>
    </row>
    <row r="495">
      <c r="A495" s="12">
        <f>CMP!M497</f>
        <v>61.19</v>
      </c>
      <c r="B495" s="12">
        <f>CMP!O497</f>
        <v>60.82</v>
      </c>
    </row>
    <row r="496">
      <c r="A496" s="12">
        <f>CMP!M498</f>
        <v>61.81</v>
      </c>
      <c r="B496" s="12">
        <f>CMP!O498</f>
        <v>62.19</v>
      </c>
    </row>
    <row r="497">
      <c r="A497" s="12">
        <f>CMP!M499</f>
        <v>62.39</v>
      </c>
      <c r="B497" s="12">
        <f>CMP!O499</f>
        <v>63.96</v>
      </c>
    </row>
    <row r="498">
      <c r="A498" s="12">
        <f>CMP!M500</f>
        <v>64.33</v>
      </c>
      <c r="B498" s="12">
        <f>CMP!O500</f>
        <v>64.38</v>
      </c>
    </row>
    <row r="499">
      <c r="A499" s="12">
        <f>CMP!M501</f>
        <v>64.26</v>
      </c>
      <c r="B499" s="12">
        <f>CMP!O501</f>
        <v>64.28</v>
      </c>
    </row>
    <row r="500">
      <c r="A500" s="12">
        <f>CMP!M502</f>
        <v>64.19</v>
      </c>
      <c r="B500" s="12">
        <f>CMP!O502</f>
        <v>64.31</v>
      </c>
    </row>
    <row r="501">
      <c r="A501" s="12">
        <f>CMP!M503</f>
        <v>64.69</v>
      </c>
      <c r="B501" s="12">
        <f>CMP!O503</f>
        <v>64.86</v>
      </c>
    </row>
    <row r="502">
      <c r="A502" s="12">
        <f>CMP!M504</f>
        <v>64.67</v>
      </c>
      <c r="B502" s="12">
        <f>CMP!O504</f>
        <v>65.04</v>
      </c>
    </row>
    <row r="503">
      <c r="A503" s="12">
        <f>CMP!M505</f>
        <v>64.58</v>
      </c>
      <c r="B503" s="12">
        <f>CMP!O505</f>
        <v>65.55</v>
      </c>
    </row>
    <row r="504">
      <c r="A504" s="12">
        <f>CMP!M506</f>
        <v>65.39</v>
      </c>
      <c r="B504" s="12">
        <f>CMP!O506</f>
        <v>65.49</v>
      </c>
    </row>
    <row r="505">
      <c r="A505" s="12">
        <f>CMP!M507</f>
        <v>65.28</v>
      </c>
      <c r="B505" s="12">
        <f>CMP!O507</f>
        <v>66.12</v>
      </c>
    </row>
    <row r="506">
      <c r="A506" s="12">
        <f>CMP!M508</f>
        <v>65.94</v>
      </c>
      <c r="B506" s="12">
        <f>CMP!O508</f>
        <v>65.66</v>
      </c>
    </row>
    <row r="507">
      <c r="A507" s="12">
        <f>CMP!M509</f>
        <v>65.92</v>
      </c>
      <c r="B507" s="12">
        <f>CMP!O509</f>
        <v>66.44</v>
      </c>
    </row>
    <row r="508">
      <c r="A508" s="12">
        <f>CMP!M510</f>
        <v>66.45</v>
      </c>
      <c r="B508" s="12">
        <f>CMP!O510</f>
        <v>66.78</v>
      </c>
    </row>
    <row r="509">
      <c r="A509" s="12">
        <f>CMP!M511</f>
        <v>66.97</v>
      </c>
      <c r="B509" s="12">
        <f>CMP!O511</f>
        <v>66.57</v>
      </c>
    </row>
    <row r="510">
      <c r="A510" s="12">
        <f>CMP!M512</f>
        <v>66.39</v>
      </c>
      <c r="B510" s="12">
        <f>CMP!O512</f>
        <v>65.8</v>
      </c>
    </row>
    <row r="511">
      <c r="A511" s="12">
        <f>CMP!M513</f>
        <v>65.92</v>
      </c>
      <c r="B511" s="12">
        <f>CMP!O513</f>
        <v>65.5</v>
      </c>
    </row>
    <row r="512">
      <c r="A512" s="12">
        <f>CMP!M514</f>
        <v>65.65</v>
      </c>
      <c r="B512" s="12">
        <f>CMP!O514</f>
        <v>65.44</v>
      </c>
    </row>
    <row r="513">
      <c r="A513" s="12">
        <f>CMP!M515</f>
        <v>65.68</v>
      </c>
      <c r="B513" s="12">
        <f>CMP!O515</f>
        <v>66.59</v>
      </c>
    </row>
    <row r="514">
      <c r="A514" s="12">
        <f>CMP!M516</f>
        <v>66.74</v>
      </c>
      <c r="B514" s="12">
        <f>CMP!O516</f>
        <v>66.07</v>
      </c>
    </row>
    <row r="515">
      <c r="A515" s="12">
        <f>CMP!M517</f>
        <v>66.4</v>
      </c>
      <c r="B515" s="12">
        <f>CMP!O517</f>
        <v>66.96</v>
      </c>
    </row>
    <row r="516">
      <c r="A516" s="12">
        <f>CMP!M518</f>
        <v>66.65</v>
      </c>
      <c r="B516" s="12">
        <f>CMP!O518</f>
        <v>66.81</v>
      </c>
    </row>
    <row r="517">
      <c r="A517" s="12">
        <f>CMP!M519</f>
        <v>66.82</v>
      </c>
      <c r="B517" s="12">
        <f>CMP!O519</f>
        <v>66.04</v>
      </c>
    </row>
    <row r="518">
      <c r="A518" s="12">
        <f>CMP!M520</f>
        <v>64.58</v>
      </c>
      <c r="B518" s="12">
        <f>CMP!O520</f>
        <v>64.86</v>
      </c>
    </row>
    <row r="519">
      <c r="A519" s="12">
        <f>CMP!M521</f>
        <v>65.27</v>
      </c>
      <c r="B519" s="12">
        <f>CMP!O521</f>
        <v>65.44</v>
      </c>
    </row>
    <row r="520">
      <c r="A520" s="12">
        <f>CMP!M522</f>
        <v>65.95</v>
      </c>
      <c r="B520" s="12">
        <f>CMP!O522</f>
        <v>66.4</v>
      </c>
    </row>
    <row r="521">
      <c r="A521" s="12">
        <f>CMP!M523</f>
        <v>66.87</v>
      </c>
      <c r="B521" s="12">
        <f>CMP!O523</f>
        <v>67.68</v>
      </c>
    </row>
    <row r="522">
      <c r="A522" s="12">
        <f>CMP!M524</f>
        <v>67.5</v>
      </c>
      <c r="B522" s="12">
        <f>CMP!O524</f>
        <v>66.73</v>
      </c>
    </row>
    <row r="523">
      <c r="A523" s="12">
        <f>CMP!M525</f>
        <v>67.15</v>
      </c>
      <c r="B523" s="12">
        <f>CMP!O525</f>
        <v>67.12</v>
      </c>
    </row>
    <row r="524">
      <c r="A524" s="12">
        <f>CMP!M526</f>
        <v>67.2</v>
      </c>
      <c r="B524" s="12">
        <f>CMP!O526</f>
        <v>67.69</v>
      </c>
    </row>
    <row r="525">
      <c r="A525" s="12">
        <f>CMP!M527</f>
        <v>66.94</v>
      </c>
      <c r="B525" s="12">
        <f>CMP!O527</f>
        <v>67.86</v>
      </c>
    </row>
    <row r="526">
      <c r="A526" s="12">
        <f>CMP!M528</f>
        <v>67.86</v>
      </c>
      <c r="B526" s="12">
        <f>CMP!O528</f>
        <v>68.79</v>
      </c>
    </row>
    <row r="527">
      <c r="A527" s="12">
        <f>CMP!M529</f>
        <v>69.25</v>
      </c>
      <c r="B527" s="12">
        <f>CMP!O529</f>
        <v>69.97</v>
      </c>
    </row>
    <row r="528">
      <c r="A528" s="12">
        <f>CMP!M530</f>
        <v>69.89</v>
      </c>
      <c r="B528" s="12">
        <f>CMP!O530</f>
        <v>70.1</v>
      </c>
    </row>
    <row r="529">
      <c r="A529" s="12">
        <f>CMP!M531</f>
        <v>69.95</v>
      </c>
      <c r="B529" s="12">
        <f>CMP!O531</f>
        <v>69.94</v>
      </c>
    </row>
    <row r="530">
      <c r="A530" s="12">
        <f>CMP!M532</f>
        <v>69.88</v>
      </c>
      <c r="B530" s="12">
        <f>CMP!O532</f>
        <v>70.01</v>
      </c>
    </row>
    <row r="531">
      <c r="A531" s="12">
        <f>CMP!M533</f>
        <v>70.56</v>
      </c>
      <c r="B531" s="12">
        <f>CMP!O533</f>
        <v>69.86</v>
      </c>
    </row>
    <row r="532">
      <c r="A532" s="12">
        <f>CMP!M534</f>
        <v>70.13</v>
      </c>
      <c r="B532" s="12">
        <f>CMP!O534</f>
        <v>71</v>
      </c>
    </row>
    <row r="533">
      <c r="A533" s="12">
        <f>CMP!M535</f>
        <v>71.17</v>
      </c>
      <c r="B533" s="12">
        <f>CMP!O535</f>
        <v>71.07</v>
      </c>
    </row>
    <row r="534">
      <c r="A534" s="12">
        <f>CMP!M536</f>
        <v>71.21</v>
      </c>
      <c r="B534" s="12">
        <f>CMP!O536</f>
        <v>72.48</v>
      </c>
    </row>
    <row r="535">
      <c r="A535" s="12">
        <f>CMP!M537</f>
        <v>72.78</v>
      </c>
      <c r="B535" s="12">
        <f>CMP!O537</f>
        <v>72.45</v>
      </c>
    </row>
    <row r="536">
      <c r="A536" s="12">
        <f>CMP!M538</f>
        <v>72.36</v>
      </c>
      <c r="B536" s="12">
        <f>CMP!O538</f>
        <v>72.88</v>
      </c>
    </row>
    <row r="537">
      <c r="A537" s="12">
        <f>CMP!M539</f>
        <v>72.48</v>
      </c>
      <c r="B537" s="12">
        <f>CMP!O539</f>
        <v>73.41</v>
      </c>
    </row>
    <row r="538">
      <c r="A538" s="12">
        <f>CMP!M540</f>
        <v>74.06</v>
      </c>
      <c r="B538" s="12">
        <f>CMP!O540</f>
        <v>75.09</v>
      </c>
    </row>
    <row r="539">
      <c r="A539" s="12">
        <f>CMP!M541</f>
        <v>74.29</v>
      </c>
      <c r="B539" s="12">
        <f>CMP!O541</f>
        <v>74.36</v>
      </c>
    </row>
    <row r="540">
      <c r="A540" s="12">
        <f>CMP!M542</f>
        <v>73.45</v>
      </c>
      <c r="B540" s="12">
        <f>CMP!O542</f>
        <v>74.95</v>
      </c>
    </row>
    <row r="541">
      <c r="A541" s="12">
        <f>CMP!M543</f>
        <v>74.96</v>
      </c>
      <c r="B541" s="12">
        <f>CMP!O543</f>
        <v>74.6</v>
      </c>
    </row>
    <row r="542">
      <c r="A542" s="12">
        <f>CMP!M544</f>
        <v>74.29</v>
      </c>
      <c r="B542" s="12">
        <f>CMP!O544</f>
        <v>75.8</v>
      </c>
    </row>
    <row r="543">
      <c r="A543" s="12">
        <f>CMP!M545</f>
        <v>76.81</v>
      </c>
      <c r="B543" s="12">
        <f>CMP!O545</f>
        <v>77.41</v>
      </c>
    </row>
    <row r="544">
      <c r="A544" s="12">
        <f>CMP!M546</f>
        <v>77.65</v>
      </c>
      <c r="B544" s="12">
        <f>CMP!O546</f>
        <v>77.58</v>
      </c>
    </row>
    <row r="545">
      <c r="A545" s="12">
        <f>CMP!M547</f>
        <v>77.91</v>
      </c>
      <c r="B545" s="12">
        <f>CMP!O547</f>
        <v>79.24</v>
      </c>
    </row>
    <row r="546">
      <c r="A546" s="12">
        <f>CMP!M548</f>
        <v>79.18</v>
      </c>
      <c r="B546" s="12">
        <f>CMP!O548</f>
        <v>78.17</v>
      </c>
    </row>
    <row r="547">
      <c r="A547" s="12">
        <f>CMP!M549</f>
        <v>77.96</v>
      </c>
      <c r="B547" s="12">
        <f>CMP!O549</f>
        <v>77.83</v>
      </c>
    </row>
    <row r="548">
      <c r="A548" s="12">
        <f>CMP!M550</f>
        <v>78.4</v>
      </c>
      <c r="B548" s="12">
        <f>CMP!O550</f>
        <v>78.81</v>
      </c>
    </row>
    <row r="549">
      <c r="A549" s="12">
        <f>CMP!M551</f>
        <v>79.07</v>
      </c>
      <c r="B549" s="12">
        <f>CMP!O551</f>
        <v>79.68</v>
      </c>
    </row>
    <row r="550">
      <c r="A550" s="12">
        <f>CMP!M552</f>
        <v>79.3</v>
      </c>
      <c r="B550" s="12">
        <f>CMP!O552</f>
        <v>79.14</v>
      </c>
    </row>
    <row r="551">
      <c r="A551" s="12">
        <f>CMP!M553</f>
        <v>79.65</v>
      </c>
      <c r="B551" s="12">
        <f>CMP!O553</f>
        <v>79.43</v>
      </c>
    </row>
    <row r="552">
      <c r="A552" s="12">
        <f>CMP!M554</f>
        <v>79.48</v>
      </c>
      <c r="B552" s="12">
        <f>CMP!O554</f>
        <v>79.81</v>
      </c>
    </row>
    <row r="553">
      <c r="A553" s="12">
        <f>CMP!M555</f>
        <v>80.06</v>
      </c>
      <c r="B553" s="12">
        <f>CMP!O555</f>
        <v>79.58</v>
      </c>
    </row>
    <row r="554">
      <c r="A554" s="12">
        <f>CMP!M556</f>
        <v>77.52</v>
      </c>
      <c r="B554" s="12">
        <f>CMP!O556</f>
        <v>77.24</v>
      </c>
    </row>
    <row r="555">
      <c r="A555" s="12">
        <f>CMP!M557</f>
        <v>78.15</v>
      </c>
      <c r="B555" s="12">
        <f>CMP!O557</f>
        <v>79.42</v>
      </c>
    </row>
    <row r="556">
      <c r="A556" s="12">
        <f>CMP!M558</f>
        <v>81.11</v>
      </c>
      <c r="B556" s="12">
        <f>CMP!O558</f>
        <v>81.08</v>
      </c>
    </row>
    <row r="557">
      <c r="A557" s="12">
        <f>CMP!M559</f>
        <v>80.14</v>
      </c>
      <c r="B557" s="12">
        <f>CMP!O559</f>
        <v>80.97</v>
      </c>
    </row>
    <row r="558">
      <c r="A558" s="12">
        <f>CMP!M560</f>
        <v>80.23</v>
      </c>
      <c r="B558" s="12">
        <f>CMP!O560</f>
        <v>77.38</v>
      </c>
    </row>
    <row r="559">
      <c r="A559" s="12">
        <f>CMP!M561</f>
        <v>76.08</v>
      </c>
      <c r="B559" s="12">
        <f>CMP!O561</f>
        <v>77.17</v>
      </c>
    </row>
    <row r="560">
      <c r="A560" s="12">
        <f>CMP!M562</f>
        <v>78.83</v>
      </c>
      <c r="B560" s="12">
        <f>CMP!O562</f>
        <v>79.71</v>
      </c>
    </row>
    <row r="561">
      <c r="A561" s="12">
        <f>CMP!M563</f>
        <v>80.88</v>
      </c>
      <c r="B561" s="12">
        <f>CMP!O563</f>
        <v>80.36</v>
      </c>
    </row>
    <row r="562">
      <c r="A562" s="12">
        <f>CMP!M564</f>
        <v>80.64</v>
      </c>
      <c r="B562" s="12">
        <f>CMP!O564</f>
        <v>81.3</v>
      </c>
    </row>
    <row r="563">
      <c r="A563" s="12">
        <f>CMP!M565</f>
        <v>80.59</v>
      </c>
      <c r="B563" s="12">
        <f>CMP!O565</f>
        <v>80.01</v>
      </c>
    </row>
    <row r="564">
      <c r="A564" s="12">
        <f>CMP!M566</f>
        <v>78.55</v>
      </c>
      <c r="B564" s="12">
        <f>CMP!O566</f>
        <v>80.39</v>
      </c>
    </row>
    <row r="565">
      <c r="A565" s="12">
        <f>CMP!M567</f>
        <v>80.9</v>
      </c>
      <c r="B565" s="12">
        <f>CMP!O567</f>
        <v>79.9</v>
      </c>
    </row>
    <row r="566">
      <c r="A566" s="12">
        <f>CMP!M568</f>
        <v>80.37</v>
      </c>
      <c r="B566" s="12">
        <f>CMP!O568</f>
        <v>81.8</v>
      </c>
    </row>
    <row r="567">
      <c r="A567" s="12">
        <f>CMP!M569</f>
        <v>81.05</v>
      </c>
      <c r="B567" s="12">
        <f>CMP!O569</f>
        <v>81.22</v>
      </c>
    </row>
    <row r="568">
      <c r="A568" s="12">
        <f>CMP!M570</f>
        <v>81.19</v>
      </c>
      <c r="B568" s="12">
        <f>CMP!O570</f>
        <v>81.24</v>
      </c>
    </row>
    <row r="569">
      <c r="A569" s="12">
        <f>CMP!M571</f>
        <v>78.84</v>
      </c>
      <c r="B569" s="12">
        <f>CMP!O571</f>
        <v>79.75</v>
      </c>
    </row>
    <row r="570">
      <c r="A570" s="12">
        <f>CMP!M572</f>
        <v>80</v>
      </c>
      <c r="B570" s="12">
        <f>CMP!O572</f>
        <v>80.91</v>
      </c>
    </row>
    <row r="571">
      <c r="A571" s="12">
        <f>CMP!M573</f>
        <v>80.66</v>
      </c>
      <c r="B571" s="12">
        <f>CMP!O573</f>
        <v>80.08</v>
      </c>
    </row>
    <row r="572">
      <c r="A572" s="12">
        <f>CMP!M574</f>
        <v>79.66</v>
      </c>
      <c r="B572" s="12">
        <f>CMP!O574</f>
        <v>78.26</v>
      </c>
    </row>
    <row r="573">
      <c r="A573" s="12">
        <f>CMP!M575</f>
        <v>74.32</v>
      </c>
      <c r="B573" s="12">
        <f>CMP!O575</f>
        <v>74.55</v>
      </c>
    </row>
    <row r="574">
      <c r="A574" s="12">
        <f>CMP!M576</f>
        <v>75.24</v>
      </c>
      <c r="B574" s="12">
        <f>CMP!O576</f>
        <v>72.02</v>
      </c>
    </row>
    <row r="575">
      <c r="A575" s="12">
        <f>CMP!M577</f>
        <v>71.63</v>
      </c>
      <c r="B575" s="12">
        <f>CMP!O577</f>
        <v>73.16</v>
      </c>
    </row>
    <row r="576">
      <c r="A576" s="12">
        <f>CMP!M578</f>
        <v>70.28</v>
      </c>
      <c r="B576" s="12">
        <f>CMP!O578</f>
        <v>68.38</v>
      </c>
    </row>
    <row r="577">
      <c r="A577" s="12">
        <f>CMP!M579</f>
        <v>64.32</v>
      </c>
      <c r="B577" s="12">
        <f>CMP!O579</f>
        <v>68.34</v>
      </c>
    </row>
    <row r="578">
      <c r="A578" s="12">
        <f>CMP!M580</f>
        <v>70.57</v>
      </c>
      <c r="B578" s="12">
        <f>CMP!O580</f>
        <v>74.7</v>
      </c>
    </row>
    <row r="579">
      <c r="A579" s="12">
        <f>CMP!M581</f>
        <v>75.92</v>
      </c>
      <c r="B579" s="12">
        <f>CMP!O581</f>
        <v>72.33</v>
      </c>
    </row>
    <row r="580">
      <c r="A580" s="12">
        <f>CMP!M582</f>
        <v>74.11</v>
      </c>
      <c r="B580" s="12">
        <f>CMP!O582</f>
        <v>75.69</v>
      </c>
    </row>
    <row r="581">
      <c r="A581" s="12">
        <f>CMP!M583</f>
        <v>73.88</v>
      </c>
      <c r="B581" s="12">
        <f>CMP!O583</f>
        <v>73.23</v>
      </c>
    </row>
    <row r="582">
      <c r="A582" s="12">
        <f>CMP!M584</f>
        <v>70.5</v>
      </c>
      <c r="B582" s="12">
        <f>CMP!O584</f>
        <v>72.26</v>
      </c>
    </row>
    <row r="583">
      <c r="A583" s="12">
        <f>CMP!M585</f>
        <v>65.94</v>
      </c>
      <c r="B583" s="12">
        <f>CMP!O585</f>
        <v>66.54</v>
      </c>
    </row>
    <row r="584">
      <c r="A584" s="12">
        <f>CMP!M586</f>
        <v>69.29</v>
      </c>
      <c r="B584" s="12">
        <f>CMP!O586</f>
        <v>71.33</v>
      </c>
    </row>
    <row r="585">
      <c r="A585" s="12">
        <f>CMP!M587</f>
        <v>69.35</v>
      </c>
      <c r="B585" s="12">
        <f>CMP!O587</f>
        <v>68.86</v>
      </c>
    </row>
    <row r="586">
      <c r="A586" s="12">
        <f>CMP!M588</f>
        <v>63.99</v>
      </c>
      <c r="B586" s="12">
        <f>CMP!O588</f>
        <v>62.06</v>
      </c>
    </row>
    <row r="587">
      <c r="A587" s="12">
        <f>CMP!M589</f>
        <v>66.22</v>
      </c>
      <c r="B587" s="12">
        <f>CMP!O589</f>
        <v>69.49</v>
      </c>
    </row>
    <row r="588">
      <c r="A588" s="12">
        <f>CMP!M590</f>
        <v>60.49</v>
      </c>
      <c r="B588" s="12">
        <f>CMP!O590</f>
        <v>60.55</v>
      </c>
    </row>
    <row r="589">
      <c r="A589" s="12">
        <f>CMP!M591</f>
        <v>61.88</v>
      </c>
      <c r="B589" s="12">
        <f>CMP!O591</f>
        <v>63.22</v>
      </c>
    </row>
    <row r="590">
      <c r="A590" s="12">
        <f>CMP!M592</f>
        <v>59.94</v>
      </c>
      <c r="B590" s="12">
        <f>CMP!O592</f>
        <v>61.67</v>
      </c>
    </row>
    <row r="591">
      <c r="A591" s="12">
        <f>CMP!M593</f>
        <v>61.85</v>
      </c>
      <c r="B591" s="12">
        <f>CMP!O593</f>
        <v>61.2</v>
      </c>
    </row>
    <row r="592">
      <c r="A592" s="12">
        <f>CMP!M594</f>
        <v>61.8</v>
      </c>
      <c r="B592" s="12">
        <f>CMP!O594</f>
        <v>57.31</v>
      </c>
    </row>
    <row r="593">
      <c r="A593" s="12">
        <f>CMP!M595</f>
        <v>57.02</v>
      </c>
      <c r="B593" s="12">
        <f>CMP!O595</f>
        <v>56.09</v>
      </c>
    </row>
    <row r="594">
      <c r="A594" s="12">
        <f>CMP!M596</f>
        <v>59.09</v>
      </c>
      <c r="B594" s="12">
        <f>CMP!O596</f>
        <v>61.72</v>
      </c>
    </row>
    <row r="595">
      <c r="A595" s="12">
        <f>CMP!M597</f>
        <v>62.69</v>
      </c>
      <c r="B595" s="12">
        <f>CMP!O597</f>
        <v>61.38</v>
      </c>
    </row>
    <row r="596">
      <c r="A596" s="12">
        <f>CMP!M598</f>
        <v>61.63</v>
      </c>
      <c r="B596" s="12">
        <f>CMP!O598</f>
        <v>64.61</v>
      </c>
    </row>
    <row r="597">
      <c r="A597" s="12">
        <f>CMP!M599</f>
        <v>63.19</v>
      </c>
      <c r="B597" s="12">
        <f>CMP!O599</f>
        <v>61.94</v>
      </c>
    </row>
    <row r="598">
      <c r="A598" s="12">
        <f>CMP!M600</f>
        <v>62.69</v>
      </c>
      <c r="B598" s="12">
        <f>CMP!O600</f>
        <v>63.7</v>
      </c>
    </row>
    <row r="599">
      <c r="A599" s="12">
        <f>CMP!M601</f>
        <v>63.9</v>
      </c>
      <c r="B599" s="12">
        <f>CMP!O601</f>
        <v>63.57</v>
      </c>
    </row>
    <row r="600">
      <c r="A600" s="12">
        <f>CMP!M602</f>
        <v>61.63</v>
      </c>
      <c r="B600" s="12">
        <f>CMP!O602</f>
        <v>60.23</v>
      </c>
    </row>
    <row r="601">
      <c r="A601" s="12">
        <f>CMP!M603</f>
        <v>60.09</v>
      </c>
      <c r="B601" s="12">
        <f>CMP!O603</f>
        <v>61.23</v>
      </c>
    </row>
    <row r="602">
      <c r="A602" s="12">
        <f>CMP!M604</f>
        <v>60.7</v>
      </c>
      <c r="B602" s="12">
        <f>CMP!O604</f>
        <v>60.35</v>
      </c>
    </row>
    <row r="603">
      <c r="A603" s="12">
        <f>CMP!M605</f>
        <v>62.73</v>
      </c>
      <c r="B603" s="12">
        <f>CMP!O605</f>
        <v>65.62</v>
      </c>
    </row>
    <row r="604">
      <c r="A604" s="12">
        <f>CMP!M606</f>
        <v>67.7</v>
      </c>
      <c r="B604" s="12">
        <f>CMP!O606</f>
        <v>64.86</v>
      </c>
    </row>
    <row r="605">
      <c r="A605" s="12">
        <f>CMP!M607</f>
        <v>65.69</v>
      </c>
      <c r="B605" s="12">
        <f>CMP!O607</f>
        <v>66.52</v>
      </c>
    </row>
    <row r="606">
      <c r="A606" s="12">
        <f>CMP!M608</f>
        <v>67.18</v>
      </c>
      <c r="B606" s="12">
        <f>CMP!O608</f>
        <v>67</v>
      </c>
    </row>
    <row r="607">
      <c r="A607" s="12">
        <f>CMP!M609</f>
        <v>67.08</v>
      </c>
      <c r="B607" s="12">
        <f>CMP!O609</f>
        <v>68.31</v>
      </c>
    </row>
    <row r="608">
      <c r="A608" s="12">
        <f>CMP!M610</f>
        <v>70</v>
      </c>
      <c r="B608" s="12">
        <f>CMP!O610</f>
        <v>71.76</v>
      </c>
    </row>
    <row r="609">
      <c r="A609" s="12">
        <f>CMP!M611</f>
        <v>70.6</v>
      </c>
      <c r="B609" s="12">
        <f>CMP!O611</f>
        <v>71.11</v>
      </c>
    </row>
    <row r="610">
      <c r="A610" s="12">
        <f>CMP!M612</f>
        <v>71.85</v>
      </c>
      <c r="B610" s="12">
        <f>CMP!O612</f>
        <v>71.67</v>
      </c>
    </row>
    <row r="611">
      <c r="A611" s="12">
        <f>CMP!M613</f>
        <v>71.17</v>
      </c>
      <c r="B611" s="12">
        <f>CMP!O613</f>
        <v>70.7</v>
      </c>
    </row>
    <row r="612">
      <c r="A612" s="12">
        <f>CMP!M614</f>
        <v>69.49</v>
      </c>
      <c r="B612" s="12">
        <f>CMP!O614</f>
        <v>69.23</v>
      </c>
    </row>
    <row r="613">
      <c r="A613" s="12">
        <f>CMP!M615</f>
        <v>69.07</v>
      </c>
      <c r="B613" s="12">
        <f>CMP!O615</f>
        <v>67.09</v>
      </c>
    </row>
    <row r="614">
      <c r="A614" s="12">
        <f>CMP!M616</f>
        <v>68.4</v>
      </c>
      <c r="B614" s="12">
        <f>CMP!O616</f>
        <v>69.03</v>
      </c>
    </row>
    <row r="615">
      <c r="A615" s="12">
        <f>CMP!M617</f>
        <v>68.97</v>
      </c>
      <c r="B615" s="12">
        <f>CMP!O617</f>
        <v>68.76</v>
      </c>
    </row>
    <row r="616">
      <c r="A616" s="12">
        <f>CMP!M618</f>
        <v>69.3</v>
      </c>
      <c r="B616" s="12">
        <f>CMP!O618</f>
        <v>70.74</v>
      </c>
    </row>
    <row r="617">
      <c r="A617" s="12">
        <f>CMP!M619</f>
        <v>70.45</v>
      </c>
      <c r="B617" s="12">
        <f>CMP!O619</f>
        <v>70.79</v>
      </c>
    </row>
    <row r="618">
      <c r="A618" s="12">
        <f>CMP!M620</f>
        <v>71.27</v>
      </c>
      <c r="B618" s="12">
        <f>CMP!O620</f>
        <v>69.65</v>
      </c>
    </row>
    <row r="619">
      <c r="A619" s="12">
        <f>CMP!M621</f>
        <v>71.18</v>
      </c>
      <c r="B619" s="12">
        <f>CMP!O621</f>
        <v>71.93</v>
      </c>
    </row>
    <row r="620">
      <c r="A620" s="12">
        <f>CMP!M622</f>
        <v>72.49</v>
      </c>
      <c r="B620" s="12">
        <f>CMP!O622</f>
        <v>73.45</v>
      </c>
    </row>
    <row r="621">
      <c r="A621" s="12">
        <f>CMP!M623</f>
        <v>71.56</v>
      </c>
      <c r="B621" s="12">
        <f>CMP!O623</f>
        <v>72.27</v>
      </c>
    </row>
    <row r="622">
      <c r="A622" s="12">
        <f>CMP!M624</f>
        <v>72.29</v>
      </c>
      <c r="B622" s="12">
        <f>CMP!O624</f>
        <v>73.29</v>
      </c>
    </row>
    <row r="623">
      <c r="A623" s="12">
        <f>CMP!M625</f>
        <v>73.77</v>
      </c>
      <c r="B623" s="12">
        <f>CMP!O625</f>
        <v>74.39</v>
      </c>
    </row>
    <row r="624">
      <c r="A624" s="12">
        <f>CMP!M626</f>
        <v>75.11</v>
      </c>
      <c r="B624" s="12">
        <f>CMP!O626</f>
        <v>75.16</v>
      </c>
    </row>
    <row r="625">
      <c r="A625" s="12">
        <f>CMP!M627</f>
        <v>75.81</v>
      </c>
      <c r="B625" s="12">
        <f>CMP!O627</f>
        <v>75.94</v>
      </c>
    </row>
    <row r="626">
      <c r="A626" s="12">
        <f>CMP!M628</f>
        <v>76.41</v>
      </c>
      <c r="B626" s="12">
        <f>CMP!O628</f>
        <v>77.53</v>
      </c>
    </row>
    <row r="627">
      <c r="A627" s="12">
        <f>CMP!M629</f>
        <v>77.03</v>
      </c>
      <c r="B627" s="12">
        <f>CMP!O629</f>
        <v>78.75</v>
      </c>
    </row>
    <row r="628">
      <c r="A628" s="12">
        <f>CMP!M630</f>
        <v>79.46</v>
      </c>
      <c r="B628" s="12">
        <f>CMP!O630</f>
        <v>77.85</v>
      </c>
    </row>
    <row r="629">
      <c r="A629" s="12">
        <f>CMP!M631</f>
        <v>78.04</v>
      </c>
      <c r="B629" s="12">
        <f>CMP!O631</f>
        <v>76.91</v>
      </c>
    </row>
    <row r="630">
      <c r="A630" s="12">
        <f>CMP!M632</f>
        <v>76.13</v>
      </c>
      <c r="B630" s="12">
        <f>CMP!O632</f>
        <v>77.39</v>
      </c>
    </row>
    <row r="631">
      <c r="A631" s="12">
        <f>CMP!M633</f>
        <v>75.09</v>
      </c>
      <c r="B631" s="12">
        <f>CMP!O633</f>
        <v>76.93</v>
      </c>
    </row>
    <row r="632">
      <c r="A632" s="12">
        <f>CMP!M634</f>
        <v>78.29</v>
      </c>
      <c r="B632" s="12">
        <f>CMP!O634</f>
        <v>78.74</v>
      </c>
    </row>
    <row r="633">
      <c r="A633" s="12">
        <f>CMP!M635</f>
        <v>78.76</v>
      </c>
      <c r="B633" s="12">
        <f>CMP!O635</f>
        <v>78.29</v>
      </c>
    </row>
    <row r="634">
      <c r="A634" s="12">
        <f>CMP!M636</f>
        <v>79.17</v>
      </c>
      <c r="B634" s="12">
        <f>CMP!O636</f>
        <v>79.81</v>
      </c>
    </row>
    <row r="635">
      <c r="A635" s="12">
        <f>CMP!M637</f>
        <v>79.67</v>
      </c>
      <c r="B635" s="12">
        <f>CMP!O637</f>
        <v>79.21</v>
      </c>
    </row>
    <row r="636">
      <c r="A636" s="12">
        <f>CMP!M638</f>
        <v>78.94</v>
      </c>
      <c r="B636" s="12">
        <f>CMP!O638</f>
        <v>79.72</v>
      </c>
    </row>
    <row r="637">
      <c r="A637" s="12">
        <f>CMP!M639</f>
        <v>80.88</v>
      </c>
      <c r="B637" s="12">
        <f>CMP!O639</f>
        <v>79.18</v>
      </c>
    </row>
    <row r="638">
      <c r="A638" s="12">
        <f>CMP!M640</f>
        <v>79.04</v>
      </c>
      <c r="B638" s="12">
        <f>CMP!O640</f>
        <v>79.53</v>
      </c>
    </row>
    <row r="639">
      <c r="A639" s="12">
        <f>CMP!M641</f>
        <v>79.19</v>
      </c>
      <c r="B639" s="12">
        <f>CMP!O641</f>
        <v>79.56</v>
      </c>
    </row>
    <row r="640">
      <c r="A640" s="12">
        <f>CMP!M642</f>
        <v>79.81</v>
      </c>
      <c r="B640" s="12">
        <f>CMP!O642</f>
        <v>79.49</v>
      </c>
    </row>
    <row r="641">
      <c r="A641" s="12">
        <f>CMP!M643</f>
        <v>79.44</v>
      </c>
      <c r="B641" s="12">
        <f>CMP!O643</f>
        <v>80.46</v>
      </c>
    </row>
    <row r="642">
      <c r="A642" s="12">
        <f>CMP!M644</f>
        <v>80.19</v>
      </c>
      <c r="B642" s="12">
        <f>CMP!O644</f>
        <v>80.83</v>
      </c>
    </row>
    <row r="643">
      <c r="A643" s="12">
        <f>CMP!M645</f>
        <v>81.17</v>
      </c>
      <c r="B643" s="12">
        <f>CMP!O645</f>
        <v>81.28</v>
      </c>
    </row>
    <row r="644">
      <c r="A644" s="12">
        <f>CMP!M646</f>
        <v>81.1</v>
      </c>
      <c r="B644" s="12">
        <f>CMP!O646</f>
        <v>80.58</v>
      </c>
    </row>
    <row r="645">
      <c r="A645" s="12">
        <f>CMP!M647</f>
        <v>80.84</v>
      </c>
      <c r="B645" s="12">
        <f>CMP!O647</f>
        <v>82.88</v>
      </c>
    </row>
    <row r="646">
      <c r="A646" s="12">
        <f>CMP!M648</f>
        <v>82.56</v>
      </c>
      <c r="B646" s="12">
        <f>CMP!O648</f>
        <v>83.37</v>
      </c>
    </row>
    <row r="647">
      <c r="A647" s="12">
        <f>CMP!M649</f>
        <v>83.04</v>
      </c>
      <c r="B647" s="12">
        <f>CMP!O649</f>
        <v>86</v>
      </c>
    </row>
    <row r="648">
      <c r="A648" s="12">
        <f>CMP!M650</f>
        <v>86.98</v>
      </c>
      <c r="B648" s="12">
        <f>CMP!O650</f>
        <v>88.21</v>
      </c>
    </row>
    <row r="649">
      <c r="A649" s="12">
        <f>CMP!M651</f>
        <v>87.33</v>
      </c>
      <c r="B649" s="12">
        <f>CMP!O651</f>
        <v>83.98</v>
      </c>
    </row>
    <row r="650">
      <c r="A650" s="12">
        <f>CMP!M652</f>
        <v>86.18</v>
      </c>
      <c r="B650" s="12">
        <f>CMP!O652</f>
        <v>84.7</v>
      </c>
    </row>
    <row r="651">
      <c r="A651" s="12">
        <f>CMP!M653</f>
        <v>83.31</v>
      </c>
      <c r="B651" s="12">
        <f>CMP!O653</f>
        <v>85.75</v>
      </c>
    </row>
    <row r="652">
      <c r="A652" s="12">
        <f>CMP!M654</f>
        <v>87.87</v>
      </c>
      <c r="B652" s="12">
        <f>CMP!O654</f>
        <v>88.02</v>
      </c>
    </row>
    <row r="653">
      <c r="A653" s="12">
        <f>CMP!M655</f>
        <v>88.79</v>
      </c>
      <c r="B653" s="12">
        <f>CMP!O655</f>
        <v>87.9</v>
      </c>
    </row>
    <row r="654">
      <c r="A654" s="12">
        <f>CMP!M656</f>
        <v>87.85</v>
      </c>
      <c r="B654" s="12">
        <f>CMP!O656</f>
        <v>87.93</v>
      </c>
    </row>
    <row r="655">
      <c r="A655" s="12">
        <f>CMP!M657</f>
        <v>88.66</v>
      </c>
      <c r="B655" s="12">
        <f>CMP!O657</f>
        <v>87.43</v>
      </c>
    </row>
    <row r="656">
      <c r="A656" s="12">
        <f>CMP!M658</f>
        <v>87.84</v>
      </c>
      <c r="B656" s="12">
        <f>CMP!O658</f>
        <v>89.72</v>
      </c>
    </row>
    <row r="657">
      <c r="A657" s="12">
        <f>CMP!M659</f>
        <v>91</v>
      </c>
      <c r="B657" s="12">
        <f>CMP!O659</f>
        <v>91.63</v>
      </c>
    </row>
    <row r="658">
      <c r="A658" s="12">
        <f>CMP!M660</f>
        <v>91.25</v>
      </c>
      <c r="B658" s="12">
        <f>CMP!O660</f>
        <v>90.02</v>
      </c>
    </row>
    <row r="659">
      <c r="A659" s="12">
        <f>CMP!M661</f>
        <v>90.18</v>
      </c>
      <c r="B659" s="12">
        <f>CMP!O661</f>
        <v>91.21</v>
      </c>
    </row>
    <row r="660">
      <c r="A660" s="12">
        <f>CMP!M662</f>
        <v>91.1</v>
      </c>
      <c r="B660" s="12">
        <f>CMP!O662</f>
        <v>88.41</v>
      </c>
    </row>
    <row r="661">
      <c r="A661" s="12">
        <f>CMP!M663</f>
        <v>88.31</v>
      </c>
      <c r="B661" s="12">
        <f>CMP!O663</f>
        <v>90.45</v>
      </c>
    </row>
    <row r="662">
      <c r="A662" s="12">
        <f>CMP!M664</f>
        <v>90.02</v>
      </c>
      <c r="B662" s="12">
        <f>CMP!O664</f>
        <v>91.2</v>
      </c>
    </row>
    <row r="663">
      <c r="A663" s="12">
        <f>CMP!M665</f>
        <v>91.28</v>
      </c>
      <c r="B663" s="12">
        <f>CMP!O665</f>
        <v>91.03</v>
      </c>
    </row>
    <row r="664">
      <c r="A664" s="12">
        <f>CMP!M666</f>
        <v>91.96</v>
      </c>
      <c r="B664" s="12">
        <f>CMP!O666</f>
        <v>91.03</v>
      </c>
    </row>
    <row r="665">
      <c r="A665" s="12">
        <f>CMP!M667</f>
        <v>92.5</v>
      </c>
      <c r="B665" s="12">
        <f>CMP!O667</f>
        <v>93.46</v>
      </c>
    </row>
    <row r="666">
      <c r="A666" s="12">
        <f>CMP!M668</f>
        <v>93.85</v>
      </c>
      <c r="B666" s="12">
        <f>CMP!O668</f>
        <v>93.17</v>
      </c>
    </row>
    <row r="667">
      <c r="A667" s="12">
        <f>CMP!M669</f>
        <v>94.18</v>
      </c>
      <c r="B667" s="12">
        <f>CMP!O669</f>
        <v>95.34</v>
      </c>
    </row>
    <row r="668">
      <c r="A668" s="12">
        <f>CMP!M670</f>
        <v>96.26</v>
      </c>
      <c r="B668" s="12">
        <f>CMP!O670</f>
        <v>95.68</v>
      </c>
    </row>
    <row r="669">
      <c r="A669" s="12">
        <f>CMP!M671</f>
        <v>95.34</v>
      </c>
      <c r="B669" s="12">
        <f>CMP!O671</f>
        <v>95.92</v>
      </c>
    </row>
    <row r="670">
      <c r="A670" s="12">
        <f>CMP!M672</f>
        <v>97.27</v>
      </c>
      <c r="B670" s="12">
        <f>CMP!O672</f>
        <v>95.48</v>
      </c>
    </row>
    <row r="671">
      <c r="A671" s="12">
        <f>CMP!M673</f>
        <v>94.84</v>
      </c>
      <c r="B671" s="12">
        <f>CMP!O673</f>
        <v>97.06</v>
      </c>
    </row>
    <row r="672">
      <c r="A672" s="12">
        <f>CMP!M674</f>
        <v>98.99</v>
      </c>
      <c r="B672" s="12">
        <f>CMP!O674</f>
        <v>97.73</v>
      </c>
    </row>
    <row r="673">
      <c r="A673" s="12">
        <f>CMP!M675</f>
        <v>96.56</v>
      </c>
      <c r="B673" s="12">
        <f>CMP!O675</f>
        <v>96.52</v>
      </c>
    </row>
    <row r="674">
      <c r="A674" s="12">
        <f>CMP!M676</f>
        <v>96.99</v>
      </c>
      <c r="B674" s="12">
        <f>CMP!O676</f>
        <v>96.33</v>
      </c>
    </row>
    <row r="675">
      <c r="A675" s="12">
        <f>CMP!M677</f>
        <v>96.42</v>
      </c>
      <c r="B675" s="12">
        <f>CMP!O677</f>
        <v>98.36</v>
      </c>
    </row>
    <row r="676">
      <c r="A676" s="12">
        <f>CMP!M678</f>
        <v>99.17</v>
      </c>
      <c r="B676" s="12">
        <f>CMP!O678</f>
        <v>97</v>
      </c>
    </row>
    <row r="677">
      <c r="A677" s="12">
        <f>CMP!M679</f>
        <v>96.69</v>
      </c>
      <c r="B677" s="12">
        <f>CMP!O679</f>
        <v>97.27</v>
      </c>
    </row>
    <row r="678">
      <c r="A678" s="12">
        <f>CMP!M680</f>
        <v>97</v>
      </c>
      <c r="B678" s="12">
        <f>CMP!O680</f>
        <v>92.85</v>
      </c>
    </row>
    <row r="679">
      <c r="A679" s="12">
        <f>CMP!M681</f>
        <v>90.99</v>
      </c>
      <c r="B679" s="12">
        <f>CMP!O681</f>
        <v>92.62</v>
      </c>
    </row>
    <row r="680">
      <c r="A680" s="12">
        <f>CMP!M682</f>
        <v>93.71</v>
      </c>
      <c r="B680" s="12">
        <f>CMP!O682</f>
        <v>94.81</v>
      </c>
    </row>
    <row r="681">
      <c r="A681" s="12">
        <f>CMP!M683</f>
        <v>94.37</v>
      </c>
      <c r="B681" s="12">
        <f>CMP!O683</f>
        <v>93.25</v>
      </c>
    </row>
    <row r="682">
      <c r="A682" s="12">
        <f>CMP!M684</f>
        <v>93.75</v>
      </c>
      <c r="B682" s="12">
        <f>CMP!O684</f>
        <v>95.04</v>
      </c>
    </row>
    <row r="683">
      <c r="A683" s="12">
        <f>CMP!M685</f>
        <v>94.19</v>
      </c>
      <c r="B683" s="12">
        <f>CMP!O685</f>
        <v>96.19</v>
      </c>
    </row>
    <row r="684">
      <c r="A684" s="12">
        <f>CMP!M686</f>
        <v>102.88</v>
      </c>
      <c r="B684" s="12">
        <f>CMP!O686</f>
        <v>106.26</v>
      </c>
    </row>
    <row r="685">
      <c r="A685" s="12">
        <f>CMP!M687</f>
        <v>108.2</v>
      </c>
      <c r="B685" s="12">
        <f>CMP!O687</f>
        <v>108.94</v>
      </c>
    </row>
    <row r="686">
      <c r="A686" s="12">
        <f>CMP!M688</f>
        <v>109.13</v>
      </c>
      <c r="B686" s="12">
        <f>CMP!O688</f>
        <v>109.67</v>
      </c>
    </row>
    <row r="687">
      <c r="A687" s="12">
        <f>CMP!M689</f>
        <v>109.38</v>
      </c>
      <c r="B687" s="12">
        <f>CMP!O689</f>
        <v>110.06</v>
      </c>
    </row>
    <row r="688">
      <c r="A688" s="12">
        <f>CMP!M690</f>
        <v>110.41</v>
      </c>
      <c r="B688" s="12">
        <f>CMP!O690</f>
        <v>113.9</v>
      </c>
    </row>
    <row r="689">
      <c r="A689" s="12">
        <f>CMP!M691</f>
        <v>113.21</v>
      </c>
      <c r="B689" s="12">
        <f>CMP!O691</f>
        <v>111.11</v>
      </c>
    </row>
    <row r="690">
      <c r="A690" s="12">
        <f>CMP!M692</f>
        <v>112.6</v>
      </c>
      <c r="B690" s="12">
        <f>CMP!O692</f>
        <v>112.73</v>
      </c>
    </row>
    <row r="691">
      <c r="A691" s="12">
        <f>CMP!M693</f>
        <v>111.97</v>
      </c>
      <c r="B691" s="12">
        <f>CMP!O693</f>
        <v>109.38</v>
      </c>
    </row>
    <row r="692">
      <c r="A692" s="12">
        <f>CMP!M694</f>
        <v>110.5</v>
      </c>
      <c r="B692" s="12">
        <f>CMP!O694</f>
        <v>113.01</v>
      </c>
    </row>
    <row r="693">
      <c r="A693" s="12">
        <f>CMP!M695</f>
        <v>114.43</v>
      </c>
      <c r="B693" s="12">
        <f>CMP!O695</f>
        <v>115.01</v>
      </c>
    </row>
    <row r="694">
      <c r="A694" s="12">
        <f>CMP!M696</f>
        <v>114.83</v>
      </c>
      <c r="B694" s="12">
        <f>CMP!O696</f>
        <v>114.91</v>
      </c>
    </row>
    <row r="695">
      <c r="A695" s="12">
        <f>CMP!M697</f>
        <v>116.06</v>
      </c>
      <c r="B695" s="12">
        <f>CMP!O697</f>
        <v>114.61</v>
      </c>
    </row>
    <row r="696">
      <c r="A696" s="12">
        <f>CMP!M698</f>
        <v>114.35</v>
      </c>
      <c r="B696" s="12">
        <f>CMP!O698</f>
        <v>115.56</v>
      </c>
    </row>
    <row r="697">
      <c r="A697" s="12">
        <f>CMP!M699</f>
        <v>115.98</v>
      </c>
      <c r="B697" s="12">
        <f>CMP!O699</f>
        <v>115.71</v>
      </c>
    </row>
    <row r="698">
      <c r="A698" s="12">
        <f>CMP!M700</f>
        <v>115.75</v>
      </c>
      <c r="B698" s="12">
        <f>CMP!O700</f>
        <v>118.28</v>
      </c>
    </row>
    <row r="699">
      <c r="A699" s="12">
        <f>CMP!M701</f>
        <v>119.26</v>
      </c>
      <c r="B699" s="12">
        <f>CMP!O701</f>
        <v>124.37</v>
      </c>
    </row>
    <row r="700">
      <c r="A700" s="12">
        <f>CMP!M702</f>
        <v>128.7</v>
      </c>
      <c r="B700" s="12">
        <f>CMP!O702</f>
        <v>125.86</v>
      </c>
    </row>
    <row r="701">
      <c r="A701" s="12">
        <f>CMP!M703</f>
        <v>124.7</v>
      </c>
      <c r="B701" s="12">
        <f>CMP!O703</f>
        <v>124.83</v>
      </c>
    </row>
    <row r="702">
      <c r="A702" s="12">
        <f>CMP!M704</f>
        <v>126.18</v>
      </c>
      <c r="B702" s="12">
        <f>CMP!O704</f>
        <v>126.52</v>
      </c>
    </row>
    <row r="703">
      <c r="A703" s="12">
        <f>CMP!M705</f>
        <v>127.14</v>
      </c>
      <c r="B703" s="12">
        <f>CMP!O705</f>
        <v>125.01</v>
      </c>
    </row>
    <row r="704">
      <c r="A704" s="12">
        <f>CMP!M706</f>
        <v>126.01</v>
      </c>
      <c r="B704" s="12">
        <f>CMP!O706</f>
        <v>124.81</v>
      </c>
    </row>
    <row r="705">
      <c r="A705" s="12">
        <f>CMP!M707</f>
        <v>127.58</v>
      </c>
      <c r="B705" s="12">
        <f>CMP!O707</f>
        <v>129.04</v>
      </c>
    </row>
    <row r="706">
      <c r="A706" s="12">
        <f>CMP!M708</f>
        <v>132.76</v>
      </c>
      <c r="B706" s="12">
        <f>CMP!O708</f>
        <v>134.18</v>
      </c>
    </row>
    <row r="707">
      <c r="A707" s="12">
        <f>CMP!M709</f>
        <v>137.59</v>
      </c>
      <c r="B707" s="12">
        <f>CMP!O709</f>
        <v>131.4</v>
      </c>
    </row>
    <row r="708">
      <c r="A708" s="12">
        <f>CMP!M710</f>
        <v>126.91</v>
      </c>
      <c r="B708" s="12">
        <f>CMP!O710</f>
        <v>120.88</v>
      </c>
    </row>
    <row r="709">
      <c r="A709" s="12">
        <f>CMP!M711</f>
        <v>120.07</v>
      </c>
      <c r="B709" s="12">
        <f>CMP!O711</f>
        <v>120.96</v>
      </c>
    </row>
    <row r="710">
      <c r="A710" s="12">
        <f>CMP!M712</f>
        <v>113.95</v>
      </c>
      <c r="B710" s="12">
        <f>CMP!O712</f>
        <v>112.82</v>
      </c>
    </row>
    <row r="711">
      <c r="A711" s="12">
        <f>CMP!M713</f>
        <v>117.26</v>
      </c>
      <c r="B711" s="12">
        <f>CMP!O713</f>
        <v>117.32</v>
      </c>
    </row>
    <row r="712">
      <c r="A712" s="12">
        <f>CMP!M714</f>
        <v>120.36</v>
      </c>
      <c r="B712" s="12">
        <f>CMP!O714</f>
        <v>113.49</v>
      </c>
    </row>
    <row r="713">
      <c r="A713" s="12">
        <f>CMP!M715</f>
        <v>114.57</v>
      </c>
      <c r="B713" s="12">
        <f>CMP!O715</f>
        <v>112</v>
      </c>
    </row>
    <row r="714">
      <c r="A714" s="12">
        <f>CMP!M716</f>
        <v>114.72</v>
      </c>
      <c r="B714" s="12">
        <f>CMP!O716</f>
        <v>115.36</v>
      </c>
    </row>
    <row r="715">
      <c r="A715" s="12">
        <f>CMP!M717</f>
        <v>118.33</v>
      </c>
      <c r="B715" s="12">
        <f>CMP!O717</f>
        <v>115.54</v>
      </c>
    </row>
    <row r="716">
      <c r="A716" s="12">
        <f>CMP!M718</f>
        <v>115.23</v>
      </c>
      <c r="B716" s="12">
        <f>CMP!O718</f>
        <v>112.13</v>
      </c>
    </row>
    <row r="717">
      <c r="A717" s="12">
        <f>CMP!M719</f>
        <v>109.72</v>
      </c>
      <c r="B717" s="12">
        <f>CMP!O719</f>
        <v>110.34</v>
      </c>
    </row>
    <row r="718">
      <c r="A718" s="12">
        <f>CMP!M720</f>
        <v>110.4</v>
      </c>
      <c r="B718" s="12">
        <f>CMP!O720</f>
        <v>106.84</v>
      </c>
    </row>
    <row r="719">
      <c r="A719" s="12">
        <f>CMP!M721</f>
        <v>104.54</v>
      </c>
      <c r="B719" s="12">
        <f>CMP!O721</f>
        <v>110.08</v>
      </c>
    </row>
    <row r="720">
      <c r="A720" s="12">
        <f>CMP!M722</f>
        <v>112.68</v>
      </c>
      <c r="B720" s="12">
        <f>CMP!O722</f>
        <v>111.81</v>
      </c>
    </row>
    <row r="721">
      <c r="A721" s="12">
        <f>CMP!M723</f>
        <v>111.62</v>
      </c>
      <c r="B721" s="12">
        <f>CMP!O723</f>
        <v>107.12</v>
      </c>
    </row>
    <row r="722">
      <c r="A722" s="12">
        <f>CMP!M724</f>
        <v>105.17</v>
      </c>
      <c r="B722" s="12">
        <f>CMP!O724</f>
        <v>108.22</v>
      </c>
    </row>
    <row r="723">
      <c r="A723" s="12">
        <f>CMP!M725</f>
        <v>108.43</v>
      </c>
      <c r="B723" s="12">
        <f>CMP!O725</f>
        <v>112.28</v>
      </c>
    </row>
    <row r="724">
      <c r="A724" s="12">
        <f>CMP!M726</f>
        <v>115.01</v>
      </c>
      <c r="B724" s="12">
        <f>CMP!O726</f>
        <v>114.96</v>
      </c>
    </row>
    <row r="725">
      <c r="A725" s="12">
        <f>CMP!M727</f>
        <v>114.55</v>
      </c>
      <c r="B725" s="12">
        <f>CMP!O727</f>
        <v>114.09</v>
      </c>
    </row>
    <row r="726">
      <c r="A726" s="12">
        <f>CMP!M728</f>
        <v>113.79</v>
      </c>
      <c r="B726" s="12">
        <f>CMP!O728</f>
        <v>115.81</v>
      </c>
    </row>
    <row r="727">
      <c r="A727" s="12">
        <f>CMP!M729</f>
        <v>117.64</v>
      </c>
      <c r="B727" s="12">
        <f>CMP!O729</f>
        <v>116.79</v>
      </c>
    </row>
    <row r="728">
      <c r="A728" s="12">
        <f>CMP!M730</f>
        <v>112.89</v>
      </c>
      <c r="B728" s="12">
        <f>CMP!O730</f>
        <v>113.02</v>
      </c>
    </row>
    <row r="729">
      <c r="A729" s="12">
        <f>CMP!M731</f>
        <v>113.91</v>
      </c>
      <c r="B729" s="12">
        <f>CMP!O731</f>
        <v>116.5</v>
      </c>
    </row>
    <row r="730">
      <c r="A730" s="12">
        <f>CMP!M732</f>
        <v>115.7</v>
      </c>
      <c r="B730" s="12">
        <f>CMP!O732</f>
        <v>113.16</v>
      </c>
    </row>
    <row r="731">
      <c r="A731" s="12">
        <f>CMP!M733</f>
        <v>114.62</v>
      </c>
      <c r="B731" s="12">
        <f>CMP!O733</f>
        <v>115.08</v>
      </c>
    </row>
    <row r="732">
      <c r="A732" s="12">
        <f>CMP!M734</f>
        <v>116.25</v>
      </c>
      <c r="B732" s="12">
        <f>CMP!O734</f>
        <v>114.97</v>
      </c>
    </row>
    <row r="733">
      <c r="A733" s="12">
        <f>CMP!M735</f>
        <v>115.28</v>
      </c>
      <c r="B733" s="12">
        <f>CMP!O735</f>
        <v>116.97</v>
      </c>
    </row>
    <row r="734">
      <c r="A734" s="12">
        <f>CMP!M736</f>
        <v>120.06</v>
      </c>
      <c r="B734" s="12">
        <f>CMP!O736</f>
        <v>124.4</v>
      </c>
    </row>
    <row r="735">
      <c r="A735" s="12">
        <f>CMP!M737</f>
        <v>125.27</v>
      </c>
      <c r="B735" s="12">
        <f>CMP!O737</f>
        <v>121.1</v>
      </c>
    </row>
    <row r="736">
      <c r="A736" s="12">
        <f>CMP!M738</f>
        <v>121</v>
      </c>
      <c r="B736" s="12">
        <f>CMP!O738</f>
        <v>121.19</v>
      </c>
    </row>
    <row r="737">
      <c r="A737" s="12">
        <f>CMP!M739</f>
        <v>118.72</v>
      </c>
      <c r="B737" s="12">
        <f>CMP!O739</f>
        <v>120.71</v>
      </c>
    </row>
    <row r="738">
      <c r="A738" s="12">
        <f>CMP!M740</f>
        <v>121.28</v>
      </c>
      <c r="B738" s="12">
        <f>CMP!O740</f>
        <v>119.02</v>
      </c>
    </row>
    <row r="739">
      <c r="A739" s="12">
        <f>CMP!M741</f>
        <v>119.96</v>
      </c>
      <c r="B739" s="12">
        <f>CMP!O741</f>
        <v>115.98</v>
      </c>
    </row>
    <row r="740">
      <c r="A740" s="12">
        <f>CMP!M742</f>
        <v>116.2</v>
      </c>
      <c r="B740" s="12">
        <f>CMP!O742</f>
        <v>117.51</v>
      </c>
    </row>
    <row r="741">
      <c r="A741" s="12">
        <f>CMP!M743</f>
        <v>116.67</v>
      </c>
      <c r="B741" s="12">
        <f>CMP!O743</f>
        <v>116.87</v>
      </c>
    </row>
    <row r="742">
      <c r="A742" s="12">
        <f>CMP!M744</f>
        <v>117.45</v>
      </c>
      <c r="B742" s="12">
        <f>CMP!O744</f>
        <v>115.75</v>
      </c>
    </row>
    <row r="743">
      <c r="A743" s="12">
        <f>CMP!M745</f>
        <v>116.39</v>
      </c>
      <c r="B743" s="12">
        <f>CMP!O745</f>
        <v>115.04</v>
      </c>
    </row>
    <row r="744">
      <c r="A744" s="12">
        <f>CMP!M746</f>
        <v>114.01</v>
      </c>
      <c r="B744" s="12">
        <f>CMP!O746</f>
        <v>115.05</v>
      </c>
    </row>
    <row r="745">
      <c r="A745" s="12">
        <f>CMP!M747</f>
        <v>115.49</v>
      </c>
      <c r="B745" s="12">
        <f>CMP!O747</f>
        <v>116.6</v>
      </c>
    </row>
    <row r="746">
      <c r="A746" s="12">
        <f>CMP!M748</f>
        <v>115.05</v>
      </c>
      <c r="B746" s="12">
        <f>CMP!O748</f>
        <v>111.2</v>
      </c>
    </row>
    <row r="747">
      <c r="A747" s="12">
        <f>CMP!M749</f>
        <v>112.37</v>
      </c>
      <c r="B747" s="12">
        <f>CMP!O749</f>
        <v>115.32</v>
      </c>
    </row>
    <row r="748">
      <c r="A748" s="12">
        <f>CMP!M750</f>
        <v>111.06</v>
      </c>
      <c r="B748" s="12">
        <f>CMP!O750</f>
        <v>108.86</v>
      </c>
    </row>
    <row r="749">
      <c r="A749" s="12">
        <f>CMP!M751</f>
        <v>109.11</v>
      </c>
      <c r="B749" s="12">
        <f>CMP!O751</f>
        <v>108.77</v>
      </c>
    </row>
    <row r="750">
      <c r="A750" s="12">
        <f>CMP!M752</f>
        <v>109.66</v>
      </c>
      <c r="B750" s="12">
        <f>CMP!O752</f>
        <v>110.44</v>
      </c>
    </row>
    <row r="751">
      <c r="A751" s="12">
        <f>CMP!M753</f>
        <v>114.14</v>
      </c>
      <c r="B751" s="12">
        <f>CMP!O753</f>
        <v>114.95</v>
      </c>
    </row>
    <row r="752">
      <c r="A752" s="12">
        <f>CMP!M754</f>
        <v>117.95</v>
      </c>
      <c r="B752" s="12">
        <f>CMP!O754</f>
        <v>119.03</v>
      </c>
    </row>
    <row r="753">
      <c r="A753" s="12">
        <f>CMP!M755</f>
        <v>118.32</v>
      </c>
      <c r="B753" s="12">
        <f>CMP!O755</f>
        <v>118.69</v>
      </c>
    </row>
    <row r="754">
      <c r="A754" s="12">
        <f>CMP!M756</f>
        <v>120.5</v>
      </c>
      <c r="B754" s="12">
        <f>CMP!O756</f>
        <v>116.32</v>
      </c>
    </row>
    <row r="755">
      <c r="A755" s="12">
        <f>CMP!M757</f>
        <v>115.55</v>
      </c>
      <c r="B755" s="12">
        <f>CMP!O757</f>
        <v>115.97</v>
      </c>
    </row>
    <row r="756">
      <c r="A756" s="12">
        <f>CMP!M758</f>
        <v>117.19</v>
      </c>
      <c r="B756" s="12">
        <f>CMP!O758</f>
        <v>119.49</v>
      </c>
    </row>
    <row r="757">
      <c r="A757" s="12">
        <f>CMP!M759</f>
        <v>119.62</v>
      </c>
      <c r="B757" s="12">
        <f>CMP!O759</f>
        <v>119.21</v>
      </c>
    </row>
    <row r="758">
      <c r="A758" s="12">
        <f>CMP!M760</f>
        <v>119.44</v>
      </c>
      <c r="B758" s="12">
        <f>CMP!O760</f>
        <v>119.26</v>
      </c>
    </row>
    <row r="759">
      <c r="A759" s="12">
        <f>CMP!M761</f>
        <v>118.92</v>
      </c>
      <c r="B759" s="12">
        <f>CMP!O761</f>
        <v>120.3</v>
      </c>
    </row>
    <row r="760">
      <c r="A760" s="12">
        <f>CMP!M762</f>
        <v>119.55</v>
      </c>
      <c r="B760" s="12">
        <f>CMP!O762</f>
        <v>119.39</v>
      </c>
    </row>
    <row r="761">
      <c r="A761" s="12">
        <f>CMP!M763</f>
        <v>118.61</v>
      </c>
      <c r="B761" s="12">
        <f>CMP!O763</f>
        <v>118.03</v>
      </c>
    </row>
    <row r="762">
      <c r="A762" s="12">
        <f>CMP!M764</f>
        <v>117.59</v>
      </c>
      <c r="B762" s="12">
        <f>CMP!O764</f>
        <v>118.64</v>
      </c>
    </row>
    <row r="763">
      <c r="A763" s="12">
        <f>CMP!M765</f>
        <v>118.64</v>
      </c>
      <c r="B763" s="12">
        <f>CMP!O765</f>
        <v>117.34</v>
      </c>
    </row>
    <row r="764">
      <c r="A764" s="12">
        <f>CMP!M766</f>
        <v>117.18</v>
      </c>
      <c r="B764" s="12">
        <f>CMP!O766</f>
        <v>113.85</v>
      </c>
    </row>
    <row r="765">
      <c r="A765" s="12">
        <f>CMP!M767</f>
        <v>113.91</v>
      </c>
      <c r="B765" s="12">
        <f>CMP!O767</f>
        <v>115.17</v>
      </c>
    </row>
    <row r="766">
      <c r="A766" s="12">
        <f>CMP!M768</f>
        <v>115.55</v>
      </c>
      <c r="B766" s="12">
        <f>CMP!O768</f>
        <v>116.03</v>
      </c>
    </row>
    <row r="767">
      <c r="A767" s="12">
        <f>CMP!M769</f>
        <v>116.57</v>
      </c>
      <c r="B767" s="12">
        <f>CMP!O769</f>
        <v>116.59</v>
      </c>
    </row>
    <row r="768">
      <c r="A768" s="12">
        <f>CMP!M770</f>
        <v>116.97</v>
      </c>
      <c r="B768" s="12">
        <f>CMP!O770</f>
        <v>119.05</v>
      </c>
    </row>
    <row r="769">
      <c r="A769" s="12">
        <f>CMP!M771</f>
        <v>121.01</v>
      </c>
      <c r="B769" s="12">
        <f>CMP!O771</f>
        <v>122.72</v>
      </c>
    </row>
    <row r="770">
      <c r="A770" s="12">
        <f>CMP!M772</f>
        <v>122.02</v>
      </c>
      <c r="B770" s="12">
        <f>CMP!O772</f>
        <v>123.08</v>
      </c>
    </row>
    <row r="771">
      <c r="A771" s="12">
        <f>CMP!M773</f>
        <v>123.52</v>
      </c>
      <c r="B771" s="12">
        <f>CMP!O773</f>
        <v>122.94</v>
      </c>
    </row>
    <row r="772">
      <c r="A772" s="12">
        <f>CMP!M774</f>
        <v>122.6</v>
      </c>
      <c r="B772" s="12">
        <f>CMP!O774</f>
        <v>122.25</v>
      </c>
    </row>
    <row r="773">
      <c r="A773" s="12">
        <f>CMP!M775</f>
        <v>122.31</v>
      </c>
      <c r="B773" s="12">
        <f>CMP!O775</f>
        <v>123.75</v>
      </c>
    </row>
    <row r="774">
      <c r="A774" s="12">
        <f>CMP!M776</f>
        <v>124.37</v>
      </c>
      <c r="B774" s="12">
        <f>CMP!O776</f>
        <v>124.38</v>
      </c>
    </row>
    <row r="775">
      <c r="A775" s="12">
        <f>CMP!M777</f>
        <v>124.53</v>
      </c>
      <c r="B775" s="12">
        <f>CMP!O777</f>
        <v>121.78</v>
      </c>
    </row>
    <row r="776">
      <c r="A776" s="12">
        <f>CMP!M778</f>
        <v>120.5</v>
      </c>
      <c r="B776" s="12">
        <f>CMP!O778</f>
        <v>123.24</v>
      </c>
    </row>
    <row r="777">
      <c r="A777" s="12">
        <f>CMP!M779</f>
        <v>122.43</v>
      </c>
      <c r="B777" s="12">
        <f>CMP!O779</f>
        <v>122.41</v>
      </c>
    </row>
    <row r="778">
      <c r="A778" s="12">
        <f>CMP!M780</f>
        <v>122.6</v>
      </c>
      <c r="B778" s="12">
        <f>CMP!O780</f>
        <v>121.78</v>
      </c>
    </row>
    <row r="779">
      <c r="A779" s="12">
        <f>CMP!M781</f>
        <v>124.34</v>
      </c>
      <c r="B779" s="12">
        <f>CMP!O781</f>
        <v>127.88</v>
      </c>
    </row>
    <row r="780">
      <c r="A780" s="12">
        <f>CMP!M782</f>
        <v>127.41</v>
      </c>
      <c r="B780" s="12">
        <f>CMP!O782</f>
        <v>127.81</v>
      </c>
    </row>
    <row r="781">
      <c r="A781" s="12">
        <f>CMP!M783</f>
        <v>128.9</v>
      </c>
      <c r="B781" s="12">
        <f>CMP!O783</f>
        <v>128.7</v>
      </c>
    </row>
    <row r="782">
      <c r="A782" s="12">
        <f>CMP!M784</f>
        <v>128.96</v>
      </c>
      <c r="B782" s="12">
        <f>CMP!O784</f>
        <v>126.66</v>
      </c>
    </row>
    <row r="783">
      <c r="A783" s="12">
        <f>CMP!M785</f>
        <v>125.02</v>
      </c>
      <c r="B783" s="12">
        <f>CMP!O785</f>
        <v>128.23</v>
      </c>
    </row>
    <row r="784">
      <c r="A784" s="12">
        <f>CMP!M786</f>
        <v>131.61</v>
      </c>
      <c r="B784" s="12">
        <f>CMP!O786</f>
        <v>131.88</v>
      </c>
    </row>
    <row r="785">
      <c r="A785" s="12">
        <f>CMP!M787</f>
        <v>132.16</v>
      </c>
      <c r="B785" s="12">
        <f>CMP!O787</f>
        <v>130.96</v>
      </c>
    </row>
    <row r="786">
      <c r="A786" s="12">
        <f>CMP!M788</f>
        <v>131.32</v>
      </c>
      <c r="B786" s="12">
        <f>CMP!O788</f>
        <v>131.97</v>
      </c>
    </row>
    <row r="787">
      <c r="A787" s="12">
        <f>CMP!M789</f>
        <v>133.99</v>
      </c>
      <c r="B787" s="12">
        <f>CMP!O789</f>
        <v>136.69</v>
      </c>
    </row>
    <row r="788">
      <c r="A788" s="12">
        <f>CMP!M790</f>
        <v>138.05</v>
      </c>
      <c r="B788" s="12">
        <f>CMP!O790</f>
        <v>134.87</v>
      </c>
    </row>
    <row r="789">
      <c r="A789" s="12">
        <f>CMP!M791</f>
        <v>135.58</v>
      </c>
      <c r="B789" s="12">
        <f>CMP!O791</f>
        <v>133.72</v>
      </c>
    </row>
    <row r="790">
      <c r="A790" s="12">
        <f>CMP!M792</f>
        <v>134.08</v>
      </c>
      <c r="B790" s="12">
        <f>CMP!O792</f>
        <v>132.69</v>
      </c>
    </row>
    <row r="791">
      <c r="A791" s="12">
        <f>CMP!M793</f>
        <v>133.52</v>
      </c>
      <c r="B791" s="12">
        <f>CMP!O793</f>
        <v>129.41</v>
      </c>
    </row>
    <row r="792">
      <c r="A792" s="12">
        <f>CMP!M794</f>
        <v>128.89</v>
      </c>
      <c r="B792" s="12">
        <f>CMP!O794</f>
        <v>131.01</v>
      </c>
    </row>
    <row r="793">
      <c r="A793" s="12">
        <f>CMP!M795</f>
        <v>127.72</v>
      </c>
      <c r="B793" s="12">
        <f>CMP!O795</f>
        <v>126.6</v>
      </c>
    </row>
    <row r="794">
      <c r="A794" s="12">
        <f>CMP!M796</f>
        <v>128.36</v>
      </c>
      <c r="B794" s="12">
        <f>CMP!O796</f>
        <v>130.92</v>
      </c>
    </row>
    <row r="795">
      <c r="A795" s="12">
        <f>CMP!M797</f>
        <v>132.43</v>
      </c>
      <c r="B795" s="12">
        <f>CMP!O797</f>
        <v>132.05</v>
      </c>
    </row>
    <row r="796">
      <c r="A796" s="12">
        <f>CMP!M798</f>
        <v>129.19</v>
      </c>
      <c r="B796" s="12">
        <f>CMP!O798</f>
        <v>128.98</v>
      </c>
    </row>
    <row r="797">
      <c r="A797" s="12">
        <f>CMP!M799</f>
        <v>128.5</v>
      </c>
      <c r="B797" s="12">
        <f>CMP!O799</f>
        <v>128.8</v>
      </c>
    </row>
    <row r="798">
      <c r="A798" s="12">
        <f>CMP!M800</f>
        <v>128.76</v>
      </c>
      <c r="B798" s="12">
        <f>CMP!O800</f>
        <v>130.89</v>
      </c>
    </row>
    <row r="799">
      <c r="A799" s="12">
        <f>CMP!M801</f>
        <v>130.8</v>
      </c>
      <c r="B799" s="12">
        <f>CMP!O801</f>
        <v>128.91</v>
      </c>
    </row>
    <row r="800">
      <c r="A800" s="12">
        <f>CMP!M802</f>
        <v>128.78</v>
      </c>
      <c r="B800" s="12">
        <f>CMP!O802</f>
        <v>127.14</v>
      </c>
    </row>
    <row r="801">
      <c r="A801" s="12">
        <f>CMP!M803</f>
        <v>127.78</v>
      </c>
      <c r="B801" s="12">
        <f>CMP!O803</f>
        <v>127.83</v>
      </c>
    </row>
    <row r="802">
      <c r="A802" s="12">
        <f>CMP!M804</f>
        <v>128.66</v>
      </c>
      <c r="B802" s="12">
        <f>CMP!O804</f>
        <v>132.03</v>
      </c>
    </row>
    <row r="803">
      <c r="A803" s="12">
        <f>CMP!M805</f>
        <v>133.8</v>
      </c>
      <c r="B803" s="12">
        <f>CMP!O805</f>
        <v>136.87</v>
      </c>
    </row>
    <row r="804">
      <c r="A804" s="12">
        <f>CMP!M806</f>
        <v>136.28</v>
      </c>
      <c r="B804" s="12">
        <f>CMP!O806</f>
        <v>139.07</v>
      </c>
    </row>
    <row r="805">
      <c r="A805" s="12">
        <f>CMP!M807</f>
        <v>143.07</v>
      </c>
      <c r="B805" s="12">
        <f>CMP!O807</f>
        <v>142.92</v>
      </c>
    </row>
    <row r="806">
      <c r="A806" s="12">
        <f>CMP!M808</f>
        <v>143.6</v>
      </c>
      <c r="B806" s="12">
        <f>CMP!O808</f>
        <v>143.16</v>
      </c>
    </row>
    <row r="807">
      <c r="A807" s="12">
        <f>CMP!M809</f>
        <v>143.43</v>
      </c>
      <c r="B807" s="12">
        <f>CMP!O809</f>
        <v>142.06</v>
      </c>
    </row>
    <row r="808">
      <c r="A808" s="12">
        <f>CMP!M810</f>
        <v>139.52</v>
      </c>
      <c r="B808" s="12">
        <f>CMP!O810</f>
        <v>137.09</v>
      </c>
    </row>
    <row r="809">
      <c r="A809" s="12">
        <f>CMP!M811</f>
        <v>135.83</v>
      </c>
      <c r="B809" s="12">
        <f>CMP!O811</f>
        <v>131.96</v>
      </c>
    </row>
    <row r="810">
      <c r="A810" s="12">
        <f>CMP!M812</f>
        <v>133.75</v>
      </c>
      <c r="B810" s="12">
        <f>CMP!O812</f>
        <v>134.14</v>
      </c>
    </row>
    <row r="811">
      <c r="A811" s="12">
        <f>CMP!M813</f>
        <v>135.73</v>
      </c>
      <c r="B811" s="12">
        <f>CMP!O813</f>
        <v>134.99</v>
      </c>
    </row>
    <row r="812">
      <c r="A812" s="12">
        <f>CMP!M814</f>
        <v>135.76</v>
      </c>
      <c r="B812" s="12">
        <f>CMP!O814</f>
        <v>133.94</v>
      </c>
    </row>
    <row r="813">
      <c r="A813" s="12">
        <f>CMP!M815</f>
        <v>136.3</v>
      </c>
      <c r="B813" s="12">
        <f>CMP!O815</f>
        <v>137.39</v>
      </c>
    </row>
    <row r="814">
      <c r="A814" s="12">
        <f>CMP!M816</f>
        <v>137.35</v>
      </c>
      <c r="B814" s="12">
        <f>CMP!O816</f>
        <v>136.76</v>
      </c>
    </row>
    <row r="815">
      <c r="A815" s="12">
        <f>CMP!M817</f>
        <v>136.03</v>
      </c>
      <c r="B815" s="12">
        <f>CMP!O817</f>
        <v>136.91</v>
      </c>
    </row>
    <row r="816">
      <c r="A816" s="12">
        <f>CMP!M818</f>
        <v>136.62</v>
      </c>
      <c r="B816" s="12">
        <f>CMP!O818</f>
        <v>136.01</v>
      </c>
    </row>
    <row r="817">
      <c r="A817" s="12">
        <f>CMP!M819</f>
        <v>136.48</v>
      </c>
      <c r="B817" s="12">
        <f>CMP!O819</f>
        <v>135.39</v>
      </c>
    </row>
    <row r="818">
      <c r="A818" s="12">
        <f>CMP!M820</f>
        <v>135.9</v>
      </c>
      <c r="B818" s="12">
        <f>CMP!O820</f>
        <v>135.13</v>
      </c>
    </row>
    <row r="819">
      <c r="A819" s="12">
        <f>CMP!M821</f>
        <v>134.35</v>
      </c>
      <c r="B819" s="12">
        <f>CMP!O821</f>
        <v>135.37</v>
      </c>
    </row>
    <row r="820">
      <c r="A820" s="12">
        <f>CMP!M822</f>
        <v>135.49</v>
      </c>
      <c r="B820" s="12">
        <f>CMP!O822</f>
        <v>133.19</v>
      </c>
    </row>
    <row r="821">
      <c r="A821" s="12">
        <f>CMP!M823</f>
        <v>131.25</v>
      </c>
      <c r="B821" s="12">
        <f>CMP!O823</f>
        <v>130.84</v>
      </c>
    </row>
    <row r="822">
      <c r="A822" s="12">
        <f>CMP!M824</f>
        <v>129.2</v>
      </c>
      <c r="B822" s="12">
        <f>CMP!O824</f>
        <v>129.71</v>
      </c>
    </row>
    <row r="823">
      <c r="A823" s="12">
        <f>CMP!M825</f>
        <v>130.24</v>
      </c>
      <c r="B823" s="12">
        <f>CMP!O825</f>
        <v>129.87</v>
      </c>
    </row>
    <row r="824">
      <c r="A824" s="12">
        <f>CMP!M826</f>
        <v>128.01</v>
      </c>
      <c r="B824" s="12">
        <f>CMP!O826</f>
        <v>126</v>
      </c>
    </row>
    <row r="825">
      <c r="A825" s="12">
        <f>CMP!M827</f>
        <v>123.76</v>
      </c>
      <c r="B825" s="12">
        <f>CMP!O827</f>
        <v>125.86</v>
      </c>
    </row>
    <row r="826">
      <c r="A826" s="12">
        <f>CMP!M828</f>
        <v>124.94</v>
      </c>
      <c r="B826" s="12">
        <f>CMP!O828</f>
        <v>125.35</v>
      </c>
    </row>
    <row r="827">
      <c r="A827" s="12">
        <f>CMP!M829</f>
        <v>124.68</v>
      </c>
      <c r="B827" s="12">
        <f>CMP!O829</f>
        <v>120.99</v>
      </c>
    </row>
    <row r="828">
      <c r="A828" s="12">
        <f>CMP!M830</f>
        <v>122.59</v>
      </c>
      <c r="B828" s="12">
        <f>CMP!O830</f>
        <v>121.26</v>
      </c>
    </row>
    <row r="829">
      <c r="A829" s="12">
        <f>CMP!M831</f>
        <v>123.75</v>
      </c>
      <c r="B829" s="12">
        <f>CMP!O831</f>
        <v>127.79</v>
      </c>
    </row>
    <row r="830">
      <c r="A830" s="12">
        <f>CMP!M832</f>
        <v>128.41</v>
      </c>
      <c r="B830" s="12">
        <f>CMP!O832</f>
        <v>125.12</v>
      </c>
    </row>
    <row r="831">
      <c r="A831" s="12">
        <f>CMP!M833</f>
        <v>124.81</v>
      </c>
      <c r="B831" s="12">
        <f>CMP!O833</f>
        <v>122.06</v>
      </c>
    </row>
    <row r="832">
      <c r="A832" s="12">
        <f>CMP!M834</f>
        <v>121.75</v>
      </c>
      <c r="B832" s="12">
        <f>CMP!O834</f>
        <v>120.13</v>
      </c>
    </row>
    <row r="833">
      <c r="A833" s="12">
        <f>CMP!M835</f>
        <v>120.98</v>
      </c>
      <c r="B833" s="12">
        <f>CMP!O835</f>
        <v>121.42</v>
      </c>
    </row>
    <row r="834">
      <c r="A834" s="12">
        <f>CMP!M836</f>
        <v>120.93</v>
      </c>
      <c r="B834" s="12">
        <f>CMP!O836</f>
        <v>116.36</v>
      </c>
    </row>
    <row r="835">
      <c r="A835" s="12">
        <f>CMP!M837</f>
        <v>119.03</v>
      </c>
      <c r="B835" s="12">
        <f>CMP!O837</f>
        <v>121.09</v>
      </c>
    </row>
    <row r="836">
      <c r="A836" s="12">
        <f>CMP!M838</f>
        <v>121.69</v>
      </c>
      <c r="B836" s="12">
        <f>CMP!O838</f>
        <v>119.98</v>
      </c>
    </row>
    <row r="837">
      <c r="A837" s="12">
        <f>CMP!M839</f>
        <v>122.54</v>
      </c>
      <c r="B837" s="12">
        <f>CMP!O839</f>
        <v>121.96</v>
      </c>
    </row>
    <row r="838">
      <c r="A838" s="12">
        <f>CMP!M840</f>
        <v>120.4</v>
      </c>
      <c r="B838" s="12">
        <f>CMP!O840</f>
        <v>121.03</v>
      </c>
    </row>
    <row r="839">
      <c r="A839" s="12">
        <f>CMP!M841</f>
        <v>121.41</v>
      </c>
      <c r="B839" s="12">
        <f>CMP!O841</f>
        <v>123.99</v>
      </c>
    </row>
    <row r="840">
      <c r="A840" s="12">
        <f>CMP!M842</f>
        <v>125.7</v>
      </c>
      <c r="B840" s="12">
        <f>CMP!O842</f>
        <v>125.57</v>
      </c>
    </row>
    <row r="841">
      <c r="A841" s="12">
        <f>CMP!M843</f>
        <v>124.05</v>
      </c>
      <c r="B841" s="12">
        <f>CMP!O843</f>
        <v>124.76</v>
      </c>
    </row>
    <row r="842">
      <c r="A842" s="12">
        <f>CMP!M844</f>
        <v>122.88</v>
      </c>
      <c r="B842" s="12">
        <f>CMP!O844</f>
        <v>120.53</v>
      </c>
    </row>
    <row r="843">
      <c r="A843" s="12">
        <f>CMP!M845</f>
        <v>119.9</v>
      </c>
      <c r="B843" s="12">
        <f>CMP!O845</f>
        <v>119.99</v>
      </c>
    </row>
    <row r="844">
      <c r="A844" s="12">
        <f>CMP!M846</f>
        <v>120.33</v>
      </c>
      <c r="B844" s="12">
        <f>CMP!O846</f>
        <v>123.39</v>
      </c>
    </row>
    <row r="845">
      <c r="A845" s="12">
        <f>CMP!M847</f>
        <v>123.33</v>
      </c>
      <c r="B845" s="12">
        <f>CMP!O847</f>
        <v>122.54</v>
      </c>
    </row>
    <row r="846">
      <c r="A846" s="12">
        <f>CMP!M848</f>
        <v>122.82</v>
      </c>
      <c r="B846" s="12">
        <f>CMP!O848</f>
        <v>120.09</v>
      </c>
    </row>
    <row r="847">
      <c r="A847" s="12">
        <f>CMP!M849</f>
        <v>119.54</v>
      </c>
      <c r="B847" s="12">
        <f>CMP!O849</f>
        <v>120.59</v>
      </c>
    </row>
    <row r="848">
      <c r="A848" s="12">
        <f>CMP!M850</f>
        <v>120.35</v>
      </c>
      <c r="B848" s="12">
        <f>CMP!O850</f>
        <v>121.21</v>
      </c>
    </row>
    <row r="849">
      <c r="A849" s="12">
        <f>CMP!M851</f>
        <v>121.65</v>
      </c>
      <c r="B849" s="12">
        <f>CMP!O851</f>
        <v>121.39</v>
      </c>
    </row>
    <row r="850">
      <c r="A850" s="12">
        <f>CMP!M852</f>
        <v>120.11</v>
      </c>
      <c r="B850" s="12">
        <f>CMP!O852</f>
        <v>119.9</v>
      </c>
    </row>
    <row r="851">
      <c r="A851" s="12">
        <f>CMP!M853</f>
        <v>121.65</v>
      </c>
      <c r="B851" s="12">
        <f>CMP!O853</f>
        <v>122.15</v>
      </c>
    </row>
    <row r="852">
      <c r="A852" s="12">
        <f>CMP!M854</f>
        <v>123.66</v>
      </c>
      <c r="B852" s="12">
        <f>CMP!O854</f>
        <v>123</v>
      </c>
    </row>
    <row r="853">
      <c r="A853" s="12">
        <f>CMP!M855</f>
        <v>123.87</v>
      </c>
      <c r="B853" s="12">
        <f>CMP!O855</f>
        <v>125.9</v>
      </c>
    </row>
    <row r="854">
      <c r="A854" s="12">
        <f>CMP!M856</f>
        <v>126.5</v>
      </c>
      <c r="B854" s="12">
        <f>CMP!O856</f>
        <v>126.21</v>
      </c>
    </row>
    <row r="855">
      <c r="A855" s="12">
        <f>CMP!M857</f>
        <v>125.83</v>
      </c>
      <c r="B855" s="12">
        <f>CMP!O857</f>
        <v>127.9</v>
      </c>
    </row>
    <row r="856">
      <c r="A856" s="12">
        <f>CMP!M858</f>
        <v>128.95</v>
      </c>
      <c r="B856" s="12">
        <f>CMP!O858</f>
        <v>130.36</v>
      </c>
    </row>
    <row r="857">
      <c r="A857" s="12">
        <f>CMP!M859</f>
        <v>129.8</v>
      </c>
      <c r="B857" s="12">
        <f>CMP!O859</f>
        <v>133</v>
      </c>
    </row>
    <row r="858">
      <c r="A858" s="12">
        <f>CMP!M860</f>
        <v>132.52</v>
      </c>
      <c r="B858" s="12">
        <f>CMP!O860</f>
        <v>131.24</v>
      </c>
    </row>
    <row r="859">
      <c r="A859" s="12">
        <f>CMP!M861</f>
        <v>132.44</v>
      </c>
      <c r="B859" s="12">
        <f>CMP!O861</f>
        <v>134.43</v>
      </c>
    </row>
    <row r="860">
      <c r="A860" s="12">
        <f>CMP!M862</f>
        <v>134.94</v>
      </c>
      <c r="B860" s="12">
        <f>CMP!O862</f>
        <v>132.03</v>
      </c>
    </row>
    <row r="861">
      <c r="A861" s="12">
        <f>CMP!M863</f>
        <v>133.82</v>
      </c>
      <c r="B861" s="12">
        <f>CMP!O863</f>
        <v>134.5</v>
      </c>
    </row>
    <row r="862">
      <c r="A862" s="12">
        <f>CMP!M864</f>
        <v>134.3</v>
      </c>
      <c r="B862" s="12">
        <f>CMP!O864</f>
        <v>134.16</v>
      </c>
    </row>
    <row r="863">
      <c r="A863" s="12">
        <f>CMP!M865</f>
        <v>133.51</v>
      </c>
      <c r="B863" s="12">
        <f>CMP!O865</f>
        <v>134.84</v>
      </c>
    </row>
    <row r="864">
      <c r="A864" s="12">
        <f>CMP!M866</f>
        <v>135.02</v>
      </c>
      <c r="B864" s="12">
        <f>CMP!O866</f>
        <v>133.11</v>
      </c>
    </row>
    <row r="865">
      <c r="A865" s="12">
        <f>CMP!M867</f>
        <v>132.36</v>
      </c>
      <c r="B865" s="12">
        <f>CMP!O867</f>
        <v>133.5</v>
      </c>
    </row>
    <row r="866">
      <c r="A866" s="12">
        <f>CMP!M868</f>
        <v>133.04</v>
      </c>
      <c r="B866" s="12">
        <f>CMP!O868</f>
        <v>131.94</v>
      </c>
    </row>
    <row r="867">
      <c r="A867" s="12">
        <f>CMP!M869</f>
        <v>132.16</v>
      </c>
      <c r="B867" s="12">
        <f>CMP!O869</f>
        <v>134.32</v>
      </c>
    </row>
    <row r="868">
      <c r="A868" s="12">
        <f>CMP!M870</f>
        <v>134.83</v>
      </c>
      <c r="B868" s="12">
        <f>CMP!O870</f>
        <v>134.72</v>
      </c>
    </row>
    <row r="869">
      <c r="A869" s="12">
        <f>CMP!M871</f>
        <v>135.01</v>
      </c>
      <c r="B869" s="12">
        <f>CMP!O871</f>
        <v>134.39</v>
      </c>
    </row>
    <row r="870">
      <c r="A870" s="12">
        <f>CMP!M872</f>
        <v>134.31</v>
      </c>
      <c r="B870" s="12">
        <f>CMP!O872</f>
        <v>133.58</v>
      </c>
    </row>
    <row r="871">
      <c r="A871" s="12">
        <f>CMP!M873</f>
        <v>136.47</v>
      </c>
      <c r="B871" s="12">
        <f>CMP!O873</f>
        <v>133.48</v>
      </c>
    </row>
    <row r="872">
      <c r="A872" s="12">
        <f>CMP!M874</f>
        <v>131.78</v>
      </c>
      <c r="B872" s="12">
        <f>CMP!O874</f>
        <v>131.46</v>
      </c>
    </row>
    <row r="873">
      <c r="A873" s="12">
        <f>CMP!M875</f>
        <v>132.04</v>
      </c>
      <c r="B873" s="12">
        <f>CMP!O875</f>
        <v>132.54</v>
      </c>
    </row>
    <row r="874">
      <c r="A874" s="12">
        <f>CMP!M876</f>
        <v>131.19</v>
      </c>
      <c r="B874" s="12">
        <f>CMP!O876</f>
        <v>127.85</v>
      </c>
    </row>
    <row r="875">
      <c r="A875" s="12">
        <f>CMP!M877</f>
        <v>129.2</v>
      </c>
      <c r="B875" s="12">
        <f>CMP!O877</f>
        <v>128.1</v>
      </c>
    </row>
    <row r="876">
      <c r="A876" s="12">
        <f>CMP!M878</f>
        <v>127.89</v>
      </c>
      <c r="B876" s="12">
        <f>CMP!O878</f>
        <v>129.74</v>
      </c>
    </row>
    <row r="877">
      <c r="A877" s="12">
        <f>CMP!M879</f>
        <v>130.85</v>
      </c>
      <c r="B877" s="12">
        <f>CMP!O879</f>
        <v>130.21</v>
      </c>
    </row>
    <row r="878">
      <c r="A878" s="12">
        <f>CMP!M880</f>
        <v>129.41</v>
      </c>
      <c r="B878" s="12">
        <f>CMP!O880</f>
        <v>126.85</v>
      </c>
    </row>
    <row r="879">
      <c r="A879" s="12">
        <f>CMP!M881</f>
        <v>123.5</v>
      </c>
      <c r="B879" s="12">
        <f>CMP!O881</f>
        <v>125.91</v>
      </c>
    </row>
    <row r="880">
      <c r="A880" s="12">
        <f>CMP!M882</f>
        <v>123.4</v>
      </c>
      <c r="B880" s="12">
        <f>CMP!O882</f>
        <v>122.77</v>
      </c>
    </row>
    <row r="881">
      <c r="A881" s="12">
        <f>CMP!M883</f>
        <v>124.58</v>
      </c>
      <c r="B881" s="12">
        <f>CMP!O883</f>
        <v>124.97</v>
      </c>
    </row>
    <row r="882">
      <c r="A882" s="12">
        <f>CMP!M884</f>
        <v>126.25</v>
      </c>
      <c r="B882" s="12">
        <f>CMP!O884</f>
        <v>127.45</v>
      </c>
    </row>
    <row r="883">
      <c r="A883" s="12">
        <f>CMP!M885</f>
        <v>126.82</v>
      </c>
      <c r="B883" s="12">
        <f>CMP!O885</f>
        <v>126.27</v>
      </c>
    </row>
    <row r="884">
      <c r="A884" s="12">
        <f>CMP!M886</f>
        <v>126.56</v>
      </c>
      <c r="B884" s="12">
        <f>CMP!O886</f>
        <v>124.85</v>
      </c>
    </row>
    <row r="885">
      <c r="A885" s="12">
        <f>CMP!M887</f>
        <v>123.16</v>
      </c>
      <c r="B885" s="12">
        <f>CMP!O887</f>
        <v>124.69</v>
      </c>
    </row>
    <row r="886">
      <c r="A886" s="12">
        <f>CMP!M888</f>
        <v>125.23</v>
      </c>
      <c r="B886" s="12">
        <f>CMP!O888</f>
        <v>127.31</v>
      </c>
    </row>
    <row r="887">
      <c r="A887" s="12">
        <f>CMP!M889</f>
        <v>127.82</v>
      </c>
      <c r="B887" s="12">
        <f>CMP!O889</f>
        <v>125.43</v>
      </c>
    </row>
    <row r="888">
      <c r="A888" s="12">
        <f>CMP!M890</f>
        <v>126.01</v>
      </c>
      <c r="B888" s="12">
        <f>CMP!O890</f>
        <v>127.1</v>
      </c>
    </row>
    <row r="889">
      <c r="A889" s="12">
        <f>CMP!M891</f>
        <v>127.82</v>
      </c>
      <c r="B889" s="12">
        <f>CMP!O891</f>
        <v>126.9</v>
      </c>
    </row>
    <row r="890">
      <c r="A890" s="12">
        <f>CMP!M892</f>
        <v>126.96</v>
      </c>
      <c r="B890" s="12">
        <f>CMP!O892</f>
        <v>126.85</v>
      </c>
    </row>
    <row r="891">
      <c r="A891" s="12">
        <f>CMP!M893</f>
        <v>126.44</v>
      </c>
      <c r="B891" s="12">
        <f>CMP!O893</f>
        <v>125.28</v>
      </c>
    </row>
    <row r="892">
      <c r="A892" s="12">
        <f>CMP!M894</f>
        <v>125.57</v>
      </c>
      <c r="B892" s="12">
        <f>CMP!O894</f>
        <v>124.61</v>
      </c>
    </row>
    <row r="893">
      <c r="A893" s="12">
        <f>CMP!M895</f>
        <v>125.08</v>
      </c>
      <c r="B893" s="12">
        <f>CMP!O895</f>
        <v>124.28</v>
      </c>
    </row>
    <row r="894">
      <c r="A894" s="12">
        <f>CMP!M896</f>
        <v>124.28</v>
      </c>
      <c r="B894" s="12">
        <f>CMP!O896</f>
        <v>125.06</v>
      </c>
    </row>
    <row r="895">
      <c r="A895" s="12">
        <f>CMP!M897</f>
        <v>124.68</v>
      </c>
      <c r="B895" s="12">
        <f>CMP!O897</f>
        <v>123.54</v>
      </c>
    </row>
    <row r="896">
      <c r="A896" s="12">
        <f>CMP!M898</f>
        <v>124.07</v>
      </c>
      <c r="B896" s="12">
        <f>CMP!O898</f>
        <v>125.89</v>
      </c>
    </row>
    <row r="897">
      <c r="A897" s="12">
        <f>CMP!M899</f>
        <v>126.17</v>
      </c>
      <c r="B897" s="12">
        <f>CMP!O899</f>
        <v>125.9</v>
      </c>
    </row>
    <row r="898">
      <c r="A898" s="12">
        <f>CMP!M900</f>
        <v>126.6</v>
      </c>
      <c r="B898" s="12">
        <f>CMP!O900</f>
        <v>126.74</v>
      </c>
    </row>
    <row r="899">
      <c r="A899" s="12">
        <f>CMP!M901</f>
        <v>127.21</v>
      </c>
      <c r="B899" s="12">
        <f>CMP!O901</f>
        <v>127.13</v>
      </c>
    </row>
    <row r="900">
      <c r="A900" s="12">
        <f>CMP!M902</f>
        <v>127.02</v>
      </c>
      <c r="B900" s="12">
        <f>CMP!O902</f>
        <v>126.11</v>
      </c>
    </row>
    <row r="901">
      <c r="A901" s="12">
        <f>CMP!M903</f>
        <v>126.53</v>
      </c>
      <c r="B901" s="12">
        <f>CMP!O903</f>
        <v>127.35</v>
      </c>
    </row>
    <row r="902">
      <c r="A902" s="12">
        <f>CMP!M904</f>
        <v>127.82</v>
      </c>
      <c r="B902" s="12">
        <f>CMP!O904</f>
        <v>130.48</v>
      </c>
    </row>
    <row r="903">
      <c r="A903" s="12">
        <f>CMP!M905</f>
        <v>129.94</v>
      </c>
      <c r="B903" s="12">
        <f>CMP!O905</f>
        <v>129.64</v>
      </c>
    </row>
    <row r="904">
      <c r="A904" s="12">
        <f>CMP!M906</f>
        <v>130.37</v>
      </c>
      <c r="B904" s="12">
        <f>CMP!O906</f>
        <v>130.15</v>
      </c>
    </row>
    <row r="905">
      <c r="A905" s="12">
        <f>CMP!M907</f>
        <v>129.8</v>
      </c>
      <c r="B905" s="12">
        <f>CMP!O907</f>
        <v>131.79</v>
      </c>
    </row>
    <row r="906">
      <c r="A906" s="12">
        <f>CMP!M908</f>
        <v>130.71</v>
      </c>
      <c r="B906" s="12">
        <f>CMP!O908</f>
        <v>130.46</v>
      </c>
    </row>
    <row r="907">
      <c r="A907" s="12">
        <f>CMP!M909</f>
        <v>130.3</v>
      </c>
      <c r="B907" s="12">
        <f>CMP!O909</f>
        <v>132.3</v>
      </c>
    </row>
    <row r="908">
      <c r="A908" s="12">
        <f>CMP!M910</f>
        <v>132.13</v>
      </c>
      <c r="B908" s="12">
        <f>CMP!O910</f>
        <v>133.98</v>
      </c>
    </row>
    <row r="909">
      <c r="A909" s="12">
        <f>CMP!M911</f>
        <v>133.77</v>
      </c>
      <c r="B909" s="12">
        <f>CMP!O911</f>
        <v>133.7</v>
      </c>
    </row>
    <row r="910">
      <c r="A910" s="12">
        <f>CMP!M912</f>
        <v>134.45</v>
      </c>
      <c r="B910" s="12">
        <f>CMP!O912</f>
        <v>133.41</v>
      </c>
    </row>
    <row r="911">
      <c r="A911" s="12">
        <f>CMP!M913</f>
        <v>133.46</v>
      </c>
      <c r="B911" s="12">
        <f>CMP!O913</f>
        <v>133.11</v>
      </c>
    </row>
    <row r="912">
      <c r="A912" s="12">
        <f>CMP!M914</f>
        <v>133.41</v>
      </c>
      <c r="B912" s="12">
        <f>CMP!O914</f>
        <v>134.78</v>
      </c>
    </row>
    <row r="913">
      <c r="A913" s="12">
        <f>CMP!M915</f>
        <v>134.8</v>
      </c>
      <c r="B913" s="12">
        <f>CMP!O915</f>
        <v>136.33</v>
      </c>
    </row>
    <row r="914">
      <c r="A914" s="12">
        <f>CMP!M916</f>
        <v>136.17</v>
      </c>
      <c r="B914" s="12">
        <f>CMP!O916</f>
        <v>136.96</v>
      </c>
    </row>
    <row r="915">
      <c r="A915" s="12">
        <f>CMP!M917</f>
        <v>136.6</v>
      </c>
      <c r="B915" s="12">
        <f>CMP!O917</f>
        <v>137.27</v>
      </c>
    </row>
    <row r="916">
      <c r="A916" s="12">
        <f>CMP!M918</f>
        <v>137.9</v>
      </c>
      <c r="B916" s="12">
        <f>CMP!O918</f>
        <v>139.96</v>
      </c>
    </row>
    <row r="917">
      <c r="A917" s="12">
        <f>CMP!M919</f>
        <v>140.07</v>
      </c>
      <c r="B917" s="12">
        <f>CMP!O919</f>
        <v>142.02</v>
      </c>
    </row>
    <row r="918">
      <c r="A918" s="12">
        <f>CMP!M920</f>
        <v>143.54</v>
      </c>
      <c r="B918" s="12">
        <f>CMP!O920</f>
        <v>144.57</v>
      </c>
    </row>
    <row r="919">
      <c r="A919" s="12">
        <f>CMP!M921</f>
        <v>141.58</v>
      </c>
      <c r="B919" s="12">
        <f>CMP!O921</f>
        <v>143.24</v>
      </c>
    </row>
    <row r="920">
      <c r="A920" s="12">
        <f>CMP!M922</f>
        <v>142.75</v>
      </c>
      <c r="B920" s="12">
        <f>CMP!O922</f>
        <v>145.11</v>
      </c>
    </row>
    <row r="921">
      <c r="A921" s="12">
        <f>CMP!M923</f>
        <v>146.21</v>
      </c>
      <c r="B921" s="12">
        <f>CMP!O923</f>
        <v>144.5</v>
      </c>
    </row>
    <row r="922">
      <c r="A922" s="12">
        <f>CMP!M924</f>
        <v>144.03</v>
      </c>
      <c r="B922" s="12">
        <f>CMP!O924</f>
        <v>145.64</v>
      </c>
    </row>
    <row r="923">
      <c r="A923" s="12">
        <f>CMP!M925</f>
        <v>148.1</v>
      </c>
      <c r="B923" s="12">
        <f>CMP!O925</f>
        <v>149.15</v>
      </c>
    </row>
    <row r="924">
      <c r="A924" s="12">
        <f>CMP!M926</f>
        <v>149.24</v>
      </c>
      <c r="B924" s="12">
        <f>CMP!O926</f>
        <v>148.48</v>
      </c>
    </row>
    <row r="925">
      <c r="A925" s="12">
        <f>CMP!M927</f>
        <v>148.46</v>
      </c>
      <c r="B925" s="12">
        <f>CMP!O927</f>
        <v>146.39</v>
      </c>
    </row>
    <row r="926">
      <c r="A926" s="12">
        <f>CMP!M928</f>
        <v>143.75</v>
      </c>
      <c r="B926" s="12">
        <f>CMP!O928</f>
        <v>142.45</v>
      </c>
    </row>
    <row r="927">
      <c r="A927" s="12">
        <f>CMP!M929</f>
        <v>143.46</v>
      </c>
      <c r="B927" s="12">
        <f>CMP!O929</f>
        <v>146.15</v>
      </c>
    </row>
    <row r="928">
      <c r="A928" s="12">
        <f>CMP!M930</f>
        <v>145.53</v>
      </c>
      <c r="B928" s="12">
        <f>CMP!O930</f>
        <v>145.4</v>
      </c>
    </row>
    <row r="929">
      <c r="A929" s="12">
        <f>CMP!M931</f>
        <v>145.94</v>
      </c>
      <c r="B929" s="12">
        <f>CMP!O931</f>
        <v>146.8</v>
      </c>
    </row>
    <row r="930">
      <c r="A930" s="12">
        <f>CMP!M932</f>
        <v>147.55</v>
      </c>
      <c r="B930" s="12">
        <f>CMP!O932</f>
        <v>148.56</v>
      </c>
    </row>
    <row r="931">
      <c r="A931" s="12">
        <f>CMP!M933</f>
        <v>148.27</v>
      </c>
      <c r="B931" s="12">
        <f>CMP!O933</f>
        <v>148.99</v>
      </c>
    </row>
    <row r="932">
      <c r="A932" s="12">
        <f>CMP!M934</f>
        <v>149.12</v>
      </c>
      <c r="B932" s="12">
        <f>CMP!O934</f>
        <v>146.77</v>
      </c>
    </row>
    <row r="933">
      <c r="A933" s="12">
        <f>CMP!M935</f>
        <v>144.81</v>
      </c>
      <c r="B933" s="12">
        <f>CMP!O935</f>
        <v>144.98</v>
      </c>
    </row>
    <row r="934">
      <c r="A934" s="12">
        <f>CMP!M936</f>
        <v>144.69</v>
      </c>
      <c r="B934" s="12">
        <f>CMP!O936</f>
        <v>145.64</v>
      </c>
    </row>
    <row r="935">
      <c r="A935" s="12">
        <f>CMP!M937</f>
        <v>144.38</v>
      </c>
      <c r="B935" s="12">
        <f>CMP!O937</f>
        <v>145.86</v>
      </c>
    </row>
    <row r="936">
      <c r="A936" s="12">
        <f>CMP!M938</f>
        <v>146.36</v>
      </c>
      <c r="B936" s="12">
        <f>CMP!O938</f>
        <v>145.52</v>
      </c>
    </row>
    <row r="937">
      <c r="A937" s="12">
        <f>CMP!M939</f>
        <v>145.81</v>
      </c>
      <c r="B937" s="12">
        <f>CMP!O939</f>
        <v>147.36</v>
      </c>
    </row>
    <row r="938">
      <c r="A938" s="12">
        <f>CMP!M940</f>
        <v>147.27</v>
      </c>
      <c r="B938" s="12">
        <f>CMP!O940</f>
        <v>146.95</v>
      </c>
    </row>
    <row r="939">
      <c r="A939" s="12">
        <f>CMP!M941</f>
        <v>146.98</v>
      </c>
      <c r="B939" s="12">
        <f>CMP!O941</f>
        <v>147.06</v>
      </c>
    </row>
    <row r="940">
      <c r="A940" s="12">
        <f>CMP!M942</f>
        <v>146.35</v>
      </c>
      <c r="B940" s="12">
        <f>CMP!O942</f>
        <v>146.14</v>
      </c>
    </row>
    <row r="941">
      <c r="A941" s="12">
        <f>CMP!M943</f>
        <v>146.2</v>
      </c>
      <c r="B941" s="12">
        <f>CMP!O943</f>
        <v>146.09</v>
      </c>
    </row>
    <row r="942">
      <c r="A942" s="12">
        <f>CMP!M944</f>
        <v>146.44</v>
      </c>
      <c r="B942" s="12">
        <f>CMP!O944</f>
        <v>145.6</v>
      </c>
    </row>
    <row r="943">
      <c r="A943" s="12">
        <f>CMP!M945</f>
        <v>146.05</v>
      </c>
      <c r="B943" s="12">
        <f>CMP!O945</f>
        <v>145.86</v>
      </c>
    </row>
    <row r="944">
      <c r="A944" s="12">
        <f>CMP!M946</f>
        <v>146.19</v>
      </c>
      <c r="B944" s="12">
        <f>CMP!O946</f>
        <v>148.89</v>
      </c>
    </row>
    <row r="945">
      <c r="A945" s="12">
        <f>CMP!M947</f>
        <v>148.97</v>
      </c>
      <c r="B945" s="12">
        <f>CMP!O947</f>
        <v>149.1</v>
      </c>
    </row>
    <row r="946">
      <c r="A946" s="12">
        <f>CMP!M948</f>
        <v>148.54</v>
      </c>
      <c r="B946" s="12">
        <f>CMP!O948</f>
        <v>151.12</v>
      </c>
    </row>
    <row r="947">
      <c r="A947" s="12">
        <f>CMP!M949</f>
        <v>150.23</v>
      </c>
      <c r="B947" s="12">
        <f>CMP!O949</f>
        <v>150.19</v>
      </c>
    </row>
    <row r="948">
      <c r="A948" s="12">
        <f>CMP!M950</f>
        <v>149.8</v>
      </c>
      <c r="B948" s="12">
        <f>CMP!O950</f>
        <v>146.36</v>
      </c>
    </row>
    <row r="949">
      <c r="A949" s="12">
        <f>CMP!M951</f>
        <v>145.03</v>
      </c>
      <c r="B949" s="12">
        <f>CMP!O951</f>
        <v>146.7</v>
      </c>
    </row>
    <row r="950">
      <c r="A950" s="12">
        <f>CMP!M952</f>
        <v>147.44</v>
      </c>
      <c r="B950" s="12">
        <f>CMP!O952</f>
        <v>148.19</v>
      </c>
    </row>
    <row r="951">
      <c r="A951" s="12">
        <f>CMP!M953</f>
        <v>148.31</v>
      </c>
      <c r="B951" s="12">
        <f>CMP!O953</f>
        <v>149.71</v>
      </c>
    </row>
    <row r="952">
      <c r="A952" s="12">
        <f>CMP!M954</f>
        <v>149.45</v>
      </c>
      <c r="B952" s="12">
        <f>CMP!O954</f>
        <v>149.62</v>
      </c>
    </row>
    <row r="953">
      <c r="A953" s="12">
        <f>CMP!M955</f>
        <v>149.81</v>
      </c>
      <c r="B953" s="12">
        <f>CMP!O955</f>
        <v>148.36</v>
      </c>
    </row>
    <row r="954">
      <c r="A954" s="12">
        <f>CMP!M956</f>
        <v>148.35</v>
      </c>
      <c r="B954" s="12">
        <f>CMP!O956</f>
        <v>147.54</v>
      </c>
    </row>
    <row r="955">
      <c r="A955" s="12">
        <f>CMP!M957</f>
        <v>147.48</v>
      </c>
      <c r="B955" s="12">
        <f>CMP!O957</f>
        <v>148.6</v>
      </c>
    </row>
    <row r="956">
      <c r="A956" s="12">
        <f>CMP!M958</f>
        <v>149</v>
      </c>
      <c r="B956" s="12">
        <f>CMP!O958</f>
        <v>153.12</v>
      </c>
    </row>
    <row r="957">
      <c r="A957" s="12">
        <f>CMP!M959</f>
        <v>152.66</v>
      </c>
      <c r="B957" s="12">
        <f>CMP!O959</f>
        <v>151.83</v>
      </c>
    </row>
    <row r="958">
      <c r="A958" s="12">
        <f>CMP!M960</f>
        <v>152.83</v>
      </c>
      <c r="B958" s="12">
        <f>CMP!O960</f>
        <v>152.51</v>
      </c>
    </row>
    <row r="959">
      <c r="A959" s="12">
        <f>CMP!M961</f>
        <v>153.87</v>
      </c>
      <c r="B959" s="12">
        <f>CMP!O961</f>
        <v>153.65</v>
      </c>
    </row>
    <row r="960">
      <c r="A960" s="12">
        <f>CMP!M962</f>
        <v>153.76</v>
      </c>
      <c r="B960" s="12">
        <f>CMP!O962</f>
        <v>154.3</v>
      </c>
    </row>
    <row r="961">
      <c r="A961" s="12">
        <f>CMP!M963</f>
        <v>154.97</v>
      </c>
      <c r="B961" s="12">
        <f>CMP!O963</f>
        <v>156.69</v>
      </c>
    </row>
    <row r="962">
      <c r="A962" s="12">
        <f>CMP!M964</f>
        <v>156.98</v>
      </c>
      <c r="B962" s="12">
        <f>CMP!O964</f>
        <v>155.11</v>
      </c>
    </row>
    <row r="963">
      <c r="A963" s="12">
        <f>CMP!M965</f>
        <v>155.49</v>
      </c>
      <c r="B963" s="12">
        <f>CMP!O965</f>
        <v>154.07</v>
      </c>
    </row>
    <row r="964">
      <c r="A964" s="12">
        <f>CMP!M966</f>
        <v>155</v>
      </c>
      <c r="B964" s="12">
        <f>CMP!O966</f>
        <v>148.97</v>
      </c>
    </row>
    <row r="965">
      <c r="A965" s="12">
        <f>CMP!M967</f>
        <v>150.63</v>
      </c>
      <c r="B965" s="12">
        <f>CMP!O967</f>
        <v>149.55</v>
      </c>
    </row>
    <row r="966">
      <c r="A966" s="12">
        <f>CMP!M968</f>
        <v>150.35</v>
      </c>
      <c r="B966" s="12">
        <f>CMP!O968</f>
        <v>148.12</v>
      </c>
    </row>
    <row r="967">
      <c r="A967" s="12">
        <f>CMP!M969</f>
        <v>148.56</v>
      </c>
      <c r="B967" s="12">
        <f>CMP!O969</f>
        <v>149.03</v>
      </c>
    </row>
    <row r="968">
      <c r="A968" s="12">
        <f>CMP!M970</f>
        <v>148.44</v>
      </c>
      <c r="B968" s="12">
        <f>CMP!O970</f>
        <v>148.79</v>
      </c>
    </row>
    <row r="969">
      <c r="A969" s="12">
        <f>CMP!M971</f>
        <v>148.82</v>
      </c>
      <c r="B969" s="12">
        <f>CMP!O971</f>
        <v>146.06</v>
      </c>
    </row>
    <row r="970">
      <c r="A970" s="12">
        <f>CMP!M972</f>
        <v>143.8</v>
      </c>
      <c r="B970" s="12">
        <f>CMP!O972</f>
        <v>142.94</v>
      </c>
    </row>
    <row r="971">
      <c r="A971" s="12">
        <f>CMP!M973</f>
        <v>143.93</v>
      </c>
      <c r="B971" s="12">
        <f>CMP!O973</f>
        <v>143.43</v>
      </c>
    </row>
    <row r="972">
      <c r="A972" s="12">
        <f>CMP!M974</f>
        <v>144.45</v>
      </c>
      <c r="B972" s="12">
        <f>CMP!O974</f>
        <v>145.85</v>
      </c>
    </row>
    <row r="973">
      <c r="A973" s="12">
        <f>CMP!M975</f>
        <v>146.65</v>
      </c>
      <c r="B973" s="12">
        <f>CMP!O975</f>
        <v>146.83</v>
      </c>
    </row>
    <row r="974">
      <c r="A974" s="12">
        <f>CMP!M976</f>
        <v>145.66</v>
      </c>
      <c r="B974" s="12">
        <f>CMP!O976</f>
        <v>146.92</v>
      </c>
    </row>
    <row r="975">
      <c r="A975" s="12">
        <f>CMP!M977</f>
        <v>145.47</v>
      </c>
      <c r="B975" s="12">
        <f>CMP!O977</f>
        <v>145.37</v>
      </c>
    </row>
    <row r="976">
      <c r="A976" s="12">
        <f>CMP!M978</f>
        <v>143.25</v>
      </c>
      <c r="B976" s="12">
        <f>CMP!O978</f>
        <v>141.91</v>
      </c>
    </row>
    <row r="977">
      <c r="A977" s="12">
        <f>CMP!M979</f>
        <v>142.47</v>
      </c>
      <c r="B977" s="12">
        <f>CMP!O979</f>
        <v>142.83</v>
      </c>
    </row>
    <row r="978">
      <c r="A978" s="12">
        <f>CMP!M980</f>
        <v>143.66</v>
      </c>
      <c r="B978" s="12">
        <f>CMP!O980</f>
        <v>141.5</v>
      </c>
    </row>
    <row r="979">
      <c r="A979" s="12">
        <f>CMP!M981</f>
        <v>141.9</v>
      </c>
      <c r="B979" s="12">
        <f>CMP!O981</f>
        <v>142.65</v>
      </c>
    </row>
    <row r="980">
      <c r="A980" s="12">
        <f>CMP!M982</f>
        <v>141.76</v>
      </c>
      <c r="B980" s="12">
        <f>CMP!O982</f>
        <v>139.14</v>
      </c>
    </row>
    <row r="981">
      <c r="A981" s="12">
        <f>CMP!M983</f>
        <v>139.49</v>
      </c>
      <c r="B981" s="12">
        <f>CMP!O983</f>
        <v>141.11</v>
      </c>
    </row>
    <row r="982">
      <c r="A982" s="12">
        <f>CMP!M984</f>
        <v>139.47</v>
      </c>
      <c r="B982" s="12">
        <f>CMP!O984</f>
        <v>142</v>
      </c>
    </row>
    <row r="983">
      <c r="A983" s="12">
        <f>CMP!M985</f>
        <v>143.06</v>
      </c>
      <c r="B983" s="12">
        <f>CMP!O985</f>
        <v>143.29</v>
      </c>
    </row>
    <row r="984">
      <c r="A984" s="12">
        <f>CMP!M986</f>
        <v>144.03</v>
      </c>
      <c r="B984" s="12">
        <f>CMP!O986</f>
        <v>142.9</v>
      </c>
    </row>
    <row r="985">
      <c r="A985" s="12">
        <f>CMP!M987</f>
        <v>142.27</v>
      </c>
      <c r="B985" s="12">
        <f>CMP!O987</f>
        <v>142.81</v>
      </c>
    </row>
    <row r="986">
      <c r="A986" s="12">
        <f>CMP!M988</f>
        <v>143.23</v>
      </c>
      <c r="B986" s="12">
        <f>CMP!O988</f>
        <v>141.51</v>
      </c>
    </row>
    <row r="987">
      <c r="A987" s="12">
        <f>CMP!M989</f>
        <v>141.24</v>
      </c>
      <c r="B987" s="12">
        <f>CMP!O989</f>
        <v>140.91</v>
      </c>
    </row>
    <row r="988">
      <c r="A988" s="12">
        <f>CMP!M990</f>
        <v>142.11</v>
      </c>
      <c r="B988" s="12">
        <f>CMP!O990</f>
        <v>143.76</v>
      </c>
    </row>
    <row r="989">
      <c r="A989" s="12">
        <f>CMP!M991</f>
        <v>143.77</v>
      </c>
      <c r="B989" s="12">
        <f>CMP!O991</f>
        <v>144.84</v>
      </c>
    </row>
    <row r="990">
      <c r="A990" s="12">
        <f>CMP!M992</f>
        <v>143.45</v>
      </c>
      <c r="B990" s="12">
        <f>CMP!O992</f>
        <v>146.55</v>
      </c>
    </row>
    <row r="991">
      <c r="A991" s="12">
        <f>CMP!M993</f>
        <v>147.01</v>
      </c>
      <c r="B991" s="12">
        <f>CMP!O993</f>
        <v>148.76</v>
      </c>
    </row>
    <row r="992">
      <c r="A992" s="12">
        <f>CMP!M994</f>
        <v>148.7</v>
      </c>
      <c r="B992" s="12">
        <f>CMP!O994</f>
        <v>149.26</v>
      </c>
    </row>
    <row r="993">
      <c r="A993" s="12">
        <f>CMP!M995</f>
        <v>148.81</v>
      </c>
      <c r="B993" s="12">
        <f>CMP!O995</f>
        <v>149.48</v>
      </c>
    </row>
    <row r="994">
      <c r="A994" s="12">
        <f>CMP!M996</f>
        <v>149.69</v>
      </c>
      <c r="B994" s="12">
        <f>CMP!O996</f>
        <v>148.69</v>
      </c>
    </row>
    <row r="995">
      <c r="A995" s="12">
        <f>CMP!M997</f>
        <v>148.68</v>
      </c>
      <c r="B995" s="12">
        <f>CMP!O997</f>
        <v>148.64</v>
      </c>
    </row>
    <row r="996">
      <c r="A996" s="12">
        <f>CMP!M998</f>
        <v>149.33</v>
      </c>
      <c r="B996" s="12">
        <f>CMP!O998</f>
        <v>149.32</v>
      </c>
    </row>
    <row r="997">
      <c r="A997" s="12">
        <f>CMP!M999</f>
        <v>149.36</v>
      </c>
      <c r="B997" s="12">
        <f>CMP!O999</f>
        <v>148.85</v>
      </c>
    </row>
    <row r="998">
      <c r="A998" s="12">
        <f>CMP!M1000</f>
        <v>149.82</v>
      </c>
      <c r="B998" s="12">
        <f>CMP!O1000</f>
        <v>152.57</v>
      </c>
    </row>
    <row r="999">
      <c r="A999" s="12">
        <f>CMP!M1001</f>
        <v>147.22</v>
      </c>
      <c r="B999" s="12">
        <f>CMP!O1001</f>
        <v>149.8</v>
      </c>
    </row>
    <row r="1000">
      <c r="A1000" s="12">
        <f>CMP!M1002</f>
        <v>148.99</v>
      </c>
      <c r="B1000" s="12">
        <f>CMP!O1002</f>
        <v>148.96</v>
      </c>
    </row>
    <row r="1001">
      <c r="A1001" s="12">
        <f>CMP!M1003</f>
        <v>148.66</v>
      </c>
      <c r="B1001" s="12">
        <f>CMP!O1003</f>
        <v>150.02</v>
      </c>
    </row>
    <row r="1002">
      <c r="A1002" s="12">
        <f>CMP!M1004</f>
        <v>150.39</v>
      </c>
      <c r="B1002" s="12">
        <f>CMP!O1004</f>
        <v>151.49</v>
      </c>
    </row>
    <row r="1003">
      <c r="A1003" s="12">
        <f>CMP!M1005</f>
        <v>151.58</v>
      </c>
      <c r="B1003" s="12">
        <f>CMP!O1005</f>
        <v>150.96</v>
      </c>
    </row>
    <row r="1004">
      <c r="A1004" s="12">
        <f>CMP!M1006</f>
        <v>151.89</v>
      </c>
      <c r="B1004" s="12">
        <f>CMP!O1006</f>
        <v>151.28</v>
      </c>
    </row>
    <row r="1005">
      <c r="A1005" s="12">
        <f>CMP!M1007</f>
        <v>151.41</v>
      </c>
      <c r="B1005" s="12">
        <f>CMP!O1007</f>
        <v>150.44</v>
      </c>
    </row>
    <row r="1006">
      <c r="A1006" s="12">
        <f>CMP!M1008</f>
        <v>150.2</v>
      </c>
      <c r="B1006" s="12">
        <f>CMP!O1008</f>
        <v>150.81</v>
      </c>
    </row>
    <row r="1007">
      <c r="A1007" s="12">
        <f>CMP!M1009</f>
        <v>150.02</v>
      </c>
      <c r="B1007" s="12">
        <f>CMP!O1009</f>
        <v>147.92</v>
      </c>
    </row>
    <row r="1008">
      <c r="A1008" s="12">
        <f>CMP!M1010</f>
        <v>148.96</v>
      </c>
      <c r="B1008" s="12">
        <f>CMP!O1010</f>
        <v>147.87</v>
      </c>
    </row>
    <row r="1009">
      <c r="A1009" s="12">
        <f>CMP!M1011</f>
        <v>148.43</v>
      </c>
      <c r="B1009" s="12">
        <f>CMP!O1011</f>
        <v>149.99</v>
      </c>
    </row>
    <row r="1010">
      <c r="A1010" s="12">
        <f>CMP!M1012</f>
        <v>150.37</v>
      </c>
      <c r="B1010" s="12">
        <f>CMP!O1012</f>
        <v>150</v>
      </c>
    </row>
    <row r="1011">
      <c r="A1011" s="12">
        <f>CMP!M1013</f>
        <v>149.94</v>
      </c>
      <c r="B1011" s="12">
        <f>CMP!O1013</f>
        <v>151</v>
      </c>
    </row>
    <row r="1012">
      <c r="A1012" s="12">
        <f>CMP!M1014</f>
        <v>151</v>
      </c>
      <c r="B1012" s="12">
        <f>CMP!O1014</f>
        <v>153.49</v>
      </c>
    </row>
    <row r="1013">
      <c r="A1013" s="12">
        <f>CMP!M1015</f>
        <v>153.71</v>
      </c>
      <c r="B1013" s="12">
        <f>CMP!O1015</f>
        <v>157.87</v>
      </c>
    </row>
    <row r="1014">
      <c r="A1014" s="12">
        <f>CMP!M1016</f>
        <v>157.65</v>
      </c>
      <c r="B1014" s="12">
        <f>CMP!O1016</f>
        <v>160.55</v>
      </c>
    </row>
    <row r="1015">
      <c r="A1015" s="12">
        <f>CMP!M1017</f>
        <v>161.68</v>
      </c>
      <c r="B1015" s="12">
        <f>CMP!O1017</f>
        <v>161.02</v>
      </c>
    </row>
    <row r="1016">
      <c r="A1016" s="12">
        <f>CMP!M1018</f>
        <v>161.12</v>
      </c>
      <c r="B1016" s="12">
        <f>CMP!O1018</f>
        <v>161.41</v>
      </c>
    </row>
    <row r="1017">
      <c r="A1017" s="12">
        <f>CMP!M1019</f>
        <v>160.75</v>
      </c>
      <c r="B1017" s="12">
        <f>CMP!O1019</f>
        <v>161.94</v>
      </c>
    </row>
    <row r="1018">
      <c r="A1018" s="12">
        <f>CMP!M1020</f>
        <v>159.57</v>
      </c>
      <c r="B1018" s="12">
        <f>CMP!O1020</f>
        <v>156.81</v>
      </c>
    </row>
    <row r="1019">
      <c r="A1019" s="12">
        <f>CMP!M1021</f>
        <v>159.37</v>
      </c>
      <c r="B1019" s="12">
        <f>CMP!O1021</f>
        <v>160.24</v>
      </c>
    </row>
    <row r="1020">
      <c r="A1020" s="12">
        <f>CMP!M1022</f>
        <v>159.99</v>
      </c>
      <c r="B1020" s="12">
        <f>CMP!O1022</f>
        <v>165.3</v>
      </c>
    </row>
    <row r="1021">
      <c r="A1021" s="12">
        <f>CMP!M1023</f>
        <v>167.48</v>
      </c>
      <c r="B1021" s="12">
        <f>CMP!O1023</f>
        <v>164.77</v>
      </c>
    </row>
    <row r="1022">
      <c r="A1022" s="12">
        <f>CMP!M1024</f>
        <v>158.74</v>
      </c>
      <c r="B1022" s="12">
        <f>CMP!O1024</f>
        <v>163.76</v>
      </c>
    </row>
    <row r="1023">
      <c r="A1023" s="12">
        <f>CMP!M1025</f>
        <v>164.02</v>
      </c>
      <c r="B1023" s="12">
        <f>CMP!O1025</f>
        <v>161.84</v>
      </c>
    </row>
    <row r="1024">
      <c r="A1024" s="12">
        <f>CMP!M1026</f>
        <v>164.29</v>
      </c>
      <c r="B1024" s="12">
        <f>CMP!O1026</f>
        <v>165.32</v>
      </c>
    </row>
    <row r="1025">
      <c r="A1025" s="12">
        <f>CMP!M1027</f>
        <v>169.08</v>
      </c>
      <c r="B1025" s="12">
        <f>CMP!O1027</f>
        <v>171.18</v>
      </c>
    </row>
    <row r="1026">
      <c r="A1026" s="12">
        <f>CMP!M1028</f>
        <v>172.13</v>
      </c>
      <c r="B1026" s="12">
        <f>CMP!O1028</f>
        <v>175.08</v>
      </c>
    </row>
    <row r="1027">
      <c r="A1027" s="12">
        <f>CMP!M1029</f>
        <v>174.91</v>
      </c>
      <c r="B1027" s="12">
        <f>CMP!O1029</f>
        <v>174.56</v>
      </c>
    </row>
    <row r="1028">
      <c r="A1028" s="12">
        <f>CMP!M1030</f>
        <v>175.21</v>
      </c>
      <c r="B1028" s="12">
        <f>CMP!O1030</f>
        <v>179.45</v>
      </c>
    </row>
    <row r="1029">
      <c r="A1029" s="12">
        <f>CMP!M1031</f>
        <v>181.12</v>
      </c>
      <c r="B1029" s="12">
        <f>CMP!O1031</f>
        <v>175.74</v>
      </c>
    </row>
    <row r="1030">
      <c r="A1030" s="12">
        <f>CMP!M1032</f>
        <v>175.25</v>
      </c>
      <c r="B1030" s="12">
        <f>CMP!O1032</f>
        <v>174.33</v>
      </c>
    </row>
    <row r="1031">
      <c r="A1031" s="12">
        <f>CMP!M1033</f>
        <v>175.11</v>
      </c>
      <c r="B1031" s="12">
        <f>CMP!O1033</f>
        <v>179.3</v>
      </c>
    </row>
    <row r="1032">
      <c r="A1032" s="12">
        <f>CMP!M1034</f>
        <v>179.28</v>
      </c>
      <c r="B1032" s="12">
        <f>CMP!O1034</f>
        <v>172.26</v>
      </c>
    </row>
    <row r="1033">
      <c r="A1033" s="12">
        <f>CMP!M1035</f>
        <v>169.93</v>
      </c>
      <c r="B1033" s="12">
        <f>CMP!O1035</f>
        <v>171.14</v>
      </c>
    </row>
    <row r="1034">
      <c r="A1034" s="12" t="str">
        <f>CMP!M1036</f>
        <v/>
      </c>
      <c r="B1034" s="12" t="str">
        <f>CMP!O1036</f>
        <v/>
      </c>
    </row>
    <row r="1035">
      <c r="A1035" s="12" t="str">
        <f>CMP!M1037</f>
        <v/>
      </c>
    </row>
    <row r="1036">
      <c r="A1036" s="12" t="str">
        <f>CMP!M1038</f>
        <v/>
      </c>
    </row>
    <row r="1037">
      <c r="A1037" s="12" t="str">
        <f>CMP!M1039</f>
        <v/>
      </c>
    </row>
    <row r="1038">
      <c r="A1038" s="12" t="str">
        <f>CMP!M1040</f>
        <v/>
      </c>
    </row>
    <row r="1039">
      <c r="A1039" s="12" t="str">
        <f>CMP!M1041</f>
        <v/>
      </c>
    </row>
    <row r="1040">
      <c r="A1040" s="12" t="str">
        <f>CMP!M1042</f>
        <v/>
      </c>
    </row>
    <row r="1041">
      <c r="A1041" s="12" t="str">
        <f>CMP!M1043</f>
        <v/>
      </c>
    </row>
    <row r="1042">
      <c r="A1042" s="12" t="str">
        <f>CMP!M1044</f>
        <v/>
      </c>
    </row>
    <row r="1043">
      <c r="A1043" s="12" t="str">
        <f>CMP!M1045</f>
        <v/>
      </c>
    </row>
    <row r="1044">
      <c r="A1044" s="12" t="str">
        <f>CMP!M1046</f>
        <v/>
      </c>
    </row>
    <row r="1045">
      <c r="A1045" s="12" t="str">
        <f>CMP!M1047</f>
        <v/>
      </c>
    </row>
    <row r="1046">
      <c r="A1046" s="12" t="str">
        <f>CMP!M1048</f>
        <v/>
      </c>
    </row>
    <row r="1047">
      <c r="A1047" s="12" t="str">
        <f>CMP!M1049</f>
        <v/>
      </c>
    </row>
    <row r="1048">
      <c r="A1048" s="12" t="str">
        <f>CMP!M1050</f>
        <v/>
      </c>
    </row>
    <row r="1049">
      <c r="A1049" s="12" t="str">
        <f>CMP!M1051</f>
        <v/>
      </c>
    </row>
    <row r="1050">
      <c r="A1050" s="12" t="str">
        <f>CMP!M1052</f>
        <v/>
      </c>
    </row>
    <row r="1051">
      <c r="A1051" s="12" t="str">
        <f>CMP!M1053</f>
        <v/>
      </c>
    </row>
    <row r="1052">
      <c r="A1052" s="12" t="str">
        <f>CMP!M1054</f>
        <v/>
      </c>
    </row>
    <row r="1053">
      <c r="A1053" s="12" t="str">
        <f>CMP!M1055</f>
        <v/>
      </c>
    </row>
    <row r="1054">
      <c r="A1054" s="12" t="str">
        <f>CMP!M1056</f>
        <v/>
      </c>
    </row>
    <row r="1055">
      <c r="A1055" s="12" t="str">
        <f>CMP!M1057</f>
        <v/>
      </c>
    </row>
    <row r="1056">
      <c r="A1056" s="12" t="str">
        <f>CMP!M1058</f>
        <v/>
      </c>
    </row>
    <row r="1057">
      <c r="A1057" s="12" t="str">
        <f>CMP!M1059</f>
        <v/>
      </c>
    </row>
    <row r="1058">
      <c r="A1058" s="12" t="str">
        <f>CMP!M1060</f>
        <v/>
      </c>
    </row>
    <row r="1059">
      <c r="A1059" s="12" t="str">
        <f>CMP!M1061</f>
        <v/>
      </c>
    </row>
    <row r="1060">
      <c r="A1060" s="12" t="str">
        <f>CMP!M1062</f>
        <v/>
      </c>
    </row>
    <row r="1061">
      <c r="A1061" s="12" t="str">
        <f>CMP!M1063</f>
        <v/>
      </c>
    </row>
    <row r="1062">
      <c r="A1062" s="12" t="str">
        <f>CMP!M1064</f>
        <v/>
      </c>
    </row>
    <row r="1063">
      <c r="A1063" s="12" t="str">
        <f>CMP!M1065</f>
        <v/>
      </c>
    </row>
    <row r="1064">
      <c r="A1064" s="12" t="str">
        <f>CMP!M1066</f>
        <v/>
      </c>
    </row>
    <row r="1065">
      <c r="A1065" s="12" t="str">
        <f>CMP!M1067</f>
        <v/>
      </c>
    </row>
    <row r="1066">
      <c r="A1066" s="12" t="str">
        <f>CMP!M1068</f>
        <v/>
      </c>
    </row>
    <row r="1067">
      <c r="A1067" s="12" t="str">
        <f>CMP!M1069</f>
        <v/>
      </c>
    </row>
    <row r="1068">
      <c r="A1068" s="12" t="str">
        <f>CMP!M1070</f>
        <v/>
      </c>
    </row>
    <row r="1069">
      <c r="A1069" s="12" t="str">
        <f>CMP!M1071</f>
        <v/>
      </c>
    </row>
    <row r="1070">
      <c r="A1070" s="12" t="str">
        <f>CMP!M1072</f>
        <v/>
      </c>
    </row>
    <row r="1071">
      <c r="A1071" s="12" t="str">
        <f>CMP!M1073</f>
        <v/>
      </c>
    </row>
    <row r="1072">
      <c r="A1072" s="12" t="str">
        <f>CMP!M1074</f>
        <v/>
      </c>
    </row>
    <row r="1073">
      <c r="A1073" s="12" t="str">
        <f>CMP!M1075</f>
        <v/>
      </c>
    </row>
    <row r="1074">
      <c r="A1074" s="12" t="str">
        <f>CMP!M1076</f>
        <v/>
      </c>
    </row>
    <row r="1075">
      <c r="A1075" s="12" t="str">
        <f>CMP!M1077</f>
        <v/>
      </c>
    </row>
    <row r="1076">
      <c r="A1076" s="12" t="str">
        <f>CMP!M1078</f>
        <v/>
      </c>
    </row>
    <row r="1077">
      <c r="A1077" s="12" t="str">
        <f>CMP!M1079</f>
        <v/>
      </c>
    </row>
    <row r="1078">
      <c r="A1078" s="12" t="str">
        <f>CMP!M1080</f>
        <v/>
      </c>
    </row>
    <row r="1079">
      <c r="A1079" s="12" t="str">
        <f>CMP!M1081</f>
        <v/>
      </c>
    </row>
    <row r="1080">
      <c r="A1080" s="12" t="str">
        <f>CMP!M1082</f>
        <v/>
      </c>
    </row>
    <row r="1081">
      <c r="A1081" s="12" t="str">
        <f>CMP!M1083</f>
        <v/>
      </c>
    </row>
    <row r="1082">
      <c r="A1082" s="12" t="str">
        <f>CMP!M1084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CMP!R4</f>
        <v>177.5</v>
      </c>
      <c r="B2" s="12">
        <f>CMP!T4</f>
        <v>178.77</v>
      </c>
    </row>
    <row r="3">
      <c r="A3" s="12">
        <f>CMP!R5</f>
        <v>178.13</v>
      </c>
      <c r="B3" s="12">
        <f>CMP!T5</f>
        <v>178.07</v>
      </c>
    </row>
    <row r="4">
      <c r="A4" s="12">
        <f>CMP!R6</f>
        <v>176.66</v>
      </c>
      <c r="B4" s="12">
        <f>CMP!T6</f>
        <v>177.95</v>
      </c>
    </row>
    <row r="5">
      <c r="A5" s="12">
        <f>CMP!R7</f>
        <v>178.76</v>
      </c>
      <c r="B5" s="12">
        <f>CMP!T7</f>
        <v>179.59</v>
      </c>
    </row>
    <row r="6">
      <c r="A6" s="12">
        <f>CMP!R8</f>
        <v>179.3</v>
      </c>
      <c r="B6" s="12">
        <f>CMP!T8</f>
        <v>179</v>
      </c>
    </row>
    <row r="7">
      <c r="A7" s="12">
        <f>CMP!R9</f>
        <v>178.87</v>
      </c>
      <c r="B7" s="12">
        <f>CMP!T9</f>
        <v>178.74</v>
      </c>
    </row>
    <row r="8">
      <c r="A8" s="12">
        <f>CMP!R10</f>
        <v>179.15</v>
      </c>
      <c r="B8" s="12">
        <f>CMP!T10</f>
        <v>181.86</v>
      </c>
    </row>
    <row r="9">
      <c r="A9" s="12">
        <f>CMP!R11</f>
        <v>181.3</v>
      </c>
      <c r="B9" s="12">
        <f>CMP!T11</f>
        <v>180.87</v>
      </c>
    </row>
    <row r="10">
      <c r="A10" s="12">
        <f>CMP!R12</f>
        <v>180.4</v>
      </c>
      <c r="B10" s="12">
        <f>CMP!T12</f>
        <v>182.78</v>
      </c>
    </row>
    <row r="11">
      <c r="A11" s="12">
        <f>CMP!R13</f>
        <v>182.56</v>
      </c>
      <c r="B11" s="12">
        <f>CMP!T13</f>
        <v>183.03</v>
      </c>
    </row>
    <row r="12">
      <c r="A12" s="12">
        <f>CMP!R14</f>
        <v>183.51</v>
      </c>
      <c r="B12" s="12">
        <f>CMP!T14</f>
        <v>182.42</v>
      </c>
    </row>
    <row r="13">
      <c r="A13" s="12">
        <f>CMP!R15</f>
        <v>181.89</v>
      </c>
      <c r="B13" s="12">
        <f>CMP!T15</f>
        <v>175.13</v>
      </c>
    </row>
    <row r="14">
      <c r="A14" s="12">
        <f>CMP!R16</f>
        <v>176.85</v>
      </c>
      <c r="B14" s="12">
        <f>CMP!T16</f>
        <v>177.18</v>
      </c>
    </row>
    <row r="15">
      <c r="A15" s="12">
        <f>CMP!R17</f>
        <v>176.03</v>
      </c>
      <c r="B15" s="12">
        <f>CMP!T17</f>
        <v>175.1</v>
      </c>
    </row>
    <row r="16">
      <c r="A16" s="12">
        <f>CMP!R18</f>
        <v>176.29</v>
      </c>
      <c r="B16" s="12">
        <f>CMP!T18</f>
        <v>171.47</v>
      </c>
    </row>
    <row r="17">
      <c r="A17" s="12">
        <f>CMP!R19</f>
        <v>170.45</v>
      </c>
      <c r="B17" s="12">
        <f>CMP!T19</f>
        <v>172.83</v>
      </c>
    </row>
    <row r="18">
      <c r="A18" s="12">
        <f>CMP!R20</f>
        <v>172.5</v>
      </c>
      <c r="B18" s="12">
        <f>CMP!T20</f>
        <v>176.06</v>
      </c>
    </row>
    <row r="19">
      <c r="A19" s="12">
        <f>CMP!R21</f>
        <v>175.8</v>
      </c>
      <c r="B19" s="12">
        <f>CMP!T21</f>
        <v>180.14</v>
      </c>
    </row>
    <row r="20">
      <c r="A20" s="12">
        <f>CMP!R22</f>
        <v>181.53</v>
      </c>
      <c r="B20" s="12">
        <f>CMP!T22</f>
        <v>179</v>
      </c>
    </row>
    <row r="21">
      <c r="A21" s="12">
        <f>CMP!R23</f>
        <v>179.3</v>
      </c>
      <c r="B21" s="12">
        <f>CMP!T23</f>
        <v>179.04</v>
      </c>
    </row>
    <row r="22">
      <c r="A22" s="12">
        <f>CMP!R24</f>
        <v>178.6</v>
      </c>
      <c r="B22" s="12">
        <f>CMP!T24</f>
        <v>176.96</v>
      </c>
    </row>
    <row r="23">
      <c r="A23" s="12">
        <f>CMP!R25</f>
        <v>177.3</v>
      </c>
      <c r="B23" s="12">
        <f>CMP!T25</f>
        <v>178.3</v>
      </c>
    </row>
    <row r="24">
      <c r="A24" s="12">
        <f>CMP!R26</f>
        <v>178.29</v>
      </c>
      <c r="B24" s="12">
        <f>CMP!T26</f>
        <v>178.39</v>
      </c>
    </row>
    <row r="25">
      <c r="A25" s="12">
        <f>CMP!R27</f>
        <v>179.02</v>
      </c>
      <c r="B25" s="12">
        <f>CMP!T27</f>
        <v>180.18</v>
      </c>
    </row>
    <row r="26">
      <c r="A26" s="12">
        <f>CMP!R28</f>
        <v>181.01</v>
      </c>
      <c r="B26" s="12">
        <f>CMP!T28</f>
        <v>180.82</v>
      </c>
    </row>
    <row r="27">
      <c r="A27" s="12">
        <f>CMP!R29</f>
        <v>179.95</v>
      </c>
      <c r="B27" s="12">
        <f>CMP!T29</f>
        <v>179.51</v>
      </c>
    </row>
    <row r="28">
      <c r="A28" s="12">
        <f>CMP!R30</f>
        <v>179.81</v>
      </c>
      <c r="B28" s="12">
        <f>CMP!T30</f>
        <v>177.89</v>
      </c>
    </row>
    <row r="29">
      <c r="A29" s="12">
        <f>CMP!R31</f>
        <v>177.94</v>
      </c>
      <c r="B29" s="12">
        <f>CMP!T31</f>
        <v>177.45</v>
      </c>
    </row>
    <row r="30">
      <c r="A30" s="12">
        <f>CMP!R32</f>
        <v>177.14</v>
      </c>
      <c r="B30" s="12">
        <f>CMP!T32</f>
        <v>177.2</v>
      </c>
    </row>
    <row r="31">
      <c r="A31" s="12">
        <f>CMP!R33</f>
        <v>176.63</v>
      </c>
      <c r="B31" s="12">
        <f>CMP!T33</f>
        <v>175.99</v>
      </c>
    </row>
    <row r="32">
      <c r="A32" s="12">
        <f>CMP!R34</f>
        <v>176.55</v>
      </c>
      <c r="B32" s="12">
        <f>CMP!T34</f>
        <v>177.62</v>
      </c>
    </row>
    <row r="33">
      <c r="A33" s="12">
        <f>CMP!R35</f>
        <v>177.95</v>
      </c>
      <c r="B33" s="12">
        <f>CMP!T35</f>
        <v>177.92</v>
      </c>
    </row>
    <row r="34">
      <c r="A34" s="12">
        <f>CMP!R36</f>
        <v>178</v>
      </c>
      <c r="B34" s="12">
        <f>CMP!T36</f>
        <v>176.46</v>
      </c>
    </row>
    <row r="35">
      <c r="A35" s="12">
        <f>CMP!R37</f>
        <v>177.68</v>
      </c>
      <c r="B35" s="12">
        <f>CMP!T37</f>
        <v>181.42</v>
      </c>
    </row>
    <row r="36">
      <c r="A36" s="12">
        <f>CMP!R38</f>
        <v>181.88</v>
      </c>
      <c r="B36" s="12">
        <f>CMP!T38</f>
        <v>184.67</v>
      </c>
    </row>
    <row r="37">
      <c r="A37" s="12">
        <f>CMP!R39</f>
        <v>184.9</v>
      </c>
      <c r="B37" s="12">
        <f>CMP!T39</f>
        <v>184.33</v>
      </c>
    </row>
    <row r="38">
      <c r="A38" s="12">
        <f>CMP!R40</f>
        <v>185.59</v>
      </c>
      <c r="B38" s="12">
        <f>CMP!T40</f>
        <v>186.85</v>
      </c>
    </row>
    <row r="39">
      <c r="A39" s="12">
        <f>CMP!R41</f>
        <v>187.2</v>
      </c>
      <c r="B39" s="12">
        <f>CMP!T41</f>
        <v>188.28</v>
      </c>
    </row>
    <row r="40">
      <c r="A40" s="12">
        <f>CMP!R42</f>
        <v>188.7</v>
      </c>
      <c r="B40" s="12">
        <f>CMP!T42</f>
        <v>187.87</v>
      </c>
    </row>
    <row r="41">
      <c r="A41" s="12">
        <f>CMP!R43</f>
        <v>186.94</v>
      </c>
      <c r="B41" s="12">
        <f>CMP!T43</f>
        <v>187.84</v>
      </c>
    </row>
    <row r="42">
      <c r="A42" s="12">
        <f>CMP!R44</f>
        <v>188.4</v>
      </c>
      <c r="B42" s="12">
        <f>CMP!T44</f>
        <v>187.77</v>
      </c>
    </row>
    <row r="43">
      <c r="A43" s="12">
        <f>CMP!R45</f>
        <v>178.06</v>
      </c>
      <c r="B43" s="12">
        <f>CMP!T45</f>
        <v>179.37</v>
      </c>
    </row>
    <row r="44">
      <c r="A44" s="12">
        <f>CMP!R46</f>
        <v>181.5</v>
      </c>
      <c r="B44" s="12">
        <f>CMP!T46</f>
        <v>178.39</v>
      </c>
    </row>
    <row r="45">
      <c r="A45" s="12">
        <f>CMP!R47</f>
        <v>179.26</v>
      </c>
      <c r="B45" s="12">
        <f>CMP!T47</f>
        <v>177.6</v>
      </c>
    </row>
    <row r="46">
      <c r="A46" s="12">
        <f>CMP!R48</f>
        <v>178.13</v>
      </c>
      <c r="B46" s="12">
        <f>CMP!T48</f>
        <v>179.8</v>
      </c>
    </row>
    <row r="47">
      <c r="A47" s="12">
        <f>CMP!R49</f>
        <v>180.85</v>
      </c>
      <c r="B47" s="12">
        <f>CMP!T49</f>
        <v>181.29</v>
      </c>
    </row>
    <row r="48">
      <c r="A48" s="12">
        <f>CMP!R50</f>
        <v>180.8</v>
      </c>
      <c r="B48" s="12">
        <f>CMP!T50</f>
        <v>185.37</v>
      </c>
    </row>
    <row r="49">
      <c r="A49" s="12">
        <f>CMP!R51</f>
        <v>186.05</v>
      </c>
      <c r="B49" s="12">
        <f>CMP!T51</f>
        <v>189.35</v>
      </c>
    </row>
    <row r="50">
      <c r="A50" s="12">
        <f>CMP!R52</f>
        <v>189.89</v>
      </c>
      <c r="B50" s="12">
        <f>CMP!T52</f>
        <v>186.55</v>
      </c>
    </row>
    <row r="51">
      <c r="A51" s="12">
        <f>CMP!R53</f>
        <v>187.95</v>
      </c>
      <c r="B51" s="12">
        <f>CMP!T53</f>
        <v>187.48</v>
      </c>
    </row>
    <row r="52">
      <c r="A52" s="12">
        <f>CMP!R54</f>
        <v>187.75</v>
      </c>
      <c r="B52" s="12">
        <f>CMP!T54</f>
        <v>190</v>
      </c>
    </row>
    <row r="53">
      <c r="A53" s="12">
        <f>CMP!R55</f>
        <v>188.75</v>
      </c>
      <c r="B53" s="12">
        <f>CMP!T55</f>
        <v>185.98</v>
      </c>
    </row>
    <row r="54">
      <c r="A54" s="12">
        <f>CMP!R56</f>
        <v>183.01</v>
      </c>
      <c r="B54" s="12">
        <f>CMP!T56</f>
        <v>187.12</v>
      </c>
    </row>
    <row r="55">
      <c r="A55" s="12">
        <f>CMP!R57</f>
        <v>188.37</v>
      </c>
      <c r="B55" s="12">
        <f>CMP!T57</f>
        <v>186.89</v>
      </c>
    </row>
    <row r="56">
      <c r="A56" s="12">
        <f>CMP!R58</f>
        <v>188.22</v>
      </c>
      <c r="B56" s="12">
        <f>CMP!T58</f>
        <v>193.09</v>
      </c>
    </row>
    <row r="57">
      <c r="A57" s="12">
        <f>CMP!R59</f>
        <v>192.04</v>
      </c>
      <c r="B57" s="12">
        <f>CMP!T59</f>
        <v>190.28</v>
      </c>
    </row>
    <row r="58">
      <c r="A58" s="12">
        <f>CMP!R60</f>
        <v>186.93</v>
      </c>
      <c r="B58" s="12">
        <f>CMP!T60</f>
        <v>181.26</v>
      </c>
    </row>
    <row r="59">
      <c r="A59" s="12">
        <f>CMP!R61</f>
        <v>178.57</v>
      </c>
      <c r="B59" s="12">
        <f>CMP!T61</f>
        <v>185.31</v>
      </c>
    </row>
    <row r="60">
      <c r="A60" s="12">
        <f>CMP!R62</f>
        <v>184.15</v>
      </c>
      <c r="B60" s="12">
        <f>CMP!T62</f>
        <v>180.18</v>
      </c>
    </row>
    <row r="61">
      <c r="A61" s="12">
        <f>CMP!R63</f>
        <v>181.01</v>
      </c>
      <c r="B61" s="12">
        <f>CMP!T63</f>
        <v>171.58</v>
      </c>
    </row>
    <row r="62">
      <c r="A62" s="12">
        <f>CMP!R64</f>
        <v>174.76</v>
      </c>
      <c r="B62" s="12">
        <f>CMP!T64</f>
        <v>176.11</v>
      </c>
    </row>
    <row r="63">
      <c r="A63" s="12">
        <f>CMP!R65</f>
        <v>177.06</v>
      </c>
      <c r="B63" s="12">
        <f>CMP!T65</f>
        <v>176.41</v>
      </c>
    </row>
    <row r="64">
      <c r="A64" s="12">
        <f>CMP!R66</f>
        <v>175.62</v>
      </c>
      <c r="B64" s="12">
        <f>CMP!T66</f>
        <v>173.15</v>
      </c>
    </row>
    <row r="65">
      <c r="A65" s="12">
        <f>CMP!R67</f>
        <v>173.45</v>
      </c>
      <c r="B65" s="12">
        <f>CMP!T67</f>
        <v>179.52</v>
      </c>
    </row>
    <row r="66">
      <c r="A66" s="12">
        <f>CMP!R68</f>
        <v>180.5</v>
      </c>
      <c r="B66" s="12">
        <f>CMP!T68</f>
        <v>179.96</v>
      </c>
    </row>
    <row r="67">
      <c r="A67" s="12">
        <f>CMP!R69</f>
        <v>178.99</v>
      </c>
      <c r="B67" s="12">
        <f>CMP!T69</f>
        <v>177.36</v>
      </c>
    </row>
    <row r="68">
      <c r="A68" s="12">
        <f>CMP!R70</f>
        <v>175.77</v>
      </c>
      <c r="B68" s="12">
        <f>CMP!T70</f>
        <v>176.01</v>
      </c>
    </row>
    <row r="69">
      <c r="A69" s="12">
        <f>CMP!R71</f>
        <v>176.71</v>
      </c>
      <c r="B69" s="12">
        <f>CMP!T71</f>
        <v>177.91</v>
      </c>
    </row>
    <row r="70">
      <c r="A70" s="12">
        <f>CMP!R72</f>
        <v>178.7</v>
      </c>
      <c r="B70" s="12">
        <f>CMP!T72</f>
        <v>178.99</v>
      </c>
    </row>
    <row r="71">
      <c r="A71" s="12">
        <f>CMP!R73</f>
        <v>179.9</v>
      </c>
      <c r="B71" s="12">
        <f>CMP!T73</f>
        <v>183.29</v>
      </c>
    </row>
    <row r="72">
      <c r="A72" s="12">
        <f>CMP!R74</f>
        <v>184.58</v>
      </c>
      <c r="B72" s="12">
        <f>CMP!T74</f>
        <v>184.93</v>
      </c>
    </row>
    <row r="73">
      <c r="A73" s="12">
        <f>CMP!R75</f>
        <v>184.45</v>
      </c>
      <c r="B73" s="12">
        <f>CMP!T75</f>
        <v>181.46</v>
      </c>
    </row>
    <row r="74">
      <c r="A74" s="12">
        <f>CMP!R76</f>
        <v>182.3</v>
      </c>
      <c r="B74" s="12">
        <f>CMP!T76</f>
        <v>178.32</v>
      </c>
    </row>
    <row r="75">
      <c r="A75" s="12">
        <f>CMP!R77</f>
        <v>179.01</v>
      </c>
      <c r="B75" s="12">
        <f>CMP!T77</f>
        <v>175.94</v>
      </c>
    </row>
    <row r="76">
      <c r="A76" s="12">
        <f>CMP!R78</f>
        <v>173.29</v>
      </c>
      <c r="B76" s="12">
        <f>CMP!T78</f>
        <v>176.62</v>
      </c>
    </row>
    <row r="77">
      <c r="A77" s="12">
        <f>CMP!R79</f>
        <v>176.2</v>
      </c>
      <c r="B77" s="12">
        <f>CMP!T79</f>
        <v>180.4</v>
      </c>
    </row>
    <row r="78">
      <c r="A78" s="12">
        <f>CMP!R80</f>
        <v>181.78</v>
      </c>
      <c r="B78" s="12">
        <f>CMP!T80</f>
        <v>179.78</v>
      </c>
    </row>
    <row r="79">
      <c r="A79" s="12">
        <f>CMP!R81</f>
        <v>178.74</v>
      </c>
      <c r="B79" s="12">
        <f>CMP!T81</f>
        <v>183.71</v>
      </c>
    </row>
    <row r="80">
      <c r="A80" s="12">
        <f>CMP!R82</f>
        <v>183.56</v>
      </c>
      <c r="B80" s="12">
        <f>CMP!T82</f>
        <v>182.34</v>
      </c>
    </row>
    <row r="81">
      <c r="A81" s="12">
        <f>CMP!R83</f>
        <v>183.91</v>
      </c>
      <c r="B81" s="12">
        <f>CMP!T83</f>
        <v>185.23</v>
      </c>
    </row>
    <row r="82">
      <c r="A82" s="12">
        <f>CMP!R84</f>
        <v>185.23</v>
      </c>
      <c r="B82" s="12">
        <f>CMP!T84</f>
        <v>184.76</v>
      </c>
    </row>
    <row r="83">
      <c r="A83" s="12">
        <f>CMP!R85</f>
        <v>185.61</v>
      </c>
      <c r="B83" s="12">
        <f>CMP!T85</f>
        <v>181.88</v>
      </c>
    </row>
    <row r="84">
      <c r="A84" s="12">
        <f>CMP!R86</f>
        <v>182.6</v>
      </c>
      <c r="B84" s="12">
        <f>CMP!T86</f>
        <v>184.19</v>
      </c>
    </row>
    <row r="85">
      <c r="A85" s="12">
        <f>CMP!R87</f>
        <v>183.24</v>
      </c>
      <c r="B85" s="12">
        <f>CMP!T87</f>
        <v>183.86</v>
      </c>
    </row>
    <row r="86">
      <c r="A86" s="12">
        <f>CMP!R88</f>
        <v>184.49</v>
      </c>
      <c r="B86" s="12">
        <f>CMP!T88</f>
        <v>185.09</v>
      </c>
    </row>
    <row r="87">
      <c r="A87" s="12">
        <f>CMP!R89</f>
        <v>177.01</v>
      </c>
      <c r="B87" s="12">
        <f>CMP!T89</f>
        <v>172.56</v>
      </c>
    </row>
    <row r="88">
      <c r="A88" s="12">
        <f>CMP!R90</f>
        <v>167.47</v>
      </c>
      <c r="B88" s="12">
        <f>CMP!T90</f>
        <v>168.15</v>
      </c>
    </row>
    <row r="89">
      <c r="A89" s="12">
        <f>CMP!R91</f>
        <v>164.8</v>
      </c>
      <c r="B89" s="12">
        <f>CMP!T91</f>
        <v>169.39</v>
      </c>
    </row>
    <row r="90">
      <c r="A90" s="12">
        <f>CMP!R92</f>
        <v>166.13</v>
      </c>
      <c r="B90" s="12">
        <f>CMP!T92</f>
        <v>164.89</v>
      </c>
    </row>
    <row r="91">
      <c r="A91" s="12">
        <f>CMP!R93</f>
        <v>165.44</v>
      </c>
      <c r="B91" s="12">
        <f>CMP!T93</f>
        <v>159.39</v>
      </c>
    </row>
    <row r="92">
      <c r="A92" s="12">
        <f>CMP!R94</f>
        <v>160.82</v>
      </c>
      <c r="B92" s="12">
        <f>CMP!T94</f>
        <v>160.06</v>
      </c>
    </row>
    <row r="93">
      <c r="A93" s="12">
        <f>CMP!R95</f>
        <v>156.31</v>
      </c>
      <c r="B93" s="12">
        <f>CMP!T95</f>
        <v>152.22</v>
      </c>
    </row>
    <row r="94">
      <c r="A94" s="12">
        <f>CMP!R96</f>
        <v>151.65</v>
      </c>
      <c r="B94" s="12">
        <f>CMP!T96</f>
        <v>153.03</v>
      </c>
    </row>
    <row r="95">
      <c r="A95" s="12">
        <f>CMP!R97</f>
        <v>155.15</v>
      </c>
      <c r="B95" s="12">
        <f>CMP!T97</f>
        <v>159.79</v>
      </c>
    </row>
    <row r="96">
      <c r="A96" s="12">
        <f>CMP!R98</f>
        <v>157.81</v>
      </c>
      <c r="B96" s="12">
        <f>CMP!T98</f>
        <v>155.39</v>
      </c>
    </row>
    <row r="97">
      <c r="A97" s="12">
        <f>CMP!R99</f>
        <v>156.55</v>
      </c>
      <c r="B97" s="12">
        <f>CMP!T99</f>
        <v>156.11</v>
      </c>
    </row>
    <row r="98">
      <c r="A98" s="12">
        <f>CMP!R100</f>
        <v>152.03</v>
      </c>
      <c r="B98" s="12">
        <f>CMP!T100</f>
        <v>155.1</v>
      </c>
    </row>
    <row r="99">
      <c r="A99" s="12">
        <f>CMP!R101</f>
        <v>161.56</v>
      </c>
      <c r="B99" s="12">
        <f>CMP!T101</f>
        <v>159.34</v>
      </c>
    </row>
    <row r="100">
      <c r="A100" s="12">
        <f>CMP!R102</f>
        <v>157.73</v>
      </c>
      <c r="B100" s="12">
        <f>CMP!T102</f>
        <v>157.2</v>
      </c>
    </row>
    <row r="101">
      <c r="A101" s="12">
        <f>CMP!R103</f>
        <v>157.82</v>
      </c>
      <c r="B101" s="12">
        <f>CMP!T103</f>
        <v>157.93</v>
      </c>
    </row>
    <row r="102">
      <c r="A102" s="12">
        <f>CMP!R104</f>
        <v>157.93</v>
      </c>
      <c r="B102" s="12">
        <f>CMP!T104</f>
        <v>165.04</v>
      </c>
    </row>
    <row r="103">
      <c r="A103" s="12">
        <f>CMP!R105</f>
        <v>165.36</v>
      </c>
      <c r="B103" s="12">
        <f>CMP!T105</f>
        <v>166.32</v>
      </c>
    </row>
    <row r="104">
      <c r="A104" s="12">
        <f>CMP!R106</f>
        <v>166.98</v>
      </c>
      <c r="B104" s="12">
        <f>CMP!T106</f>
        <v>163.87</v>
      </c>
    </row>
    <row r="105">
      <c r="A105" s="12">
        <f>CMP!R107</f>
        <v>164.58</v>
      </c>
      <c r="B105" s="12">
        <f>CMP!T107</f>
        <v>164.52</v>
      </c>
    </row>
    <row r="106">
      <c r="A106" s="12">
        <f>CMP!R108</f>
        <v>165.72</v>
      </c>
      <c r="B106" s="12">
        <f>CMP!T108</f>
        <v>164.83</v>
      </c>
    </row>
    <row r="107">
      <c r="A107" s="12">
        <f>CMP!R109</f>
        <v>165.83</v>
      </c>
      <c r="B107" s="12">
        <f>CMP!T109</f>
        <v>168.66</v>
      </c>
    </row>
    <row r="108">
      <c r="A108" s="12">
        <f>CMP!R110</f>
        <v>166.88</v>
      </c>
      <c r="B108" s="12">
        <f>CMP!T110</f>
        <v>166.36</v>
      </c>
    </row>
    <row r="109">
      <c r="A109" s="12">
        <f>CMP!R111</f>
        <v>166.2</v>
      </c>
      <c r="B109" s="12">
        <f>CMP!T111</f>
        <v>168.1</v>
      </c>
    </row>
    <row r="110">
      <c r="A110" s="12">
        <f>CMP!R112</f>
        <v>167.79</v>
      </c>
      <c r="B110" s="12">
        <f>CMP!T112</f>
        <v>166.28</v>
      </c>
    </row>
    <row r="111">
      <c r="A111" s="12">
        <f>CMP!R113</f>
        <v>167.27</v>
      </c>
      <c r="B111" s="12">
        <f>CMP!T113</f>
        <v>165.84</v>
      </c>
    </row>
    <row r="112">
      <c r="A112" s="12">
        <f>CMP!R114</f>
        <v>165.43</v>
      </c>
      <c r="B112" s="12">
        <f>CMP!T114</f>
        <v>159.69</v>
      </c>
    </row>
    <row r="113">
      <c r="A113" s="12">
        <f>CMP!R115</f>
        <v>160.14</v>
      </c>
      <c r="B113" s="12">
        <f>CMP!T115</f>
        <v>159.69</v>
      </c>
    </row>
    <row r="114">
      <c r="A114" s="12">
        <f>CMP!R116</f>
        <v>173.22</v>
      </c>
      <c r="B114" s="12">
        <f>CMP!T116</f>
        <v>174.16</v>
      </c>
    </row>
    <row r="115">
      <c r="A115" s="12">
        <f>CMP!R117</f>
        <v>176.81</v>
      </c>
      <c r="B115" s="12">
        <f>CMP!T117</f>
        <v>173.59</v>
      </c>
    </row>
    <row r="116">
      <c r="A116" s="12">
        <f>CMP!R118</f>
        <v>173.79</v>
      </c>
      <c r="B116" s="12">
        <f>CMP!T118</f>
        <v>172</v>
      </c>
    </row>
    <row r="117">
      <c r="A117" s="12">
        <f>CMP!R119</f>
        <v>172</v>
      </c>
      <c r="B117" s="12">
        <f>CMP!T119</f>
        <v>173.86</v>
      </c>
    </row>
    <row r="118">
      <c r="A118" s="12">
        <f>CMP!R120</f>
        <v>174.25</v>
      </c>
      <c r="B118" s="12">
        <f>CMP!T120</f>
        <v>176.07</v>
      </c>
    </row>
    <row r="119">
      <c r="A119" s="12">
        <f>CMP!R121</f>
        <v>175.13</v>
      </c>
      <c r="B119" s="12">
        <f>CMP!T121</f>
        <v>174.02</v>
      </c>
    </row>
    <row r="120">
      <c r="A120" s="12">
        <f>CMP!R122</f>
        <v>173.08</v>
      </c>
      <c r="B120" s="12">
        <f>CMP!T122</f>
        <v>176.61</v>
      </c>
    </row>
    <row r="121">
      <c r="A121" s="12">
        <f>CMP!R123</f>
        <v>177.35</v>
      </c>
      <c r="B121" s="12">
        <f>CMP!T123</f>
        <v>177.97</v>
      </c>
    </row>
    <row r="122">
      <c r="A122" s="12">
        <f>CMP!R124</f>
        <v>178.25</v>
      </c>
      <c r="B122" s="12">
        <f>CMP!T124</f>
        <v>178.92</v>
      </c>
    </row>
    <row r="123">
      <c r="A123" s="12">
        <f>CMP!R125</f>
        <v>179.67</v>
      </c>
      <c r="B123" s="12">
        <f>CMP!T125</f>
        <v>182.66</v>
      </c>
    </row>
    <row r="124">
      <c r="A124" s="12">
        <f>CMP!R126</f>
        <v>183.15</v>
      </c>
      <c r="B124" s="12">
        <f>CMP!T126</f>
        <v>185.53</v>
      </c>
    </row>
    <row r="125">
      <c r="A125" s="12">
        <f>CMP!R127</f>
        <v>184.85</v>
      </c>
      <c r="B125" s="12">
        <f>CMP!T127</f>
        <v>186.99</v>
      </c>
    </row>
    <row r="126">
      <c r="A126" s="12">
        <f>CMP!R128</f>
        <v>187.71</v>
      </c>
      <c r="B126" s="12">
        <f>CMP!T128</f>
        <v>186.64</v>
      </c>
    </row>
    <row r="127">
      <c r="A127" s="12">
        <f>CMP!R129</f>
        <v>184.88</v>
      </c>
      <c r="B127" s="12">
        <f>CMP!T129</f>
        <v>184.32</v>
      </c>
    </row>
    <row r="128">
      <c r="A128" s="12">
        <f>CMP!R130</f>
        <v>183.7</v>
      </c>
      <c r="B128" s="12">
        <f>CMP!T130</f>
        <v>183.2</v>
      </c>
    </row>
    <row r="129">
      <c r="A129" s="12">
        <f>CMP!R131</f>
        <v>182.68</v>
      </c>
      <c r="B129" s="12">
        <f>CMP!T131</f>
        <v>183.76</v>
      </c>
    </row>
    <row r="130">
      <c r="A130" s="12">
        <f>CMP!R132</f>
        <v>183.49</v>
      </c>
      <c r="B130" s="12">
        <f>CMP!T132</f>
        <v>182.68</v>
      </c>
    </row>
    <row r="131">
      <c r="A131" s="12">
        <f>CMP!R133</f>
        <v>183.77</v>
      </c>
      <c r="B131" s="12">
        <f>CMP!T133</f>
        <v>184.49</v>
      </c>
    </row>
    <row r="132">
      <c r="A132" s="12">
        <f>CMP!R134</f>
        <v>184.93</v>
      </c>
      <c r="B132" s="12">
        <f>CMP!T134</f>
        <v>183.8</v>
      </c>
    </row>
    <row r="133">
      <c r="A133" s="12">
        <f>CMP!R135</f>
        <v>182.5</v>
      </c>
      <c r="B133" s="12">
        <f>CMP!T135</f>
        <v>186.9</v>
      </c>
    </row>
    <row r="134">
      <c r="A134" s="12">
        <f>CMP!R136</f>
        <v>185.88</v>
      </c>
      <c r="B134" s="12">
        <f>CMP!T136</f>
        <v>185.93</v>
      </c>
    </row>
    <row r="135">
      <c r="A135" s="12">
        <f>CMP!R137</f>
        <v>186.02</v>
      </c>
      <c r="B135" s="12">
        <f>CMP!T137</f>
        <v>184.92</v>
      </c>
    </row>
    <row r="136">
      <c r="A136" s="12">
        <f>CMP!R138</f>
        <v>184.34</v>
      </c>
      <c r="B136" s="12">
        <f>CMP!T138</f>
        <v>185.74</v>
      </c>
    </row>
    <row r="137">
      <c r="A137" s="12">
        <f>CMP!R139</f>
        <v>186.54</v>
      </c>
      <c r="B137" s="12">
        <f>CMP!T139</f>
        <v>187.67</v>
      </c>
    </row>
    <row r="138">
      <c r="A138" s="12">
        <f>CMP!R140</f>
        <v>187.87</v>
      </c>
      <c r="B138" s="12">
        <f>CMP!T140</f>
        <v>191.78</v>
      </c>
    </row>
    <row r="139">
      <c r="A139" s="12">
        <f>CMP!R141</f>
        <v>193.07</v>
      </c>
      <c r="B139" s="12">
        <f>CMP!T141</f>
        <v>193.99</v>
      </c>
    </row>
    <row r="140">
      <c r="A140" s="12">
        <f>CMP!R142</f>
        <v>191.84</v>
      </c>
      <c r="B140" s="12">
        <f>CMP!T142</f>
        <v>193.28</v>
      </c>
    </row>
    <row r="141">
      <c r="A141" s="12">
        <f>CMP!R143</f>
        <v>194.3</v>
      </c>
      <c r="B141" s="12">
        <f>CMP!T143</f>
        <v>192.94</v>
      </c>
    </row>
    <row r="142">
      <c r="A142" s="12">
        <f>CMP!R144</f>
        <v>191.03</v>
      </c>
      <c r="B142" s="12">
        <f>CMP!T144</f>
        <v>191.34</v>
      </c>
    </row>
    <row r="143">
      <c r="A143" s="12">
        <f>CMP!R145</f>
        <v>190.75</v>
      </c>
      <c r="B143" s="12">
        <f>CMP!T145</f>
        <v>188.18</v>
      </c>
    </row>
    <row r="144">
      <c r="A144" s="12">
        <f>CMP!R146</f>
        <v>187.53</v>
      </c>
      <c r="B144" s="12">
        <f>CMP!T146</f>
        <v>189.1</v>
      </c>
    </row>
    <row r="145">
      <c r="A145" s="12">
        <f>CMP!R147</f>
        <v>188.81</v>
      </c>
      <c r="B145" s="12">
        <f>CMP!T147</f>
        <v>191.54</v>
      </c>
    </row>
    <row r="146">
      <c r="A146" s="12">
        <f>CMP!R148</f>
        <v>192.17</v>
      </c>
      <c r="B146" s="12">
        <f>CMP!T148</f>
        <v>192.4</v>
      </c>
    </row>
    <row r="147">
      <c r="A147" s="12">
        <f>CMP!R149</f>
        <v>192.74</v>
      </c>
      <c r="B147" s="12">
        <f>CMP!T149</f>
        <v>192.41</v>
      </c>
    </row>
    <row r="148">
      <c r="A148" s="12">
        <f>CMP!R150</f>
        <v>193.1</v>
      </c>
      <c r="B148" s="12">
        <f>CMP!T150</f>
        <v>196.81</v>
      </c>
    </row>
    <row r="149">
      <c r="A149" s="12">
        <f>CMP!R151</f>
        <v>195.79</v>
      </c>
      <c r="B149" s="12">
        <f>CMP!T151</f>
        <v>195.85</v>
      </c>
    </row>
    <row r="150">
      <c r="A150" s="12">
        <f>CMP!R152</f>
        <v>194.8</v>
      </c>
      <c r="B150" s="12">
        <f>CMP!T152</f>
        <v>198.31</v>
      </c>
    </row>
    <row r="151">
      <c r="A151" s="12">
        <f>CMP!R153</f>
        <v>196.24</v>
      </c>
      <c r="B151" s="12">
        <f>CMP!T153</f>
        <v>197.49</v>
      </c>
    </row>
    <row r="152">
      <c r="A152" s="12">
        <f>CMP!R154</f>
        <v>199.1</v>
      </c>
      <c r="B152" s="12">
        <f>CMP!T154</f>
        <v>202</v>
      </c>
    </row>
    <row r="153">
      <c r="A153" s="12">
        <f>CMP!R155</f>
        <v>202.76</v>
      </c>
      <c r="B153" s="12">
        <f>CMP!T155</f>
        <v>201.5</v>
      </c>
    </row>
    <row r="154">
      <c r="A154" s="12">
        <f>CMP!R156</f>
        <v>201.16</v>
      </c>
      <c r="B154" s="12">
        <f>CMP!T156</f>
        <v>201.74</v>
      </c>
    </row>
    <row r="155">
      <c r="A155" s="12">
        <f>CMP!R157</f>
        <v>200</v>
      </c>
      <c r="B155" s="12">
        <f>CMP!T157</f>
        <v>196.35</v>
      </c>
    </row>
    <row r="156">
      <c r="A156" s="12">
        <f>CMP!R158</f>
        <v>197.6</v>
      </c>
      <c r="B156" s="12">
        <f>CMP!T158</f>
        <v>199</v>
      </c>
    </row>
    <row r="157">
      <c r="A157" s="12">
        <f>CMP!R159</f>
        <v>199.18</v>
      </c>
      <c r="B157" s="12">
        <f>CMP!T159</f>
        <v>195.84</v>
      </c>
    </row>
    <row r="158">
      <c r="A158" s="12">
        <f>CMP!R160</f>
        <v>195.18</v>
      </c>
      <c r="B158" s="12">
        <f>CMP!T160</f>
        <v>196.23</v>
      </c>
    </row>
    <row r="159">
      <c r="A159" s="12">
        <f>CMP!R161</f>
        <v>197.32</v>
      </c>
      <c r="B159" s="12">
        <f>CMP!T161</f>
        <v>194.32</v>
      </c>
    </row>
    <row r="160">
      <c r="A160" s="12">
        <f>CMP!R162</f>
        <v>193.37</v>
      </c>
      <c r="B160" s="12">
        <f>CMP!T162</f>
        <v>197.36</v>
      </c>
    </row>
    <row r="161">
      <c r="A161" s="12">
        <f>CMP!R163</f>
        <v>194.55</v>
      </c>
      <c r="B161" s="12">
        <f>CMP!T163</f>
        <v>192.73</v>
      </c>
    </row>
    <row r="162">
      <c r="A162" s="12">
        <f>CMP!R164</f>
        <v>194.74</v>
      </c>
      <c r="B162" s="12">
        <f>CMP!T164</f>
        <v>198.45</v>
      </c>
    </row>
    <row r="163">
      <c r="A163" s="12">
        <f>CMP!R165</f>
        <v>198.45</v>
      </c>
      <c r="B163" s="12">
        <f>CMP!T165</f>
        <v>203.23</v>
      </c>
    </row>
    <row r="164">
      <c r="A164" s="12">
        <f>CMP!R166</f>
        <v>204.93</v>
      </c>
      <c r="B164" s="12">
        <f>CMP!T166</f>
        <v>204.74</v>
      </c>
    </row>
    <row r="165">
      <c r="A165" s="12">
        <f>CMP!R167</f>
        <v>204.5</v>
      </c>
      <c r="B165" s="12">
        <f>CMP!T167</f>
        <v>203.54</v>
      </c>
    </row>
    <row r="166">
      <c r="A166" s="12">
        <f>CMP!R168</f>
        <v>202.22</v>
      </c>
      <c r="B166" s="12">
        <f>CMP!T168</f>
        <v>202.54</v>
      </c>
    </row>
    <row r="167">
      <c r="A167" s="12">
        <f>CMP!R169</f>
        <v>203.43</v>
      </c>
      <c r="B167" s="12">
        <f>CMP!T169</f>
        <v>206.92</v>
      </c>
    </row>
    <row r="168">
      <c r="A168" s="12">
        <f>CMP!R170</f>
        <v>207.81</v>
      </c>
      <c r="B168" s="12">
        <f>CMP!T170</f>
        <v>207.32</v>
      </c>
    </row>
    <row r="169">
      <c r="A169" s="12">
        <f>CMP!R171</f>
        <v>207.5</v>
      </c>
      <c r="B169" s="12">
        <f>CMP!T171</f>
        <v>207.23</v>
      </c>
    </row>
    <row r="170">
      <c r="A170" s="12">
        <f>CMP!R172</f>
        <v>204.9</v>
      </c>
      <c r="B170" s="12">
        <f>CMP!T172</f>
        <v>209.99</v>
      </c>
    </row>
    <row r="171">
      <c r="A171" s="12">
        <f>CMP!R173</f>
        <v>209.82</v>
      </c>
      <c r="B171" s="12">
        <f>CMP!T173</f>
        <v>209.36</v>
      </c>
    </row>
    <row r="172">
      <c r="A172" s="12">
        <f>CMP!R174</f>
        <v>208.77</v>
      </c>
      <c r="B172" s="12">
        <f>CMP!T174</f>
        <v>208.09</v>
      </c>
    </row>
    <row r="173">
      <c r="A173" s="12">
        <f>CMP!R175</f>
        <v>208.85</v>
      </c>
      <c r="B173" s="12">
        <f>CMP!T175</f>
        <v>209.94</v>
      </c>
    </row>
    <row r="174">
      <c r="A174" s="12">
        <f>CMP!R176</f>
        <v>210.58</v>
      </c>
      <c r="B174" s="12">
        <f>CMP!T176</f>
        <v>210.91</v>
      </c>
    </row>
    <row r="175">
      <c r="A175" s="12">
        <f>CMP!R177</f>
        <v>215.11</v>
      </c>
      <c r="B175" s="12">
        <f>CMP!T177</f>
        <v>214.67</v>
      </c>
    </row>
    <row r="176">
      <c r="A176" s="12">
        <f>CMP!R178</f>
        <v>215.72</v>
      </c>
      <c r="B176" s="12">
        <f>CMP!T178</f>
        <v>217.5</v>
      </c>
    </row>
    <row r="177">
      <c r="A177" s="12">
        <f>CMP!R179</f>
        <v>174.89</v>
      </c>
      <c r="B177" s="12">
        <f>CMP!T179</f>
        <v>176.26</v>
      </c>
    </row>
    <row r="178">
      <c r="A178" s="12">
        <f>CMP!R180</f>
        <v>179.87</v>
      </c>
      <c r="B178" s="12">
        <f>CMP!T180</f>
        <v>174.89</v>
      </c>
    </row>
    <row r="179">
      <c r="A179" s="12">
        <f>CMP!R181</f>
        <v>175.3</v>
      </c>
      <c r="B179" s="12">
        <f>CMP!T181</f>
        <v>171.06</v>
      </c>
    </row>
    <row r="180">
      <c r="A180" s="12">
        <f>CMP!R182</f>
        <v>170.67</v>
      </c>
      <c r="B180" s="12">
        <f>CMP!T182</f>
        <v>172.58</v>
      </c>
    </row>
    <row r="181">
      <c r="A181" s="12">
        <f>CMP!R183</f>
        <v>173.93</v>
      </c>
      <c r="B181" s="12">
        <f>CMP!T183</f>
        <v>171.65</v>
      </c>
    </row>
    <row r="182">
      <c r="A182" s="12">
        <f>CMP!R184</f>
        <v>170.68</v>
      </c>
      <c r="B182" s="12">
        <f>CMP!T184</f>
        <v>176.37</v>
      </c>
    </row>
    <row r="183">
      <c r="A183" s="12">
        <f>CMP!R185</f>
        <v>177.69</v>
      </c>
      <c r="B183" s="12">
        <f>CMP!T185</f>
        <v>177.78</v>
      </c>
    </row>
    <row r="184">
      <c r="A184" s="12">
        <f>CMP!R186</f>
        <v>178.97</v>
      </c>
      <c r="B184" s="12">
        <f>CMP!T186</f>
        <v>185.69</v>
      </c>
    </row>
    <row r="185">
      <c r="A185" s="12">
        <f>CMP!R187</f>
        <v>186.5</v>
      </c>
      <c r="B185" s="12">
        <f>CMP!T187</f>
        <v>183.81</v>
      </c>
    </row>
    <row r="186">
      <c r="A186" s="12">
        <f>CMP!R188</f>
        <v>184.75</v>
      </c>
      <c r="B186" s="12">
        <f>CMP!T188</f>
        <v>185.18</v>
      </c>
    </row>
    <row r="187">
      <c r="A187" s="12">
        <f>CMP!R189</f>
        <v>185.85</v>
      </c>
      <c r="B187" s="12">
        <f>CMP!T189</f>
        <v>183.09</v>
      </c>
    </row>
    <row r="188">
      <c r="A188" s="12">
        <f>CMP!R190</f>
        <v>182.04</v>
      </c>
      <c r="B188" s="12">
        <f>CMP!T190</f>
        <v>180.26</v>
      </c>
    </row>
    <row r="189">
      <c r="A189" s="12">
        <f>CMP!R191</f>
        <v>180.1</v>
      </c>
      <c r="B189" s="12">
        <f>CMP!T191</f>
        <v>180.05</v>
      </c>
    </row>
    <row r="190">
      <c r="A190" s="12">
        <f>CMP!R192</f>
        <v>180.71</v>
      </c>
      <c r="B190" s="12">
        <f>CMP!T192</f>
        <v>181.11</v>
      </c>
    </row>
    <row r="191">
      <c r="A191" s="12">
        <f>CMP!R193</f>
        <v>179.34</v>
      </c>
      <c r="B191" s="12">
        <f>CMP!T193</f>
        <v>179.53</v>
      </c>
    </row>
    <row r="192">
      <c r="A192" s="12">
        <f>CMP!R194</f>
        <v>180.42</v>
      </c>
      <c r="B192" s="12">
        <f>CMP!T194</f>
        <v>174.7</v>
      </c>
    </row>
    <row r="193">
      <c r="A193" s="12">
        <f>CMP!R195</f>
        <v>174.5</v>
      </c>
      <c r="B193" s="12">
        <f>CMP!T195</f>
        <v>173.8</v>
      </c>
    </row>
    <row r="194">
      <c r="A194" s="12">
        <f>CMP!R196</f>
        <v>174.04</v>
      </c>
      <c r="B194" s="12">
        <f>CMP!T196</f>
        <v>172.5</v>
      </c>
    </row>
    <row r="195">
      <c r="A195" s="12">
        <f>CMP!R197</f>
        <v>172.81</v>
      </c>
      <c r="B195" s="12">
        <f>CMP!T197</f>
        <v>172.62</v>
      </c>
    </row>
    <row r="196">
      <c r="A196" s="12">
        <f>CMP!R198</f>
        <v>172.21</v>
      </c>
      <c r="B196" s="12">
        <f>CMP!T198</f>
        <v>173.64</v>
      </c>
    </row>
    <row r="197">
      <c r="A197" s="12">
        <f>CMP!R199</f>
        <v>173.09</v>
      </c>
      <c r="B197" s="12">
        <f>CMP!T199</f>
        <v>172.9</v>
      </c>
    </row>
    <row r="198">
      <c r="A198" s="12">
        <f>CMP!R200</f>
        <v>173.7</v>
      </c>
      <c r="B198" s="12">
        <f>CMP!T200</f>
        <v>174.65</v>
      </c>
    </row>
    <row r="199">
      <c r="A199" s="12">
        <f>CMP!R201</f>
        <v>175.99</v>
      </c>
      <c r="B199" s="12">
        <f>CMP!T201</f>
        <v>177.46</v>
      </c>
    </row>
    <row r="200">
      <c r="A200" s="12">
        <f>CMP!R202</f>
        <v>178.1</v>
      </c>
      <c r="B200" s="12">
        <f>CMP!T202</f>
        <v>176.26</v>
      </c>
    </row>
    <row r="201">
      <c r="A201" s="12">
        <f>CMP!R203</f>
        <v>176.3</v>
      </c>
      <c r="B201" s="12">
        <f>CMP!T203</f>
        <v>175.9</v>
      </c>
    </row>
    <row r="202">
      <c r="A202" s="12">
        <f>CMP!R204</f>
        <v>175.9</v>
      </c>
      <c r="B202" s="12">
        <f>CMP!T204</f>
        <v>177.64</v>
      </c>
    </row>
    <row r="203">
      <c r="A203" s="12">
        <f>CMP!R205</f>
        <v>177.15</v>
      </c>
      <c r="B203" s="12">
        <f>CMP!T205</f>
        <v>175.73</v>
      </c>
    </row>
    <row r="204">
      <c r="A204" s="12">
        <f>CMP!R206</f>
        <v>173.5</v>
      </c>
      <c r="B204" s="12">
        <f>CMP!T206</f>
        <v>171.16</v>
      </c>
    </row>
    <row r="205">
      <c r="A205" s="12">
        <f>CMP!R207</f>
        <v>169.49</v>
      </c>
      <c r="B205" s="12">
        <f>CMP!T207</f>
        <v>167.18</v>
      </c>
    </row>
    <row r="206">
      <c r="A206" s="12">
        <f>CMP!R208</f>
        <v>166.98</v>
      </c>
      <c r="B206" s="12">
        <f>CMP!T208</f>
        <v>162.53</v>
      </c>
    </row>
    <row r="207">
      <c r="A207" s="12">
        <f>CMP!R209</f>
        <v>160.31</v>
      </c>
      <c r="B207" s="12">
        <f>CMP!T209</f>
        <v>163.04</v>
      </c>
    </row>
    <row r="208">
      <c r="A208" s="12">
        <f>CMP!R210</f>
        <v>163.51</v>
      </c>
      <c r="B208" s="12">
        <f>CMP!T210</f>
        <v>164.18</v>
      </c>
    </row>
    <row r="209">
      <c r="A209" s="12">
        <f>CMP!R211</f>
        <v>163.94</v>
      </c>
      <c r="B209" s="12">
        <f>CMP!T211</f>
        <v>165.94</v>
      </c>
    </row>
    <row r="210">
      <c r="A210" s="12">
        <f>CMP!R212</f>
        <v>163.25</v>
      </c>
      <c r="B210" s="12">
        <f>CMP!T212</f>
        <v>162</v>
      </c>
    </row>
    <row r="211">
      <c r="A211" s="12">
        <f>CMP!R213</f>
        <v>162</v>
      </c>
      <c r="B211" s="12">
        <f>CMP!T213</f>
        <v>161.36</v>
      </c>
    </row>
    <row r="212">
      <c r="A212" s="12">
        <f>CMP!R214</f>
        <v>161.72</v>
      </c>
      <c r="B212" s="12">
        <f>CMP!T214</f>
        <v>162.32</v>
      </c>
    </row>
    <row r="213">
      <c r="A213" s="12">
        <f>CMP!R215</f>
        <v>161.92</v>
      </c>
      <c r="B213" s="12">
        <f>CMP!T215</f>
        <v>160.58</v>
      </c>
    </row>
    <row r="214">
      <c r="A214" s="12">
        <f>CMP!R216</f>
        <v>159.39</v>
      </c>
      <c r="B214" s="12">
        <f>CMP!T216</f>
        <v>160.3</v>
      </c>
    </row>
    <row r="215">
      <c r="A215" s="12">
        <f>CMP!R217</f>
        <v>160.08</v>
      </c>
      <c r="B215" s="12">
        <f>CMP!T217</f>
        <v>163.06</v>
      </c>
    </row>
    <row r="216">
      <c r="A216" s="12">
        <f>CMP!R218</f>
        <v>164.5</v>
      </c>
      <c r="B216" s="12">
        <f>CMP!T218</f>
        <v>166.02</v>
      </c>
    </row>
    <row r="217">
      <c r="A217" s="12">
        <f>CMP!R219</f>
        <v>166.64</v>
      </c>
      <c r="B217" s="12">
        <f>CMP!T219</f>
        <v>162.93</v>
      </c>
    </row>
    <row r="218">
      <c r="A218" s="12">
        <f>CMP!R220</f>
        <v>161.03</v>
      </c>
      <c r="B218" s="12">
        <f>CMP!T220</f>
        <v>165.41</v>
      </c>
    </row>
    <row r="219">
      <c r="A219" s="12">
        <f>CMP!R221</f>
        <v>161.99</v>
      </c>
      <c r="B219" s="12">
        <f>CMP!T221</f>
        <v>164.91</v>
      </c>
    </row>
    <row r="220">
      <c r="A220" s="12">
        <f>CMP!R222</f>
        <v>164.3</v>
      </c>
      <c r="B220" s="12">
        <f>CMP!T222</f>
        <v>166.95</v>
      </c>
    </row>
    <row r="221">
      <c r="A221" s="12">
        <f>CMP!R223</f>
        <v>167.55</v>
      </c>
      <c r="B221" s="12">
        <f>CMP!T223</f>
        <v>168.84</v>
      </c>
    </row>
    <row r="222">
      <c r="A222" s="12">
        <f>CMP!R224</f>
        <v>168.33</v>
      </c>
      <c r="B222" s="12">
        <f>CMP!T224</f>
        <v>164.46</v>
      </c>
    </row>
    <row r="223">
      <c r="A223" s="12">
        <f>CMP!R225</f>
        <v>163.03</v>
      </c>
      <c r="B223" s="12">
        <f>CMP!T225</f>
        <v>162.44</v>
      </c>
    </row>
    <row r="224">
      <c r="A224" s="12">
        <f>CMP!R226</f>
        <v>161.58</v>
      </c>
      <c r="B224" s="12">
        <f>CMP!T226</f>
        <v>159.33</v>
      </c>
    </row>
    <row r="225">
      <c r="A225" s="12">
        <f>CMP!R227</f>
        <v>160</v>
      </c>
      <c r="B225" s="12">
        <f>CMP!T227</f>
        <v>162.43</v>
      </c>
    </row>
    <row r="226">
      <c r="A226" s="12">
        <f>CMP!R228</f>
        <v>161.46</v>
      </c>
      <c r="B226" s="12">
        <f>CMP!T228</f>
        <v>158.85</v>
      </c>
    </row>
    <row r="227">
      <c r="A227" s="12">
        <f>CMP!R229</f>
        <v>159.21</v>
      </c>
      <c r="B227" s="12">
        <f>CMP!T229</f>
        <v>157.33</v>
      </c>
    </row>
    <row r="228">
      <c r="A228" s="12">
        <f>CMP!R230</f>
        <v>155.54</v>
      </c>
      <c r="B228" s="12">
        <f>CMP!T230</f>
        <v>157.25</v>
      </c>
    </row>
    <row r="229">
      <c r="A229" s="12">
        <f>CMP!R231</f>
        <v>157.69</v>
      </c>
      <c r="B229" s="12">
        <f>CMP!T231</f>
        <v>157.9</v>
      </c>
    </row>
    <row r="230">
      <c r="A230" s="12">
        <f>CMP!R232</f>
        <v>156.82</v>
      </c>
      <c r="B230" s="12">
        <f>CMP!T232</f>
        <v>151.38</v>
      </c>
    </row>
    <row r="231">
      <c r="A231" s="12">
        <f>CMP!R233</f>
        <v>150.13</v>
      </c>
      <c r="B231" s="12">
        <f>CMP!T233</f>
        <v>153.35</v>
      </c>
    </row>
    <row r="232">
      <c r="A232" s="12">
        <f>CMP!R234</f>
        <v>156.73</v>
      </c>
      <c r="B232" s="12">
        <f>CMP!T234</f>
        <v>153.74</v>
      </c>
    </row>
    <row r="233">
      <c r="A233" s="12">
        <f>CMP!R235</f>
        <v>153.32</v>
      </c>
      <c r="B233" s="12">
        <f>CMP!T235</f>
        <v>153.52</v>
      </c>
    </row>
    <row r="234">
      <c r="A234" s="12">
        <f>CMP!R236</f>
        <v>155.4</v>
      </c>
      <c r="B234" s="12">
        <f>CMP!T236</f>
        <v>158.78</v>
      </c>
    </row>
    <row r="235">
      <c r="A235" s="12">
        <f>CMP!R237</f>
        <v>159.56</v>
      </c>
      <c r="B235" s="12">
        <f>CMP!T237</f>
        <v>159.42</v>
      </c>
    </row>
    <row r="236">
      <c r="A236" s="12">
        <f>CMP!R238</f>
        <v>158.51</v>
      </c>
      <c r="B236" s="12">
        <f>CMP!T238</f>
        <v>154.92</v>
      </c>
    </row>
    <row r="237">
      <c r="A237" s="12">
        <f>CMP!R239</f>
        <v>155.86</v>
      </c>
      <c r="B237" s="12">
        <f>CMP!T239</f>
        <v>154.05</v>
      </c>
    </row>
    <row r="238">
      <c r="A238" s="12">
        <f>CMP!R240</f>
        <v>154.76</v>
      </c>
      <c r="B238" s="12">
        <f>CMP!T240</f>
        <v>154.78</v>
      </c>
    </row>
    <row r="239">
      <c r="A239" s="12">
        <f>CMP!R241</f>
        <v>151.22</v>
      </c>
      <c r="B239" s="12">
        <f>CMP!T241</f>
        <v>154.39</v>
      </c>
    </row>
    <row r="240">
      <c r="A240" s="12">
        <f>CMP!R242</f>
        <v>154.28</v>
      </c>
      <c r="B240" s="12">
        <f>CMP!T242</f>
        <v>146.04</v>
      </c>
    </row>
    <row r="241">
      <c r="A241" s="12">
        <f>CMP!R243</f>
        <v>147.73</v>
      </c>
      <c r="B241" s="12">
        <f>CMP!T243</f>
        <v>150.95</v>
      </c>
    </row>
    <row r="242">
      <c r="A242" s="12">
        <f>CMP!R244</f>
        <v>145.82</v>
      </c>
      <c r="B242" s="12">
        <f>CMP!T244</f>
        <v>145.37</v>
      </c>
    </row>
    <row r="243">
      <c r="A243" s="12">
        <f>CMP!R245</f>
        <v>148.5</v>
      </c>
      <c r="B243" s="12">
        <f>CMP!T245</f>
        <v>142.09</v>
      </c>
    </row>
    <row r="244">
      <c r="A244" s="12">
        <f>CMP!R246</f>
        <v>139.94</v>
      </c>
      <c r="B244" s="12">
        <f>CMP!T246</f>
        <v>146.22</v>
      </c>
    </row>
    <row r="245">
      <c r="A245" s="12">
        <f>CMP!R247</f>
        <v>155</v>
      </c>
      <c r="B245" s="12">
        <f>CMP!T247</f>
        <v>151.79</v>
      </c>
    </row>
    <row r="246">
      <c r="A246" s="12">
        <f>CMP!R248</f>
        <v>151.52</v>
      </c>
      <c r="B246" s="12">
        <f>CMP!T248</f>
        <v>151.75</v>
      </c>
    </row>
    <row r="247">
      <c r="A247" s="12">
        <f>CMP!R249</f>
        <v>151.8</v>
      </c>
      <c r="B247" s="12">
        <f>CMP!T249</f>
        <v>150.35</v>
      </c>
    </row>
    <row r="248">
      <c r="A248" s="12">
        <f>CMP!R250</f>
        <v>150.1</v>
      </c>
      <c r="B248" s="12">
        <f>CMP!T250</f>
        <v>148.68</v>
      </c>
    </row>
    <row r="249">
      <c r="A249" s="12">
        <f>CMP!R251</f>
        <v>149.31</v>
      </c>
      <c r="B249" s="12">
        <f>CMP!T251</f>
        <v>149.94</v>
      </c>
    </row>
    <row r="250">
      <c r="A250" s="12">
        <f>CMP!R252</f>
        <v>151.57</v>
      </c>
      <c r="B250" s="12">
        <f>CMP!T252</f>
        <v>151.53</v>
      </c>
    </row>
    <row r="251">
      <c r="A251" s="12">
        <f>CMP!R253</f>
        <v>150.49</v>
      </c>
      <c r="B251" s="12">
        <f>CMP!T253</f>
        <v>147.87</v>
      </c>
    </row>
    <row r="252">
      <c r="A252" s="12">
        <f>CMP!R254</f>
        <v>146.75</v>
      </c>
      <c r="B252" s="12">
        <f>CMP!T254</f>
        <v>144.96</v>
      </c>
    </row>
    <row r="253">
      <c r="A253" s="12">
        <f>CMP!R255</f>
        <v>144.48</v>
      </c>
      <c r="B253" s="12">
        <f>CMP!T255</f>
        <v>141.55</v>
      </c>
    </row>
    <row r="254">
      <c r="A254" s="12">
        <f>CMP!R256</f>
        <v>142</v>
      </c>
      <c r="B254" s="12">
        <f>CMP!T256</f>
        <v>142.16</v>
      </c>
    </row>
    <row r="255">
      <c r="A255" s="12">
        <f>CMP!R257</f>
        <v>143.7</v>
      </c>
      <c r="B255" s="12">
        <f>CMP!T257</f>
        <v>144.22</v>
      </c>
    </row>
    <row r="256">
      <c r="A256" s="12">
        <f>CMP!R258</f>
        <v>142.33</v>
      </c>
      <c r="B256" s="12">
        <f>CMP!T258</f>
        <v>143.85</v>
      </c>
    </row>
    <row r="257">
      <c r="A257" s="12">
        <f>CMP!R259</f>
        <v>141.07</v>
      </c>
      <c r="B257" s="12">
        <f>CMP!T259</f>
        <v>139.53</v>
      </c>
    </row>
    <row r="258">
      <c r="A258" s="12">
        <f>CMP!R260</f>
        <v>137.61</v>
      </c>
      <c r="B258" s="12">
        <f>CMP!T260</f>
        <v>131.55</v>
      </c>
    </row>
    <row r="259">
      <c r="A259" s="12">
        <f>CMP!R261</f>
        <v>127.03</v>
      </c>
      <c r="B259" s="12">
        <f>CMP!T261</f>
        <v>132.43</v>
      </c>
    </row>
    <row r="260">
      <c r="A260" s="12">
        <f>CMP!R262</f>
        <v>134.4</v>
      </c>
      <c r="B260" s="12">
        <f>CMP!T262</f>
        <v>134.82</v>
      </c>
    </row>
    <row r="261">
      <c r="A261" s="12">
        <f>CMP!R263</f>
        <v>133.65</v>
      </c>
      <c r="B261" s="12">
        <f>CMP!T263</f>
        <v>131.73</v>
      </c>
    </row>
    <row r="262">
      <c r="A262" s="12">
        <f>CMP!R264</f>
        <v>133</v>
      </c>
      <c r="B262" s="12">
        <f>CMP!T264</f>
        <v>136.38</v>
      </c>
    </row>
    <row r="263">
      <c r="A263" s="12">
        <f>CMP!R265</f>
        <v>135.75</v>
      </c>
      <c r="B263" s="12">
        <f>CMP!T265</f>
        <v>135</v>
      </c>
    </row>
    <row r="264">
      <c r="A264" s="12">
        <f>CMP!R266</f>
        <v>136.28</v>
      </c>
      <c r="B264" s="12">
        <f>CMP!T266</f>
        <v>136.76</v>
      </c>
    </row>
    <row r="265">
      <c r="A265" s="12">
        <f>CMP!R267</f>
        <v>135.92</v>
      </c>
      <c r="B265" s="12">
        <f>CMP!T267</f>
        <v>138.68</v>
      </c>
    </row>
    <row r="266">
      <c r="A266" s="12">
        <f>CMP!R268</f>
        <v>138.26</v>
      </c>
      <c r="B266" s="12">
        <f>CMP!T268</f>
        <v>140.61</v>
      </c>
    </row>
    <row r="267">
      <c r="A267" s="12">
        <f>CMP!R269</f>
        <v>143</v>
      </c>
      <c r="B267" s="12">
        <f>CMP!T269</f>
        <v>141.09</v>
      </c>
    </row>
    <row r="268">
      <c r="A268" s="12">
        <f>CMP!R270</f>
        <v>140.73</v>
      </c>
      <c r="B268" s="12">
        <f>CMP!T270</f>
        <v>137.93</v>
      </c>
    </row>
    <row r="269">
      <c r="A269" s="12">
        <f>CMP!R271</f>
        <v>133.82</v>
      </c>
      <c r="B269" s="12">
        <f>CMP!T271</f>
        <v>139.63</v>
      </c>
    </row>
    <row r="270">
      <c r="A270" s="12">
        <f>CMP!R272</f>
        <v>139.25</v>
      </c>
      <c r="B270" s="12">
        <f>CMP!T272</f>
        <v>137.42</v>
      </c>
    </row>
    <row r="271">
      <c r="A271" s="12">
        <f>CMP!R273</f>
        <v>139.6</v>
      </c>
      <c r="B271" s="12">
        <f>CMP!T273</f>
        <v>141.85</v>
      </c>
    </row>
    <row r="272">
      <c r="A272" s="12">
        <f>CMP!R274</f>
        <v>143.88</v>
      </c>
      <c r="B272" s="12">
        <f>CMP!T274</f>
        <v>142.08</v>
      </c>
    </row>
    <row r="273">
      <c r="A273" s="12">
        <f>CMP!R275</f>
        <v>143.08</v>
      </c>
      <c r="B273" s="12">
        <f>CMP!T275</f>
        <v>144.5</v>
      </c>
    </row>
    <row r="274">
      <c r="A274" s="12">
        <f>CMP!R276</f>
        <v>145.57</v>
      </c>
      <c r="B274" s="12">
        <f>CMP!T276</f>
        <v>145.01</v>
      </c>
    </row>
    <row r="275">
      <c r="A275" s="12">
        <f>CMP!R277</f>
        <v>143.34</v>
      </c>
      <c r="B275" s="12">
        <f>CMP!T277</f>
        <v>144.06</v>
      </c>
    </row>
    <row r="276">
      <c r="A276" s="12">
        <f>CMP!R278</f>
        <v>143.08</v>
      </c>
      <c r="B276" s="12">
        <f>CMP!T278</f>
        <v>140.19</v>
      </c>
    </row>
    <row r="277">
      <c r="A277" s="12">
        <f>CMP!R279</f>
        <v>141.08</v>
      </c>
      <c r="B277" s="12">
        <f>CMP!T279</f>
        <v>143.66</v>
      </c>
    </row>
    <row r="278">
      <c r="A278" s="12">
        <f>CMP!R280</f>
        <v>141.21</v>
      </c>
      <c r="B278" s="12">
        <f>CMP!T280</f>
        <v>133.24</v>
      </c>
    </row>
    <row r="279">
      <c r="A279" s="12">
        <f>CMP!R281</f>
        <v>130.7</v>
      </c>
      <c r="B279" s="12">
        <f>CMP!T281</f>
        <v>133.4</v>
      </c>
    </row>
    <row r="280">
      <c r="A280" s="12">
        <f>CMP!R282</f>
        <v>133.39</v>
      </c>
      <c r="B280" s="12">
        <f>CMP!T282</f>
        <v>124.95</v>
      </c>
    </row>
    <row r="281">
      <c r="A281" s="12">
        <f>CMP!R283</f>
        <v>123.1</v>
      </c>
      <c r="B281" s="12">
        <f>CMP!T283</f>
        <v>124.06</v>
      </c>
    </row>
    <row r="282">
      <c r="A282" s="12">
        <f>CMP!R284</f>
        <v>126</v>
      </c>
      <c r="B282" s="12">
        <f>CMP!T284</f>
        <v>134.18</v>
      </c>
    </row>
    <row r="283">
      <c r="A283" s="12">
        <f>CMP!R285</f>
        <v>132.44</v>
      </c>
      <c r="B283" s="12">
        <f>CMP!T285</f>
        <v>134.52</v>
      </c>
    </row>
    <row r="284">
      <c r="A284" s="12">
        <f>CMP!R286</f>
        <v>135.34</v>
      </c>
      <c r="B284" s="12">
        <f>CMP!T286</f>
        <v>133.2</v>
      </c>
    </row>
    <row r="285">
      <c r="A285" s="12">
        <f>CMP!R287</f>
        <v>134.45</v>
      </c>
      <c r="B285" s="12">
        <f>CMP!T287</f>
        <v>131.09</v>
      </c>
    </row>
    <row r="286">
      <c r="A286" s="12">
        <f>CMP!R288</f>
        <v>128.99</v>
      </c>
      <c r="B286" s="12">
        <f>CMP!T288</f>
        <v>135.68</v>
      </c>
    </row>
    <row r="287">
      <c r="A287" s="12">
        <f>CMP!R289</f>
        <v>134.69</v>
      </c>
      <c r="B287" s="12">
        <f>CMP!T289</f>
        <v>131.74</v>
      </c>
    </row>
    <row r="288">
      <c r="A288" s="12">
        <f>CMP!R290</f>
        <v>134.01</v>
      </c>
      <c r="B288" s="12">
        <f>CMP!T290</f>
        <v>137.95</v>
      </c>
    </row>
    <row r="289">
      <c r="A289" s="12">
        <f>CMP!R291</f>
        <v>137.56</v>
      </c>
      <c r="B289" s="12">
        <f>CMP!T291</f>
        <v>138.05</v>
      </c>
    </row>
    <row r="290">
      <c r="A290" s="12">
        <f>CMP!R292</f>
        <v>139.89</v>
      </c>
      <c r="B290" s="12">
        <f>CMP!T292</f>
        <v>142.53</v>
      </c>
    </row>
    <row r="291">
      <c r="A291" s="12">
        <f>CMP!R293</f>
        <v>142.95</v>
      </c>
      <c r="B291" s="12">
        <f>CMP!T293</f>
        <v>144.23</v>
      </c>
    </row>
    <row r="292">
      <c r="A292" s="12">
        <f>CMP!R294</f>
        <v>143.08</v>
      </c>
      <c r="B292" s="12">
        <f>CMP!T294</f>
        <v>144.2</v>
      </c>
    </row>
    <row r="293">
      <c r="A293" s="12">
        <f>CMP!R295</f>
        <v>143.15</v>
      </c>
      <c r="B293" s="12">
        <f>CMP!T295</f>
        <v>143.8</v>
      </c>
    </row>
    <row r="294">
      <c r="A294" s="12">
        <f>CMP!R296</f>
        <v>142</v>
      </c>
      <c r="B294" s="12">
        <f>CMP!T296</f>
        <v>145.39</v>
      </c>
    </row>
    <row r="295">
      <c r="A295" s="12">
        <f>CMP!R297</f>
        <v>146.01</v>
      </c>
      <c r="B295" s="12">
        <f>CMP!T297</f>
        <v>148.95</v>
      </c>
    </row>
    <row r="296">
      <c r="A296" s="12">
        <f>CMP!R298</f>
        <v>149</v>
      </c>
      <c r="B296" s="12">
        <f>CMP!T298</f>
        <v>147.54</v>
      </c>
    </row>
    <row r="297">
      <c r="A297" s="12">
        <f>CMP!R299</f>
        <v>146.95</v>
      </c>
      <c r="B297" s="12">
        <f>CMP!T299</f>
        <v>148.3</v>
      </c>
    </row>
    <row r="298">
      <c r="A298" s="12">
        <f>CMP!R300</f>
        <v>149.75</v>
      </c>
      <c r="B298" s="12">
        <f>CMP!T300</f>
        <v>150.04</v>
      </c>
    </row>
    <row r="299">
      <c r="A299" s="12">
        <f>CMP!R301</f>
        <v>149.2</v>
      </c>
      <c r="B299" s="12">
        <f>CMP!T301</f>
        <v>147.57</v>
      </c>
    </row>
    <row r="300">
      <c r="A300" s="12">
        <f>CMP!R302</f>
        <v>148.28</v>
      </c>
      <c r="B300" s="12">
        <f>CMP!T302</f>
        <v>144.3</v>
      </c>
    </row>
    <row r="301">
      <c r="A301" s="12">
        <f>CMP!R303</f>
        <v>144.64</v>
      </c>
      <c r="B301" s="12">
        <f>CMP!T303</f>
        <v>145.83</v>
      </c>
    </row>
    <row r="302">
      <c r="A302" s="12">
        <f>CMP!R304</f>
        <v>147.48</v>
      </c>
      <c r="B302" s="12">
        <f>CMP!T304</f>
        <v>149.01</v>
      </c>
    </row>
    <row r="303">
      <c r="A303" s="12">
        <f>CMP!R305</f>
        <v>148.05</v>
      </c>
      <c r="B303" s="12">
        <f>CMP!T305</f>
        <v>147.47</v>
      </c>
    </row>
    <row r="304">
      <c r="A304" s="12">
        <f>CMP!R306</f>
        <v>148.09</v>
      </c>
      <c r="B304" s="12">
        <f>CMP!T306</f>
        <v>144.19</v>
      </c>
    </row>
    <row r="305">
      <c r="A305" s="12">
        <f>CMP!R307</f>
        <v>146.22</v>
      </c>
      <c r="B305" s="12">
        <f>CMP!T307</f>
        <v>150.42</v>
      </c>
    </row>
    <row r="306">
      <c r="A306" s="12">
        <f>CMP!R308</f>
        <v>165.6</v>
      </c>
      <c r="B306" s="12">
        <f>CMP!T308</f>
        <v>166.69</v>
      </c>
    </row>
    <row r="307">
      <c r="A307" s="12">
        <f>CMP!R309</f>
        <v>165.84</v>
      </c>
      <c r="B307" s="12">
        <f>CMP!T309</f>
        <v>165.71</v>
      </c>
    </row>
    <row r="308">
      <c r="A308" s="12">
        <f>CMP!R310</f>
        <v>165.7</v>
      </c>
      <c r="B308" s="12">
        <f>CMP!T310</f>
        <v>169.25</v>
      </c>
    </row>
    <row r="309">
      <c r="A309" s="12">
        <f>CMP!R311</f>
        <v>169.15</v>
      </c>
      <c r="B309" s="12">
        <f>CMP!T311</f>
        <v>171.16</v>
      </c>
    </row>
    <row r="310">
      <c r="A310" s="12">
        <f>CMP!R312</f>
        <v>171.2</v>
      </c>
      <c r="B310" s="12">
        <f>CMP!T312</f>
        <v>170.49</v>
      </c>
    </row>
    <row r="311">
      <c r="A311" s="12">
        <f>CMP!R313</f>
        <v>168.2</v>
      </c>
      <c r="B311" s="12">
        <f>CMP!T313</f>
        <v>166.38</v>
      </c>
    </row>
    <row r="312">
      <c r="A312" s="12">
        <f>CMP!R314</f>
        <v>164.47</v>
      </c>
      <c r="B312" s="12">
        <f>CMP!T314</f>
        <v>167.33</v>
      </c>
    </row>
    <row r="313">
      <c r="A313" s="12">
        <f>CMP!R315</f>
        <v>167.9</v>
      </c>
      <c r="B313" s="12">
        <f>CMP!T315</f>
        <v>165.79</v>
      </c>
    </row>
    <row r="314">
      <c r="A314" s="12">
        <f>CMP!R316</f>
        <v>166.86</v>
      </c>
      <c r="B314" s="12">
        <f>CMP!T316</f>
        <v>165.04</v>
      </c>
    </row>
    <row r="315">
      <c r="A315" s="12">
        <f>CMP!R317</f>
        <v>165.38</v>
      </c>
      <c r="B315" s="12">
        <f>CMP!T317</f>
        <v>164.07</v>
      </c>
    </row>
    <row r="316">
      <c r="A316" s="12">
        <f>CMP!R318</f>
        <v>163.19</v>
      </c>
      <c r="B316" s="12">
        <f>CMP!T318</f>
        <v>163.95</v>
      </c>
    </row>
    <row r="317">
      <c r="A317" s="12">
        <f>CMP!R319</f>
        <v>164.51</v>
      </c>
      <c r="B317" s="12">
        <f>CMP!T319</f>
        <v>162.5</v>
      </c>
    </row>
    <row r="318">
      <c r="A318" s="12">
        <f>CMP!R320</f>
        <v>160.5</v>
      </c>
      <c r="B318" s="12">
        <f>CMP!T320</f>
        <v>162.29</v>
      </c>
    </row>
    <row r="319">
      <c r="A319" s="12">
        <f>CMP!R321</f>
        <v>162.25</v>
      </c>
      <c r="B319" s="12">
        <f>CMP!T321</f>
        <v>162.56</v>
      </c>
    </row>
    <row r="320">
      <c r="A320" s="12">
        <f>CMP!R322</f>
        <v>161.93</v>
      </c>
      <c r="B320" s="12">
        <f>CMP!T322</f>
        <v>160.04</v>
      </c>
    </row>
    <row r="321">
      <c r="A321" s="12">
        <f>CMP!R323</f>
        <v>160.58</v>
      </c>
      <c r="B321" s="12">
        <f>CMP!T323</f>
        <v>161.89</v>
      </c>
    </row>
    <row r="322">
      <c r="A322" s="12">
        <f>CMP!R324</f>
        <v>163.07</v>
      </c>
      <c r="B322" s="12">
        <f>CMP!T324</f>
        <v>164.62</v>
      </c>
    </row>
    <row r="323">
      <c r="A323" s="12">
        <f>CMP!R325</f>
        <v>164.34</v>
      </c>
      <c r="B323" s="12">
        <f>CMP!T325</f>
        <v>164.13</v>
      </c>
    </row>
    <row r="324">
      <c r="A324" s="12">
        <f>CMP!R326</f>
        <v>162.9</v>
      </c>
      <c r="B324" s="12">
        <f>CMP!T326</f>
        <v>162.81</v>
      </c>
    </row>
    <row r="325">
      <c r="A325" s="12">
        <f>CMP!R327</f>
        <v>162.37</v>
      </c>
      <c r="B325" s="12">
        <f>CMP!T327</f>
        <v>161.45</v>
      </c>
    </row>
    <row r="326">
      <c r="A326" s="12">
        <f>CMP!R328</f>
        <v>162.6</v>
      </c>
      <c r="B326" s="12">
        <f>CMP!T328</f>
        <v>162.28</v>
      </c>
    </row>
    <row r="327">
      <c r="A327" s="12">
        <f>CMP!R329</f>
        <v>163.9</v>
      </c>
      <c r="B327" s="12">
        <f>CMP!T329</f>
        <v>167.37</v>
      </c>
    </row>
    <row r="328">
      <c r="A328" s="12">
        <f>CMP!R330</f>
        <v>167.37</v>
      </c>
      <c r="B328" s="12">
        <f>CMP!T330</f>
        <v>171.26</v>
      </c>
    </row>
    <row r="329">
      <c r="A329" s="12">
        <f>CMP!R331</f>
        <v>172.9</v>
      </c>
      <c r="B329" s="12">
        <f>CMP!T331</f>
        <v>172.51</v>
      </c>
    </row>
    <row r="330">
      <c r="A330" s="12">
        <f>CMP!R332</f>
        <v>171.5</v>
      </c>
      <c r="B330" s="12">
        <f>CMP!T332</f>
        <v>169.13</v>
      </c>
    </row>
    <row r="331">
      <c r="A331" s="12">
        <f>CMP!R333</f>
        <v>166.2</v>
      </c>
      <c r="B331" s="12">
        <f>CMP!T333</f>
        <v>169.6</v>
      </c>
    </row>
    <row r="332">
      <c r="A332" s="12">
        <f>CMP!R334</f>
        <v>171.6</v>
      </c>
      <c r="B332" s="12">
        <f>CMP!T334</f>
        <v>172.07</v>
      </c>
    </row>
    <row r="333">
      <c r="A333" s="12">
        <f>CMP!R335</f>
        <v>172.09</v>
      </c>
      <c r="B333" s="12">
        <f>CMP!T335</f>
        <v>171.92</v>
      </c>
    </row>
    <row r="334">
      <c r="A334" s="12">
        <f>CMP!R336</f>
        <v>172.32</v>
      </c>
      <c r="B334" s="12">
        <f>CMP!T336</f>
        <v>173.37</v>
      </c>
    </row>
    <row r="335">
      <c r="A335" s="12">
        <f>CMP!R337</f>
        <v>169.76</v>
      </c>
      <c r="B335" s="12">
        <f>CMP!T337</f>
        <v>170.17</v>
      </c>
    </row>
    <row r="336">
      <c r="A336" s="12">
        <f>CMP!R338</f>
        <v>167.16</v>
      </c>
      <c r="B336" s="12">
        <f>CMP!T338</f>
        <v>165.98</v>
      </c>
    </row>
    <row r="337">
      <c r="A337" s="12">
        <f>CMP!R339</f>
        <v>163.57</v>
      </c>
      <c r="B337" s="12">
        <f>CMP!T339</f>
        <v>160.47</v>
      </c>
    </row>
    <row r="338">
      <c r="A338" s="12">
        <f>CMP!R340</f>
        <v>161.48</v>
      </c>
      <c r="B338" s="12">
        <f>CMP!T340</f>
        <v>161.57</v>
      </c>
    </row>
    <row r="339">
      <c r="A339" s="12">
        <f>CMP!R341</f>
        <v>161.5</v>
      </c>
      <c r="B339" s="12">
        <f>CMP!T341</f>
        <v>165.44</v>
      </c>
    </row>
    <row r="340">
      <c r="A340" s="12">
        <f>CMP!R342</f>
        <v>164.89</v>
      </c>
      <c r="B340" s="12">
        <f>CMP!T342</f>
        <v>166.08</v>
      </c>
    </row>
    <row r="341">
      <c r="A341" s="12">
        <f>CMP!R343</f>
        <v>165.65</v>
      </c>
      <c r="B341" s="12">
        <f>CMP!T343</f>
        <v>164.34</v>
      </c>
    </row>
    <row r="342">
      <c r="A342" s="12">
        <f>CMP!R344</f>
        <v>163</v>
      </c>
      <c r="B342" s="12">
        <f>CMP!T344</f>
        <v>166.29</v>
      </c>
    </row>
    <row r="343">
      <c r="A343" s="12">
        <f>CMP!R345</f>
        <v>167.35</v>
      </c>
      <c r="B343" s="12">
        <f>CMP!T345</f>
        <v>167.68</v>
      </c>
    </row>
    <row r="344">
      <c r="A344" s="12">
        <f>CMP!R346</f>
        <v>167.85</v>
      </c>
      <c r="B344" s="12">
        <f>CMP!T346</f>
        <v>165.87</v>
      </c>
    </row>
    <row r="345">
      <c r="A345" s="12">
        <f>CMP!R347</f>
        <v>164.57</v>
      </c>
      <c r="B345" s="12">
        <f>CMP!T347</f>
        <v>165.55</v>
      </c>
    </row>
    <row r="346">
      <c r="A346" s="12">
        <f>CMP!R348</f>
        <v>166.39</v>
      </c>
      <c r="B346" s="12">
        <f>CMP!T348</f>
        <v>166.69</v>
      </c>
    </row>
    <row r="347">
      <c r="A347" s="12">
        <f>CMP!R349</f>
        <v>167.83</v>
      </c>
      <c r="B347" s="12">
        <f>CMP!T349</f>
        <v>168.7</v>
      </c>
    </row>
    <row r="348">
      <c r="A348" s="12">
        <f>CMP!R350</f>
        <v>170.14</v>
      </c>
      <c r="B348" s="12">
        <f>CMP!T350</f>
        <v>174.2</v>
      </c>
    </row>
    <row r="349">
      <c r="A349" s="12">
        <f>CMP!R351</f>
        <v>174.5</v>
      </c>
      <c r="B349" s="12">
        <f>CMP!T351</f>
        <v>173.54</v>
      </c>
    </row>
    <row r="350">
      <c r="A350" s="12">
        <f>CMP!R352</f>
        <v>176.02</v>
      </c>
      <c r="B350" s="12">
        <f>CMP!T352</f>
        <v>176.02</v>
      </c>
    </row>
    <row r="351">
      <c r="A351" s="12">
        <f>CMP!R353</f>
        <v>176.88</v>
      </c>
      <c r="B351" s="12">
        <f>CMP!T353</f>
        <v>175.72</v>
      </c>
    </row>
    <row r="352">
      <c r="A352" s="12">
        <f>CMP!R354</f>
        <v>175.21</v>
      </c>
      <c r="B352" s="12">
        <f>CMP!T354</f>
        <v>174.93</v>
      </c>
    </row>
    <row r="353">
      <c r="A353" s="12">
        <f>CMP!R355</f>
        <v>175.62</v>
      </c>
      <c r="B353" s="12">
        <f>CMP!T355</f>
        <v>177.58</v>
      </c>
    </row>
    <row r="354">
      <c r="A354" s="12">
        <f>CMP!R356</f>
        <v>178.18</v>
      </c>
      <c r="B354" s="12">
        <f>CMP!T356</f>
        <v>177.82</v>
      </c>
    </row>
    <row r="355">
      <c r="A355" s="12">
        <f>CMP!R357</f>
        <v>178.24</v>
      </c>
      <c r="B355" s="12">
        <f>CMP!T357</f>
        <v>177.51</v>
      </c>
    </row>
    <row r="356">
      <c r="A356" s="12">
        <f>CMP!R358</f>
        <v>178</v>
      </c>
      <c r="B356" s="12">
        <f>CMP!T358</f>
        <v>179.1</v>
      </c>
    </row>
    <row r="357">
      <c r="A357" s="12">
        <f>CMP!R359</f>
        <v>178.5</v>
      </c>
      <c r="B357" s="12">
        <f>CMP!T359</f>
        <v>179.65</v>
      </c>
    </row>
    <row r="358">
      <c r="A358" s="12">
        <f>CMP!R360</f>
        <v>179</v>
      </c>
      <c r="B358" s="12">
        <f>CMP!T360</f>
        <v>178.87</v>
      </c>
    </row>
    <row r="359">
      <c r="A359" s="12">
        <f>CMP!R361</f>
        <v>179.6</v>
      </c>
      <c r="B359" s="12">
        <f>CMP!T361</f>
        <v>178.78</v>
      </c>
    </row>
    <row r="360">
      <c r="A360" s="12">
        <f>CMP!R362</f>
        <v>178.8</v>
      </c>
      <c r="B360" s="12">
        <f>CMP!T362</f>
        <v>178.28</v>
      </c>
    </row>
    <row r="361">
      <c r="A361" s="12">
        <f>CMP!R363</f>
        <v>178.25</v>
      </c>
      <c r="B361" s="12">
        <f>CMP!T363</f>
        <v>181.44</v>
      </c>
    </row>
    <row r="362">
      <c r="A362" s="12">
        <f>CMP!R364</f>
        <v>182.74</v>
      </c>
      <c r="B362" s="12">
        <f>CMP!T364</f>
        <v>183.78</v>
      </c>
    </row>
    <row r="363">
      <c r="A363" s="12">
        <f>CMP!R365</f>
        <v>184.49</v>
      </c>
      <c r="B363" s="12">
        <f>CMP!T365</f>
        <v>182.58</v>
      </c>
    </row>
    <row r="364">
      <c r="A364" s="12">
        <f>CMP!R366</f>
        <v>196.98</v>
      </c>
      <c r="B364" s="12">
        <f>CMP!T366</f>
        <v>193.26</v>
      </c>
    </row>
    <row r="365">
      <c r="A365" s="12">
        <f>CMP!R367</f>
        <v>192.5</v>
      </c>
      <c r="B365" s="12">
        <f>CMP!T367</f>
        <v>191.49</v>
      </c>
    </row>
    <row r="366">
      <c r="A366" s="12">
        <f>CMP!R368</f>
        <v>190.95</v>
      </c>
      <c r="B366" s="12">
        <f>CMP!T368</f>
        <v>194.78</v>
      </c>
    </row>
    <row r="367">
      <c r="A367" s="12">
        <f>CMP!R369</f>
        <v>194.19</v>
      </c>
      <c r="B367" s="12">
        <f>CMP!T369</f>
        <v>193.4</v>
      </c>
    </row>
    <row r="368">
      <c r="A368" s="12">
        <f>CMP!R370</f>
        <v>194.78</v>
      </c>
      <c r="B368" s="12">
        <f>CMP!T370</f>
        <v>193.03</v>
      </c>
    </row>
    <row r="369">
      <c r="A369" s="12">
        <f>CMP!R371</f>
        <v>193</v>
      </c>
      <c r="B369" s="12">
        <f>CMP!T371</f>
        <v>192.53</v>
      </c>
    </row>
    <row r="370">
      <c r="A370" s="12">
        <f>CMP!R372</f>
        <v>194.38</v>
      </c>
      <c r="B370" s="12">
        <f>CMP!T372</f>
        <v>195.47</v>
      </c>
    </row>
    <row r="371">
      <c r="A371" s="12">
        <f>CMP!R373</f>
        <v>191.24</v>
      </c>
      <c r="B371" s="12">
        <f>CMP!T373</f>
        <v>193.88</v>
      </c>
    </row>
    <row r="372">
      <c r="A372" s="12">
        <f>CMP!R374</f>
        <v>192.54</v>
      </c>
      <c r="B372" s="12">
        <f>CMP!T374</f>
        <v>189.77</v>
      </c>
    </row>
    <row r="373">
      <c r="A373" s="12">
        <f>CMP!R375</f>
        <v>189.39</v>
      </c>
      <c r="B373" s="12">
        <f>CMP!T375</f>
        <v>189.54</v>
      </c>
    </row>
    <row r="374">
      <c r="A374" s="12">
        <f>CMP!R376</f>
        <v>187.2</v>
      </c>
      <c r="B374" s="12">
        <f>CMP!T376</f>
        <v>188.65</v>
      </c>
    </row>
    <row r="375">
      <c r="A375" s="12">
        <f>CMP!R377</f>
        <v>188.25</v>
      </c>
      <c r="B375" s="12">
        <f>CMP!T377</f>
        <v>188.34</v>
      </c>
    </row>
    <row r="376">
      <c r="A376" s="12">
        <f>CMP!R378</f>
        <v>183.5</v>
      </c>
      <c r="B376" s="12">
        <f>CMP!T378</f>
        <v>181.54</v>
      </c>
    </row>
    <row r="377">
      <c r="A377" s="12">
        <f>CMP!R379</f>
        <v>182.52</v>
      </c>
      <c r="B377" s="12">
        <f>CMP!T379</f>
        <v>180.73</v>
      </c>
    </row>
    <row r="378">
      <c r="A378" s="12">
        <f>CMP!R380</f>
        <v>180.42</v>
      </c>
      <c r="B378" s="12">
        <f>CMP!T380</f>
        <v>186.27</v>
      </c>
    </row>
    <row r="379">
      <c r="A379" s="12">
        <f>CMP!R381</f>
        <v>185.05</v>
      </c>
      <c r="B379" s="12">
        <f>CMP!T381</f>
        <v>186.99</v>
      </c>
    </row>
    <row r="380">
      <c r="A380" s="12">
        <f>CMP!R382</f>
        <v>184.84</v>
      </c>
      <c r="B380" s="12">
        <f>CMP!T382</f>
        <v>185.3</v>
      </c>
    </row>
    <row r="381">
      <c r="A381" s="12">
        <f>CMP!R383</f>
        <v>181.88</v>
      </c>
      <c r="B381" s="12">
        <f>CMP!T383</f>
        <v>182.72</v>
      </c>
    </row>
    <row r="382">
      <c r="A382" s="12">
        <f>CMP!R384</f>
        <v>184.57</v>
      </c>
      <c r="B382" s="12">
        <f>CMP!T384</f>
        <v>184.82</v>
      </c>
    </row>
    <row r="383">
      <c r="A383" s="12">
        <f>CMP!R385</f>
        <v>184.73</v>
      </c>
      <c r="B383" s="12">
        <f>CMP!T385</f>
        <v>185.32</v>
      </c>
    </row>
    <row r="384">
      <c r="A384" s="12">
        <f>CMP!R386</f>
        <v>182.42</v>
      </c>
      <c r="B384" s="12">
        <f>CMP!T386</f>
        <v>180.87</v>
      </c>
    </row>
    <row r="385">
      <c r="A385" s="12">
        <f>CMP!R387</f>
        <v>182.33</v>
      </c>
      <c r="B385" s="12">
        <f>CMP!T387</f>
        <v>181.06</v>
      </c>
    </row>
    <row r="386">
      <c r="A386" s="12">
        <f>CMP!R388</f>
        <v>181.54</v>
      </c>
      <c r="B386" s="12">
        <f>CMP!T388</f>
        <v>184.31</v>
      </c>
    </row>
    <row r="387">
      <c r="A387" s="12">
        <f>CMP!R389</f>
        <v>183.5</v>
      </c>
      <c r="B387" s="12">
        <f>CMP!T389</f>
        <v>182.19</v>
      </c>
    </row>
    <row r="388">
      <c r="A388" s="12">
        <f>CMP!R390</f>
        <v>183.08</v>
      </c>
      <c r="B388" s="12">
        <f>CMP!T390</f>
        <v>183.01</v>
      </c>
    </row>
    <row r="389">
      <c r="A389" s="12">
        <f>CMP!R391</f>
        <v>180.28</v>
      </c>
      <c r="B389" s="12">
        <f>CMP!T391</f>
        <v>177.47</v>
      </c>
    </row>
    <row r="390">
      <c r="A390" s="12">
        <f>CMP!R392</f>
        <v>175</v>
      </c>
      <c r="B390" s="12">
        <f>CMP!T392</f>
        <v>164.15</v>
      </c>
    </row>
    <row r="391">
      <c r="A391" s="12">
        <f>CMP!R393</f>
        <v>163.71</v>
      </c>
      <c r="B391" s="12">
        <f>CMP!T393</f>
        <v>167.5</v>
      </c>
    </row>
    <row r="392">
      <c r="A392" s="12">
        <f>CMP!R394</f>
        <v>167.48</v>
      </c>
      <c r="B392" s="12">
        <f>CMP!T394</f>
        <v>168.17</v>
      </c>
    </row>
    <row r="393">
      <c r="A393" s="12">
        <f>CMP!R395</f>
        <v>168.3</v>
      </c>
      <c r="B393" s="12">
        <f>CMP!T395</f>
        <v>168.33</v>
      </c>
    </row>
    <row r="394">
      <c r="A394" s="12">
        <f>CMP!R396</f>
        <v>170.17</v>
      </c>
      <c r="B394" s="12">
        <f>CMP!T396</f>
        <v>173.35</v>
      </c>
    </row>
    <row r="395">
      <c r="A395" s="12">
        <f>CMP!R397</f>
        <v>174.75</v>
      </c>
      <c r="B395" s="12">
        <f>CMP!T397</f>
        <v>174.82</v>
      </c>
    </row>
    <row r="396">
      <c r="A396" s="12">
        <f>CMP!R398</f>
        <v>178.48</v>
      </c>
      <c r="B396" s="12">
        <f>CMP!T398</f>
        <v>178.1</v>
      </c>
    </row>
    <row r="397">
      <c r="A397" s="12">
        <f>CMP!R399</f>
        <v>178.38</v>
      </c>
      <c r="B397" s="12">
        <f>CMP!T399</f>
        <v>175.04</v>
      </c>
    </row>
    <row r="398">
      <c r="A398" s="12">
        <f>CMP!R400</f>
        <v>175.53</v>
      </c>
      <c r="B398" s="12">
        <f>CMP!T400</f>
        <v>177.47</v>
      </c>
    </row>
    <row r="399">
      <c r="A399" s="12">
        <f>CMP!R401</f>
        <v>180.51</v>
      </c>
      <c r="B399" s="12">
        <f>CMP!T401</f>
        <v>181.33</v>
      </c>
    </row>
    <row r="400">
      <c r="A400" s="12">
        <f>CMP!R402</f>
        <v>185.01</v>
      </c>
      <c r="B400" s="12">
        <f>CMP!T402</f>
        <v>189.01</v>
      </c>
    </row>
    <row r="401">
      <c r="A401" s="12">
        <f>CMP!R403</f>
        <v>194</v>
      </c>
      <c r="B401" s="12">
        <f>CMP!T403</f>
        <v>188.47</v>
      </c>
    </row>
    <row r="402">
      <c r="A402" s="12">
        <f>CMP!R404</f>
        <v>187</v>
      </c>
      <c r="B402" s="12">
        <f>CMP!T404</f>
        <v>187.48</v>
      </c>
    </row>
    <row r="403">
      <c r="A403" s="12">
        <f>CMP!R405</f>
        <v>190.95</v>
      </c>
      <c r="B403" s="12">
        <f>CMP!T405</f>
        <v>189.53</v>
      </c>
    </row>
    <row r="404">
      <c r="A404" s="12">
        <f>CMP!R406</f>
        <v>188.75</v>
      </c>
      <c r="B404" s="12">
        <f>CMP!T406</f>
        <v>191.14</v>
      </c>
    </row>
    <row r="405">
      <c r="A405" s="12">
        <f>CMP!R407</f>
        <v>192.42</v>
      </c>
      <c r="B405" s="12">
        <f>CMP!T407</f>
        <v>192.6</v>
      </c>
    </row>
    <row r="406">
      <c r="A406" s="12">
        <f>CMP!R408</f>
        <v>192.88</v>
      </c>
      <c r="B406" s="12">
        <f>CMP!T408</f>
        <v>188.84</v>
      </c>
    </row>
    <row r="407">
      <c r="A407" s="12">
        <f>CMP!R409</f>
        <v>189.54</v>
      </c>
      <c r="B407" s="12">
        <f>CMP!T409</f>
        <v>187.66</v>
      </c>
    </row>
    <row r="408">
      <c r="A408" s="12">
        <f>CMP!R410</f>
        <v>189.88</v>
      </c>
      <c r="B408" s="12">
        <f>CMP!T410</f>
        <v>189.5</v>
      </c>
    </row>
    <row r="409">
      <c r="A409" s="12">
        <f>CMP!R411</f>
        <v>190.55</v>
      </c>
      <c r="B409" s="12">
        <f>CMP!T411</f>
        <v>193</v>
      </c>
    </row>
    <row r="410">
      <c r="A410" s="12">
        <f>CMP!R412</f>
        <v>195.21</v>
      </c>
      <c r="B410" s="12">
        <f>CMP!T412</f>
        <v>193</v>
      </c>
    </row>
    <row r="411">
      <c r="A411" s="12">
        <f>CMP!R413</f>
        <v>193</v>
      </c>
      <c r="B411" s="12">
        <f>CMP!T413</f>
        <v>195</v>
      </c>
    </row>
    <row r="412">
      <c r="A412" s="12">
        <f>CMP!R414</f>
        <v>194.16</v>
      </c>
      <c r="B412" s="12">
        <f>CMP!T414</f>
        <v>197.2</v>
      </c>
    </row>
    <row r="413">
      <c r="A413" s="12">
        <f>CMP!R415</f>
        <v>196.18</v>
      </c>
      <c r="B413" s="12">
        <f>CMP!T415</f>
        <v>196.4</v>
      </c>
    </row>
    <row r="414">
      <c r="A414" s="12">
        <f>CMP!R416</f>
        <v>195.19</v>
      </c>
      <c r="B414" s="12">
        <f>CMP!T416</f>
        <v>195.76</v>
      </c>
    </row>
    <row r="415">
      <c r="A415" s="12">
        <f>CMP!R417</f>
        <v>194.97</v>
      </c>
      <c r="B415" s="12">
        <f>CMP!T417</f>
        <v>199.21</v>
      </c>
    </row>
    <row r="416">
      <c r="A416" s="12">
        <f>CMP!R418</f>
        <v>200</v>
      </c>
      <c r="B416" s="12">
        <f>CMP!T418</f>
        <v>202.73</v>
      </c>
    </row>
    <row r="417">
      <c r="A417" s="12">
        <f>CMP!R419</f>
        <v>203.26</v>
      </c>
      <c r="B417" s="12">
        <f>CMP!T419</f>
        <v>201.23</v>
      </c>
    </row>
    <row r="418">
      <c r="A418" s="12">
        <f>CMP!R420</f>
        <v>199.68</v>
      </c>
      <c r="B418" s="12">
        <f>CMP!T420</f>
        <v>204.87</v>
      </c>
    </row>
    <row r="419">
      <c r="A419" s="12">
        <f>CMP!R421</f>
        <v>204.25</v>
      </c>
      <c r="B419" s="12">
        <f>CMP!T421</f>
        <v>203.91</v>
      </c>
    </row>
    <row r="420">
      <c r="A420" s="12">
        <f>CMP!R422</f>
        <v>203.89</v>
      </c>
      <c r="B420" s="12">
        <f>CMP!T422</f>
        <v>203.84</v>
      </c>
    </row>
    <row r="421">
      <c r="A421" s="12">
        <f>CMP!R423</f>
        <v>204.18</v>
      </c>
      <c r="B421" s="12">
        <f>CMP!T423</f>
        <v>201.8</v>
      </c>
    </row>
    <row r="422">
      <c r="A422" s="12">
        <f>CMP!R424</f>
        <v>200.15</v>
      </c>
      <c r="B422" s="12">
        <f>CMP!T424</f>
        <v>200.78</v>
      </c>
    </row>
    <row r="423">
      <c r="A423" s="12">
        <f>CMP!R425</f>
        <v>202.18</v>
      </c>
      <c r="B423" s="12">
        <f>CMP!T425</f>
        <v>198.36</v>
      </c>
    </row>
    <row r="424">
      <c r="A424" s="12">
        <f>CMP!R426</f>
        <v>199.91</v>
      </c>
      <c r="B424" s="12">
        <f>CMP!T426</f>
        <v>202.32</v>
      </c>
    </row>
    <row r="425">
      <c r="A425" s="12">
        <f>CMP!R427</f>
        <v>202.84</v>
      </c>
      <c r="B425" s="12">
        <f>CMP!T427</f>
        <v>202.36</v>
      </c>
    </row>
    <row r="426">
      <c r="A426" s="12">
        <f>CMP!R428</f>
        <v>197.63</v>
      </c>
      <c r="B426" s="12">
        <f>CMP!T428</f>
        <v>204.66</v>
      </c>
    </row>
    <row r="427">
      <c r="A427" s="12">
        <f>CMP!R429</f>
        <v>206.7</v>
      </c>
      <c r="B427" s="12">
        <f>CMP!T429</f>
        <v>200.71</v>
      </c>
    </row>
    <row r="428">
      <c r="A428" s="12">
        <f>CMP!R430</f>
        <v>200.19</v>
      </c>
      <c r="B428" s="12">
        <f>CMP!T430</f>
        <v>199.75</v>
      </c>
    </row>
    <row r="429">
      <c r="A429" s="12">
        <f>CMP!R431</f>
        <v>199</v>
      </c>
      <c r="B429" s="12">
        <f>CMP!T431</f>
        <v>195.94</v>
      </c>
    </row>
    <row r="430">
      <c r="A430" s="12">
        <f>CMP!R432</f>
        <v>195.39</v>
      </c>
      <c r="B430" s="12">
        <f>CMP!T432</f>
        <v>197.04</v>
      </c>
    </row>
    <row r="431">
      <c r="A431" s="12">
        <f>CMP!R433</f>
        <v>196.95</v>
      </c>
      <c r="B431" s="12">
        <f>CMP!T433</f>
        <v>194.23</v>
      </c>
    </row>
    <row r="432">
      <c r="A432" s="12">
        <f>CMP!R434</f>
        <v>194.17</v>
      </c>
      <c r="B432" s="12">
        <f>CMP!T434</f>
        <v>192.73</v>
      </c>
    </row>
    <row r="433">
      <c r="A433" s="12">
        <f>CMP!R435</f>
        <v>191.1</v>
      </c>
      <c r="B433" s="12">
        <f>CMP!T435</f>
        <v>189.02</v>
      </c>
    </row>
    <row r="434">
      <c r="A434" s="12">
        <f>CMP!R436</f>
        <v>184.69</v>
      </c>
      <c r="B434" s="12">
        <f>CMP!T436</f>
        <v>181.73</v>
      </c>
    </row>
    <row r="435">
      <c r="A435" s="12">
        <f>CMP!R437</f>
        <v>183.69</v>
      </c>
      <c r="B435" s="12">
        <f>CMP!T437</f>
        <v>184.51</v>
      </c>
    </row>
    <row r="436">
      <c r="A436" s="12">
        <f>CMP!R438</f>
        <v>183.6</v>
      </c>
      <c r="B436" s="12">
        <f>CMP!T438</f>
        <v>185.15</v>
      </c>
    </row>
    <row r="437">
      <c r="A437" s="12">
        <f>CMP!R439</f>
        <v>186.62</v>
      </c>
      <c r="B437" s="12">
        <f>CMP!T439</f>
        <v>190.16</v>
      </c>
    </row>
    <row r="438">
      <c r="A438" s="12">
        <f>CMP!R440</f>
        <v>190</v>
      </c>
      <c r="B438" s="12">
        <f>CMP!T440</f>
        <v>187.85</v>
      </c>
    </row>
    <row r="439">
      <c r="A439" s="12">
        <f>CMP!R441</f>
        <v>186.85</v>
      </c>
      <c r="B439" s="12">
        <f>CMP!T441</f>
        <v>185.37</v>
      </c>
    </row>
    <row r="440">
      <c r="A440" s="12">
        <f>CMP!R442</f>
        <v>185.52</v>
      </c>
      <c r="B440" s="12">
        <f>CMP!T442</f>
        <v>188.45</v>
      </c>
    </row>
    <row r="441">
      <c r="A441" s="12">
        <f>CMP!R443</f>
        <v>185.8</v>
      </c>
      <c r="B441" s="12">
        <f>CMP!T443</f>
        <v>179.71</v>
      </c>
    </row>
    <row r="442">
      <c r="A442" s="12">
        <f>CMP!R444</f>
        <v>180.95</v>
      </c>
      <c r="B442" s="12">
        <f>CMP!T444</f>
        <v>182.59</v>
      </c>
    </row>
    <row r="443">
      <c r="A443" s="12">
        <f>CMP!R445</f>
        <v>183.75</v>
      </c>
      <c r="B443" s="12">
        <f>CMP!T445</f>
        <v>183.7</v>
      </c>
    </row>
    <row r="444">
      <c r="A444" s="12">
        <f>CMP!R446</f>
        <v>186.01</v>
      </c>
      <c r="B444" s="12">
        <f>CMP!T446</f>
        <v>186.17</v>
      </c>
    </row>
    <row r="445">
      <c r="A445" s="12">
        <f>CMP!R447</f>
        <v>185.45</v>
      </c>
      <c r="B445" s="12">
        <f>CMP!T447</f>
        <v>183.81</v>
      </c>
    </row>
    <row r="446">
      <c r="A446" s="12">
        <f>CMP!R448</f>
        <v>185</v>
      </c>
      <c r="B446" s="12">
        <f>CMP!T448</f>
        <v>183.55</v>
      </c>
    </row>
    <row r="447">
      <c r="A447" s="12">
        <f>CMP!R449</f>
        <v>183.43</v>
      </c>
      <c r="B447" s="12">
        <f>CMP!T449</f>
        <v>182.04</v>
      </c>
    </row>
    <row r="448">
      <c r="A448" s="12">
        <f>CMP!R450</f>
        <v>180.84</v>
      </c>
      <c r="B448" s="12">
        <f>CMP!T450</f>
        <v>177.75</v>
      </c>
    </row>
    <row r="449">
      <c r="A449" s="12">
        <f>CMP!R451</f>
        <v>179.4</v>
      </c>
      <c r="B449" s="12">
        <f>CMP!T451</f>
        <v>180.36</v>
      </c>
    </row>
    <row r="450">
      <c r="A450" s="12">
        <f>CMP!R452</f>
        <v>181.93</v>
      </c>
      <c r="B450" s="12">
        <f>CMP!T452</f>
        <v>181.3</v>
      </c>
    </row>
    <row r="451">
      <c r="A451" s="12">
        <f>CMP!R453</f>
        <v>180.53</v>
      </c>
      <c r="B451" s="12">
        <f>CMP!T453</f>
        <v>181.76</v>
      </c>
    </row>
    <row r="452">
      <c r="A452" s="12">
        <f>CMP!R454</f>
        <v>183.77</v>
      </c>
      <c r="B452" s="12">
        <f>CMP!T454</f>
        <v>185.57</v>
      </c>
    </row>
    <row r="453">
      <c r="A453" s="12">
        <f>CMP!R455</f>
        <v>186.78</v>
      </c>
      <c r="B453" s="12">
        <f>CMP!T455</f>
        <v>185.67</v>
      </c>
    </row>
    <row r="454">
      <c r="A454" s="12">
        <f>CMP!R456</f>
        <v>184</v>
      </c>
      <c r="B454" s="12">
        <f>CMP!T456</f>
        <v>182.39</v>
      </c>
    </row>
    <row r="455">
      <c r="A455" s="12">
        <f>CMP!R457</f>
        <v>184.65</v>
      </c>
      <c r="B455" s="12">
        <f>CMP!T457</f>
        <v>187.14</v>
      </c>
    </row>
    <row r="456">
      <c r="A456" s="12">
        <f>CMP!R458</f>
        <v>188.53</v>
      </c>
      <c r="B456" s="12">
        <f>CMP!T458</f>
        <v>190.9</v>
      </c>
    </row>
    <row r="457">
      <c r="A457" s="12">
        <f>CMP!R459</f>
        <v>190.21</v>
      </c>
      <c r="B457" s="12">
        <f>CMP!T459</f>
        <v>187.49</v>
      </c>
    </row>
    <row r="458">
      <c r="A458" s="12">
        <f>CMP!R460</f>
        <v>187.73</v>
      </c>
      <c r="B458" s="12">
        <f>CMP!T460</f>
        <v>188.76</v>
      </c>
    </row>
    <row r="459">
      <c r="A459" s="12">
        <f>CMP!R461</f>
        <v>187.44</v>
      </c>
      <c r="B459" s="12">
        <f>CMP!T461</f>
        <v>186.17</v>
      </c>
    </row>
    <row r="460">
      <c r="A460" s="12">
        <f>CMP!R462</f>
        <v>186.46</v>
      </c>
      <c r="B460" s="12">
        <f>CMP!T462</f>
        <v>188.49</v>
      </c>
    </row>
    <row r="461">
      <c r="A461" s="12">
        <f>CMP!R463</f>
        <v>189.86</v>
      </c>
      <c r="B461" s="12">
        <f>CMP!T463</f>
        <v>187.47</v>
      </c>
    </row>
    <row r="462">
      <c r="A462" s="12">
        <f>CMP!R464</f>
        <v>187.33</v>
      </c>
      <c r="B462" s="12">
        <f>CMP!T464</f>
        <v>187.19</v>
      </c>
    </row>
    <row r="463">
      <c r="A463" s="12">
        <f>CMP!R465</f>
        <v>186.93</v>
      </c>
      <c r="B463" s="12">
        <f>CMP!T465</f>
        <v>186.22</v>
      </c>
    </row>
    <row r="464">
      <c r="A464" s="12">
        <f>CMP!R466</f>
        <v>186.66</v>
      </c>
      <c r="B464" s="12">
        <f>CMP!T466</f>
        <v>188.08</v>
      </c>
    </row>
    <row r="465">
      <c r="A465" s="12">
        <f>CMP!R467</f>
        <v>188.09</v>
      </c>
      <c r="B465" s="12">
        <f>CMP!T467</f>
        <v>188.14</v>
      </c>
    </row>
    <row r="466">
      <c r="A466" s="12">
        <f>CMP!R468</f>
        <v>188.66</v>
      </c>
      <c r="B466" s="12">
        <f>CMP!T468</f>
        <v>190.14</v>
      </c>
    </row>
    <row r="467">
      <c r="A467" s="12">
        <f>CMP!R469</f>
        <v>190.66</v>
      </c>
      <c r="B467" s="12">
        <f>CMP!T469</f>
        <v>189.93</v>
      </c>
    </row>
    <row r="468">
      <c r="A468" s="12">
        <f>CMP!R470</f>
        <v>189.34</v>
      </c>
      <c r="B468" s="12">
        <f>CMP!T470</f>
        <v>186.82</v>
      </c>
    </row>
    <row r="469">
      <c r="A469" s="12">
        <f>CMP!R471</f>
        <v>187.98</v>
      </c>
      <c r="B469" s="12">
        <f>CMP!T471</f>
        <v>181.28</v>
      </c>
    </row>
    <row r="470">
      <c r="A470" s="12">
        <f>CMP!R472</f>
        <v>181.45</v>
      </c>
      <c r="B470" s="12">
        <f>CMP!T472</f>
        <v>182.8</v>
      </c>
    </row>
    <row r="471">
      <c r="A471" s="12">
        <f>CMP!R473</f>
        <v>181.33</v>
      </c>
      <c r="B471" s="12">
        <f>CMP!T473</f>
        <v>180.11</v>
      </c>
    </row>
    <row r="472">
      <c r="A472" s="12">
        <f>CMP!R474</f>
        <v>180.49</v>
      </c>
      <c r="B472" s="12">
        <f>CMP!T474</f>
        <v>177.1</v>
      </c>
    </row>
    <row r="473">
      <c r="A473" s="12">
        <f>CMP!R475</f>
        <v>177.87</v>
      </c>
      <c r="B473" s="12">
        <f>CMP!T475</f>
        <v>178.08</v>
      </c>
    </row>
    <row r="474">
      <c r="A474" s="12">
        <f>CMP!R476</f>
        <v>179.15</v>
      </c>
      <c r="B474" s="12">
        <f>CMP!T476</f>
        <v>175.81</v>
      </c>
    </row>
    <row r="475">
      <c r="A475" s="12">
        <f>CMP!R477</f>
        <v>174.84</v>
      </c>
      <c r="B475" s="12">
        <f>CMP!T477</f>
        <v>174.6</v>
      </c>
    </row>
    <row r="476">
      <c r="A476" s="12">
        <f>CMP!R478</f>
        <v>175.57</v>
      </c>
      <c r="B476" s="12">
        <f>CMP!T478</f>
        <v>179.38</v>
      </c>
    </row>
    <row r="477">
      <c r="A477" s="12">
        <f>CMP!R479</f>
        <v>179.55</v>
      </c>
      <c r="B477" s="12">
        <f>CMP!T479</f>
        <v>180.45</v>
      </c>
    </row>
    <row r="478">
      <c r="A478" s="12">
        <f>CMP!R480</f>
        <v>180</v>
      </c>
      <c r="B478" s="12">
        <f>CMP!T480</f>
        <v>179.68</v>
      </c>
    </row>
    <row r="479">
      <c r="A479" s="12">
        <f>CMP!R481</f>
        <v>178.26</v>
      </c>
      <c r="B479" s="12">
        <f>CMP!T481</f>
        <v>177.75</v>
      </c>
    </row>
    <row r="480">
      <c r="A480" s="12">
        <f>CMP!R482</f>
        <v>179.16</v>
      </c>
      <c r="B480" s="12">
        <f>CMP!T482</f>
        <v>179.85</v>
      </c>
    </row>
    <row r="481">
      <c r="A481" s="12">
        <f>CMP!R483</f>
        <v>180.32</v>
      </c>
      <c r="B481" s="12">
        <f>CMP!T483</f>
        <v>180.03</v>
      </c>
    </row>
    <row r="482">
      <c r="A482" s="12">
        <f>CMP!R484</f>
        <v>182.15</v>
      </c>
      <c r="B482" s="12">
        <f>CMP!T484</f>
        <v>184.19</v>
      </c>
    </row>
    <row r="483">
      <c r="A483" s="12">
        <f>CMP!R485</f>
        <v>184.2</v>
      </c>
      <c r="B483" s="12">
        <f>CMP!T485</f>
        <v>183.28</v>
      </c>
    </row>
    <row r="484">
      <c r="A484" s="12">
        <f>CMP!R486</f>
        <v>183.8</v>
      </c>
      <c r="B484" s="12">
        <f>CMP!T486</f>
        <v>188.89</v>
      </c>
    </row>
    <row r="485">
      <c r="A485" s="12">
        <f>CMP!R487</f>
        <v>188.32</v>
      </c>
      <c r="B485" s="12">
        <f>CMP!T487</f>
        <v>189.55</v>
      </c>
    </row>
    <row r="486">
      <c r="A486" s="12">
        <f>CMP!R488</f>
        <v>190.3</v>
      </c>
      <c r="B486" s="12">
        <f>CMP!T488</f>
        <v>190.39</v>
      </c>
    </row>
    <row r="487">
      <c r="A487" s="12">
        <f>CMP!R489</f>
        <v>190.23</v>
      </c>
      <c r="B487" s="12">
        <f>CMP!T489</f>
        <v>185.85</v>
      </c>
    </row>
    <row r="488">
      <c r="A488" s="12">
        <f>CMP!R490</f>
        <v>187.04</v>
      </c>
      <c r="B488" s="12">
        <f>CMP!T490</f>
        <v>189.76</v>
      </c>
    </row>
    <row r="489">
      <c r="A489" s="12">
        <f>CMP!R491</f>
        <v>190</v>
      </c>
      <c r="B489" s="12">
        <f>CMP!T491</f>
        <v>182.34</v>
      </c>
    </row>
    <row r="490">
      <c r="A490" s="12">
        <f>CMP!R492</f>
        <v>182.01</v>
      </c>
      <c r="B490" s="12">
        <f>CMP!T492</f>
        <v>186.15</v>
      </c>
    </row>
    <row r="491">
      <c r="A491" s="12">
        <f>CMP!R493</f>
        <v>184.62</v>
      </c>
      <c r="B491" s="12">
        <f>CMP!T493</f>
        <v>186.38</v>
      </c>
    </row>
    <row r="492">
      <c r="A492" s="12">
        <f>CMP!R494</f>
        <v>185.83</v>
      </c>
      <c r="B492" s="12">
        <f>CMP!T494</f>
        <v>187.89</v>
      </c>
    </row>
    <row r="493">
      <c r="A493" s="12">
        <f>CMP!R495</f>
        <v>187.2</v>
      </c>
      <c r="B493" s="12">
        <f>CMP!T495</f>
        <v>189.4</v>
      </c>
    </row>
    <row r="494">
      <c r="A494" s="12">
        <f>CMP!R496</f>
        <v>191.69</v>
      </c>
      <c r="B494" s="12">
        <f>CMP!T496</f>
        <v>189.31</v>
      </c>
    </row>
    <row r="495">
      <c r="A495" s="12">
        <f>CMP!R497</f>
        <v>189.56</v>
      </c>
      <c r="B495" s="12">
        <f>CMP!T497</f>
        <v>188.25</v>
      </c>
    </row>
    <row r="496">
      <c r="A496" s="12">
        <f>CMP!R498</f>
        <v>196.7</v>
      </c>
      <c r="B496" s="12">
        <f>CMP!T498</f>
        <v>191.65</v>
      </c>
    </row>
    <row r="497">
      <c r="A497" s="12">
        <f>CMP!R499</f>
        <v>192.85</v>
      </c>
      <c r="B497" s="12">
        <f>CMP!T499</f>
        <v>193.62</v>
      </c>
    </row>
    <row r="498">
      <c r="A498" s="12">
        <f>CMP!R500</f>
        <v>194.55</v>
      </c>
      <c r="B498" s="12">
        <f>CMP!T500</f>
        <v>194.72</v>
      </c>
    </row>
    <row r="499">
      <c r="A499" s="12">
        <f>CMP!R501</f>
        <v>195.37</v>
      </c>
      <c r="B499" s="12">
        <f>CMP!T501</f>
        <v>194.32</v>
      </c>
    </row>
    <row r="500">
      <c r="A500" s="12">
        <f>CMP!R502</f>
        <v>194.03</v>
      </c>
      <c r="B500" s="12">
        <f>CMP!T502</f>
        <v>191.55</v>
      </c>
    </row>
    <row r="501">
      <c r="A501" s="12">
        <f>CMP!R503</f>
        <v>191.91</v>
      </c>
      <c r="B501" s="12">
        <f>CMP!T503</f>
        <v>190.42</v>
      </c>
    </row>
    <row r="502">
      <c r="A502" s="12">
        <f>CMP!R504</f>
        <v>190</v>
      </c>
      <c r="B502" s="12">
        <f>CMP!T504</f>
        <v>190.84</v>
      </c>
    </row>
    <row r="503">
      <c r="A503" s="12">
        <f>CMP!R505</f>
        <v>189.93</v>
      </c>
      <c r="B503" s="12">
        <f>CMP!T505</f>
        <v>189.61</v>
      </c>
    </row>
    <row r="504">
      <c r="A504" s="12">
        <f>CMP!R506</f>
        <v>190</v>
      </c>
      <c r="B504" s="12">
        <f>CMP!T506</f>
        <v>194.47</v>
      </c>
    </row>
    <row r="505">
      <c r="A505" s="12">
        <f>CMP!R507</f>
        <v>194.7</v>
      </c>
      <c r="B505" s="12">
        <f>CMP!T507</f>
        <v>193.19</v>
      </c>
    </row>
    <row r="506">
      <c r="A506" s="12">
        <f>CMP!R508</f>
        <v>192.93</v>
      </c>
      <c r="B506" s="12">
        <f>CMP!T508</f>
        <v>193.15</v>
      </c>
    </row>
    <row r="507">
      <c r="A507" s="12">
        <f>CMP!R509</f>
        <v>194.26</v>
      </c>
      <c r="B507" s="12">
        <f>CMP!T509</f>
        <v>195.1</v>
      </c>
    </row>
    <row r="508">
      <c r="A508" s="12">
        <f>CMP!R510</f>
        <v>194.56</v>
      </c>
      <c r="B508" s="12">
        <f>CMP!T510</f>
        <v>197.4</v>
      </c>
    </row>
    <row r="509">
      <c r="A509" s="12">
        <f>CMP!R511</f>
        <v>197.4</v>
      </c>
      <c r="B509" s="12">
        <f>CMP!T511</f>
        <v>199.32</v>
      </c>
    </row>
    <row r="510">
      <c r="A510" s="12">
        <f>CMP!R512</f>
        <v>198.58</v>
      </c>
      <c r="B510" s="12">
        <f>CMP!T512</f>
        <v>197.51</v>
      </c>
    </row>
    <row r="511">
      <c r="A511" s="12">
        <f>CMP!R513</f>
        <v>197.42</v>
      </c>
      <c r="B511" s="12">
        <f>CMP!T513</f>
        <v>197.93</v>
      </c>
    </row>
    <row r="512">
      <c r="A512" s="12">
        <f>CMP!R514</f>
        <v>198.38</v>
      </c>
      <c r="B512" s="12">
        <f>CMP!T514</f>
        <v>198.82</v>
      </c>
    </row>
    <row r="513">
      <c r="A513" s="12">
        <f>CMP!R515</f>
        <v>199.52</v>
      </c>
      <c r="B513" s="12">
        <f>CMP!T515</f>
        <v>199.79</v>
      </c>
    </row>
    <row r="514">
      <c r="A514" s="12">
        <f>CMP!R516</f>
        <v>200</v>
      </c>
      <c r="B514" s="12">
        <f>CMP!T516</f>
        <v>198.97</v>
      </c>
    </row>
    <row r="515">
      <c r="A515" s="12">
        <f>CMP!R517</f>
        <v>199.9</v>
      </c>
      <c r="B515" s="12">
        <f>CMP!T517</f>
        <v>202</v>
      </c>
    </row>
    <row r="516">
      <c r="A516" s="12">
        <f>CMP!R518</f>
        <v>201.6</v>
      </c>
      <c r="B516" s="12">
        <f>CMP!T518</f>
        <v>201.64</v>
      </c>
    </row>
    <row r="517">
      <c r="A517" s="12">
        <f>CMP!R519</f>
        <v>202.13</v>
      </c>
      <c r="B517" s="12">
        <f>CMP!T519</f>
        <v>199.7</v>
      </c>
    </row>
    <row r="518">
      <c r="A518" s="12">
        <f>CMP!R520</f>
        <v>197.6</v>
      </c>
      <c r="B518" s="12">
        <f>CMP!T520</f>
        <v>198.82</v>
      </c>
    </row>
    <row r="519">
      <c r="A519" s="12">
        <f>CMP!R521</f>
        <v>200</v>
      </c>
      <c r="B519" s="12">
        <f>CMP!T521</f>
        <v>198.71</v>
      </c>
    </row>
    <row r="520">
      <c r="A520" s="12">
        <f>CMP!R522</f>
        <v>199.86</v>
      </c>
      <c r="B520" s="12">
        <f>CMP!T522</f>
        <v>199.36</v>
      </c>
    </row>
    <row r="521">
      <c r="A521" s="12">
        <f>CMP!R523</f>
        <v>200.5</v>
      </c>
      <c r="B521" s="12">
        <f>CMP!T523</f>
        <v>201.05</v>
      </c>
    </row>
    <row r="522">
      <c r="A522" s="12">
        <f>CMP!R524</f>
        <v>200.65</v>
      </c>
      <c r="B522" s="12">
        <f>CMP!T524</f>
        <v>201.34</v>
      </c>
    </row>
    <row r="523">
      <c r="A523" s="12">
        <f>CMP!R525</f>
        <v>201.66</v>
      </c>
      <c r="B523" s="12">
        <f>CMP!T525</f>
        <v>200.87</v>
      </c>
    </row>
    <row r="524">
      <c r="A524" s="12">
        <f>CMP!R526</f>
        <v>200.28</v>
      </c>
      <c r="B524" s="12">
        <f>CMP!T526</f>
        <v>202.26</v>
      </c>
    </row>
    <row r="525">
      <c r="A525" s="12">
        <f>CMP!R527</f>
        <v>202.35</v>
      </c>
      <c r="B525" s="12">
        <f>CMP!T527</f>
        <v>196.75</v>
      </c>
    </row>
    <row r="526">
      <c r="A526" s="12">
        <f>CMP!R528</f>
        <v>196.4</v>
      </c>
      <c r="B526" s="12">
        <f>CMP!T528</f>
        <v>194.11</v>
      </c>
    </row>
    <row r="527">
      <c r="A527" s="12">
        <f>CMP!R529</f>
        <v>195.27</v>
      </c>
      <c r="B527" s="12">
        <f>CMP!T529</f>
        <v>197.92</v>
      </c>
    </row>
    <row r="528">
      <c r="A528" s="12">
        <f>CMP!R530</f>
        <v>198.84</v>
      </c>
      <c r="B528" s="12">
        <f>CMP!T530</f>
        <v>198.39</v>
      </c>
    </row>
    <row r="529">
      <c r="A529" s="12">
        <f>CMP!R531</f>
        <v>200.09</v>
      </c>
      <c r="B529" s="12">
        <f>CMP!T531</f>
        <v>202.5</v>
      </c>
    </row>
    <row r="530">
      <c r="A530" s="12">
        <f>CMP!R532</f>
        <v>202.78</v>
      </c>
      <c r="B530" s="12">
        <f>CMP!T532</f>
        <v>206.06</v>
      </c>
    </row>
    <row r="531">
      <c r="A531" s="12">
        <f>CMP!R533</f>
        <v>207.48</v>
      </c>
      <c r="B531" s="12">
        <f>CMP!T533</f>
        <v>206.3</v>
      </c>
    </row>
    <row r="532">
      <c r="A532" s="12">
        <f>CMP!R534</f>
        <v>206.7</v>
      </c>
      <c r="B532" s="12">
        <f>CMP!T534</f>
        <v>206.18</v>
      </c>
    </row>
    <row r="533">
      <c r="A533" s="12">
        <f>CMP!R535</f>
        <v>206.3</v>
      </c>
      <c r="B533" s="12">
        <f>CMP!T535</f>
        <v>205.12</v>
      </c>
    </row>
    <row r="534">
      <c r="A534" s="12">
        <f>CMP!R536</f>
        <v>205.57</v>
      </c>
      <c r="B534" s="12">
        <f>CMP!T536</f>
        <v>207.79</v>
      </c>
    </row>
    <row r="535">
      <c r="A535" s="12">
        <f>CMP!R537</f>
        <v>208.67</v>
      </c>
      <c r="B535" s="12">
        <f>CMP!T537</f>
        <v>208.1</v>
      </c>
    </row>
    <row r="536">
      <c r="A536" s="12">
        <f>CMP!R538</f>
        <v>207.86</v>
      </c>
      <c r="B536" s="12">
        <f>CMP!T538</f>
        <v>204.41</v>
      </c>
    </row>
    <row r="537">
      <c r="A537" s="12">
        <f>CMP!R539</f>
        <v>204</v>
      </c>
      <c r="B537" s="12">
        <f>CMP!T539</f>
        <v>205.25</v>
      </c>
    </row>
    <row r="538">
      <c r="A538" s="12">
        <f>CMP!R540</f>
        <v>206.75</v>
      </c>
      <c r="B538" s="12">
        <f>CMP!T540</f>
        <v>209.78</v>
      </c>
    </row>
    <row r="539">
      <c r="A539" s="12">
        <f>CMP!R541</f>
        <v>207.21</v>
      </c>
      <c r="B539" s="12">
        <f>CMP!T541</f>
        <v>208.67</v>
      </c>
    </row>
    <row r="540">
      <c r="A540" s="12">
        <f>CMP!R542</f>
        <v>206.7</v>
      </c>
      <c r="B540" s="12">
        <f>CMP!T542</f>
        <v>212.6</v>
      </c>
    </row>
    <row r="541">
      <c r="A541" s="12">
        <f>CMP!R543</f>
        <v>212.82</v>
      </c>
      <c r="B541" s="12">
        <f>CMP!T543</f>
        <v>213.06</v>
      </c>
    </row>
    <row r="542">
      <c r="A542" s="12">
        <f>CMP!R544</f>
        <v>213</v>
      </c>
      <c r="B542" s="12">
        <f>CMP!T544</f>
        <v>215.22</v>
      </c>
    </row>
    <row r="543">
      <c r="A543" s="12">
        <f>CMP!R545</f>
        <v>217.54</v>
      </c>
      <c r="B543" s="12">
        <f>CMP!T545</f>
        <v>218.3</v>
      </c>
    </row>
    <row r="544">
      <c r="A544" s="12">
        <f>CMP!R546</f>
        <v>219.2</v>
      </c>
      <c r="B544" s="12">
        <f>CMP!T546</f>
        <v>218.06</v>
      </c>
    </row>
    <row r="545">
      <c r="A545" s="12">
        <f>CMP!R547</f>
        <v>219.6</v>
      </c>
      <c r="B545" s="12">
        <f>CMP!T547</f>
        <v>221.91</v>
      </c>
    </row>
    <row r="546">
      <c r="A546" s="12">
        <f>CMP!R548</f>
        <v>221.61</v>
      </c>
      <c r="B546" s="12">
        <f>CMP!T548</f>
        <v>219.06</v>
      </c>
    </row>
    <row r="547">
      <c r="A547" s="12">
        <f>CMP!R549</f>
        <v>220.61</v>
      </c>
      <c r="B547" s="12">
        <f>CMP!T549</f>
        <v>221.15</v>
      </c>
    </row>
    <row r="548">
      <c r="A548" s="12">
        <f>CMP!R550</f>
        <v>222.57</v>
      </c>
      <c r="B548" s="12">
        <f>CMP!T550</f>
        <v>221.77</v>
      </c>
    </row>
    <row r="549">
      <c r="A549" s="12">
        <f>CMP!R551</f>
        <v>222.03</v>
      </c>
      <c r="B549" s="12">
        <f>CMP!T551</f>
        <v>222.14</v>
      </c>
    </row>
    <row r="550">
      <c r="A550" s="12">
        <f>CMP!R552</f>
        <v>222.16</v>
      </c>
      <c r="B550" s="12">
        <f>CMP!T552</f>
        <v>221.44</v>
      </c>
    </row>
    <row r="551">
      <c r="A551" s="12">
        <f>CMP!R553</f>
        <v>222.31</v>
      </c>
      <c r="B551" s="12">
        <f>CMP!T553</f>
        <v>221.32</v>
      </c>
    </row>
    <row r="552">
      <c r="A552" s="12">
        <f>CMP!R554</f>
        <v>220.75</v>
      </c>
      <c r="B552" s="12">
        <f>CMP!T554</f>
        <v>219.76</v>
      </c>
    </row>
    <row r="553">
      <c r="A553" s="12">
        <f>CMP!R555</f>
        <v>220.8</v>
      </c>
      <c r="B553" s="12">
        <f>CMP!T555</f>
        <v>217.94</v>
      </c>
    </row>
    <row r="554">
      <c r="A554" s="12">
        <f>CMP!R556</f>
        <v>213.1</v>
      </c>
      <c r="B554" s="12">
        <f>CMP!T556</f>
        <v>214.87</v>
      </c>
    </row>
    <row r="555">
      <c r="A555" s="12">
        <f>CMP!R557</f>
        <v>216.14</v>
      </c>
      <c r="B555" s="12">
        <f>CMP!T557</f>
        <v>217.79</v>
      </c>
    </row>
    <row r="556">
      <c r="A556" s="12">
        <f>CMP!R558</f>
        <v>221.44</v>
      </c>
      <c r="B556" s="12">
        <f>CMP!T558</f>
        <v>223.23</v>
      </c>
    </row>
    <row r="557">
      <c r="A557" s="12">
        <f>CMP!R559</f>
        <v>206.53</v>
      </c>
      <c r="B557" s="12">
        <f>CMP!T559</f>
        <v>209.53</v>
      </c>
    </row>
    <row r="558">
      <c r="A558" s="12">
        <f>CMP!R560</f>
        <v>208.43</v>
      </c>
      <c r="B558" s="12">
        <f>CMP!T560</f>
        <v>201.91</v>
      </c>
    </row>
    <row r="559">
      <c r="A559" s="12">
        <f>CMP!R561</f>
        <v>203.44</v>
      </c>
      <c r="B559" s="12">
        <f>CMP!T561</f>
        <v>204.19</v>
      </c>
    </row>
    <row r="560">
      <c r="A560" s="12">
        <f>CMP!R562</f>
        <v>206.62</v>
      </c>
      <c r="B560" s="12">
        <f>CMP!T562</f>
        <v>209.83</v>
      </c>
    </row>
    <row r="561">
      <c r="A561" s="12">
        <f>CMP!R563</f>
        <v>212.51</v>
      </c>
      <c r="B561" s="12">
        <f>CMP!T563</f>
        <v>210.11</v>
      </c>
    </row>
    <row r="562">
      <c r="A562" s="12">
        <f>CMP!R564</f>
        <v>210.47</v>
      </c>
      <c r="B562" s="12">
        <f>CMP!T564</f>
        <v>210.85</v>
      </c>
    </row>
    <row r="563">
      <c r="A563" s="12">
        <f>CMP!R565</f>
        <v>210.3</v>
      </c>
      <c r="B563" s="12">
        <f>CMP!T565</f>
        <v>212.33</v>
      </c>
    </row>
    <row r="564">
      <c r="A564" s="12">
        <f>CMP!R566</f>
        <v>211.52</v>
      </c>
      <c r="B564" s="12">
        <f>CMP!T566</f>
        <v>213.06</v>
      </c>
    </row>
    <row r="565">
      <c r="A565" s="12">
        <f>CMP!R567</f>
        <v>210.19</v>
      </c>
      <c r="B565" s="12">
        <f>CMP!T567</f>
        <v>207.19</v>
      </c>
    </row>
    <row r="566">
      <c r="A566" s="12">
        <f>CMP!R568</f>
        <v>207.85</v>
      </c>
      <c r="B566" s="12">
        <f>CMP!T568</f>
        <v>210.76</v>
      </c>
    </row>
    <row r="567">
      <c r="A567" s="12">
        <f>CMP!R569</f>
        <v>209.52</v>
      </c>
      <c r="B567" s="12">
        <f>CMP!T569</f>
        <v>213.14</v>
      </c>
    </row>
    <row r="568">
      <c r="A568" s="12">
        <f>CMP!R570</f>
        <v>214</v>
      </c>
      <c r="B568" s="12">
        <f>CMP!T570</f>
        <v>214.18</v>
      </c>
    </row>
    <row r="569">
      <c r="A569" s="12">
        <f>CMP!R571</f>
        <v>213.55</v>
      </c>
      <c r="B569" s="12">
        <f>CMP!T571</f>
        <v>217.8</v>
      </c>
    </row>
    <row r="570">
      <c r="A570" s="12">
        <f>CMP!R572</f>
        <v>217.99</v>
      </c>
      <c r="B570" s="12">
        <f>CMP!T572</f>
        <v>217.49</v>
      </c>
    </row>
    <row r="571">
      <c r="A571" s="12">
        <f>CMP!R573</f>
        <v>216.52</v>
      </c>
      <c r="B571" s="12">
        <f>CMP!T573</f>
        <v>214.58</v>
      </c>
    </row>
    <row r="572">
      <c r="A572" s="12">
        <f>CMP!R574</f>
        <v>213.48</v>
      </c>
      <c r="B572" s="12">
        <f>CMP!T574</f>
        <v>210.18</v>
      </c>
    </row>
    <row r="573">
      <c r="A573" s="12">
        <f>CMP!R575</f>
        <v>201.8</v>
      </c>
      <c r="B573" s="12">
        <f>CMP!T575</f>
        <v>200.72</v>
      </c>
    </row>
    <row r="574">
      <c r="A574" s="12">
        <f>CMP!R576</f>
        <v>202.25</v>
      </c>
      <c r="B574" s="12">
        <f>CMP!T576</f>
        <v>196.77</v>
      </c>
    </row>
    <row r="575">
      <c r="A575" s="12">
        <f>CMP!R577</f>
        <v>197.19</v>
      </c>
      <c r="B575" s="12">
        <f>CMP!T577</f>
        <v>197.2</v>
      </c>
    </row>
    <row r="576">
      <c r="A576" s="12">
        <f>CMP!R578</f>
        <v>191.82</v>
      </c>
      <c r="B576" s="12">
        <f>CMP!T578</f>
        <v>189.75</v>
      </c>
    </row>
    <row r="577">
      <c r="A577" s="12">
        <f>CMP!R579</f>
        <v>182.7</v>
      </c>
      <c r="B577" s="12">
        <f>CMP!T579</f>
        <v>192.47</v>
      </c>
    </row>
    <row r="578">
      <c r="A578" s="12">
        <f>CMP!R580</f>
        <v>194.03</v>
      </c>
      <c r="B578" s="12">
        <f>CMP!T580</f>
        <v>196.44</v>
      </c>
    </row>
    <row r="579">
      <c r="A579" s="12">
        <f>CMP!R581</f>
        <v>196.22</v>
      </c>
      <c r="B579" s="12">
        <f>CMP!T581</f>
        <v>185.89</v>
      </c>
    </row>
    <row r="580">
      <c r="A580" s="12">
        <f>CMP!R582</f>
        <v>189.17</v>
      </c>
      <c r="B580" s="12">
        <f>CMP!T582</f>
        <v>191.76</v>
      </c>
    </row>
    <row r="581">
      <c r="A581" s="12">
        <f>CMP!R583</f>
        <v>186.78</v>
      </c>
      <c r="B581" s="12">
        <f>CMP!T583</f>
        <v>185.17</v>
      </c>
    </row>
    <row r="582">
      <c r="A582" s="12">
        <f>CMP!R584</f>
        <v>178.33</v>
      </c>
      <c r="B582" s="12">
        <f>CMP!T584</f>
        <v>181.09</v>
      </c>
    </row>
    <row r="583">
      <c r="A583" s="12">
        <f>CMP!R585</f>
        <v>169.6</v>
      </c>
      <c r="B583" s="12">
        <f>CMP!T585</f>
        <v>169.5</v>
      </c>
    </row>
    <row r="584">
      <c r="A584" s="12">
        <f>CMP!R586</f>
        <v>174.67</v>
      </c>
      <c r="B584" s="12">
        <f>CMP!T586</f>
        <v>178.19</v>
      </c>
    </row>
    <row r="585">
      <c r="A585" s="12">
        <f>CMP!R587</f>
        <v>174.01</v>
      </c>
      <c r="B585" s="12">
        <f>CMP!T587</f>
        <v>170.24</v>
      </c>
    </row>
    <row r="586">
      <c r="A586" s="12">
        <f>CMP!R588</f>
        <v>159.54</v>
      </c>
      <c r="B586" s="12">
        <f>CMP!T588</f>
        <v>154.47</v>
      </c>
    </row>
    <row r="587">
      <c r="A587" s="12">
        <f>CMP!R589</f>
        <v>163.53</v>
      </c>
      <c r="B587" s="12">
        <f>CMP!T589</f>
        <v>170.28</v>
      </c>
    </row>
    <row r="588">
      <c r="A588" s="12">
        <f>CMP!R590</f>
        <v>152.32</v>
      </c>
      <c r="B588" s="12">
        <f>CMP!T590</f>
        <v>146.01</v>
      </c>
    </row>
    <row r="589">
      <c r="A589" s="12">
        <f>CMP!R591</f>
        <v>150.74</v>
      </c>
      <c r="B589" s="12">
        <f>CMP!T591</f>
        <v>149.42</v>
      </c>
    </row>
    <row r="590">
      <c r="A590" s="12">
        <f>CMP!R592</f>
        <v>139.75</v>
      </c>
      <c r="B590" s="12">
        <f>CMP!T592</f>
        <v>146.96</v>
      </c>
    </row>
    <row r="591">
      <c r="A591" s="12">
        <f>CMP!R593</f>
        <v>146.62</v>
      </c>
      <c r="B591" s="12">
        <f>CMP!T593</f>
        <v>153.13</v>
      </c>
    </row>
    <row r="592">
      <c r="A592" s="12">
        <f>CMP!R594</f>
        <v>156.02</v>
      </c>
      <c r="B592" s="12">
        <f>CMP!T594</f>
        <v>149.73</v>
      </c>
    </row>
    <row r="593">
      <c r="A593" s="12">
        <f>CMP!R595</f>
        <v>149.66</v>
      </c>
      <c r="B593" s="12">
        <f>CMP!T595</f>
        <v>148.1</v>
      </c>
    </row>
    <row r="594">
      <c r="A594" s="12">
        <f>CMP!R596</f>
        <v>155.21</v>
      </c>
      <c r="B594" s="12">
        <f>CMP!T596</f>
        <v>160.98</v>
      </c>
    </row>
    <row r="595">
      <c r="A595" s="12">
        <f>CMP!R597</f>
        <v>158.92</v>
      </c>
      <c r="B595" s="12">
        <f>CMP!T597</f>
        <v>156.21</v>
      </c>
    </row>
    <row r="596">
      <c r="A596" s="12">
        <f>CMP!R598</f>
        <v>158.25</v>
      </c>
      <c r="B596" s="12">
        <f>CMP!T598</f>
        <v>163.34</v>
      </c>
    </row>
    <row r="597">
      <c r="A597" s="12">
        <f>CMP!R599</f>
        <v>158.2</v>
      </c>
      <c r="B597" s="12">
        <f>CMP!T599</f>
        <v>156.79</v>
      </c>
    </row>
    <row r="598">
      <c r="A598" s="12">
        <f>CMP!R600</f>
        <v>159.18</v>
      </c>
      <c r="B598" s="12">
        <f>CMP!T600</f>
        <v>165.95</v>
      </c>
    </row>
    <row r="599">
      <c r="A599" s="12">
        <f>CMP!R601</f>
        <v>165.48</v>
      </c>
      <c r="B599" s="12">
        <f>CMP!T601</f>
        <v>166.8</v>
      </c>
    </row>
    <row r="600">
      <c r="A600" s="12">
        <f>CMP!R602</f>
        <v>161.62</v>
      </c>
      <c r="B600" s="12">
        <f>CMP!T602</f>
        <v>159.6</v>
      </c>
    </row>
    <row r="601">
      <c r="A601" s="12">
        <f>CMP!R603</f>
        <v>159.1</v>
      </c>
      <c r="B601" s="12">
        <f>CMP!T603</f>
        <v>158.19</v>
      </c>
    </row>
    <row r="602">
      <c r="A602" s="12">
        <f>CMP!R604</f>
        <v>157.15</v>
      </c>
      <c r="B602" s="12">
        <f>CMP!T604</f>
        <v>154.18</v>
      </c>
    </row>
    <row r="603">
      <c r="A603" s="12">
        <f>CMP!R605</f>
        <v>160.15</v>
      </c>
      <c r="B603" s="12">
        <f>CMP!T605</f>
        <v>165.55</v>
      </c>
    </row>
    <row r="604">
      <c r="A604" s="12">
        <f>CMP!R606</f>
        <v>171.79</v>
      </c>
      <c r="B604" s="12">
        <f>CMP!T606</f>
        <v>168.83</v>
      </c>
    </row>
    <row r="605">
      <c r="A605" s="12">
        <f>CMP!R607</f>
        <v>171.25</v>
      </c>
      <c r="B605" s="12">
        <f>CMP!T607</f>
        <v>174.28</v>
      </c>
    </row>
    <row r="606">
      <c r="A606" s="12">
        <f>CMP!R608</f>
        <v>175.9</v>
      </c>
      <c r="B606" s="12">
        <f>CMP!T608</f>
        <v>175.19</v>
      </c>
    </row>
    <row r="607">
      <c r="A607" s="12">
        <f>CMP!R609</f>
        <v>173.67</v>
      </c>
      <c r="B607" s="12">
        <f>CMP!T609</f>
        <v>174.79</v>
      </c>
    </row>
    <row r="608">
      <c r="A608" s="12">
        <f>CMP!R610</f>
        <v>178.98</v>
      </c>
      <c r="B608" s="12">
        <f>CMP!T610</f>
        <v>178.17</v>
      </c>
    </row>
    <row r="609">
      <c r="A609" s="12">
        <f>CMP!R611</f>
        <v>175.19</v>
      </c>
      <c r="B609" s="12">
        <f>CMP!T611</f>
        <v>176.97</v>
      </c>
    </row>
    <row r="610">
      <c r="A610" s="12">
        <f>CMP!R612</f>
        <v>177.95</v>
      </c>
      <c r="B610" s="12">
        <f>CMP!T612</f>
        <v>176.25</v>
      </c>
    </row>
    <row r="611">
      <c r="A611" s="12">
        <f>CMP!R613</f>
        <v>179.2</v>
      </c>
      <c r="B611" s="12">
        <f>CMP!T613</f>
        <v>179.24</v>
      </c>
    </row>
    <row r="612">
      <c r="A612" s="12">
        <f>CMP!R614</f>
        <v>177.41</v>
      </c>
      <c r="B612" s="12">
        <f>CMP!T614</f>
        <v>178.24</v>
      </c>
    </row>
    <row r="613">
      <c r="A613" s="12">
        <f>CMP!R615</f>
        <v>175.25</v>
      </c>
      <c r="B613" s="12">
        <f>CMP!T615</f>
        <v>170.8</v>
      </c>
    </row>
    <row r="614">
      <c r="A614" s="12">
        <f>CMP!R616</f>
        <v>178.45</v>
      </c>
      <c r="B614" s="12">
        <f>CMP!T616</f>
        <v>182.28</v>
      </c>
    </row>
    <row r="615">
      <c r="A615" s="12">
        <f>CMP!R617</f>
        <v>184.08</v>
      </c>
      <c r="B615" s="12">
        <f>CMP!T617</f>
        <v>185.13</v>
      </c>
    </row>
    <row r="616">
      <c r="A616" s="12">
        <f>CMP!R618</f>
        <v>183.23</v>
      </c>
      <c r="B616" s="12">
        <f>CMP!T618</f>
        <v>190.07</v>
      </c>
    </row>
    <row r="617">
      <c r="A617" s="12">
        <f>CMP!R619</f>
        <v>192.66</v>
      </c>
      <c r="B617" s="12">
        <f>CMP!T619</f>
        <v>187.5</v>
      </c>
    </row>
    <row r="618">
      <c r="A618" s="12">
        <f>CMP!R620</f>
        <v>188.66</v>
      </c>
      <c r="B618" s="12">
        <f>CMP!T620</f>
        <v>182.91</v>
      </c>
    </row>
    <row r="619">
      <c r="A619" s="12">
        <f>CMP!R621</f>
        <v>190.93</v>
      </c>
      <c r="B619" s="12">
        <f>CMP!T621</f>
        <v>194.19</v>
      </c>
    </row>
    <row r="620">
      <c r="A620" s="12">
        <f>CMP!R622</f>
        <v>206.92</v>
      </c>
      <c r="B620" s="12">
        <f>CMP!T622</f>
        <v>204.71</v>
      </c>
    </row>
    <row r="621">
      <c r="A621" s="12">
        <f>CMP!R623</f>
        <v>201.6</v>
      </c>
      <c r="B621" s="12">
        <f>CMP!T623</f>
        <v>202.27</v>
      </c>
    </row>
    <row r="622">
      <c r="A622" s="12">
        <f>CMP!R624</f>
        <v>200.2</v>
      </c>
      <c r="B622" s="12">
        <f>CMP!T624</f>
        <v>205.26</v>
      </c>
    </row>
    <row r="623">
      <c r="A623" s="12">
        <f>CMP!R625</f>
        <v>207.02</v>
      </c>
      <c r="B623" s="12">
        <f>CMP!T625</f>
        <v>207.07</v>
      </c>
    </row>
    <row r="624">
      <c r="A624" s="12">
        <f>CMP!R626</f>
        <v>208.12</v>
      </c>
      <c r="B624" s="12">
        <f>CMP!T626</f>
        <v>208.47</v>
      </c>
    </row>
    <row r="625">
      <c r="A625" s="12">
        <f>CMP!R627</f>
        <v>211.16</v>
      </c>
      <c r="B625" s="12">
        <f>CMP!T627</f>
        <v>211.26</v>
      </c>
    </row>
    <row r="626">
      <c r="A626" s="12">
        <f>CMP!R628</f>
        <v>212.24</v>
      </c>
      <c r="B626" s="12">
        <f>CMP!T628</f>
        <v>212.35</v>
      </c>
    </row>
    <row r="627">
      <c r="A627" s="12">
        <f>CMP!R629</f>
        <v>210.89</v>
      </c>
      <c r="B627" s="12">
        <f>CMP!T629</f>
        <v>213.18</v>
      </c>
    </row>
    <row r="628">
      <c r="A628" s="12">
        <f>CMP!R630</f>
        <v>213.29</v>
      </c>
      <c r="B628" s="12">
        <f>CMP!T630</f>
        <v>210.1</v>
      </c>
    </row>
    <row r="629">
      <c r="A629" s="12">
        <f>CMP!R631</f>
        <v>209.43</v>
      </c>
      <c r="B629" s="12">
        <f>CMP!T631</f>
        <v>205.1</v>
      </c>
    </row>
    <row r="630">
      <c r="A630" s="12">
        <f>CMP!R632</f>
        <v>202.56</v>
      </c>
      <c r="B630" s="12">
        <f>CMP!T632</f>
        <v>206.81</v>
      </c>
    </row>
    <row r="631">
      <c r="A631" s="12">
        <f>CMP!R633</f>
        <v>205.27</v>
      </c>
      <c r="B631" s="12">
        <f>CMP!T633</f>
        <v>210.88</v>
      </c>
    </row>
    <row r="632">
      <c r="A632" s="12">
        <f>CMP!R634</f>
        <v>212.15</v>
      </c>
      <c r="B632" s="12">
        <f>CMP!T634</f>
        <v>213.19</v>
      </c>
    </row>
    <row r="633">
      <c r="A633" s="12">
        <f>CMP!R635</f>
        <v>213.27</v>
      </c>
      <c r="B633" s="12">
        <f>CMP!T635</f>
        <v>216.88</v>
      </c>
    </row>
    <row r="634">
      <c r="A634" s="12">
        <f>CMP!R636</f>
        <v>223.5</v>
      </c>
      <c r="B634" s="12">
        <f>CMP!T636</f>
        <v>229.97</v>
      </c>
    </row>
    <row r="635">
      <c r="A635" s="12">
        <f>CMP!R637</f>
        <v>234.72</v>
      </c>
      <c r="B635" s="12">
        <f>CMP!T637</f>
        <v>231.39</v>
      </c>
    </row>
    <row r="636">
      <c r="A636" s="12">
        <f>CMP!R638</f>
        <v>231.51</v>
      </c>
      <c r="B636" s="12">
        <f>CMP!T638</f>
        <v>234.91</v>
      </c>
    </row>
    <row r="637">
      <c r="A637" s="12">
        <f>CMP!R639</f>
        <v>239.77</v>
      </c>
      <c r="B637" s="12">
        <f>CMP!T639</f>
        <v>232.2</v>
      </c>
    </row>
    <row r="638">
      <c r="A638" s="12">
        <f>CMP!R640</f>
        <v>229.07</v>
      </c>
      <c r="B638" s="12">
        <f>CMP!T640</f>
        <v>229.14</v>
      </c>
    </row>
    <row r="639">
      <c r="A639" s="12">
        <f>CMP!R641</f>
        <v>224.3</v>
      </c>
      <c r="B639" s="12">
        <f>CMP!T641</f>
        <v>225.46</v>
      </c>
    </row>
    <row r="640">
      <c r="A640" s="12">
        <f>CMP!R642</f>
        <v>225.2</v>
      </c>
      <c r="B640" s="12">
        <f>CMP!T642</f>
        <v>225.09</v>
      </c>
    </row>
    <row r="641">
      <c r="A641" s="12">
        <f>CMP!R643</f>
        <v>224.59</v>
      </c>
      <c r="B641" s="12">
        <f>CMP!T643</f>
        <v>231.91</v>
      </c>
    </row>
    <row r="642">
      <c r="A642" s="12">
        <f>CMP!R644</f>
        <v>230.94</v>
      </c>
      <c r="B642" s="12">
        <f>CMP!T644</f>
        <v>232.72</v>
      </c>
    </row>
    <row r="643">
      <c r="A643" s="12">
        <f>CMP!R645</f>
        <v>232.11</v>
      </c>
      <c r="B643" s="12">
        <f>CMP!T645</f>
        <v>230.16</v>
      </c>
    </row>
    <row r="644">
      <c r="A644" s="12">
        <f>CMP!R646</f>
        <v>229.56</v>
      </c>
      <c r="B644" s="12">
        <f>CMP!T646</f>
        <v>226.29</v>
      </c>
    </row>
    <row r="645">
      <c r="A645" s="12">
        <f>CMP!R647</f>
        <v>226.71</v>
      </c>
      <c r="B645" s="12">
        <f>CMP!T647</f>
        <v>230.77</v>
      </c>
    </row>
    <row r="646">
      <c r="A646" s="12">
        <f>CMP!R648</f>
        <v>229.03</v>
      </c>
      <c r="B646" s="12">
        <f>CMP!T648</f>
        <v>231.4</v>
      </c>
    </row>
    <row r="647">
      <c r="A647" s="12">
        <f>CMP!R649</f>
        <v>231.52</v>
      </c>
      <c r="B647" s="12">
        <f>CMP!T649</f>
        <v>238.67</v>
      </c>
    </row>
    <row r="648">
      <c r="A648" s="12">
        <f>CMP!R650</f>
        <v>240.96</v>
      </c>
      <c r="B648" s="12">
        <f>CMP!T650</f>
        <v>236.73</v>
      </c>
    </row>
    <row r="649">
      <c r="A649" s="12">
        <f>CMP!R651</f>
        <v>229.94</v>
      </c>
      <c r="B649" s="12">
        <f>CMP!T651</f>
        <v>224.43</v>
      </c>
    </row>
    <row r="650">
      <c r="A650" s="12">
        <f>CMP!R652</f>
        <v>229.9</v>
      </c>
      <c r="B650" s="12">
        <f>CMP!T652</f>
        <v>228.58</v>
      </c>
    </row>
    <row r="651">
      <c r="A651" s="12">
        <f>CMP!R653</f>
        <v>225.09</v>
      </c>
      <c r="B651" s="12">
        <f>CMP!T653</f>
        <v>232.5</v>
      </c>
    </row>
    <row r="652">
      <c r="A652" s="12">
        <f>CMP!R654</f>
        <v>237.14</v>
      </c>
      <c r="B652" s="12">
        <f>CMP!T654</f>
        <v>235.65</v>
      </c>
    </row>
    <row r="653">
      <c r="A653" s="12">
        <f>CMP!R655</f>
        <v>235</v>
      </c>
      <c r="B653" s="12">
        <f>CMP!T655</f>
        <v>235.53</v>
      </c>
    </row>
    <row r="654">
      <c r="A654" s="12">
        <f>CMP!R656</f>
        <v>234.99</v>
      </c>
      <c r="B654" s="12">
        <f>CMP!T656</f>
        <v>235.94</v>
      </c>
    </row>
    <row r="655">
      <c r="A655" s="12">
        <f>CMP!R657</f>
        <v>237.79</v>
      </c>
      <c r="B655" s="12">
        <f>CMP!T657</f>
        <v>238.79</v>
      </c>
    </row>
    <row r="656">
      <c r="A656" s="12">
        <f>CMP!R658</f>
        <v>238.56</v>
      </c>
      <c r="B656" s="12">
        <f>CMP!T658</f>
        <v>239.22</v>
      </c>
    </row>
    <row r="657">
      <c r="A657" s="12">
        <f>CMP!R659</f>
        <v>241.28</v>
      </c>
      <c r="B657" s="12">
        <f>CMP!T659</f>
        <v>242.24</v>
      </c>
    </row>
    <row r="658">
      <c r="A658" s="12">
        <f>CMP!R660</f>
        <v>241.2</v>
      </c>
      <c r="B658" s="12">
        <f>CMP!T660</f>
        <v>234.02</v>
      </c>
    </row>
    <row r="659">
      <c r="A659" s="12">
        <f>CMP!R661</f>
        <v>234.62</v>
      </c>
      <c r="B659" s="12">
        <f>CMP!T661</f>
        <v>235.68</v>
      </c>
    </row>
    <row r="660">
      <c r="A660" s="12">
        <f>CMP!R662</f>
        <v>232.64</v>
      </c>
      <c r="B660" s="12">
        <f>CMP!T662</f>
        <v>216.08</v>
      </c>
    </row>
    <row r="661">
      <c r="A661" s="12">
        <f>CMP!R663</f>
        <v>209.75</v>
      </c>
      <c r="B661" s="12">
        <f>CMP!T663</f>
        <v>220.64</v>
      </c>
    </row>
    <row r="662">
      <c r="A662" s="12">
        <f>CMP!R664</f>
        <v>220.59</v>
      </c>
      <c r="B662" s="12">
        <f>CMP!T664</f>
        <v>227.07</v>
      </c>
    </row>
    <row r="663">
      <c r="A663" s="12">
        <f>CMP!R665</f>
        <v>228.5</v>
      </c>
      <c r="B663" s="12">
        <f>CMP!T665</f>
        <v>237.55</v>
      </c>
    </row>
    <row r="664">
      <c r="A664" s="12">
        <f>CMP!R666</f>
        <v>239</v>
      </c>
      <c r="B664" s="12">
        <f>CMP!T666</f>
        <v>233.42</v>
      </c>
    </row>
    <row r="665">
      <c r="A665" s="12">
        <f>CMP!R667</f>
        <v>233.76</v>
      </c>
      <c r="B665" s="12">
        <f>CMP!T667</f>
        <v>240.28</v>
      </c>
    </row>
    <row r="666">
      <c r="A666" s="12">
        <f>CMP!R668</f>
        <v>239.41</v>
      </c>
      <c r="B666" s="12">
        <f>CMP!T668</f>
        <v>240.86</v>
      </c>
    </row>
    <row r="667">
      <c r="A667" s="12">
        <f>CMP!R669</f>
        <v>238.11</v>
      </c>
      <c r="B667" s="12">
        <f>CMP!T669</f>
        <v>243.58</v>
      </c>
    </row>
    <row r="668">
      <c r="A668" s="12">
        <f>CMP!R670</f>
        <v>245</v>
      </c>
      <c r="B668" s="12">
        <f>CMP!T670</f>
        <v>244.5</v>
      </c>
    </row>
    <row r="669">
      <c r="A669" s="12">
        <f>CMP!R671</f>
        <v>243.69</v>
      </c>
      <c r="B669" s="12">
        <f>CMP!T671</f>
        <v>245.07</v>
      </c>
    </row>
    <row r="670">
      <c r="A670" s="12">
        <f>CMP!R672</f>
        <v>247.01</v>
      </c>
      <c r="B670" s="12">
        <f>CMP!T672</f>
        <v>239</v>
      </c>
    </row>
    <row r="671">
      <c r="A671" s="12">
        <f>CMP!R673</f>
        <v>236.76</v>
      </c>
      <c r="B671" s="12">
        <f>CMP!T673</f>
        <v>239.73</v>
      </c>
    </row>
    <row r="672">
      <c r="A672" s="12">
        <f>CMP!R674</f>
        <v>241.55</v>
      </c>
      <c r="B672" s="12">
        <f>CMP!T674</f>
        <v>240.28</v>
      </c>
    </row>
    <row r="673">
      <c r="A673" s="12">
        <f>CMP!R675</f>
        <v>238</v>
      </c>
      <c r="B673" s="12">
        <f>CMP!T675</f>
        <v>240.93</v>
      </c>
    </row>
    <row r="674">
      <c r="A674" s="12">
        <f>CMP!R676</f>
        <v>241</v>
      </c>
      <c r="B674" s="12">
        <f>CMP!T676</f>
        <v>242.03</v>
      </c>
    </row>
    <row r="675">
      <c r="A675" s="12">
        <f>CMP!R677</f>
        <v>240.06</v>
      </c>
      <c r="B675" s="12">
        <f>CMP!T677</f>
        <v>245.42</v>
      </c>
    </row>
    <row r="676">
      <c r="A676" s="12">
        <f>CMP!R678</f>
        <v>246.22</v>
      </c>
      <c r="B676" s="12">
        <f>CMP!T678</f>
        <v>241.75</v>
      </c>
    </row>
    <row r="677">
      <c r="A677" s="12">
        <f>CMP!R679</f>
        <v>240.26</v>
      </c>
      <c r="B677" s="12">
        <f>CMP!T679</f>
        <v>239.87</v>
      </c>
    </row>
    <row r="678">
      <c r="A678" s="12">
        <f>CMP!R680</f>
        <v>239.63</v>
      </c>
      <c r="B678" s="12">
        <f>CMP!T680</f>
        <v>232.6</v>
      </c>
    </row>
    <row r="679">
      <c r="A679" s="12">
        <f>CMP!R681</f>
        <v>230.19</v>
      </c>
      <c r="B679" s="12">
        <f>CMP!T681</f>
        <v>230.71</v>
      </c>
    </row>
    <row r="680">
      <c r="A680" s="12">
        <f>CMP!R682</f>
        <v>231.46</v>
      </c>
      <c r="B680" s="12">
        <f>CMP!T682</f>
        <v>233.5</v>
      </c>
    </row>
    <row r="681">
      <c r="A681" s="12">
        <f>CMP!R683</f>
        <v>234.63</v>
      </c>
      <c r="B681" s="12">
        <f>CMP!T683</f>
        <v>230.12</v>
      </c>
    </row>
    <row r="682">
      <c r="A682" s="12">
        <f>CMP!R684</f>
        <v>231.14</v>
      </c>
      <c r="B682" s="12">
        <f>CMP!T684</f>
        <v>233.29</v>
      </c>
    </row>
    <row r="683">
      <c r="A683" s="12">
        <f>CMP!R685</f>
        <v>230.22</v>
      </c>
      <c r="B683" s="12">
        <f>CMP!T685</f>
        <v>234.5</v>
      </c>
    </row>
    <row r="684">
      <c r="A684" s="12">
        <f>CMP!R686</f>
        <v>255.82</v>
      </c>
      <c r="B684" s="12">
        <f>CMP!T686</f>
        <v>253.67</v>
      </c>
    </row>
    <row r="685">
      <c r="A685" s="12">
        <f>CMP!R687</f>
        <v>252.65</v>
      </c>
      <c r="B685" s="12">
        <f>CMP!T687</f>
        <v>251.96</v>
      </c>
    </row>
    <row r="686">
      <c r="A686" s="12">
        <f>CMP!R688</f>
        <v>251.56</v>
      </c>
      <c r="B686" s="12">
        <f>CMP!T688</f>
        <v>249.83</v>
      </c>
    </row>
    <row r="687">
      <c r="A687" s="12">
        <f>CMP!R689</f>
        <v>250.19</v>
      </c>
      <c r="B687" s="12">
        <f>CMP!T689</f>
        <v>249.12</v>
      </c>
    </row>
    <row r="688">
      <c r="A688" s="12">
        <f>CMP!R690</f>
        <v>249.04</v>
      </c>
      <c r="B688" s="12">
        <f>CMP!T690</f>
        <v>265.28</v>
      </c>
    </row>
    <row r="689">
      <c r="A689" s="12">
        <f>CMP!R691</f>
        <v>264.08</v>
      </c>
      <c r="B689" s="12">
        <f>CMP!T691</f>
        <v>268.44</v>
      </c>
    </row>
    <row r="690">
      <c r="A690" s="12">
        <f>CMP!R692</f>
        <v>268.04</v>
      </c>
      <c r="B690" s="12">
        <f>CMP!T692</f>
        <v>263</v>
      </c>
    </row>
    <row r="691">
      <c r="A691" s="12">
        <f>CMP!R693</f>
        <v>260.19</v>
      </c>
      <c r="B691" s="12">
        <f>CMP!T693</f>
        <v>256.13</v>
      </c>
    </row>
    <row r="692">
      <c r="A692" s="12">
        <f>CMP!R694</f>
        <v>258.97</v>
      </c>
      <c r="B692" s="12">
        <f>CMP!T694</f>
        <v>259.89</v>
      </c>
    </row>
    <row r="693">
      <c r="A693" s="12">
        <f>CMP!R695</f>
        <v>261.55</v>
      </c>
      <c r="B693" s="12">
        <f>CMP!T695</f>
        <v>261.3</v>
      </c>
    </row>
    <row r="694">
      <c r="A694" s="12">
        <f>CMP!R696</f>
        <v>262.31</v>
      </c>
      <c r="B694" s="12">
        <f>CMP!T696</f>
        <v>261.24</v>
      </c>
    </row>
    <row r="695">
      <c r="A695" s="12">
        <f>CMP!R697</f>
        <v>262.5</v>
      </c>
      <c r="B695" s="12">
        <f>CMP!T697</f>
        <v>261.16</v>
      </c>
    </row>
    <row r="696">
      <c r="A696" s="12">
        <f>CMP!R698</f>
        <v>260.95</v>
      </c>
      <c r="B696" s="12">
        <f>CMP!T698</f>
        <v>262.34</v>
      </c>
    </row>
    <row r="697">
      <c r="A697" s="12">
        <f>CMP!R699</f>
        <v>261.39</v>
      </c>
      <c r="B697" s="12">
        <f>CMP!T699</f>
        <v>262.59</v>
      </c>
    </row>
    <row r="698">
      <c r="A698" s="12">
        <f>CMP!R700</f>
        <v>261.5</v>
      </c>
      <c r="B698" s="12">
        <f>CMP!T700</f>
        <v>269.01</v>
      </c>
    </row>
    <row r="699">
      <c r="A699" s="12">
        <f>CMP!R701</f>
        <v>268.69</v>
      </c>
      <c r="B699" s="12">
        <f>CMP!T701</f>
        <v>267.01</v>
      </c>
    </row>
    <row r="700">
      <c r="A700" s="12">
        <f>CMP!R702</f>
        <v>271.07</v>
      </c>
      <c r="B700" s="12">
        <f>CMP!T702</f>
        <v>271.39</v>
      </c>
    </row>
    <row r="701">
      <c r="A701" s="12">
        <f>CMP!R703</f>
        <v>272.41</v>
      </c>
      <c r="B701" s="12">
        <f>CMP!T703</f>
        <v>280.82</v>
      </c>
    </row>
    <row r="702">
      <c r="A702" s="12">
        <f>CMP!R704</f>
        <v>284</v>
      </c>
      <c r="B702" s="12">
        <f>CMP!T704</f>
        <v>303.91</v>
      </c>
    </row>
    <row r="703">
      <c r="A703" s="12">
        <f>CMP!R705</f>
        <v>300.16</v>
      </c>
      <c r="B703" s="12">
        <f>CMP!T705</f>
        <v>293.22</v>
      </c>
    </row>
    <row r="704">
      <c r="A704" s="12">
        <f>CMP!R706</f>
        <v>295</v>
      </c>
      <c r="B704" s="12">
        <f>CMP!T706</f>
        <v>293.66</v>
      </c>
    </row>
    <row r="705">
      <c r="A705" s="12">
        <f>CMP!R707</f>
        <v>293.95</v>
      </c>
      <c r="B705" s="12">
        <f>CMP!T707</f>
        <v>293.2</v>
      </c>
    </row>
    <row r="706">
      <c r="A706" s="12">
        <f>CMP!R708</f>
        <v>294.71</v>
      </c>
      <c r="B706" s="12">
        <f>CMP!T708</f>
        <v>295.44</v>
      </c>
    </row>
    <row r="707">
      <c r="A707" s="12">
        <f>CMP!R709</f>
        <v>298.88</v>
      </c>
      <c r="B707" s="12">
        <f>CMP!T709</f>
        <v>302.5</v>
      </c>
    </row>
    <row r="708">
      <c r="A708" s="12">
        <f>CMP!R710</f>
        <v>295.99</v>
      </c>
      <c r="B708" s="12">
        <f>CMP!T710</f>
        <v>291.12</v>
      </c>
    </row>
    <row r="709">
      <c r="A709" s="12">
        <f>CMP!R711</f>
        <v>287.25</v>
      </c>
      <c r="B709" s="12">
        <f>CMP!T711</f>
        <v>282.73</v>
      </c>
    </row>
    <row r="710">
      <c r="A710" s="12">
        <f>CMP!R712</f>
        <v>271.28</v>
      </c>
      <c r="B710" s="12">
        <f>CMP!T712</f>
        <v>271.16</v>
      </c>
    </row>
    <row r="711">
      <c r="A711" s="12">
        <f>CMP!R713</f>
        <v>275.77</v>
      </c>
      <c r="B711" s="12">
        <f>CMP!T713</f>
        <v>273.72</v>
      </c>
    </row>
    <row r="712">
      <c r="A712" s="12">
        <f>CMP!R714</f>
        <v>275.51</v>
      </c>
      <c r="B712" s="12">
        <f>CMP!T714</f>
        <v>268.09</v>
      </c>
    </row>
    <row r="713">
      <c r="A713" s="12">
        <f>CMP!R715</f>
        <v>270.06</v>
      </c>
      <c r="B713" s="12">
        <f>CMP!T715</f>
        <v>266.61</v>
      </c>
    </row>
    <row r="714">
      <c r="A714" s="12">
        <f>CMP!R716</f>
        <v>270.95</v>
      </c>
      <c r="B714" s="12">
        <f>CMP!T716</f>
        <v>266.15</v>
      </c>
    </row>
    <row r="715">
      <c r="A715" s="12">
        <f>CMP!R717</f>
        <v>270.67</v>
      </c>
      <c r="B715" s="12">
        <f>CMP!T717</f>
        <v>272.42</v>
      </c>
    </row>
    <row r="716">
      <c r="A716" s="12">
        <f>CMP!R718</f>
        <v>267.29</v>
      </c>
      <c r="B716" s="12">
        <f>CMP!T718</f>
        <v>263.52</v>
      </c>
    </row>
    <row r="717">
      <c r="A717" s="12">
        <f>CMP!R719</f>
        <v>258.28</v>
      </c>
      <c r="B717" s="12">
        <f>CMP!T719</f>
        <v>254.82</v>
      </c>
    </row>
    <row r="718">
      <c r="A718" s="12">
        <f>CMP!R720</f>
        <v>258.4</v>
      </c>
      <c r="B718" s="12">
        <f>CMP!T720</f>
        <v>252.53</v>
      </c>
    </row>
    <row r="719">
      <c r="A719" s="12">
        <f>CMP!R721</f>
        <v>247.54</v>
      </c>
      <c r="B719" s="12">
        <f>CMP!T721</f>
        <v>248.15</v>
      </c>
    </row>
    <row r="720">
      <c r="A720" s="12">
        <f>CMP!R722</f>
        <v>253.31</v>
      </c>
      <c r="B720" s="12">
        <f>CMP!T722</f>
        <v>254.75</v>
      </c>
    </row>
    <row r="721">
      <c r="A721" s="12">
        <f>CMP!R723</f>
        <v>255.26</v>
      </c>
      <c r="B721" s="12">
        <f>CMP!T723</f>
        <v>249.02</v>
      </c>
    </row>
    <row r="722">
      <c r="A722" s="12">
        <f>CMP!R724</f>
        <v>246.5</v>
      </c>
      <c r="B722" s="12">
        <f>CMP!T724</f>
        <v>249.53</v>
      </c>
    </row>
    <row r="723">
      <c r="A723" s="12">
        <f>CMP!R725</f>
        <v>249.4</v>
      </c>
      <c r="B723" s="12">
        <f>CMP!T725</f>
        <v>254.82</v>
      </c>
    </row>
    <row r="724">
      <c r="A724" s="12">
        <f>CMP!R726</f>
        <v>259.4</v>
      </c>
      <c r="B724" s="12">
        <f>CMP!T726</f>
        <v>256.82</v>
      </c>
    </row>
    <row r="725">
      <c r="A725" s="12">
        <f>CMP!R727</f>
        <v>257.81</v>
      </c>
      <c r="B725" s="12">
        <f>CMP!T727</f>
        <v>261.79</v>
      </c>
    </row>
    <row r="726">
      <c r="A726" s="12">
        <f>CMP!R728</f>
        <v>261.98</v>
      </c>
      <c r="B726" s="12">
        <f>CMP!T728</f>
        <v>261.9</v>
      </c>
    </row>
    <row r="727">
      <c r="A727" s="12">
        <f>CMP!R729</f>
        <v>265.35</v>
      </c>
      <c r="B727" s="12">
        <f>CMP!T729</f>
        <v>266.63</v>
      </c>
    </row>
    <row r="728">
      <c r="A728" s="12">
        <f>CMP!R730</f>
        <v>261.21</v>
      </c>
      <c r="B728" s="12">
        <f>CMP!T730</f>
        <v>259.94</v>
      </c>
    </row>
    <row r="729">
      <c r="A729" s="12">
        <f>CMP!R731</f>
        <v>262.2</v>
      </c>
      <c r="B729" s="12">
        <f>CMP!T731</f>
        <v>264.65</v>
      </c>
    </row>
    <row r="730">
      <c r="A730" s="12">
        <f>CMP!R732</f>
        <v>261.78</v>
      </c>
      <c r="B730" s="12">
        <f>CMP!T732</f>
        <v>258.66</v>
      </c>
    </row>
    <row r="731">
      <c r="A731" s="12">
        <f>CMP!R733</f>
        <v>259.21</v>
      </c>
      <c r="B731" s="12">
        <f>CMP!T733</f>
        <v>258.12</v>
      </c>
    </row>
    <row r="732">
      <c r="A732" s="12">
        <f>CMP!R734</f>
        <v>259.75</v>
      </c>
      <c r="B732" s="12">
        <f>CMP!T734</f>
        <v>263.76</v>
      </c>
    </row>
    <row r="733">
      <c r="A733" s="12">
        <f>CMP!R735</f>
        <v>264.52</v>
      </c>
      <c r="B733" s="12">
        <f>CMP!T735</f>
        <v>264.45</v>
      </c>
    </row>
    <row r="734">
      <c r="A734" s="12">
        <f>CMP!R736</f>
        <v>270.2</v>
      </c>
      <c r="B734" s="12">
        <f>CMP!T736</f>
        <v>275.75</v>
      </c>
    </row>
    <row r="735">
      <c r="A735" s="12">
        <f>CMP!R737</f>
        <v>277.58</v>
      </c>
      <c r="B735" s="12">
        <f>CMP!T737</f>
        <v>276.14</v>
      </c>
    </row>
    <row r="736">
      <c r="A736" s="12">
        <f>CMP!R738</f>
        <v>277.62</v>
      </c>
      <c r="B736" s="12">
        <f>CMP!T738</f>
        <v>271.82</v>
      </c>
    </row>
    <row r="737">
      <c r="A737" s="12">
        <f>CMP!R739</f>
        <v>267.6</v>
      </c>
      <c r="B737" s="12">
        <f>CMP!T739</f>
        <v>266.72</v>
      </c>
    </row>
    <row r="738">
      <c r="A738" s="12">
        <f>CMP!R740</f>
        <v>267.38</v>
      </c>
      <c r="B738" s="12">
        <f>CMP!T740</f>
        <v>265.93</v>
      </c>
    </row>
    <row r="739">
      <c r="A739" s="12">
        <f>CMP!R741</f>
        <v>265.53</v>
      </c>
      <c r="B739" s="12">
        <f>CMP!T741</f>
        <v>261.4</v>
      </c>
    </row>
    <row r="740">
      <c r="A740" s="12">
        <f>CMP!R742</f>
        <v>263.06</v>
      </c>
      <c r="B740" s="12">
        <f>CMP!T742</f>
        <v>267.56</v>
      </c>
    </row>
    <row r="741">
      <c r="A741" s="12">
        <f>CMP!R743</f>
        <v>279.56</v>
      </c>
      <c r="B741" s="12">
        <f>CMP!T743</f>
        <v>278.73</v>
      </c>
    </row>
    <row r="742">
      <c r="A742" s="12">
        <f>CMP!R744</f>
        <v>279.87</v>
      </c>
      <c r="B742" s="12">
        <f>CMP!T744</f>
        <v>278.12</v>
      </c>
    </row>
    <row r="743">
      <c r="A743" s="12">
        <f>CMP!R745</f>
        <v>278.8</v>
      </c>
      <c r="B743" s="12">
        <f>CMP!T745</f>
        <v>284.79</v>
      </c>
    </row>
    <row r="744">
      <c r="A744" s="12">
        <f>CMP!R746</f>
        <v>283.16</v>
      </c>
      <c r="B744" s="12">
        <f>CMP!T746</f>
        <v>277.11</v>
      </c>
    </row>
    <row r="745">
      <c r="A745" s="12">
        <f>CMP!R747</f>
        <v>278.76</v>
      </c>
      <c r="B745" s="12">
        <f>CMP!T747</f>
        <v>283.29</v>
      </c>
    </row>
    <row r="746">
      <c r="A746" s="12">
        <f>CMP!R748</f>
        <v>278.79</v>
      </c>
      <c r="B746" s="12">
        <f>CMP!T748</f>
        <v>267.67</v>
      </c>
    </row>
    <row r="747">
      <c r="A747" s="12">
        <f>CMP!R749</f>
        <v>276.55</v>
      </c>
      <c r="B747" s="12">
        <f>CMP!T749</f>
        <v>280.83</v>
      </c>
    </row>
    <row r="748">
      <c r="A748" s="12">
        <f>CMP!R750</f>
        <v>274.5</v>
      </c>
      <c r="B748" s="12">
        <f>CMP!T750</f>
        <v>263.11</v>
      </c>
    </row>
    <row r="749">
      <c r="A749" s="12">
        <f>CMP!R751</f>
        <v>264.6</v>
      </c>
      <c r="B749" s="12">
        <f>CMP!T751</f>
        <v>261.36</v>
      </c>
    </row>
    <row r="750">
      <c r="A750" s="12">
        <f>CMP!R752</f>
        <v>263.16</v>
      </c>
      <c r="B750" s="12">
        <f>CMP!T752</f>
        <v>265.3</v>
      </c>
    </row>
    <row r="751">
      <c r="A751" s="12">
        <f>CMP!R753</f>
        <v>281</v>
      </c>
      <c r="B751" s="12">
        <f>CMP!T753</f>
        <v>287.38</v>
      </c>
    </row>
    <row r="752">
      <c r="A752" s="12">
        <f>CMP!R754</f>
        <v>291.9</v>
      </c>
      <c r="B752" s="12">
        <f>CMP!T754</f>
        <v>294.68</v>
      </c>
    </row>
    <row r="753">
      <c r="A753" s="12">
        <f>CMP!R755</f>
        <v>293.95</v>
      </c>
      <c r="B753" s="12">
        <f>CMP!T755</f>
        <v>293.41</v>
      </c>
    </row>
    <row r="754">
      <c r="A754" s="12">
        <f>CMP!R756</f>
        <v>289.87</v>
      </c>
      <c r="B754" s="12">
        <f>CMP!T756</f>
        <v>278.77</v>
      </c>
    </row>
    <row r="755">
      <c r="A755" s="12">
        <f>CMP!R757</f>
        <v>273.1</v>
      </c>
      <c r="B755" s="12">
        <f>CMP!T757</f>
        <v>272.43</v>
      </c>
    </row>
    <row r="756">
      <c r="A756" s="12">
        <f>CMP!R758</f>
        <v>273.47</v>
      </c>
      <c r="B756" s="12">
        <f>CMP!T758</f>
        <v>276.48</v>
      </c>
    </row>
    <row r="757">
      <c r="A757" s="12">
        <f>CMP!R759</f>
        <v>277.18</v>
      </c>
      <c r="B757" s="12">
        <f>CMP!T759</f>
        <v>275.08</v>
      </c>
    </row>
    <row r="758">
      <c r="A758" s="12">
        <f>CMP!R760</f>
        <v>277.72</v>
      </c>
      <c r="B758" s="12">
        <f>CMP!T760</f>
        <v>276.95</v>
      </c>
    </row>
    <row r="759">
      <c r="A759" s="12">
        <f>CMP!R761</f>
        <v>275.05</v>
      </c>
      <c r="B759" s="12">
        <f>CMP!T761</f>
        <v>278.96</v>
      </c>
    </row>
    <row r="760">
      <c r="A760" s="12">
        <f>CMP!R762</f>
        <v>277.68</v>
      </c>
      <c r="B760" s="12">
        <f>CMP!T762</f>
        <v>275</v>
      </c>
    </row>
    <row r="761">
      <c r="A761" s="12">
        <f>CMP!R763</f>
        <v>274.52</v>
      </c>
      <c r="B761" s="12">
        <f>CMP!T763</f>
        <v>271.97</v>
      </c>
    </row>
    <row r="762">
      <c r="A762" s="12">
        <f>CMP!R764</f>
        <v>271.02</v>
      </c>
      <c r="B762" s="12">
        <f>CMP!T764</f>
        <v>272.94</v>
      </c>
    </row>
    <row r="763">
      <c r="A763" s="12">
        <f>CMP!R765</f>
        <v>272.56</v>
      </c>
      <c r="B763" s="12">
        <f>CMP!T765</f>
        <v>269.7</v>
      </c>
    </row>
    <row r="764">
      <c r="A764" s="12">
        <f>CMP!R766</f>
        <v>270.89</v>
      </c>
      <c r="B764" s="12">
        <f>CMP!T766</f>
        <v>268.43</v>
      </c>
    </row>
    <row r="765">
      <c r="A765" s="12">
        <f>CMP!R767</f>
        <v>268.49</v>
      </c>
      <c r="B765" s="12">
        <f>CMP!T767</f>
        <v>276.92</v>
      </c>
    </row>
    <row r="766">
      <c r="A766" s="12">
        <f>CMP!R768</f>
        <v>278.14</v>
      </c>
      <c r="B766" s="12">
        <f>CMP!T768</f>
        <v>275.59</v>
      </c>
    </row>
    <row r="767">
      <c r="A767" s="12">
        <f>CMP!R769</f>
        <v>277.39</v>
      </c>
      <c r="B767" s="12">
        <f>CMP!T769</f>
        <v>277.81</v>
      </c>
    </row>
    <row r="768">
      <c r="A768" s="12">
        <f>CMP!R770</f>
        <v>276.03</v>
      </c>
      <c r="B768" s="12">
        <f>CMP!T770</f>
        <v>276.97</v>
      </c>
    </row>
    <row r="769">
      <c r="A769" s="12">
        <f>CMP!R771</f>
        <v>279.16</v>
      </c>
      <c r="B769" s="12">
        <f>CMP!T771</f>
        <v>286.55</v>
      </c>
    </row>
    <row r="770">
      <c r="A770" s="12">
        <f>CMP!R772</f>
        <v>285.36</v>
      </c>
      <c r="B770" s="12">
        <f>CMP!T772</f>
        <v>287.52</v>
      </c>
    </row>
    <row r="771">
      <c r="A771" s="12">
        <f>CMP!R773</f>
        <v>286.25</v>
      </c>
      <c r="B771" s="12">
        <f>CMP!T773</f>
        <v>281.85</v>
      </c>
    </row>
    <row r="772">
      <c r="A772" s="12">
        <f>CMP!R774</f>
        <v>280.3</v>
      </c>
      <c r="B772" s="12">
        <f>CMP!T774</f>
        <v>279.7</v>
      </c>
    </row>
    <row r="773">
      <c r="A773" s="12">
        <f>CMP!R775</f>
        <v>279.19</v>
      </c>
      <c r="B773" s="12">
        <f>CMP!T775</f>
        <v>285.58</v>
      </c>
    </row>
    <row r="774">
      <c r="A774" s="12">
        <f>CMP!R776</f>
        <v>286.01</v>
      </c>
      <c r="B774" s="12">
        <f>CMP!T776</f>
        <v>283.4</v>
      </c>
    </row>
    <row r="775">
      <c r="A775" s="12">
        <f>CMP!R777</f>
        <v>283.66</v>
      </c>
      <c r="B775" s="12">
        <f>CMP!T777</f>
        <v>277.92</v>
      </c>
    </row>
    <row r="776">
      <c r="A776" s="12">
        <f>CMP!R778</f>
        <v>275.54</v>
      </c>
      <c r="B776" s="12">
        <f>CMP!T778</f>
        <v>277.12</v>
      </c>
    </row>
    <row r="777">
      <c r="A777" s="12">
        <f>CMP!R779</f>
        <v>274.53</v>
      </c>
      <c r="B777" s="12">
        <f>CMP!T779</f>
        <v>273.55</v>
      </c>
    </row>
    <row r="778">
      <c r="A778" s="12">
        <f>CMP!R780</f>
        <v>273.37</v>
      </c>
      <c r="B778" s="12">
        <f>CMP!T780</f>
        <v>274.19</v>
      </c>
    </row>
    <row r="779">
      <c r="A779" s="12">
        <f>CMP!R781</f>
        <v>274.83</v>
      </c>
      <c r="B779" s="12">
        <f>CMP!T781</f>
        <v>275.55</v>
      </c>
    </row>
    <row r="780">
      <c r="A780" s="12">
        <f>CMP!R782</f>
        <v>274.76</v>
      </c>
      <c r="B780" s="12">
        <f>CMP!T782</f>
        <v>275.67</v>
      </c>
    </row>
    <row r="781">
      <c r="A781" s="12">
        <f>CMP!R783</f>
        <v>277.07</v>
      </c>
      <c r="B781" s="12">
        <f>CMP!T783</f>
        <v>274.48</v>
      </c>
    </row>
    <row r="782">
      <c r="A782" s="12">
        <f>CMP!R784</f>
        <v>275.77</v>
      </c>
      <c r="B782" s="12">
        <f>CMP!T784</f>
        <v>276.4</v>
      </c>
    </row>
    <row r="783">
      <c r="A783" s="12">
        <f>CMP!R785</f>
        <v>272.98</v>
      </c>
      <c r="B783" s="12">
        <f>CMP!T785</f>
        <v>272.79</v>
      </c>
    </row>
    <row r="784">
      <c r="A784" s="12">
        <f>CMP!R786</f>
        <v>271.5</v>
      </c>
      <c r="B784" s="12">
        <f>CMP!T786</f>
        <v>267.09</v>
      </c>
    </row>
    <row r="785">
      <c r="A785" s="12">
        <f>CMP!R787</f>
        <v>266.89</v>
      </c>
      <c r="B785" s="12">
        <f>CMP!T787</f>
        <v>268.11</v>
      </c>
    </row>
    <row r="786">
      <c r="A786" s="12">
        <f>CMP!R788</f>
        <v>268.88</v>
      </c>
      <c r="B786" s="12">
        <f>CMP!T788</f>
        <v>267.4</v>
      </c>
    </row>
    <row r="787">
      <c r="A787" s="12">
        <f>CMP!R789</f>
        <v>268.74</v>
      </c>
      <c r="B787" s="12">
        <f>CMP!T789</f>
        <v>277</v>
      </c>
    </row>
    <row r="788">
      <c r="A788" s="12">
        <f>CMP!R790</f>
        <v>276.95</v>
      </c>
      <c r="B788" s="12">
        <f>CMP!T790</f>
        <v>276.78</v>
      </c>
    </row>
    <row r="789">
      <c r="A789" s="12">
        <f>CMP!R791</f>
        <v>277.95</v>
      </c>
      <c r="B789" s="12">
        <f>CMP!T791</f>
        <v>271.87</v>
      </c>
    </row>
    <row r="790">
      <c r="A790" s="12">
        <f>CMP!R792</f>
        <v>272</v>
      </c>
      <c r="B790" s="12">
        <f>CMP!T792</f>
        <v>273.16</v>
      </c>
    </row>
    <row r="791">
      <c r="A791" s="12">
        <f>CMP!R793</f>
        <v>274.78</v>
      </c>
      <c r="B791" s="12">
        <f>CMP!T793</f>
        <v>268.94</v>
      </c>
    </row>
    <row r="792">
      <c r="A792" s="12">
        <f>CMP!R794</f>
        <v>268.29</v>
      </c>
      <c r="B792" s="12">
        <f>CMP!T794</f>
        <v>270.97</v>
      </c>
    </row>
    <row r="793">
      <c r="A793" s="12">
        <f>CMP!R795</f>
        <v>262</v>
      </c>
      <c r="B793" s="12">
        <f>CMP!T795</f>
        <v>263.31</v>
      </c>
    </row>
    <row r="794">
      <c r="A794" s="12">
        <f>CMP!R796</f>
        <v>265.9</v>
      </c>
      <c r="B794" s="12">
        <f>CMP!T796</f>
        <v>268.74</v>
      </c>
    </row>
    <row r="795">
      <c r="A795" s="12">
        <f>CMP!R797</f>
        <v>268.31</v>
      </c>
      <c r="B795" s="12">
        <f>CMP!T797</f>
        <v>267.57</v>
      </c>
    </row>
    <row r="796">
      <c r="A796" s="12">
        <f>CMP!R798</f>
        <v>260.48</v>
      </c>
      <c r="B796" s="12">
        <f>CMP!T798</f>
        <v>256.84</v>
      </c>
    </row>
    <row r="797">
      <c r="A797" s="12">
        <f>CMP!R799</f>
        <v>256.63</v>
      </c>
      <c r="B797" s="12">
        <f>CMP!T799</f>
        <v>251.09</v>
      </c>
    </row>
    <row r="798">
      <c r="A798" s="12">
        <f>CMP!R800</f>
        <v>251.55</v>
      </c>
      <c r="B798" s="12">
        <f>CMP!T800</f>
        <v>251.64</v>
      </c>
    </row>
    <row r="799">
      <c r="A799" s="12">
        <f>CMP!R801</f>
        <v>253.4</v>
      </c>
      <c r="B799" s="12">
        <f>CMP!T801</f>
        <v>245.64</v>
      </c>
    </row>
    <row r="800">
      <c r="A800" s="12">
        <f>CMP!R802</f>
        <v>247.9</v>
      </c>
      <c r="B800" s="12">
        <f>CMP!T802</f>
        <v>251.36</v>
      </c>
    </row>
    <row r="801">
      <c r="A801" s="12">
        <f>CMP!R803</f>
        <v>256.9</v>
      </c>
      <c r="B801" s="12">
        <f>CMP!T803</f>
        <v>261.1</v>
      </c>
    </row>
    <row r="802">
      <c r="A802" s="12">
        <f>CMP!R804</f>
        <v>268.93</v>
      </c>
      <c r="B802" s="12">
        <f>CMP!T804</f>
        <v>267.48</v>
      </c>
    </row>
    <row r="803">
      <c r="A803" s="12">
        <f>CMP!R805</f>
        <v>269.26</v>
      </c>
      <c r="B803" s="12">
        <f>CMP!T805</f>
        <v>272.87</v>
      </c>
    </row>
    <row r="804">
      <c r="A804" s="12">
        <f>CMP!R806</f>
        <v>272.01</v>
      </c>
      <c r="B804" s="12">
        <f>CMP!T806</f>
        <v>274.5</v>
      </c>
    </row>
    <row r="805">
      <c r="A805" s="12">
        <f>CMP!R807</f>
        <v>278.14</v>
      </c>
      <c r="B805" s="12">
        <f>CMP!T807</f>
        <v>278.01</v>
      </c>
    </row>
    <row r="806">
      <c r="A806" s="12">
        <f>CMP!R808</f>
        <v>278.14</v>
      </c>
      <c r="B806" s="12">
        <f>CMP!T808</f>
        <v>282.05</v>
      </c>
    </row>
    <row r="807">
      <c r="A807" s="12">
        <f>CMP!R809</f>
        <v>282.53</v>
      </c>
      <c r="B807" s="12">
        <f>CMP!T809</f>
        <v>272.14</v>
      </c>
    </row>
    <row r="808">
      <c r="A808" s="12">
        <f>CMP!R810</f>
        <v>277.18</v>
      </c>
      <c r="B808" s="12">
        <f>CMP!T810</f>
        <v>265</v>
      </c>
    </row>
    <row r="809">
      <c r="A809" s="12">
        <f>CMP!R811</f>
        <v>265.3</v>
      </c>
      <c r="B809" s="12">
        <f>CMP!T811</f>
        <v>258.33</v>
      </c>
    </row>
    <row r="810">
      <c r="A810" s="12">
        <f>CMP!R812</f>
        <v>259.52</v>
      </c>
      <c r="B810" s="12">
        <f>CMP!T812</f>
        <v>262.01</v>
      </c>
    </row>
    <row r="811">
      <c r="A811" s="12">
        <f>CMP!R813</f>
        <v>264</v>
      </c>
      <c r="B811" s="12">
        <f>CMP!T813</f>
        <v>267.08</v>
      </c>
    </row>
    <row r="812">
      <c r="A812" s="12">
        <f>CMP!R814</f>
        <v>265.62</v>
      </c>
      <c r="B812" s="12">
        <f>CMP!T814</f>
        <v>266.65</v>
      </c>
    </row>
    <row r="813">
      <c r="A813" s="12">
        <f>CMP!R815</f>
        <v>267.01</v>
      </c>
      <c r="B813" s="12">
        <f>CMP!T815</f>
        <v>266.49</v>
      </c>
    </row>
    <row r="814">
      <c r="A814" s="12">
        <f>CMP!R816</f>
        <v>266.8</v>
      </c>
      <c r="B814" s="12">
        <f>CMP!T816</f>
        <v>268.1</v>
      </c>
    </row>
    <row r="815">
      <c r="A815" s="12">
        <f>CMP!R817</f>
        <v>268.75</v>
      </c>
      <c r="B815" s="12">
        <f>CMP!T817</f>
        <v>266.58</v>
      </c>
    </row>
    <row r="816">
      <c r="A816" s="12">
        <f>CMP!R818</f>
        <v>266.44</v>
      </c>
      <c r="B816" s="12">
        <f>CMP!T818</f>
        <v>269.45</v>
      </c>
    </row>
    <row r="817">
      <c r="A817" s="12">
        <f>CMP!R819</f>
        <v>272.45</v>
      </c>
      <c r="B817" s="12">
        <f>CMP!T819</f>
        <v>271.87</v>
      </c>
    </row>
    <row r="818">
      <c r="A818" s="12">
        <f>CMP!R820</f>
        <v>271.89</v>
      </c>
      <c r="B818" s="12">
        <f>CMP!T820</f>
        <v>270.39</v>
      </c>
    </row>
    <row r="819">
      <c r="A819" s="12">
        <f>CMP!R821</f>
        <v>270.52</v>
      </c>
      <c r="B819" s="12">
        <f>CMP!T821</f>
        <v>270.5</v>
      </c>
    </row>
    <row r="820">
      <c r="A820" s="12">
        <f>CMP!R822</f>
        <v>270.8</v>
      </c>
      <c r="B820" s="12">
        <f>CMP!T822</f>
        <v>273.97</v>
      </c>
    </row>
    <row r="821">
      <c r="A821" s="12">
        <f>CMP!R823</f>
        <v>271.24</v>
      </c>
      <c r="B821" s="12">
        <f>CMP!T823</f>
        <v>273.57</v>
      </c>
    </row>
    <row r="822">
      <c r="A822" s="12">
        <f>CMP!R824</f>
        <v>269.57</v>
      </c>
      <c r="B822" s="12">
        <f>CMP!T824</f>
        <v>269.39</v>
      </c>
    </row>
    <row r="823">
      <c r="A823" s="12">
        <f>CMP!R825</f>
        <v>269.86</v>
      </c>
      <c r="B823" s="12">
        <f>CMP!T825</f>
        <v>261.56</v>
      </c>
    </row>
    <row r="824">
      <c r="A824" s="12">
        <f>CMP!R826</f>
        <v>257.95</v>
      </c>
      <c r="B824" s="12">
        <f>CMP!T826</f>
        <v>260.33</v>
      </c>
    </row>
    <row r="825">
      <c r="A825" s="12">
        <f>CMP!R827</f>
        <v>259.5</v>
      </c>
      <c r="B825" s="12">
        <f>CMP!T827</f>
        <v>265.86</v>
      </c>
    </row>
    <row r="826">
      <c r="A826" s="12">
        <f>CMP!R828</f>
        <v>262.33</v>
      </c>
      <c r="B826" s="12">
        <f>CMP!T828</f>
        <v>264.31</v>
      </c>
    </row>
    <row r="827">
      <c r="A827" s="12">
        <f>CMP!R829</f>
        <v>262.3</v>
      </c>
      <c r="B827" s="12">
        <f>CMP!T829</f>
        <v>254.69</v>
      </c>
    </row>
    <row r="828">
      <c r="A828" s="12">
        <f>CMP!R830</f>
        <v>256.47</v>
      </c>
      <c r="B828" s="12">
        <f>CMP!T830</f>
        <v>257.62</v>
      </c>
    </row>
    <row r="829">
      <c r="A829" s="12">
        <f>CMP!R831</f>
        <v>260.82</v>
      </c>
      <c r="B829" s="12">
        <f>CMP!T831</f>
        <v>264.91</v>
      </c>
    </row>
    <row r="830">
      <c r="A830" s="12">
        <f>CMP!R832</f>
        <v>265.78</v>
      </c>
      <c r="B830" s="12">
        <f>CMP!T832</f>
        <v>259</v>
      </c>
    </row>
    <row r="831">
      <c r="A831" s="12">
        <f>CMP!R833</f>
        <v>260.29</v>
      </c>
      <c r="B831" s="12">
        <f>CMP!T833</f>
        <v>255.41</v>
      </c>
    </row>
    <row r="832">
      <c r="A832" s="12">
        <f>CMP!R834</f>
        <v>256.47</v>
      </c>
      <c r="B832" s="12">
        <f>CMP!T834</f>
        <v>257.64</v>
      </c>
    </row>
    <row r="833">
      <c r="A833" s="12">
        <f>CMP!R835</f>
        <v>260.67</v>
      </c>
      <c r="B833" s="12">
        <f>CMP!T835</f>
        <v>264.28</v>
      </c>
    </row>
    <row r="834">
      <c r="A834" s="12">
        <f>CMP!R836</f>
        <v>265.55</v>
      </c>
      <c r="B834" s="12">
        <f>CMP!T836</f>
        <v>255.31</v>
      </c>
    </row>
    <row r="835">
      <c r="A835" s="12">
        <f>CMP!R837</f>
        <v>261.18</v>
      </c>
      <c r="B835" s="12">
        <f>CMP!T837</f>
        <v>265.74</v>
      </c>
    </row>
    <row r="836">
      <c r="A836" s="12">
        <f>CMP!R838</f>
        <v>268.64</v>
      </c>
      <c r="B836" s="12">
        <f>CMP!T838</f>
        <v>264.9</v>
      </c>
    </row>
    <row r="837">
      <c r="A837" s="12">
        <f>CMP!R839</f>
        <v>268.11</v>
      </c>
      <c r="B837" s="12">
        <f>CMP!T839</f>
        <v>273.88</v>
      </c>
    </row>
    <row r="838">
      <c r="A838" s="12">
        <f>CMP!R840</f>
        <v>269.14</v>
      </c>
      <c r="B838" s="12">
        <f>CMP!T840</f>
        <v>268.4</v>
      </c>
    </row>
    <row r="839">
      <c r="A839" s="12">
        <f>CMP!R841</f>
        <v>269.08</v>
      </c>
      <c r="B839" s="12">
        <f>CMP!T841</f>
        <v>273.75</v>
      </c>
    </row>
    <row r="840">
      <c r="A840" s="12">
        <f>CMP!R842</f>
        <v>276.08</v>
      </c>
      <c r="B840" s="12">
        <f>CMP!T842</f>
        <v>279.28</v>
      </c>
    </row>
    <row r="841">
      <c r="A841" s="12">
        <f>CMP!R843</f>
        <v>275.71</v>
      </c>
      <c r="B841" s="12">
        <f>CMP!T843</f>
        <v>284.01</v>
      </c>
    </row>
    <row r="842">
      <c r="A842" s="12">
        <f>CMP!R844</f>
        <v>279.87</v>
      </c>
      <c r="B842" s="12">
        <f>CMP!T844</f>
        <v>278.62</v>
      </c>
    </row>
    <row r="843">
      <c r="A843" s="12">
        <f>CMP!R845</f>
        <v>281.22</v>
      </c>
      <c r="B843" s="12">
        <f>CMP!T845</f>
        <v>290.11</v>
      </c>
    </row>
    <row r="844">
      <c r="A844" s="12">
        <f>CMP!R846</f>
        <v>290.45</v>
      </c>
      <c r="B844" s="12">
        <f>CMP!T846</f>
        <v>293.54</v>
      </c>
    </row>
    <row r="845">
      <c r="A845" s="12">
        <f>CMP!R847</f>
        <v>293.15</v>
      </c>
      <c r="B845" s="12">
        <f>CMP!T847</f>
        <v>290.63</v>
      </c>
    </row>
    <row r="846">
      <c r="A846" s="12">
        <f>CMP!R848</f>
        <v>291</v>
      </c>
      <c r="B846" s="12">
        <f>CMP!T848</f>
        <v>282.14</v>
      </c>
    </row>
    <row r="847">
      <c r="A847" s="12">
        <f>CMP!R849</f>
        <v>280.98</v>
      </c>
      <c r="B847" s="12">
        <f>CMP!T849</f>
        <v>278.74</v>
      </c>
    </row>
    <row r="848">
      <c r="A848" s="12">
        <f>CMP!R850</f>
        <v>278.3</v>
      </c>
      <c r="B848" s="12">
        <f>CMP!T850</f>
        <v>283.02</v>
      </c>
    </row>
    <row r="849">
      <c r="A849" s="12">
        <f>CMP!R851</f>
        <v>285.77</v>
      </c>
      <c r="B849" s="12">
        <f>CMP!T851</f>
        <v>290.82</v>
      </c>
    </row>
    <row r="850">
      <c r="A850" s="12">
        <f>CMP!R852</f>
        <v>289.83</v>
      </c>
      <c r="B850" s="12">
        <f>CMP!T852</f>
        <v>288</v>
      </c>
    </row>
    <row r="851">
      <c r="A851" s="12">
        <f>CMP!R853</f>
        <v>289.99</v>
      </c>
      <c r="B851" s="12">
        <f>CMP!T853</f>
        <v>294.53</v>
      </c>
    </row>
    <row r="852">
      <c r="A852" s="12">
        <f>CMP!R854</f>
        <v>298.4</v>
      </c>
      <c r="B852" s="12">
        <f>CMP!T854</f>
        <v>298.66</v>
      </c>
    </row>
    <row r="853">
      <c r="A853" s="12">
        <f>CMP!R855</f>
        <v>300.89</v>
      </c>
      <c r="B853" s="12">
        <f>CMP!T855</f>
        <v>308.91</v>
      </c>
    </row>
    <row r="854">
      <c r="A854" s="12">
        <f>CMP!R856</f>
        <v>308.84</v>
      </c>
      <c r="B854" s="12">
        <f>CMP!T856</f>
        <v>306.26</v>
      </c>
    </row>
    <row r="855">
      <c r="A855" s="12">
        <f>CMP!R857</f>
        <v>306.34</v>
      </c>
      <c r="B855" s="12">
        <f>CMP!T857</f>
        <v>313.09</v>
      </c>
    </row>
    <row r="856">
      <c r="A856" s="12">
        <f>CMP!R858</f>
        <v>314.85</v>
      </c>
      <c r="B856" s="12">
        <f>CMP!T858</f>
        <v>313.02</v>
      </c>
    </row>
    <row r="857">
      <c r="A857" s="12">
        <f>CMP!R859</f>
        <v>311.4</v>
      </c>
      <c r="B857" s="12">
        <f>CMP!T859</f>
        <v>312.46</v>
      </c>
    </row>
    <row r="858">
      <c r="A858" s="12">
        <f>CMP!R860</f>
        <v>311.05</v>
      </c>
      <c r="B858" s="12">
        <f>CMP!T860</f>
        <v>311.54</v>
      </c>
    </row>
    <row r="859">
      <c r="A859" s="12">
        <f>CMP!R861</f>
        <v>312.21</v>
      </c>
      <c r="B859" s="12">
        <f>CMP!T861</f>
        <v>309.76</v>
      </c>
    </row>
    <row r="860">
      <c r="A860" s="12">
        <f>CMP!R862</f>
        <v>307.3</v>
      </c>
      <c r="B860" s="12">
        <f>CMP!T862</f>
        <v>302.82</v>
      </c>
    </row>
    <row r="861">
      <c r="A861" s="12">
        <f>CMP!R863</f>
        <v>306.34</v>
      </c>
      <c r="B861" s="12">
        <f>CMP!T863</f>
        <v>307.82</v>
      </c>
    </row>
    <row r="862">
      <c r="A862" s="12">
        <f>CMP!R864</f>
        <v>308.17</v>
      </c>
      <c r="B862" s="12">
        <f>CMP!T864</f>
        <v>306.18</v>
      </c>
    </row>
    <row r="863">
      <c r="A863" s="12">
        <f>CMP!R865</f>
        <v>305.01</v>
      </c>
      <c r="B863" s="12">
        <f>CMP!T865</f>
        <v>302.24</v>
      </c>
    </row>
    <row r="864">
      <c r="A864" s="12">
        <f>CMP!R866</f>
        <v>301.99</v>
      </c>
      <c r="B864" s="12">
        <f>CMP!T866</f>
        <v>302.65</v>
      </c>
    </row>
    <row r="865">
      <c r="A865" s="12">
        <f>CMP!R867</f>
        <v>301.95</v>
      </c>
      <c r="B865" s="12">
        <f>CMP!T867</f>
        <v>301.47</v>
      </c>
    </row>
    <row r="866">
      <c r="A866" s="12">
        <f>CMP!R868</f>
        <v>301.33</v>
      </c>
      <c r="B866" s="12">
        <f>CMP!T868</f>
        <v>296.52</v>
      </c>
    </row>
    <row r="867">
      <c r="A867" s="12">
        <f>CMP!R869</f>
        <v>298.76</v>
      </c>
      <c r="B867" s="12">
        <f>CMP!T869</f>
        <v>301.13</v>
      </c>
    </row>
    <row r="868">
      <c r="A868" s="12">
        <f>CMP!R870</f>
        <v>303.34</v>
      </c>
      <c r="B868" s="12">
        <f>CMP!T870</f>
        <v>303.04</v>
      </c>
    </row>
    <row r="869">
      <c r="A869" s="12">
        <f>CMP!R871</f>
        <v>304.28</v>
      </c>
      <c r="B869" s="12">
        <f>CMP!T871</f>
        <v>303.57</v>
      </c>
    </row>
    <row r="870">
      <c r="A870" s="12">
        <f>CMP!R872</f>
        <v>307.36</v>
      </c>
      <c r="B870" s="12">
        <f>CMP!T872</f>
        <v>307.1</v>
      </c>
    </row>
    <row r="871">
      <c r="A871" s="12">
        <f>CMP!R873</f>
        <v>330.12</v>
      </c>
      <c r="B871" s="12">
        <f>CMP!T873</f>
        <v>329.51</v>
      </c>
    </row>
    <row r="872">
      <c r="A872" s="12">
        <f>CMP!R874</f>
        <v>326.14</v>
      </c>
      <c r="B872" s="12">
        <f>CMP!T874</f>
        <v>325.08</v>
      </c>
    </row>
    <row r="873">
      <c r="A873" s="12">
        <f>CMP!R875</f>
        <v>326.17</v>
      </c>
      <c r="B873" s="12">
        <f>CMP!T875</f>
        <v>322.58</v>
      </c>
    </row>
    <row r="874">
      <c r="A874" s="12">
        <f>CMP!R876</f>
        <v>320.02</v>
      </c>
      <c r="B874" s="12">
        <f>CMP!T876</f>
        <v>318.36</v>
      </c>
    </row>
    <row r="875">
      <c r="A875" s="12">
        <f>CMP!R877</f>
        <v>318.19</v>
      </c>
      <c r="B875" s="12">
        <f>CMP!T877</f>
        <v>315.02</v>
      </c>
    </row>
    <row r="876">
      <c r="A876" s="12">
        <f>CMP!R878</f>
        <v>314.52</v>
      </c>
      <c r="B876" s="12">
        <f>CMP!T878</f>
        <v>320.02</v>
      </c>
    </row>
    <row r="877">
      <c r="A877" s="12">
        <f>CMP!R879</f>
        <v>322.38</v>
      </c>
      <c r="B877" s="12">
        <f>CMP!T879</f>
        <v>319.08</v>
      </c>
    </row>
    <row r="878">
      <c r="A878" s="12">
        <f>CMP!R880</f>
        <v>314.35</v>
      </c>
      <c r="B878" s="12">
        <f>CMP!T880</f>
        <v>305.97</v>
      </c>
    </row>
    <row r="879">
      <c r="A879" s="12">
        <f>CMP!R881</f>
        <v>300.75</v>
      </c>
      <c r="B879" s="12">
        <f>CMP!T881</f>
        <v>306.53</v>
      </c>
    </row>
    <row r="880">
      <c r="A880" s="12">
        <f>CMP!R882</f>
        <v>301.13</v>
      </c>
      <c r="B880" s="12">
        <f>CMP!T882</f>
        <v>302.55</v>
      </c>
    </row>
    <row r="881">
      <c r="A881" s="12">
        <f>CMP!R883</f>
        <v>306.08</v>
      </c>
      <c r="B881" s="12">
        <f>CMP!T883</f>
        <v>305.26</v>
      </c>
    </row>
    <row r="882">
      <c r="A882" s="12">
        <f>CMP!R884</f>
        <v>309.54</v>
      </c>
      <c r="B882" s="12">
        <f>CMP!T884</f>
        <v>315.94</v>
      </c>
    </row>
    <row r="883">
      <c r="A883" s="12">
        <f>CMP!R885</f>
        <v>313.55</v>
      </c>
      <c r="B883" s="12">
        <f>CMP!T885</f>
        <v>315.46</v>
      </c>
    </row>
    <row r="884">
      <c r="A884" s="12">
        <f>CMP!R886</f>
        <v>315.59</v>
      </c>
      <c r="B884" s="12">
        <f>CMP!T886</f>
        <v>309.96</v>
      </c>
    </row>
    <row r="885">
      <c r="A885" s="12">
        <f>CMP!R887</f>
        <v>304.19</v>
      </c>
      <c r="B885" s="12">
        <f>CMP!T887</f>
        <v>313.59</v>
      </c>
    </row>
    <row r="886">
      <c r="A886" s="12">
        <f>CMP!R888</f>
        <v>313.58</v>
      </c>
      <c r="B886" s="12">
        <f>CMP!T888</f>
        <v>318.61</v>
      </c>
    </row>
    <row r="887">
      <c r="A887" s="12">
        <f>CMP!R889</f>
        <v>319.29</v>
      </c>
      <c r="B887" s="12">
        <f>CMP!T889</f>
        <v>316.23</v>
      </c>
    </row>
    <row r="888">
      <c r="A888" s="12">
        <f>CMP!R890</f>
        <v>318.21</v>
      </c>
      <c r="B888" s="12">
        <f>CMP!T890</f>
        <v>324.63</v>
      </c>
    </row>
    <row r="889">
      <c r="A889" s="12">
        <f>CMP!R891</f>
        <v>327.08</v>
      </c>
      <c r="B889" s="12">
        <f>CMP!T891</f>
        <v>327.79</v>
      </c>
    </row>
    <row r="890">
      <c r="A890" s="12">
        <f>CMP!R892</f>
        <v>328.35</v>
      </c>
      <c r="B890" s="12">
        <f>CMP!T892</f>
        <v>327.66</v>
      </c>
    </row>
    <row r="891">
      <c r="A891" s="12">
        <f>CMP!R893</f>
        <v>328</v>
      </c>
      <c r="B891" s="12">
        <f>CMP!T893</f>
        <v>332.75</v>
      </c>
    </row>
    <row r="892">
      <c r="A892" s="12">
        <f>CMP!R894</f>
        <v>331</v>
      </c>
      <c r="B892" s="12">
        <f>CMP!T894</f>
        <v>328.73</v>
      </c>
    </row>
    <row r="893">
      <c r="A893" s="12">
        <f>CMP!R895</f>
        <v>330.15</v>
      </c>
      <c r="B893" s="12">
        <f>CMP!T895</f>
        <v>329.13</v>
      </c>
    </row>
    <row r="894">
      <c r="A894" s="12">
        <f>CMP!R896</f>
        <v>330.38</v>
      </c>
      <c r="B894" s="12">
        <f>CMP!T896</f>
        <v>329.15</v>
      </c>
    </row>
    <row r="895">
      <c r="A895" s="12">
        <f>CMP!R897</f>
        <v>325.78</v>
      </c>
      <c r="B895" s="12">
        <f>CMP!T897</f>
        <v>326.04</v>
      </c>
    </row>
    <row r="896">
      <c r="A896" s="12">
        <f>CMP!R898</f>
        <v>325.9</v>
      </c>
      <c r="B896" s="12">
        <f>CMP!T898</f>
        <v>330.35</v>
      </c>
    </row>
    <row r="897">
      <c r="A897" s="12">
        <f>CMP!R899</f>
        <v>329.48</v>
      </c>
      <c r="B897" s="12">
        <f>CMP!T899</f>
        <v>336.58</v>
      </c>
    </row>
    <row r="898">
      <c r="A898" s="12">
        <f>CMP!R900</f>
        <v>336.7</v>
      </c>
      <c r="B898" s="12">
        <f>CMP!T900</f>
        <v>333.68</v>
      </c>
    </row>
    <row r="899">
      <c r="A899" s="12">
        <f>CMP!R901</f>
        <v>335.74</v>
      </c>
      <c r="B899" s="12">
        <f>CMP!T901</f>
        <v>330.25</v>
      </c>
    </row>
    <row r="900">
      <c r="A900" s="12">
        <f>CMP!R902</f>
        <v>330.79</v>
      </c>
      <c r="B900" s="12">
        <f>CMP!T902</f>
        <v>332.46</v>
      </c>
    </row>
    <row r="901">
      <c r="A901" s="12">
        <f>CMP!R903</f>
        <v>332.58</v>
      </c>
      <c r="B901" s="12">
        <f>CMP!T903</f>
        <v>331.26</v>
      </c>
    </row>
    <row r="902">
      <c r="A902" s="12">
        <f>CMP!R904</f>
        <v>331.9</v>
      </c>
      <c r="B902" s="12">
        <f>CMP!T904</f>
        <v>336.77</v>
      </c>
    </row>
    <row r="903">
      <c r="A903" s="12">
        <f>CMP!R905</f>
        <v>336.99</v>
      </c>
      <c r="B903" s="12">
        <f>CMP!T905</f>
        <v>336.75</v>
      </c>
    </row>
    <row r="904">
      <c r="A904" s="12">
        <f>CMP!R906</f>
        <v>336.7</v>
      </c>
      <c r="B904" s="12">
        <f>CMP!T906</f>
        <v>331.08</v>
      </c>
    </row>
    <row r="905">
      <c r="A905" s="12">
        <f>CMP!R907</f>
        <v>330.49</v>
      </c>
      <c r="B905" s="12">
        <f>CMP!T907</f>
        <v>336.51</v>
      </c>
    </row>
    <row r="906">
      <c r="A906" s="12">
        <f>CMP!R908</f>
        <v>334.53</v>
      </c>
      <c r="B906" s="12">
        <f>CMP!T908</f>
        <v>329.66</v>
      </c>
    </row>
    <row r="907">
      <c r="A907" s="12">
        <f>CMP!R909</f>
        <v>331.09</v>
      </c>
      <c r="B907" s="12">
        <f>CMP!T909</f>
        <v>332.29</v>
      </c>
    </row>
    <row r="908">
      <c r="A908" s="12">
        <f>CMP!R910</f>
        <v>332.69</v>
      </c>
      <c r="B908" s="12">
        <f>CMP!T910</f>
        <v>339.03</v>
      </c>
    </row>
    <row r="909">
      <c r="A909" s="12">
        <f>CMP!R911</f>
        <v>339.35</v>
      </c>
      <c r="B909" s="12">
        <f>CMP!T911</f>
        <v>340.59</v>
      </c>
    </row>
    <row r="910">
      <c r="A910" s="12">
        <f>CMP!R912</f>
        <v>341.85</v>
      </c>
      <c r="B910" s="12">
        <f>CMP!T912</f>
        <v>343.18</v>
      </c>
    </row>
    <row r="911">
      <c r="A911" s="12">
        <f>CMP!R913</f>
        <v>342.59</v>
      </c>
      <c r="B911" s="12">
        <f>CMP!T913</f>
        <v>341.37</v>
      </c>
    </row>
    <row r="912">
      <c r="A912" s="12">
        <f>CMP!R914</f>
        <v>342.46</v>
      </c>
      <c r="B912" s="12">
        <f>CMP!T914</f>
        <v>355.64</v>
      </c>
    </row>
    <row r="913">
      <c r="A913" s="12">
        <f>CMP!R915</f>
        <v>356.27</v>
      </c>
      <c r="B913" s="12">
        <f>CMP!T915</f>
        <v>351.89</v>
      </c>
    </row>
    <row r="914">
      <c r="A914" s="12">
        <f>CMP!R916</f>
        <v>352.17</v>
      </c>
      <c r="B914" s="12">
        <f>CMP!T916</f>
        <v>347.71</v>
      </c>
    </row>
    <row r="915">
      <c r="A915" s="12">
        <f>CMP!R917</f>
        <v>346.82</v>
      </c>
      <c r="B915" s="12">
        <f>CMP!T917</f>
        <v>354.39</v>
      </c>
    </row>
    <row r="916">
      <c r="A916" s="12">
        <f>CMP!R918</f>
        <v>355.1</v>
      </c>
      <c r="B916" s="12">
        <f>CMP!T918</f>
        <v>354.7</v>
      </c>
    </row>
    <row r="917">
      <c r="A917" s="12">
        <f>CMP!R919</f>
        <v>356.5</v>
      </c>
      <c r="B917" s="12">
        <f>CMP!T919</f>
        <v>352.78</v>
      </c>
    </row>
    <row r="918">
      <c r="A918" s="12">
        <f>CMP!R920</f>
        <v>355.26</v>
      </c>
      <c r="B918" s="12">
        <f>CMP!T920</f>
        <v>350.49</v>
      </c>
    </row>
    <row r="919">
      <c r="A919" s="12">
        <f>CMP!R921</f>
        <v>345.73</v>
      </c>
      <c r="B919" s="12">
        <f>CMP!T921</f>
        <v>345.65</v>
      </c>
    </row>
    <row r="920">
      <c r="A920" s="12">
        <f>CMP!R922</f>
        <v>345.32</v>
      </c>
      <c r="B920" s="12">
        <f>CMP!T922</f>
        <v>350.42</v>
      </c>
    </row>
    <row r="921">
      <c r="A921" s="12">
        <f>CMP!R923</f>
        <v>351.23</v>
      </c>
      <c r="B921" s="12">
        <f>CMP!T923</f>
        <v>353.16</v>
      </c>
    </row>
    <row r="922">
      <c r="A922" s="12">
        <f>CMP!R924</f>
        <v>351.5</v>
      </c>
      <c r="B922" s="12">
        <f>CMP!T924</f>
        <v>352.09</v>
      </c>
    </row>
    <row r="923">
      <c r="A923" s="12">
        <f>CMP!R925</f>
        <v>354.56</v>
      </c>
      <c r="B923" s="12">
        <f>CMP!T925</f>
        <v>347.63</v>
      </c>
    </row>
    <row r="924">
      <c r="A924" s="12">
        <f>CMP!R926</f>
        <v>349.23</v>
      </c>
      <c r="B924" s="12">
        <f>CMP!T926</f>
        <v>344.46</v>
      </c>
    </row>
    <row r="925">
      <c r="A925" s="12">
        <f>CMP!R927</f>
        <v>344.91</v>
      </c>
      <c r="B925" s="12">
        <f>CMP!T927</f>
        <v>341.16</v>
      </c>
    </row>
    <row r="926">
      <c r="A926" s="12">
        <f>CMP!R928</f>
        <v>337.57</v>
      </c>
      <c r="B926" s="12">
        <f>CMP!T928</f>
        <v>336.95</v>
      </c>
    </row>
    <row r="927">
      <c r="A927" s="12">
        <f>CMP!R929</f>
        <v>338.8</v>
      </c>
      <c r="B927" s="12">
        <f>CMP!T929</f>
        <v>341.66</v>
      </c>
    </row>
    <row r="928">
      <c r="A928" s="12">
        <f>CMP!R930</f>
        <v>341.5</v>
      </c>
      <c r="B928" s="12">
        <f>CMP!T930</f>
        <v>346.23</v>
      </c>
    </row>
    <row r="929">
      <c r="A929" s="12">
        <f>CMP!R931</f>
        <v>346.68</v>
      </c>
      <c r="B929" s="12">
        <f>CMP!T931</f>
        <v>351.19</v>
      </c>
    </row>
    <row r="930">
      <c r="A930" s="12">
        <f>CMP!R932</f>
        <v>360.91</v>
      </c>
      <c r="B930" s="12">
        <f>CMP!T932</f>
        <v>369.79</v>
      </c>
    </row>
    <row r="931">
      <c r="A931" s="12">
        <f>CMP!R933</f>
        <v>369.58</v>
      </c>
      <c r="B931" s="12">
        <f>CMP!T933</f>
        <v>372.46</v>
      </c>
    </row>
    <row r="932">
      <c r="A932" s="12">
        <f>CMP!R934</f>
        <v>371.91</v>
      </c>
      <c r="B932" s="12">
        <f>CMP!T934</f>
        <v>367.81</v>
      </c>
    </row>
    <row r="933">
      <c r="A933" s="12">
        <f>CMP!R935</f>
        <v>374.56</v>
      </c>
      <c r="B933" s="12">
        <f>CMP!T935</f>
        <v>373.28</v>
      </c>
    </row>
    <row r="934">
      <c r="A934" s="12">
        <f>CMP!R936</f>
        <v>361</v>
      </c>
      <c r="B934" s="12">
        <f>CMP!T936</f>
        <v>358.32</v>
      </c>
    </row>
    <row r="935">
      <c r="A935" s="12">
        <f>CMP!R937</f>
        <v>354</v>
      </c>
      <c r="B935" s="12">
        <f>CMP!T937</f>
        <v>356.3</v>
      </c>
    </row>
    <row r="936">
      <c r="A936" s="12">
        <f>CMP!R938</f>
        <v>358.1</v>
      </c>
      <c r="B936" s="12">
        <f>CMP!T938</f>
        <v>351.95</v>
      </c>
    </row>
    <row r="937">
      <c r="A937" s="12">
        <f>CMP!R939</f>
        <v>352.73</v>
      </c>
      <c r="B937" s="12">
        <f>CMP!T939</f>
        <v>351.24</v>
      </c>
    </row>
    <row r="938">
      <c r="A938" s="12">
        <f>CMP!R940</f>
        <v>352.42</v>
      </c>
      <c r="B938" s="12">
        <f>CMP!T940</f>
        <v>358.92</v>
      </c>
    </row>
    <row r="939">
      <c r="A939" s="12">
        <f>CMP!R941</f>
        <v>359.64</v>
      </c>
      <c r="B939" s="12">
        <f>CMP!T941</f>
        <v>362.97</v>
      </c>
    </row>
    <row r="940">
      <c r="A940" s="12">
        <f>CMP!R942</f>
        <v>361.4</v>
      </c>
      <c r="B940" s="12">
        <f>CMP!T942</f>
        <v>363.51</v>
      </c>
    </row>
    <row r="941">
      <c r="A941" s="12">
        <f>CMP!R943</f>
        <v>363.76</v>
      </c>
      <c r="B941" s="12">
        <f>CMP!T943</f>
        <v>361.61</v>
      </c>
    </row>
    <row r="942">
      <c r="A942" s="12">
        <f>CMP!R944</f>
        <v>361.83</v>
      </c>
      <c r="B942" s="12">
        <f>CMP!T944</f>
        <v>361.13</v>
      </c>
    </row>
    <row r="943">
      <c r="A943" s="12">
        <f>CMP!R945</f>
        <v>362.1</v>
      </c>
      <c r="B943" s="12">
        <f>CMP!T945</f>
        <v>359.96</v>
      </c>
    </row>
    <row r="944">
      <c r="A944" s="12">
        <f>CMP!R946</f>
        <v>358.45</v>
      </c>
      <c r="B944" s="12">
        <f>CMP!T946</f>
        <v>362.65</v>
      </c>
    </row>
    <row r="945">
      <c r="A945" s="12">
        <f>CMP!R947</f>
        <v>362.97</v>
      </c>
      <c r="B945" s="12">
        <f>CMP!T947</f>
        <v>363.18</v>
      </c>
    </row>
    <row r="946">
      <c r="A946" s="12">
        <f>CMP!R948</f>
        <v>362.52</v>
      </c>
      <c r="B946" s="12">
        <f>CMP!T948</f>
        <v>366.56</v>
      </c>
    </row>
    <row r="947">
      <c r="A947" s="12">
        <f>CMP!R949</f>
        <v>362.98</v>
      </c>
      <c r="B947" s="12">
        <f>CMP!T949</f>
        <v>358.45</v>
      </c>
    </row>
    <row r="948">
      <c r="A948" s="12">
        <f>CMP!R950</f>
        <v>356.25</v>
      </c>
      <c r="B948" s="12">
        <f>CMP!T950</f>
        <v>355.45</v>
      </c>
    </row>
    <row r="949">
      <c r="A949" s="12">
        <f>CMP!R951</f>
        <v>351.35</v>
      </c>
      <c r="B949" s="12">
        <f>CMP!T951</f>
        <v>355.12</v>
      </c>
    </row>
    <row r="950">
      <c r="A950" s="12">
        <f>CMP!R952</f>
        <v>354.6</v>
      </c>
      <c r="B950" s="12">
        <f>CMP!T952</f>
        <v>359.37</v>
      </c>
    </row>
    <row r="951">
      <c r="A951" s="12">
        <f>CMP!R953</f>
        <v>359.44</v>
      </c>
      <c r="B951" s="12">
        <f>CMP!T953</f>
        <v>363.35</v>
      </c>
    </row>
    <row r="952">
      <c r="A952" s="12">
        <f>CMP!R954</f>
        <v>363.66</v>
      </c>
      <c r="B952" s="12">
        <f>CMP!T954</f>
        <v>365.51</v>
      </c>
    </row>
    <row r="953">
      <c r="A953" s="12">
        <f>CMP!R955</f>
        <v>365.6</v>
      </c>
      <c r="B953" s="12">
        <f>CMP!T955</f>
        <v>368.39</v>
      </c>
    </row>
    <row r="954">
      <c r="A954" s="12">
        <f>CMP!R956</f>
        <v>368.38</v>
      </c>
      <c r="B954" s="12">
        <f>CMP!T956</f>
        <v>364.38</v>
      </c>
    </row>
    <row r="955">
      <c r="A955" s="12">
        <f>CMP!R957</f>
        <v>365.1</v>
      </c>
      <c r="B955" s="12">
        <f>CMP!T957</f>
        <v>372.63</v>
      </c>
    </row>
    <row r="956">
      <c r="A956" s="12">
        <f>CMP!R958</f>
        <v>372.56</v>
      </c>
      <c r="B956" s="12">
        <f>CMP!T958</f>
        <v>380.66</v>
      </c>
    </row>
    <row r="957">
      <c r="A957" s="12">
        <f>CMP!R959</f>
        <v>379.95</v>
      </c>
      <c r="B957" s="12">
        <f>CMP!T959</f>
        <v>379.38</v>
      </c>
    </row>
    <row r="958">
      <c r="A958" s="12">
        <f>CMP!R960</f>
        <v>379.59</v>
      </c>
      <c r="B958" s="12">
        <f>CMP!T960</f>
        <v>382.05</v>
      </c>
    </row>
    <row r="959">
      <c r="A959" s="12">
        <f>CMP!R961</f>
        <v>381.5</v>
      </c>
      <c r="B959" s="12">
        <f>CMP!T961</f>
        <v>375.28</v>
      </c>
    </row>
    <row r="960">
      <c r="A960" s="12">
        <f>CMP!R962</f>
        <v>374.75</v>
      </c>
      <c r="B960" s="12">
        <f>CMP!T962</f>
        <v>376.26</v>
      </c>
    </row>
    <row r="961">
      <c r="A961" s="12">
        <f>CMP!R963</f>
        <v>375.88</v>
      </c>
      <c r="B961" s="12">
        <f>CMP!T963</f>
        <v>382.18</v>
      </c>
    </row>
    <row r="962">
      <c r="A962" s="12">
        <f>CMP!R964</f>
        <v>380.16</v>
      </c>
      <c r="B962" s="12">
        <f>CMP!T964</f>
        <v>377.57</v>
      </c>
    </row>
    <row r="963">
      <c r="A963" s="12">
        <f>CMP!R965</f>
        <v>377.64</v>
      </c>
      <c r="B963" s="12">
        <f>CMP!T965</f>
        <v>378</v>
      </c>
    </row>
    <row r="964">
      <c r="A964" s="12">
        <f>CMP!R966</f>
        <v>381.36</v>
      </c>
      <c r="B964" s="12">
        <f>CMP!T966</f>
        <v>378.69</v>
      </c>
    </row>
    <row r="965">
      <c r="A965" s="12">
        <f>CMP!R967</f>
        <v>381.68</v>
      </c>
      <c r="B965" s="12">
        <f>CMP!T967</f>
        <v>376.51</v>
      </c>
    </row>
    <row r="966">
      <c r="A966" s="12">
        <f>CMP!R968</f>
        <v>377.4</v>
      </c>
      <c r="B966" s="12">
        <f>CMP!T968</f>
        <v>376.53</v>
      </c>
    </row>
    <row r="967">
      <c r="A967" s="12">
        <f>CMP!R969</f>
        <v>377</v>
      </c>
      <c r="B967" s="12">
        <f>CMP!T969</f>
        <v>373.92</v>
      </c>
    </row>
    <row r="968">
      <c r="A968" s="12">
        <f>CMP!R970</f>
        <v>372.79</v>
      </c>
      <c r="B968" s="12">
        <f>CMP!T970</f>
        <v>373.06</v>
      </c>
    </row>
    <row r="969">
      <c r="A969" s="12">
        <f>CMP!R971</f>
        <v>371.41</v>
      </c>
      <c r="B969" s="12">
        <f>CMP!T971</f>
        <v>364.72</v>
      </c>
    </row>
    <row r="970">
      <c r="A970" s="12">
        <f>CMP!R972</f>
        <v>359.3</v>
      </c>
      <c r="B970" s="12">
        <f>CMP!T972</f>
        <v>355.7</v>
      </c>
    </row>
    <row r="971">
      <c r="A971" s="12">
        <f>CMP!R973</f>
        <v>358.5</v>
      </c>
      <c r="B971" s="12">
        <f>CMP!T973</f>
        <v>357.48</v>
      </c>
    </row>
    <row r="972">
      <c r="A972" s="12">
        <f>CMP!R974</f>
        <v>347.23</v>
      </c>
      <c r="B972" s="12">
        <f>CMP!T974</f>
        <v>343.21</v>
      </c>
    </row>
    <row r="973">
      <c r="A973" s="12">
        <f>CMP!R975</f>
        <v>345.36</v>
      </c>
      <c r="B973" s="12">
        <f>CMP!T975</f>
        <v>345.96</v>
      </c>
    </row>
    <row r="974">
      <c r="A974" s="12">
        <f>CMP!R976</f>
        <v>343.24</v>
      </c>
      <c r="B974" s="12">
        <f>CMP!T976</f>
        <v>352.96</v>
      </c>
    </row>
    <row r="975">
      <c r="A975" s="12">
        <f>CMP!R977</f>
        <v>349.81</v>
      </c>
      <c r="B975" s="12">
        <f>CMP!T977</f>
        <v>353.58</v>
      </c>
    </row>
    <row r="976">
      <c r="A976" s="12">
        <f>CMP!R978</f>
        <v>347.97</v>
      </c>
      <c r="B976" s="12">
        <f>CMP!T978</f>
        <v>340.65</v>
      </c>
    </row>
    <row r="977">
      <c r="A977" s="12">
        <f>CMP!R979</f>
        <v>343.15</v>
      </c>
      <c r="B977" s="12">
        <f>CMP!T979</f>
        <v>339.61</v>
      </c>
    </row>
    <row r="978">
      <c r="A978" s="12">
        <f>CMP!R980</f>
        <v>340.45</v>
      </c>
      <c r="B978" s="12">
        <f>CMP!T980</f>
        <v>339.39</v>
      </c>
    </row>
    <row r="979">
      <c r="A979" s="12">
        <f>CMP!R981</f>
        <v>341.61</v>
      </c>
      <c r="B979" s="12">
        <f>CMP!T981</f>
        <v>343.01</v>
      </c>
    </row>
    <row r="980">
      <c r="A980" s="12">
        <f>CMP!R982</f>
        <v>335.53</v>
      </c>
      <c r="B980" s="12">
        <f>CMP!T982</f>
        <v>326.23</v>
      </c>
    </row>
    <row r="981">
      <c r="A981" s="12">
        <f>CMP!R983</f>
        <v>328.58</v>
      </c>
      <c r="B981" s="12">
        <f>CMP!T983</f>
        <v>332.96</v>
      </c>
    </row>
    <row r="982">
      <c r="A982" s="12">
        <f>CMP!R984</f>
        <v>329.74</v>
      </c>
      <c r="B982" s="12">
        <f>CMP!T984</f>
        <v>333.64</v>
      </c>
    </row>
    <row r="983">
      <c r="A983" s="12">
        <f>CMP!R985</f>
        <v>337</v>
      </c>
      <c r="B983" s="12">
        <f>CMP!T985</f>
        <v>329.22</v>
      </c>
    </row>
    <row r="984">
      <c r="A984" s="12">
        <f>CMP!R986</f>
        <v>331.51</v>
      </c>
      <c r="B984" s="12">
        <f>CMP!T986</f>
        <v>330.05</v>
      </c>
    </row>
    <row r="985">
      <c r="A985" s="12">
        <f>CMP!R987</f>
        <v>327.63</v>
      </c>
      <c r="B985" s="12">
        <f>CMP!T987</f>
        <v>325.45</v>
      </c>
    </row>
    <row r="986">
      <c r="A986" s="12">
        <f>CMP!R988</f>
        <v>323.03</v>
      </c>
      <c r="B986" s="12">
        <f>CMP!T988</f>
        <v>323.77</v>
      </c>
    </row>
    <row r="987">
      <c r="A987" s="12">
        <f>CMP!R989</f>
        <v>326.97</v>
      </c>
      <c r="B987" s="12">
        <f>CMP!T989</f>
        <v>324.54</v>
      </c>
    </row>
    <row r="988">
      <c r="A988" s="12">
        <f>CMP!R990</f>
        <v>328.36</v>
      </c>
      <c r="B988" s="12">
        <f>CMP!T990</f>
        <v>328.53</v>
      </c>
    </row>
    <row r="989">
      <c r="A989" s="12">
        <f>CMP!R991</f>
        <v>328.68</v>
      </c>
      <c r="B989" s="12">
        <f>CMP!T991</f>
        <v>324.76</v>
      </c>
    </row>
    <row r="990">
      <c r="A990" s="12">
        <f>CMP!R992</f>
        <v>328.95</v>
      </c>
      <c r="B990" s="12">
        <f>CMP!T992</f>
        <v>335.34</v>
      </c>
    </row>
    <row r="991">
      <c r="A991" s="12">
        <f>CMP!R993</f>
        <v>339.65</v>
      </c>
      <c r="B991" s="12">
        <f>CMP!T993</f>
        <v>339.99</v>
      </c>
    </row>
    <row r="992">
      <c r="A992" s="12">
        <f>CMP!R994</f>
        <v>343.45</v>
      </c>
      <c r="B992" s="12">
        <f>CMP!T994</f>
        <v>340.78</v>
      </c>
    </row>
    <row r="993">
      <c r="A993" s="12">
        <f>CMP!R995</f>
        <v>340.28</v>
      </c>
      <c r="B993" s="12">
        <f>CMP!T995</f>
        <v>341.88</v>
      </c>
    </row>
    <row r="994">
      <c r="A994" s="12">
        <f>CMP!R996</f>
        <v>326.35</v>
      </c>
      <c r="B994" s="12">
        <f>CMP!T996</f>
        <v>324.61</v>
      </c>
    </row>
    <row r="995">
      <c r="A995" s="12">
        <f>CMP!R997</f>
        <v>320.3</v>
      </c>
      <c r="B995" s="12">
        <f>CMP!T997</f>
        <v>328.69</v>
      </c>
    </row>
    <row r="996">
      <c r="A996" s="12">
        <f>CMP!R998</f>
        <v>328.26</v>
      </c>
      <c r="B996" s="12">
        <f>CMP!T998</f>
        <v>315.81</v>
      </c>
    </row>
    <row r="997">
      <c r="A997" s="12">
        <f>CMP!R999</f>
        <v>314.19</v>
      </c>
      <c r="B997" s="12">
        <f>CMP!T999</f>
        <v>312.22</v>
      </c>
    </row>
    <row r="998">
      <c r="A998" s="12">
        <f>CMP!R1000</f>
        <v>312.99</v>
      </c>
      <c r="B998" s="12">
        <f>CMP!T1000</f>
        <v>316.92</v>
      </c>
    </row>
    <row r="999">
      <c r="A999" s="12">
        <f>CMP!R1001</f>
        <v>320.19</v>
      </c>
      <c r="B999" s="12">
        <f>CMP!T1001</f>
        <v>323.57</v>
      </c>
    </row>
    <row r="1000">
      <c r="A1000" s="12">
        <f>CMP!R1002</f>
        <v>326.04</v>
      </c>
      <c r="B1000" s="12">
        <f>CMP!T1002</f>
        <v>329.98</v>
      </c>
    </row>
    <row r="1001">
      <c r="A1001" s="12">
        <f>CMP!R1003</f>
        <v>331.38</v>
      </c>
      <c r="B1001" s="12">
        <f>CMP!T1003</f>
        <v>328.08</v>
      </c>
    </row>
    <row r="1002">
      <c r="A1002" s="12">
        <f>CMP!R1004</f>
        <v>327.49</v>
      </c>
      <c r="B1002" s="12">
        <f>CMP!T1004</f>
        <v>331.62</v>
      </c>
    </row>
    <row r="1003">
      <c r="A1003" s="12">
        <f>CMP!R1005</f>
        <v>334.01</v>
      </c>
      <c r="B1003" s="12">
        <f>CMP!T1005</f>
        <v>335.85</v>
      </c>
    </row>
    <row r="1004">
      <c r="A1004" s="12">
        <f>CMP!R1006</f>
        <v>340.31</v>
      </c>
      <c r="B1004" s="12">
        <f>CMP!T1006</f>
        <v>341.13</v>
      </c>
    </row>
    <row r="1005">
      <c r="A1005" s="12">
        <f>CMP!R1007</f>
        <v>344.42</v>
      </c>
      <c r="B1005" s="12">
        <f>CMP!T1007</f>
        <v>338.62</v>
      </c>
    </row>
    <row r="1006">
      <c r="A1006" s="12">
        <f>CMP!R1008</f>
        <v>340</v>
      </c>
      <c r="B1006" s="12">
        <f>CMP!T1008</f>
        <v>335.37</v>
      </c>
    </row>
    <row r="1007">
      <c r="A1007" s="12">
        <f>CMP!R1009</f>
        <v>332.49</v>
      </c>
      <c r="B1007" s="12">
        <f>CMP!T1009</f>
        <v>327.64</v>
      </c>
    </row>
    <row r="1008">
      <c r="A1008" s="12">
        <f>CMP!R1010</f>
        <v>329.82</v>
      </c>
      <c r="B1008" s="12">
        <f>CMP!T1010</f>
        <v>327.74</v>
      </c>
    </row>
    <row r="1009">
      <c r="A1009" s="12">
        <f>CMP!R1011</f>
        <v>330.18</v>
      </c>
      <c r="B1009" s="12">
        <f>CMP!T1011</f>
        <v>340.89</v>
      </c>
    </row>
    <row r="1010">
      <c r="A1010" s="12">
        <f>CMP!R1012</f>
        <v>344.34</v>
      </c>
      <c r="B1010" s="12">
        <f>CMP!T1012</f>
        <v>347.56</v>
      </c>
    </row>
    <row r="1011">
      <c r="A1011" s="12">
        <f>CMP!R1013</f>
        <v>343.83</v>
      </c>
      <c r="B1011" s="12">
        <f>CMP!T1013</f>
        <v>342.96</v>
      </c>
    </row>
    <row r="1012">
      <c r="A1012" s="12">
        <f>CMP!R1014</f>
        <v>344.24</v>
      </c>
      <c r="B1012" s="12">
        <f>CMP!T1014</f>
        <v>340.77</v>
      </c>
    </row>
    <row r="1013">
      <c r="A1013" s="12">
        <f>CMP!R1015</f>
        <v>339.72</v>
      </c>
      <c r="B1013" s="12">
        <f>CMP!T1015</f>
        <v>338.69</v>
      </c>
    </row>
    <row r="1014">
      <c r="A1014" s="12">
        <f>CMP!R1016</f>
        <v>342.2</v>
      </c>
      <c r="B1014" s="12">
        <f>CMP!T1016</f>
        <v>345.3</v>
      </c>
    </row>
    <row r="1015">
      <c r="A1015" s="12">
        <f>CMP!R1017</f>
        <v>349.05</v>
      </c>
      <c r="B1015" s="12">
        <f>CMP!T1017</f>
        <v>341.01</v>
      </c>
    </row>
    <row r="1016">
      <c r="A1016" s="12">
        <f>CMP!R1018</f>
        <v>338.93</v>
      </c>
      <c r="B1016" s="12">
        <f>CMP!T1018</f>
        <v>337.25</v>
      </c>
    </row>
    <row r="1017">
      <c r="A1017" s="12">
        <f>CMP!R1019</f>
        <v>336</v>
      </c>
      <c r="B1017" s="12">
        <f>CMP!T1019</f>
        <v>341.06</v>
      </c>
    </row>
    <row r="1018">
      <c r="A1018" s="12">
        <f>CMP!R1020</f>
        <v>335.8</v>
      </c>
      <c r="B1018" s="12">
        <f>CMP!T1020</f>
        <v>333.12</v>
      </c>
    </row>
    <row r="1019">
      <c r="A1019" s="12">
        <f>CMP!R1021</f>
        <v>336.89</v>
      </c>
      <c r="B1019" s="12">
        <f>CMP!T1021</f>
        <v>338.03</v>
      </c>
    </row>
    <row r="1020">
      <c r="A1020" s="12">
        <f>CMP!R1022</f>
        <v>335</v>
      </c>
      <c r="B1020" s="12">
        <f>CMP!T1022</f>
        <v>324.46</v>
      </c>
    </row>
    <row r="1021">
      <c r="A1021" s="12">
        <f>CMP!R1023</f>
        <v>330.29</v>
      </c>
      <c r="B1021" s="12">
        <f>CMP!T1023</f>
        <v>310.6</v>
      </c>
    </row>
    <row r="1022">
      <c r="A1022" s="12">
        <f>CMP!R1024</f>
        <v>311.4</v>
      </c>
      <c r="B1022" s="12">
        <f>CMP!T1024</f>
        <v>310.39</v>
      </c>
    </row>
    <row r="1023">
      <c r="A1023" s="12">
        <f>CMP!R1025</f>
        <v>313.73</v>
      </c>
      <c r="B1023" s="12">
        <f>CMP!T1025</f>
        <v>306.84</v>
      </c>
    </row>
    <row r="1024">
      <c r="A1024" s="12">
        <f>CMP!R1026</f>
        <v>308.13</v>
      </c>
      <c r="B1024" s="12">
        <f>CMP!T1026</f>
        <v>317.87</v>
      </c>
    </row>
    <row r="1025">
      <c r="A1025" s="12">
        <f>CMP!R1027</f>
        <v>321.57</v>
      </c>
      <c r="B1025" s="12">
        <f>CMP!T1027</f>
        <v>322.81</v>
      </c>
    </row>
    <row r="1026">
      <c r="A1026" s="12">
        <f>CMP!R1028</f>
        <v>325</v>
      </c>
      <c r="B1026" s="12">
        <f>CMP!T1028</f>
        <v>330.56</v>
      </c>
    </row>
    <row r="1027">
      <c r="A1027" s="12">
        <f>CMP!R1029</f>
        <v>329.54</v>
      </c>
      <c r="B1027" s="12">
        <f>CMP!T1029</f>
        <v>329.82</v>
      </c>
    </row>
    <row r="1028">
      <c r="A1028" s="12">
        <f>CMP!R1030</f>
        <v>332.56</v>
      </c>
      <c r="B1028" s="12">
        <f>CMP!T1030</f>
        <v>329.75</v>
      </c>
    </row>
    <row r="1029">
      <c r="A1029" s="12">
        <f>CMP!R1031</f>
        <v>330.95</v>
      </c>
      <c r="B1029" s="12">
        <f>CMP!T1031</f>
        <v>334.49</v>
      </c>
    </row>
    <row r="1030">
      <c r="A1030" s="12">
        <f>CMP!R1032</f>
        <v>328.05</v>
      </c>
      <c r="B1030" s="12">
        <f>CMP!T1032</f>
        <v>333.74</v>
      </c>
    </row>
    <row r="1031">
      <c r="A1031" s="12">
        <f>CMP!R1033</f>
        <v>332.49</v>
      </c>
      <c r="B1031" s="12">
        <f>CMP!T1033</f>
        <v>341.66</v>
      </c>
    </row>
    <row r="1032">
      <c r="A1032" s="12">
        <f>CMP!R1034</f>
        <v>338.98</v>
      </c>
      <c r="B1032" s="12">
        <f>CMP!T1034</f>
        <v>334.9</v>
      </c>
    </row>
    <row r="1033">
      <c r="A1033" s="12">
        <f>CMP!R1035</f>
        <v>332.8</v>
      </c>
      <c r="B1033" s="12">
        <f>CMP!T1035</f>
        <v>333.79</v>
      </c>
    </row>
    <row r="1034">
      <c r="A1034" s="12" t="str">
        <f>CMP!R1036</f>
        <v/>
      </c>
      <c r="B1034" s="12" t="str">
        <f>CMP!T1036</f>
        <v/>
      </c>
    </row>
    <row r="1035">
      <c r="A1035" s="12" t="str">
        <f>CMP!R1037</f>
        <v/>
      </c>
      <c r="B1035" s="12" t="str">
        <f>CMP!T1037</f>
        <v/>
      </c>
    </row>
    <row r="1036">
      <c r="A1036" s="12" t="str">
        <f>CMP!R1038</f>
        <v/>
      </c>
      <c r="B1036" s="12" t="str">
        <f>CMP!T1038</f>
        <v/>
      </c>
    </row>
    <row r="1037">
      <c r="A1037" s="12" t="str">
        <f>CMP!R1039</f>
        <v/>
      </c>
      <c r="B1037" s="12" t="str">
        <f>CMP!T1039</f>
        <v/>
      </c>
    </row>
    <row r="1038">
      <c r="A1038" s="12" t="str">
        <f>CMP!R1040</f>
        <v/>
      </c>
      <c r="B1038" s="12" t="str">
        <f>CMP!T1040</f>
        <v/>
      </c>
    </row>
    <row r="1039">
      <c r="A1039" s="12" t="str">
        <f>CMP!R1041</f>
        <v/>
      </c>
      <c r="B1039" s="12" t="str">
        <f>CMP!T1041</f>
        <v/>
      </c>
    </row>
    <row r="1040">
      <c r="A1040" s="12" t="str">
        <f>CMP!R1042</f>
        <v/>
      </c>
      <c r="B1040" s="12" t="str">
        <f>CMP!T1042</f>
        <v/>
      </c>
    </row>
    <row r="1041">
      <c r="A1041" s="12" t="str">
        <f>CMP!R1043</f>
        <v/>
      </c>
      <c r="B1041" s="12" t="str">
        <f>CMP!T1043</f>
        <v/>
      </c>
    </row>
    <row r="1042">
      <c r="A1042" s="12" t="str">
        <f>CMP!R1044</f>
        <v/>
      </c>
      <c r="B1042" s="12" t="str">
        <f>CMP!T1044</f>
        <v/>
      </c>
    </row>
    <row r="1043">
      <c r="A1043" s="12" t="str">
        <f>CMP!R1045</f>
        <v/>
      </c>
      <c r="B1043" s="12" t="str">
        <f>CMP!T1045</f>
        <v/>
      </c>
    </row>
    <row r="1044">
      <c r="A1044" s="12" t="str">
        <f>CMP!R1046</f>
        <v/>
      </c>
      <c r="B1044" s="12" t="str">
        <f>CMP!T1046</f>
        <v/>
      </c>
    </row>
    <row r="1045">
      <c r="A1045" s="12" t="str">
        <f>CMP!R1047</f>
        <v/>
      </c>
      <c r="B1045" s="12" t="str">
        <f>CMP!T1047</f>
        <v/>
      </c>
    </row>
    <row r="1046">
      <c r="A1046" s="12" t="str">
        <f>CMP!R1048</f>
        <v/>
      </c>
      <c r="B1046" s="12" t="str">
        <f>CMP!T1048</f>
        <v/>
      </c>
    </row>
    <row r="1047">
      <c r="A1047" s="12" t="str">
        <f>CMP!R1049</f>
        <v/>
      </c>
      <c r="B1047" s="12" t="str">
        <f>CMP!T1049</f>
        <v/>
      </c>
    </row>
    <row r="1048">
      <c r="A1048" s="12" t="str">
        <f>CMP!R1050</f>
        <v/>
      </c>
      <c r="B1048" s="12" t="str">
        <f>CMP!T1050</f>
        <v/>
      </c>
    </row>
    <row r="1049">
      <c r="A1049" s="12" t="str">
        <f>CMP!R1051</f>
        <v/>
      </c>
      <c r="B1049" s="12" t="str">
        <f>CMP!T1051</f>
        <v/>
      </c>
    </row>
    <row r="1050">
      <c r="A1050" s="12" t="str">
        <f>CMP!R1052</f>
        <v/>
      </c>
      <c r="B1050" s="12" t="str">
        <f>CMP!T1052</f>
        <v/>
      </c>
    </row>
    <row r="1051">
      <c r="A1051" s="12" t="str">
        <f>CMP!R1053</f>
        <v/>
      </c>
      <c r="B1051" s="12" t="str">
        <f>CMP!T1053</f>
        <v/>
      </c>
    </row>
    <row r="1052">
      <c r="A1052" s="12" t="str">
        <f>CMP!R1054</f>
        <v/>
      </c>
      <c r="B1052" s="12" t="str">
        <f>CMP!T1054</f>
        <v/>
      </c>
    </row>
    <row r="1053">
      <c r="A1053" s="12" t="str">
        <f>CMP!R1055</f>
        <v/>
      </c>
      <c r="B1053" s="12" t="str">
        <f>CMP!T1055</f>
        <v/>
      </c>
    </row>
    <row r="1054">
      <c r="A1054" s="12" t="str">
        <f>CMP!R1056</f>
        <v/>
      </c>
      <c r="B1054" s="12" t="str">
        <f>CMP!T1056</f>
        <v/>
      </c>
    </row>
    <row r="1055">
      <c r="A1055" s="12" t="str">
        <f>CMP!R1057</f>
        <v/>
      </c>
      <c r="B1055" s="12" t="str">
        <f>CMP!T1057</f>
        <v/>
      </c>
    </row>
    <row r="1056">
      <c r="A1056" s="12" t="str">
        <f>CMP!R1058</f>
        <v/>
      </c>
      <c r="B1056" s="12" t="str">
        <f>CMP!T1058</f>
        <v/>
      </c>
    </row>
    <row r="1057">
      <c r="A1057" s="12" t="str">
        <f>CMP!R1059</f>
        <v/>
      </c>
      <c r="B1057" s="12" t="str">
        <f>CMP!T1059</f>
        <v/>
      </c>
    </row>
    <row r="1058">
      <c r="A1058" s="12" t="str">
        <f>CMP!R1060</f>
        <v/>
      </c>
    </row>
    <row r="1059">
      <c r="A1059" s="12" t="str">
        <f>CMP!R1061</f>
        <v/>
      </c>
    </row>
    <row r="1060">
      <c r="A1060" s="12" t="str">
        <f>CMP!R1062</f>
        <v/>
      </c>
    </row>
    <row r="1061">
      <c r="A1061" s="12" t="str">
        <f>CMP!R1063</f>
        <v/>
      </c>
    </row>
    <row r="1062">
      <c r="A1062" s="12" t="str">
        <f>CMP!R1064</f>
        <v/>
      </c>
    </row>
    <row r="1063">
      <c r="A1063" s="12" t="str">
        <f>CMP!R1065</f>
        <v/>
      </c>
    </row>
    <row r="1064">
      <c r="A1064" s="12" t="str">
        <f>CMP!R1066</f>
        <v/>
      </c>
    </row>
    <row r="1065">
      <c r="A1065" s="12" t="str">
        <f>CMP!R1067</f>
        <v/>
      </c>
    </row>
    <row r="1066">
      <c r="A1066" s="12" t="str">
        <f>CMP!R1068</f>
        <v/>
      </c>
    </row>
    <row r="1067">
      <c r="A1067" s="12" t="str">
        <f>CMP!R1069</f>
        <v/>
      </c>
    </row>
    <row r="1068">
      <c r="A1068" s="12" t="str">
        <f>CMP!R1070</f>
        <v/>
      </c>
    </row>
    <row r="1069">
      <c r="A1069" s="12" t="str">
        <f>CMP!R1071</f>
        <v/>
      </c>
    </row>
    <row r="1070">
      <c r="A1070" s="12" t="str">
        <f>CMP!R1072</f>
        <v/>
      </c>
    </row>
    <row r="1071">
      <c r="A1071" s="12" t="str">
        <f>CMP!R1073</f>
        <v/>
      </c>
    </row>
    <row r="1072">
      <c r="A1072" s="12" t="str">
        <f>CMP!R1074</f>
        <v/>
      </c>
    </row>
    <row r="1073">
      <c r="A1073" s="12" t="str">
        <f>CMP!R1075</f>
        <v/>
      </c>
    </row>
    <row r="1074">
      <c r="A1074" s="12" t="str">
        <f>CMP!R1076</f>
        <v/>
      </c>
    </row>
    <row r="1075">
      <c r="A1075" s="12" t="str">
        <f>CMP!R1077</f>
        <v/>
      </c>
    </row>
    <row r="1076">
      <c r="A1076" s="12" t="str">
        <f>CMP!R1078</f>
        <v/>
      </c>
    </row>
    <row r="1077">
      <c r="A1077" s="12" t="str">
        <f>CMP!R1079</f>
        <v/>
      </c>
    </row>
    <row r="1078">
      <c r="A1078" s="12" t="str">
        <f>CMP!R1080</f>
        <v/>
      </c>
    </row>
    <row r="1079">
      <c r="A1079" s="12" t="str">
        <f>CMP!R1081</f>
        <v/>
      </c>
    </row>
    <row r="1080">
      <c r="A1080" s="12" t="str">
        <f>CMP!R1082</f>
        <v/>
      </c>
    </row>
    <row r="1081">
      <c r="A1081" s="12" t="str">
        <f>CMP!R1083</f>
        <v/>
      </c>
    </row>
    <row r="1082">
      <c r="A1082" s="12" t="str">
        <f>CMP!R1084</f>
        <v/>
      </c>
    </row>
    <row r="1083">
      <c r="A1083" s="12" t="str">
        <f>CMP!R1085</f>
        <v/>
      </c>
    </row>
    <row r="1084">
      <c r="A1084" s="12" t="str">
        <f>CMP!R1086</f>
        <v/>
      </c>
    </row>
    <row r="1085">
      <c r="A1085" s="12" t="str">
        <f>CMP!R1087</f>
        <v/>
      </c>
    </row>
    <row r="1086">
      <c r="A1086" s="12" t="str">
        <f>CMP!R1088</f>
        <v/>
      </c>
    </row>
    <row r="1087">
      <c r="A1087" s="12" t="str">
        <f>CMP!R1089</f>
        <v/>
      </c>
    </row>
    <row r="1088">
      <c r="A1088" s="12" t="str">
        <f>CMP!R1090</f>
        <v/>
      </c>
    </row>
    <row r="1089">
      <c r="A1089" s="12" t="str">
        <f>CMP!R1091</f>
        <v/>
      </c>
    </row>
    <row r="1090">
      <c r="A1090" s="12" t="str">
        <f>CMP!R1092</f>
        <v/>
      </c>
    </row>
    <row r="1091">
      <c r="A1091" s="12" t="str">
        <f>CMP!R1093</f>
        <v/>
      </c>
    </row>
    <row r="1092">
      <c r="A1092" s="12" t="str">
        <f>CMP!R1094</f>
        <v/>
      </c>
    </row>
    <row r="1093">
      <c r="A1093" s="12" t="str">
        <f>CMP!R1095</f>
        <v/>
      </c>
    </row>
    <row r="1094">
      <c r="A1094" s="12" t="str">
        <f>CMP!R1096</f>
        <v/>
      </c>
    </row>
    <row r="1095">
      <c r="A1095" s="12" t="str">
        <f>CMP!R1097</f>
        <v/>
      </c>
    </row>
    <row r="1096">
      <c r="A1096" s="12" t="str">
        <f>CMP!R1098</f>
        <v/>
      </c>
    </row>
    <row r="1097">
      <c r="A1097" s="12" t="str">
        <f>CMP!R1099</f>
        <v/>
      </c>
    </row>
    <row r="1098">
      <c r="A1098" s="12" t="str">
        <f>CMP!R1100</f>
        <v/>
      </c>
    </row>
    <row r="1099">
      <c r="A1099" s="12" t="str">
        <f>CMP!R1101</f>
        <v/>
      </c>
    </row>
    <row r="1100">
      <c r="A1100" s="12" t="str">
        <f>CMP!R1102</f>
        <v/>
      </c>
    </row>
    <row r="1101">
      <c r="A1101" s="12" t="str">
        <f>CMP!R1103</f>
        <v/>
      </c>
    </row>
    <row r="1102">
      <c r="A1102" s="12" t="str">
        <f>CMP!R1104</f>
        <v/>
      </c>
    </row>
    <row r="1103">
      <c r="A1103" s="12" t="str">
        <f>CMP!R1105</f>
        <v/>
      </c>
    </row>
    <row r="1104">
      <c r="A1104" s="12" t="str">
        <f>CMP!R1106</f>
        <v/>
      </c>
    </row>
    <row r="1105">
      <c r="A1105" s="12" t="str">
        <f>CMP!R1107</f>
        <v/>
      </c>
    </row>
    <row r="1106">
      <c r="A1106" s="12" t="str">
        <f>CMP!R1108</f>
        <v/>
      </c>
    </row>
    <row r="1107">
      <c r="A1107" s="12" t="str">
        <f>CMP!R1109</f>
        <v/>
      </c>
    </row>
    <row r="1108">
      <c r="A1108" s="12" t="str">
        <f>CMP!R1110</f>
        <v/>
      </c>
    </row>
    <row r="1109">
      <c r="A1109" s="12" t="str">
        <f>CMP!R1111</f>
        <v/>
      </c>
    </row>
    <row r="1110">
      <c r="A1110" s="12" t="str">
        <f>CMP!R1112</f>
        <v/>
      </c>
    </row>
    <row r="1111">
      <c r="A1111" s="12" t="str">
        <f>CMP!R1113</f>
        <v/>
      </c>
    </row>
    <row r="1112">
      <c r="A1112" s="12" t="str">
        <f>CMP!R1114</f>
        <v/>
      </c>
    </row>
    <row r="1113">
      <c r="A1113" s="12" t="str">
        <f>CMP!R1115</f>
        <v/>
      </c>
    </row>
    <row r="1114">
      <c r="A1114" s="12" t="str">
        <f>CMP!R1116</f>
        <v/>
      </c>
    </row>
    <row r="1115">
      <c r="A1115" s="12" t="str">
        <f>CMP!R1117</f>
        <v/>
      </c>
    </row>
    <row r="1116">
      <c r="A1116" s="12" t="str">
        <f>CMP!R1118</f>
        <v/>
      </c>
    </row>
    <row r="1117">
      <c r="A1117" s="12" t="str">
        <f>CMP!R1119</f>
        <v/>
      </c>
    </row>
    <row r="1118">
      <c r="A1118" s="12" t="str">
        <f>CMP!R1120</f>
        <v/>
      </c>
    </row>
    <row r="1119">
      <c r="A1119" s="12" t="str">
        <f>CMP!R1121</f>
        <v/>
      </c>
    </row>
    <row r="1120">
      <c r="A1120" s="12" t="str">
        <f>CMP!R1122</f>
        <v/>
      </c>
    </row>
    <row r="1121">
      <c r="A1121" s="12" t="str">
        <f>CMP!R1123</f>
        <v/>
      </c>
    </row>
    <row r="1122">
      <c r="A1122" s="12" t="str">
        <f>CMP!R1124</f>
        <v/>
      </c>
    </row>
    <row r="1123">
      <c r="A1123" s="12" t="str">
        <f>CMP!R1125</f>
        <v/>
      </c>
    </row>
    <row r="1124">
      <c r="A1124" s="12" t="str">
        <f>CMP!R1126</f>
        <v/>
      </c>
    </row>
    <row r="1125">
      <c r="A1125" s="12" t="str">
        <f>CMP!R1127</f>
        <v/>
      </c>
    </row>
    <row r="1126">
      <c r="A1126" s="12" t="str">
        <f>CMP!R1128</f>
        <v/>
      </c>
    </row>
    <row r="1127">
      <c r="A1127" s="12" t="str">
        <f>CMP!R1129</f>
        <v/>
      </c>
    </row>
    <row r="1128">
      <c r="A1128" s="12" t="str">
        <f>CMP!R1130</f>
        <v/>
      </c>
    </row>
    <row r="1129">
      <c r="A1129" s="12" t="str">
        <f>CMP!R1131</f>
        <v/>
      </c>
    </row>
    <row r="1130">
      <c r="A1130" s="12" t="str">
        <f>CMP!R1132</f>
        <v/>
      </c>
    </row>
    <row r="1131">
      <c r="A1131" s="12" t="str">
        <f>CMP!R1133</f>
        <v/>
      </c>
    </row>
    <row r="1132">
      <c r="A1132" s="12" t="str">
        <f>CMP!R1134</f>
        <v/>
      </c>
    </row>
    <row r="1133">
      <c r="A1133" s="12" t="str">
        <f>CMP!R1135</f>
        <v/>
      </c>
    </row>
    <row r="1134">
      <c r="A1134" s="12" t="str">
        <f>CMP!R1136</f>
        <v/>
      </c>
    </row>
    <row r="1135">
      <c r="A1135" s="12" t="str">
        <f>CMP!R1137</f>
        <v/>
      </c>
    </row>
    <row r="1136">
      <c r="A1136" s="12" t="str">
        <f>CMP!R1138</f>
        <v/>
      </c>
    </row>
    <row r="1137">
      <c r="A1137" s="12" t="str">
        <f>CMP!R1139</f>
        <v/>
      </c>
    </row>
    <row r="1138">
      <c r="A1138" s="12" t="str">
        <f>CMP!R1140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CMP!W4</f>
        <v>191.12</v>
      </c>
      <c r="B2" s="12">
        <f>CMP!Y4</f>
        <v>195.08</v>
      </c>
    </row>
    <row r="3">
      <c r="A3" s="12">
        <f>CMP!W5</f>
        <v>193.64</v>
      </c>
      <c r="B3" s="12">
        <f>CMP!Y5</f>
        <v>195.71</v>
      </c>
    </row>
    <row r="4">
      <c r="A4" s="12">
        <f>CMP!W6</f>
        <v>194.54</v>
      </c>
      <c r="B4" s="12">
        <f>CMP!Y6</f>
        <v>192.12</v>
      </c>
    </row>
    <row r="5">
      <c r="A5" s="12">
        <f>CMP!W7</f>
        <v>194.33</v>
      </c>
      <c r="B5" s="12">
        <f>CMP!Y7</f>
        <v>195.51</v>
      </c>
    </row>
    <row r="6">
      <c r="A6" s="12">
        <f>CMP!W8</f>
        <v>195.74</v>
      </c>
      <c r="B6" s="12">
        <f>CMP!Y8</f>
        <v>193.2</v>
      </c>
    </row>
    <row r="7">
      <c r="A7" s="12">
        <f>CMP!W9</f>
        <v>193.3</v>
      </c>
      <c r="B7" s="12">
        <f>CMP!Y9</f>
        <v>194.1</v>
      </c>
    </row>
    <row r="8">
      <c r="A8" s="12">
        <f>CMP!W10</f>
        <v>195.04</v>
      </c>
      <c r="B8" s="12">
        <f>CMP!Y10</f>
        <v>196.23</v>
      </c>
    </row>
    <row r="9">
      <c r="A9" s="12">
        <f>CMP!W11</f>
        <v>196.58</v>
      </c>
      <c r="B9" s="12">
        <f>CMP!Y11</f>
        <v>196.32</v>
      </c>
    </row>
    <row r="10">
      <c r="A10" s="12">
        <f>CMP!W12</f>
        <v>196.65</v>
      </c>
      <c r="B10" s="12">
        <f>CMP!Y12</f>
        <v>195.75</v>
      </c>
    </row>
    <row r="11">
      <c r="A11" s="12">
        <f>CMP!W13</f>
        <v>195.56</v>
      </c>
      <c r="B11" s="12">
        <f>CMP!Y13</f>
        <v>195.05</v>
      </c>
    </row>
    <row r="12">
      <c r="A12" s="12">
        <f>CMP!W14</f>
        <v>195.34</v>
      </c>
      <c r="B12" s="12">
        <f>CMP!Y14</f>
        <v>199.18</v>
      </c>
    </row>
    <row r="13">
      <c r="A13" s="12">
        <f>CMP!W15</f>
        <v>198.91</v>
      </c>
      <c r="B13" s="12">
        <f>CMP!Y15</f>
        <v>188.15</v>
      </c>
    </row>
    <row r="14">
      <c r="A14" s="12">
        <f>CMP!W16</f>
        <v>190.31</v>
      </c>
      <c r="B14" s="12">
        <f>CMP!Y16</f>
        <v>187.58</v>
      </c>
    </row>
    <row r="15">
      <c r="A15" s="12">
        <f>CMP!W17</f>
        <v>186.99</v>
      </c>
      <c r="B15" s="12">
        <f>CMP!Y17</f>
        <v>186.82</v>
      </c>
    </row>
    <row r="16">
      <c r="A16" s="12">
        <f>CMP!W18</f>
        <v>189.36</v>
      </c>
      <c r="B16" s="12">
        <f>CMP!Y18</f>
        <v>184.04</v>
      </c>
    </row>
    <row r="17">
      <c r="A17" s="12">
        <f>CMP!W19</f>
        <v>183.5</v>
      </c>
      <c r="B17" s="12">
        <f>CMP!Y19</f>
        <v>184.21</v>
      </c>
    </row>
    <row r="18">
      <c r="A18" s="12">
        <f>CMP!W20</f>
        <v>183.38</v>
      </c>
      <c r="B18" s="12">
        <f>CMP!Y20</f>
        <v>185.3</v>
      </c>
    </row>
    <row r="19">
      <c r="A19" s="12">
        <f>CMP!W21</f>
        <v>185.71</v>
      </c>
      <c r="B19" s="12">
        <f>CMP!Y21</f>
        <v>185.2</v>
      </c>
    </row>
    <row r="20">
      <c r="A20" s="12">
        <f>CMP!W22</f>
        <v>186.5</v>
      </c>
      <c r="B20" s="12">
        <f>CMP!Y22</f>
        <v>188.54</v>
      </c>
    </row>
    <row r="21">
      <c r="A21" s="12">
        <f>CMP!W23</f>
        <v>187.85</v>
      </c>
      <c r="B21" s="12">
        <f>CMP!Y23</f>
        <v>186.22</v>
      </c>
    </row>
    <row r="22">
      <c r="A22" s="12">
        <f>CMP!W24</f>
        <v>186.01</v>
      </c>
      <c r="B22" s="12">
        <f>CMP!Y24</f>
        <v>185.73</v>
      </c>
    </row>
    <row r="23">
      <c r="A23" s="12">
        <f>CMP!W25</f>
        <v>186.1</v>
      </c>
      <c r="B23" s="12">
        <f>CMP!Y25</f>
        <v>187.86</v>
      </c>
    </row>
    <row r="24">
      <c r="A24" s="12">
        <f>CMP!W26</f>
        <v>187.98</v>
      </c>
      <c r="B24" s="12">
        <f>CMP!Y26</f>
        <v>189.56</v>
      </c>
    </row>
    <row r="25">
      <c r="A25" s="12">
        <f>CMP!W27</f>
        <v>189.61</v>
      </c>
      <c r="B25" s="12">
        <f>CMP!Y27</f>
        <v>190.12</v>
      </c>
    </row>
    <row r="26">
      <c r="A26" s="12">
        <f>CMP!W28</f>
        <v>191.2</v>
      </c>
      <c r="B26" s="12">
        <f>CMP!Y28</f>
        <v>190.42</v>
      </c>
    </row>
    <row r="27">
      <c r="A27" s="12">
        <f>CMP!W29</f>
        <v>190.18</v>
      </c>
      <c r="B27" s="12">
        <f>CMP!Y29</f>
        <v>187.02</v>
      </c>
    </row>
    <row r="28">
      <c r="A28" s="12">
        <f>CMP!W30</f>
        <v>187.94</v>
      </c>
      <c r="B28" s="12">
        <f>CMP!Y30</f>
        <v>188.82</v>
      </c>
    </row>
    <row r="29">
      <c r="A29" s="12">
        <f>CMP!W31</f>
        <v>189.44</v>
      </c>
      <c r="B29" s="12">
        <f>CMP!Y31</f>
        <v>188.62</v>
      </c>
    </row>
    <row r="30">
      <c r="A30" s="12">
        <f>CMP!W32</f>
        <v>188.33</v>
      </c>
      <c r="B30" s="12">
        <f>CMP!Y32</f>
        <v>189.94</v>
      </c>
    </row>
    <row r="31">
      <c r="A31" s="12">
        <f>CMP!W33</f>
        <v>189.78</v>
      </c>
      <c r="B31" s="12">
        <f>CMP!Y33</f>
        <v>187.76</v>
      </c>
    </row>
    <row r="32">
      <c r="A32" s="12">
        <f>CMP!W34</f>
        <v>187.8</v>
      </c>
      <c r="B32" s="12">
        <f>CMP!Y34</f>
        <v>186.24</v>
      </c>
    </row>
    <row r="33">
      <c r="A33" s="12">
        <f>CMP!W35</f>
        <v>187.18</v>
      </c>
      <c r="B33" s="12">
        <f>CMP!Y35</f>
        <v>192.71</v>
      </c>
    </row>
    <row r="34">
      <c r="A34" s="12">
        <f>CMP!W36</f>
        <v>192.51</v>
      </c>
      <c r="B34" s="12">
        <f>CMP!Y36</f>
        <v>191.96</v>
      </c>
    </row>
    <row r="35">
      <c r="A35" s="12">
        <f>CMP!W37</f>
        <v>196.1</v>
      </c>
      <c r="B35" s="12">
        <f>CMP!Y37</f>
        <v>201.07</v>
      </c>
    </row>
    <row r="36">
      <c r="A36" s="12">
        <f>CMP!W38</f>
        <v>202.05</v>
      </c>
      <c r="B36" s="12">
        <f>CMP!Y38</f>
        <v>205.05</v>
      </c>
    </row>
    <row r="37">
      <c r="A37" s="12">
        <f>CMP!W39</f>
        <v>206.2</v>
      </c>
      <c r="B37" s="12">
        <f>CMP!Y39</f>
        <v>205.63</v>
      </c>
    </row>
    <row r="38">
      <c r="A38" s="12">
        <f>CMP!W40</f>
        <v>207.25</v>
      </c>
      <c r="B38" s="12">
        <f>CMP!Y40</f>
        <v>209.99</v>
      </c>
    </row>
    <row r="39">
      <c r="A39" s="12">
        <f>CMP!W41</f>
        <v>210.02</v>
      </c>
      <c r="B39" s="12">
        <f>CMP!Y41</f>
        <v>212.05</v>
      </c>
    </row>
    <row r="40">
      <c r="A40" s="12">
        <f>CMP!W42</f>
        <v>212.11</v>
      </c>
      <c r="B40" s="12">
        <f>CMP!Y42</f>
        <v>209.31</v>
      </c>
    </row>
    <row r="41">
      <c r="A41" s="12">
        <f>CMP!W43</f>
        <v>207.57</v>
      </c>
      <c r="B41" s="12">
        <f>CMP!Y43</f>
        <v>212.52</v>
      </c>
    </row>
    <row r="42">
      <c r="A42" s="12">
        <f>CMP!W44</f>
        <v>214.29</v>
      </c>
      <c r="B42" s="12">
        <f>CMP!Y44</f>
        <v>217.24</v>
      </c>
    </row>
    <row r="43">
      <c r="A43" s="12">
        <f>CMP!W45</f>
        <v>217.18</v>
      </c>
      <c r="B43" s="12">
        <f>CMP!Y45</f>
        <v>221.23</v>
      </c>
    </row>
    <row r="44">
      <c r="A44" s="12">
        <f>CMP!W46</f>
        <v>224.24</v>
      </c>
      <c r="B44" s="12">
        <f>CMP!Y46</f>
        <v>221.53</v>
      </c>
    </row>
    <row r="45">
      <c r="A45" s="12">
        <f>CMP!W47</f>
        <v>221</v>
      </c>
      <c r="B45" s="12">
        <f>CMP!Y47</f>
        <v>217.5</v>
      </c>
    </row>
    <row r="46">
      <c r="A46" s="12">
        <f>CMP!W48</f>
        <v>220.34</v>
      </c>
      <c r="B46" s="12">
        <f>CMP!Y48</f>
        <v>220.33</v>
      </c>
    </row>
    <row r="47">
      <c r="A47" s="12">
        <f>CMP!W49</f>
        <v>222.75</v>
      </c>
      <c r="B47" s="12">
        <f>CMP!Y49</f>
        <v>220.46</v>
      </c>
    </row>
    <row r="48">
      <c r="A48" s="12">
        <f>CMP!W50</f>
        <v>222</v>
      </c>
      <c r="B48" s="12">
        <f>CMP!Y50</f>
        <v>227.58</v>
      </c>
    </row>
    <row r="49">
      <c r="A49" s="12">
        <f>CMP!W51</f>
        <v>255.05</v>
      </c>
      <c r="B49" s="12">
        <f>CMP!Y51</f>
        <v>250.29</v>
      </c>
    </row>
    <row r="50">
      <c r="A50" s="12">
        <f>CMP!W52</f>
        <v>250.88</v>
      </c>
      <c r="B50" s="12">
        <f>CMP!Y52</f>
        <v>261.3</v>
      </c>
    </row>
    <row r="51">
      <c r="A51" s="12">
        <f>CMP!W53</f>
        <v>263</v>
      </c>
      <c r="B51" s="12">
        <f>CMP!Y53</f>
        <v>269.7</v>
      </c>
    </row>
    <row r="52">
      <c r="A52" s="12">
        <f>CMP!W54</f>
        <v>271.49</v>
      </c>
      <c r="B52" s="12">
        <f>CMP!Y54</f>
        <v>274.6</v>
      </c>
    </row>
    <row r="53">
      <c r="A53" s="12">
        <f>CMP!W55</f>
        <v>274.2</v>
      </c>
      <c r="B53" s="12">
        <f>CMP!Y55</f>
        <v>284.59</v>
      </c>
    </row>
    <row r="54">
      <c r="A54" s="12">
        <f>CMP!W56</f>
        <v>277</v>
      </c>
      <c r="B54" s="12">
        <f>CMP!Y56</f>
        <v>278.8</v>
      </c>
    </row>
    <row r="55">
      <c r="A55" s="12">
        <f>CMP!W57</f>
        <v>281.94</v>
      </c>
      <c r="B55" s="12">
        <f>CMP!Y57</f>
        <v>270.3</v>
      </c>
    </row>
    <row r="56">
      <c r="A56" s="12">
        <f>CMP!W58</f>
        <v>266.41</v>
      </c>
      <c r="B56" s="12">
        <f>CMP!Y58</f>
        <v>265.07</v>
      </c>
    </row>
    <row r="57">
      <c r="A57" s="12">
        <f>CMP!W59</f>
        <v>263</v>
      </c>
      <c r="B57" s="12">
        <f>CMP!Y59</f>
        <v>267.43</v>
      </c>
    </row>
    <row r="58">
      <c r="A58" s="12">
        <f>CMP!W60</f>
        <v>262</v>
      </c>
      <c r="B58" s="12">
        <f>CMP!Y60</f>
        <v>254.26</v>
      </c>
    </row>
    <row r="59">
      <c r="A59" s="12">
        <f>CMP!W61</f>
        <v>247.7</v>
      </c>
      <c r="B59" s="12">
        <f>CMP!Y61</f>
        <v>265.72</v>
      </c>
    </row>
    <row r="60">
      <c r="A60" s="12">
        <f>CMP!W62</f>
        <v>266.58</v>
      </c>
      <c r="B60" s="12">
        <f>CMP!Y62</f>
        <v>264.56</v>
      </c>
    </row>
    <row r="61">
      <c r="A61" s="12">
        <f>CMP!W63</f>
        <v>267.08</v>
      </c>
      <c r="B61" s="12">
        <f>CMP!Y63</f>
        <v>250.1</v>
      </c>
    </row>
    <row r="62">
      <c r="A62" s="12">
        <f>CMP!W64</f>
        <v>253.85</v>
      </c>
      <c r="B62" s="12">
        <f>CMP!Y64</f>
        <v>249.47</v>
      </c>
    </row>
    <row r="63">
      <c r="A63" s="12">
        <f>CMP!W65</f>
        <v>252.14</v>
      </c>
      <c r="B63" s="12">
        <f>CMP!Y65</f>
        <v>257.95</v>
      </c>
    </row>
    <row r="64">
      <c r="A64" s="12">
        <f>CMP!W66</f>
        <v>257.29</v>
      </c>
      <c r="B64" s="12">
        <f>CMP!Y66</f>
        <v>258.27</v>
      </c>
    </row>
    <row r="65">
      <c r="A65" s="12">
        <f>CMP!W67</f>
        <v>260.47</v>
      </c>
      <c r="B65" s="12">
        <f>CMP!Y67</f>
        <v>266</v>
      </c>
    </row>
    <row r="66">
      <c r="A66" s="12">
        <f>CMP!W68</f>
        <v>270.03</v>
      </c>
      <c r="B66" s="12">
        <f>CMP!Y68</f>
        <v>280.27</v>
      </c>
    </row>
    <row r="67">
      <c r="A67" s="12">
        <f>CMP!W69</f>
        <v>278.73</v>
      </c>
      <c r="B67" s="12">
        <f>CMP!Y69</f>
        <v>278.52</v>
      </c>
    </row>
    <row r="68">
      <c r="A68" s="12">
        <f>CMP!W70</f>
        <v>277.74</v>
      </c>
      <c r="B68" s="12">
        <f>CMP!Y70</f>
        <v>278.55</v>
      </c>
    </row>
    <row r="69">
      <c r="A69" s="12">
        <f>CMP!W71</f>
        <v>282.07</v>
      </c>
      <c r="B69" s="12">
        <f>CMP!Y71</f>
        <v>281.04</v>
      </c>
    </row>
    <row r="70">
      <c r="A70" s="12">
        <f>CMP!W72</f>
        <v>283.88</v>
      </c>
      <c r="B70" s="12">
        <f>CMP!Y72</f>
        <v>278.14</v>
      </c>
    </row>
    <row r="71">
      <c r="A71" s="12">
        <f>CMP!W73</f>
        <v>281</v>
      </c>
      <c r="B71" s="12">
        <f>CMP!Y73</f>
        <v>285.93</v>
      </c>
    </row>
    <row r="72">
      <c r="A72" s="12">
        <f>CMP!W74</f>
        <v>288.75</v>
      </c>
      <c r="B72" s="12">
        <f>CMP!Y74</f>
        <v>294.16</v>
      </c>
    </row>
    <row r="73">
      <c r="A73" s="12">
        <f>CMP!W75</f>
        <v>294.77</v>
      </c>
      <c r="B73" s="12">
        <f>CMP!Y75</f>
        <v>290.61</v>
      </c>
    </row>
    <row r="74">
      <c r="A74" s="12">
        <f>CMP!W76</f>
        <v>293.1</v>
      </c>
      <c r="B74" s="12">
        <f>CMP!Y76</f>
        <v>291.38</v>
      </c>
    </row>
    <row r="75">
      <c r="A75" s="12">
        <f>CMP!W77</f>
        <v>292.75</v>
      </c>
      <c r="B75" s="12">
        <f>CMP!Y77</f>
        <v>290.39</v>
      </c>
    </row>
    <row r="76">
      <c r="A76" s="12">
        <f>CMP!W78</f>
        <v>284.65</v>
      </c>
      <c r="B76" s="12">
        <f>CMP!Y78</f>
        <v>301.05</v>
      </c>
    </row>
    <row r="77">
      <c r="A77" s="12">
        <f>CMP!W79</f>
        <v>302.85</v>
      </c>
      <c r="B77" s="12">
        <f>CMP!Y79</f>
        <v>315</v>
      </c>
    </row>
    <row r="78">
      <c r="A78" s="12">
        <f>CMP!W80</f>
        <v>319.88</v>
      </c>
      <c r="B78" s="12">
        <f>CMP!Y80</f>
        <v>325.22</v>
      </c>
    </row>
    <row r="79">
      <c r="A79" s="12">
        <f>CMP!W81</f>
        <v>320</v>
      </c>
      <c r="B79" s="12">
        <f>CMP!Y81</f>
        <v>321.16</v>
      </c>
    </row>
    <row r="80">
      <c r="A80" s="12">
        <f>CMP!W82</f>
        <v>322.2</v>
      </c>
      <c r="B80" s="12">
        <f>CMP!Y82</f>
        <v>317</v>
      </c>
    </row>
    <row r="81">
      <c r="A81" s="12">
        <f>CMP!W83</f>
        <v>321.33</v>
      </c>
      <c r="B81" s="12">
        <f>CMP!Y83</f>
        <v>331.44</v>
      </c>
    </row>
    <row r="82">
      <c r="A82" s="12">
        <f>CMP!W84</f>
        <v>333.56</v>
      </c>
      <c r="B82" s="12">
        <f>CMP!Y84</f>
        <v>321.3</v>
      </c>
    </row>
    <row r="83">
      <c r="A83" s="12">
        <f>CMP!W85</f>
        <v>323.87</v>
      </c>
      <c r="B83" s="12">
        <f>CMP!Y85</f>
        <v>315.88</v>
      </c>
    </row>
    <row r="84">
      <c r="A84" s="12">
        <f>CMP!W86</f>
        <v>318.16</v>
      </c>
      <c r="B84" s="12">
        <f>CMP!Y86</f>
        <v>321.55</v>
      </c>
    </row>
    <row r="85">
      <c r="A85" s="12">
        <f>CMP!W87</f>
        <v>323.17</v>
      </c>
      <c r="B85" s="12">
        <f>CMP!Y87</f>
        <v>321.09</v>
      </c>
    </row>
    <row r="86">
      <c r="A86" s="12">
        <f>CMP!W88</f>
        <v>321.42</v>
      </c>
      <c r="B86" s="12">
        <f>CMP!Y88</f>
        <v>318.45</v>
      </c>
    </row>
    <row r="87">
      <c r="A87" s="12">
        <f>CMP!W89</f>
        <v>315.8</v>
      </c>
      <c r="B87" s="12">
        <f>CMP!Y89</f>
        <v>313.48</v>
      </c>
    </row>
    <row r="88">
      <c r="A88" s="12">
        <f>CMP!W90</f>
        <v>313.26</v>
      </c>
      <c r="B88" s="12">
        <f>CMP!Y90</f>
        <v>317.5</v>
      </c>
    </row>
    <row r="89">
      <c r="A89" s="12">
        <f>CMP!W91</f>
        <v>316.35</v>
      </c>
      <c r="B89" s="12">
        <f>CMP!Y91</f>
        <v>316.48</v>
      </c>
    </row>
    <row r="90">
      <c r="A90" s="12">
        <f>CMP!W92</f>
        <v>313.07</v>
      </c>
      <c r="B90" s="12">
        <f>CMP!Y92</f>
        <v>306.7</v>
      </c>
    </row>
    <row r="91">
      <c r="A91" s="12">
        <f>CMP!W93</f>
        <v>307.41</v>
      </c>
      <c r="B91" s="12">
        <f>CMP!Y93</f>
        <v>300.94</v>
      </c>
    </row>
    <row r="92">
      <c r="A92" s="12">
        <f>CMP!W94</f>
        <v>309.36</v>
      </c>
      <c r="B92" s="12">
        <f>CMP!Y94</f>
        <v>320.35</v>
      </c>
    </row>
    <row r="93">
      <c r="A93" s="12">
        <f>CMP!W95</f>
        <v>322.49</v>
      </c>
      <c r="B93" s="12">
        <f>CMP!Y95</f>
        <v>300.69</v>
      </c>
    </row>
    <row r="94">
      <c r="A94" s="12">
        <f>CMP!W96</f>
        <v>298.39</v>
      </c>
      <c r="B94" s="12">
        <f>CMP!Y96</f>
        <v>285.77</v>
      </c>
    </row>
    <row r="95">
      <c r="A95" s="12">
        <f>CMP!W97</f>
        <v>287</v>
      </c>
      <c r="B95" s="12">
        <f>CMP!Y97</f>
        <v>295.35</v>
      </c>
    </row>
    <row r="96">
      <c r="A96" s="12">
        <f>CMP!W98</f>
        <v>291.94</v>
      </c>
      <c r="B96" s="12">
        <f>CMP!Y98</f>
        <v>280.29</v>
      </c>
    </row>
    <row r="97">
      <c r="A97" s="12">
        <f>CMP!W99</f>
        <v>285.45</v>
      </c>
      <c r="B97" s="12">
        <f>CMP!Y99</f>
        <v>283.67</v>
      </c>
    </row>
    <row r="98">
      <c r="A98" s="12">
        <f>CMP!W100</f>
        <v>273.63</v>
      </c>
      <c r="B98" s="12">
        <f>CMP!Y100</f>
        <v>288.94</v>
      </c>
    </row>
    <row r="99">
      <c r="A99" s="12">
        <f>CMP!W101</f>
        <v>293.15</v>
      </c>
      <c r="B99" s="12">
        <f>CMP!Y101</f>
        <v>293.97</v>
      </c>
    </row>
    <row r="100">
      <c r="A100" s="12">
        <f>CMP!W102</f>
        <v>289.1</v>
      </c>
      <c r="B100" s="12">
        <f>CMP!Y102</f>
        <v>288.85</v>
      </c>
    </row>
    <row r="101">
      <c r="A101" s="12">
        <f>CMP!W103</f>
        <v>291.77</v>
      </c>
      <c r="B101" s="12">
        <f>CMP!Y103</f>
        <v>289.93</v>
      </c>
    </row>
    <row r="102">
      <c r="A102" s="12">
        <f>CMP!W104</f>
        <v>297.68</v>
      </c>
      <c r="B102" s="12">
        <f>CMP!Y104</f>
        <v>298.07</v>
      </c>
    </row>
    <row r="103">
      <c r="A103" s="12">
        <f>CMP!W105</f>
        <v>302.88</v>
      </c>
      <c r="B103" s="12">
        <f>CMP!Y105</f>
        <v>303.67</v>
      </c>
    </row>
    <row r="104">
      <c r="A104" s="12">
        <f>CMP!W106</f>
        <v>309.72</v>
      </c>
      <c r="B104" s="12">
        <f>CMP!Y106</f>
        <v>309.25</v>
      </c>
    </row>
    <row r="105">
      <c r="A105" s="12">
        <f>CMP!W107</f>
        <v>317.29</v>
      </c>
      <c r="B105" s="12">
        <f>CMP!Y107</f>
        <v>311.65</v>
      </c>
    </row>
    <row r="106">
      <c r="A106" s="12">
        <f>CMP!W108</f>
        <v>315.99</v>
      </c>
      <c r="B106" s="12">
        <f>CMP!Y108</f>
        <v>307.78</v>
      </c>
    </row>
    <row r="107">
      <c r="A107" s="12">
        <f>CMP!W109</f>
        <v>329.66</v>
      </c>
      <c r="B107" s="12">
        <f>CMP!Y109</f>
        <v>336.06</v>
      </c>
    </row>
    <row r="108">
      <c r="A108" s="12">
        <f>CMP!W110</f>
        <v>336.3</v>
      </c>
      <c r="B108" s="12">
        <f>CMP!Y110</f>
        <v>334.52</v>
      </c>
    </row>
    <row r="109">
      <c r="A109" s="12">
        <f>CMP!W111</f>
        <v>332.88</v>
      </c>
      <c r="B109" s="12">
        <f>CMP!Y111</f>
        <v>332.7</v>
      </c>
    </row>
    <row r="110">
      <c r="A110" s="12">
        <f>CMP!W112</f>
        <v>332.22</v>
      </c>
      <c r="B110" s="12">
        <f>CMP!Y112</f>
        <v>327.77</v>
      </c>
    </row>
    <row r="111">
      <c r="A111" s="12">
        <f>CMP!W113</f>
        <v>329.15</v>
      </c>
      <c r="B111" s="12">
        <f>CMP!Y113</f>
        <v>318.69</v>
      </c>
    </row>
    <row r="112">
      <c r="A112" s="12">
        <f>CMP!W114</f>
        <v>319.22</v>
      </c>
      <c r="B112" s="12">
        <f>CMP!Y114</f>
        <v>307.02</v>
      </c>
    </row>
    <row r="113">
      <c r="A113" s="12">
        <f>CMP!W115</f>
        <v>306.37</v>
      </c>
      <c r="B113" s="12">
        <f>CMP!Y115</f>
        <v>305.76</v>
      </c>
    </row>
    <row r="114">
      <c r="A114" s="12">
        <f>CMP!W116</f>
        <v>310</v>
      </c>
      <c r="B114" s="12">
        <f>CMP!Y116</f>
        <v>313.98</v>
      </c>
    </row>
    <row r="115">
      <c r="A115" s="12">
        <f>CMP!W117</f>
        <v>316.25</v>
      </c>
      <c r="B115" s="12">
        <f>CMP!Y117</f>
        <v>311.76</v>
      </c>
    </row>
    <row r="116">
      <c r="A116" s="12">
        <f>CMP!W118</f>
        <v>311.07</v>
      </c>
      <c r="B116" s="12">
        <f>CMP!Y118</f>
        <v>312.46</v>
      </c>
    </row>
    <row r="117">
      <c r="A117" s="12">
        <f>CMP!W119</f>
        <v>310.36</v>
      </c>
      <c r="B117" s="12">
        <f>CMP!Y119</f>
        <v>313.3</v>
      </c>
    </row>
    <row r="118">
      <c r="A118" s="12">
        <f>CMP!W120</f>
        <v>311.65</v>
      </c>
      <c r="B118" s="12">
        <f>CMP!Y120</f>
        <v>313.36</v>
      </c>
    </row>
    <row r="119">
      <c r="A119" s="12">
        <f>CMP!W121</f>
        <v>312.59</v>
      </c>
      <c r="B119" s="12">
        <f>CMP!Y121</f>
        <v>311.69</v>
      </c>
    </row>
    <row r="120">
      <c r="A120" s="12">
        <f>CMP!W122</f>
        <v>308.71</v>
      </c>
      <c r="B120" s="12">
        <f>CMP!Y122</f>
        <v>320.09</v>
      </c>
    </row>
    <row r="121">
      <c r="A121" s="12">
        <f>CMP!W123</f>
        <v>321.99</v>
      </c>
      <c r="B121" s="12">
        <f>CMP!Y123</f>
        <v>326.26</v>
      </c>
    </row>
    <row r="122">
      <c r="A122" s="12">
        <f>CMP!W124</f>
        <v>325.9</v>
      </c>
      <c r="B122" s="12">
        <f>CMP!Y124</f>
        <v>326.89</v>
      </c>
    </row>
    <row r="123">
      <c r="A123" s="12">
        <f>CMP!W125</f>
        <v>328.79</v>
      </c>
      <c r="B123" s="12">
        <f>CMP!Y125</f>
        <v>330.3</v>
      </c>
    </row>
    <row r="124">
      <c r="A124" s="12">
        <f>CMP!W126</f>
        <v>331.5</v>
      </c>
      <c r="B124" s="12">
        <f>CMP!Y126</f>
        <v>329.6</v>
      </c>
    </row>
    <row r="125">
      <c r="A125" s="12">
        <f>CMP!W127</f>
        <v>329.65</v>
      </c>
      <c r="B125" s="12">
        <f>CMP!Y127</f>
        <v>326.46</v>
      </c>
    </row>
    <row r="126">
      <c r="A126" s="12">
        <f>CMP!W128</f>
        <v>327.25</v>
      </c>
      <c r="B126" s="12">
        <f>CMP!Y128</f>
        <v>328.53</v>
      </c>
    </row>
    <row r="127">
      <c r="A127" s="12">
        <f>CMP!W129</f>
        <v>325.94</v>
      </c>
      <c r="B127" s="12">
        <f>CMP!Y129</f>
        <v>326.13</v>
      </c>
    </row>
    <row r="128">
      <c r="A128" s="12">
        <f>CMP!W130</f>
        <v>326.28</v>
      </c>
      <c r="B128" s="12">
        <f>CMP!Y130</f>
        <v>328.19</v>
      </c>
    </row>
    <row r="129">
      <c r="A129" s="12">
        <f>CMP!W131</f>
        <v>327.53</v>
      </c>
      <c r="B129" s="12">
        <f>CMP!Y131</f>
        <v>325.22</v>
      </c>
    </row>
    <row r="130">
      <c r="A130" s="12">
        <f>CMP!W132</f>
        <v>324.9</v>
      </c>
      <c r="B130" s="12">
        <f>CMP!Y132</f>
        <v>324.18</v>
      </c>
    </row>
    <row r="131">
      <c r="A131" s="12">
        <f>CMP!W133</f>
        <v>327.11</v>
      </c>
      <c r="B131" s="12">
        <f>CMP!Y133</f>
        <v>331.82</v>
      </c>
    </row>
    <row r="132">
      <c r="A132" s="12">
        <f>CMP!W134</f>
        <v>334.05</v>
      </c>
      <c r="B132" s="12">
        <f>CMP!Y134</f>
        <v>331.62</v>
      </c>
    </row>
    <row r="133">
      <c r="A133" s="12">
        <f>CMP!W135</f>
        <v>329.04</v>
      </c>
      <c r="B133" s="12">
        <f>CMP!Y135</f>
        <v>344.72</v>
      </c>
    </row>
    <row r="134">
      <c r="A134" s="12">
        <f>CMP!W136</f>
        <v>344.34</v>
      </c>
      <c r="B134" s="12">
        <f>CMP!Y136</f>
        <v>349.29</v>
      </c>
    </row>
    <row r="135">
      <c r="A135" s="12">
        <f>CMP!W137</f>
        <v>349.9</v>
      </c>
      <c r="B135" s="12">
        <f>CMP!Y137</f>
        <v>351.29</v>
      </c>
    </row>
    <row r="136">
      <c r="A136" s="12">
        <f>CMP!W138</f>
        <v>351.5</v>
      </c>
      <c r="B136" s="12">
        <f>CMP!Y138</f>
        <v>349.73</v>
      </c>
    </row>
    <row r="137">
      <c r="A137" s="12">
        <f>CMP!W139</f>
        <v>352.37</v>
      </c>
      <c r="B137" s="12">
        <f>CMP!Y139</f>
        <v>353.54</v>
      </c>
    </row>
    <row r="138">
      <c r="A138" s="12">
        <f>CMP!W140</f>
        <v>352.37</v>
      </c>
      <c r="B138" s="12">
        <f>CMP!Y140</f>
        <v>353.54</v>
      </c>
    </row>
    <row r="139">
      <c r="A139" s="12">
        <f>CMP!W141</f>
        <v>353.88</v>
      </c>
      <c r="B139" s="12">
        <f>CMP!Y141</f>
        <v>359.93</v>
      </c>
    </row>
    <row r="140">
      <c r="A140" s="12">
        <f>CMP!W142</f>
        <v>362.68</v>
      </c>
      <c r="B140" s="12">
        <f>CMP!Y142</f>
        <v>361.81</v>
      </c>
    </row>
    <row r="141">
      <c r="A141" s="12">
        <f>CMP!W143</f>
        <v>363.32</v>
      </c>
      <c r="B141" s="12">
        <f>CMP!Y143</f>
        <v>365.8</v>
      </c>
    </row>
    <row r="142">
      <c r="A142" s="12">
        <f>CMP!W144</f>
        <v>367.78</v>
      </c>
      <c r="B142" s="12">
        <f>CMP!Y144</f>
        <v>367.45</v>
      </c>
    </row>
    <row r="143">
      <c r="A143" s="12">
        <f>CMP!W145</f>
        <v>368.54</v>
      </c>
      <c r="B143" s="12">
        <f>CMP!Y145</f>
        <v>361.4</v>
      </c>
    </row>
    <row r="144">
      <c r="A144" s="12">
        <f>CMP!W146</f>
        <v>358.06</v>
      </c>
      <c r="B144" s="12">
        <f>CMP!Y146</f>
        <v>360.57</v>
      </c>
    </row>
    <row r="145">
      <c r="A145" s="12">
        <f>CMP!W147</f>
        <v>361.88</v>
      </c>
      <c r="B145" s="12">
        <f>CMP!Y147</f>
        <v>361.45</v>
      </c>
    </row>
    <row r="146">
      <c r="A146" s="12">
        <f>CMP!W148</f>
        <v>363.6</v>
      </c>
      <c r="B146" s="12">
        <f>CMP!Y148</f>
        <v>363.83</v>
      </c>
    </row>
    <row r="147">
      <c r="A147" s="12">
        <f>CMP!W149</f>
        <v>367.53</v>
      </c>
      <c r="B147" s="12">
        <f>CMP!Y149</f>
        <v>379.93</v>
      </c>
    </row>
    <row r="148">
      <c r="A148" s="12">
        <f>CMP!W150</f>
        <v>384.27</v>
      </c>
      <c r="B148" s="12">
        <f>CMP!Y150</f>
        <v>392.87</v>
      </c>
    </row>
    <row r="149">
      <c r="A149" s="12">
        <f>CMP!W151</f>
        <v>390.71</v>
      </c>
      <c r="B149" s="12">
        <f>CMP!Y151</f>
        <v>391.98</v>
      </c>
    </row>
    <row r="150">
      <c r="A150" s="12">
        <f>CMP!W152</f>
        <v>387.72</v>
      </c>
      <c r="B150" s="12">
        <f>CMP!Y152</f>
        <v>390.4</v>
      </c>
    </row>
    <row r="151">
      <c r="A151" s="12">
        <f>CMP!W153</f>
        <v>389.5</v>
      </c>
      <c r="B151" s="12">
        <f>CMP!Y153</f>
        <v>404.98</v>
      </c>
    </row>
    <row r="152">
      <c r="A152" s="12">
        <f>CMP!W154</f>
        <v>415.15</v>
      </c>
      <c r="B152" s="12">
        <f>CMP!Y154</f>
        <v>416.76</v>
      </c>
    </row>
    <row r="153">
      <c r="A153" s="12">
        <f>CMP!W155</f>
        <v>421.38</v>
      </c>
      <c r="B153" s="12">
        <f>CMP!Y155</f>
        <v>415.44</v>
      </c>
    </row>
    <row r="154">
      <c r="A154" s="12">
        <f>CMP!W156</f>
        <v>419.98</v>
      </c>
      <c r="B154" s="12">
        <f>CMP!Y156</f>
        <v>411.09</v>
      </c>
    </row>
    <row r="155">
      <c r="A155" s="12">
        <f>CMP!W157</f>
        <v>404.69</v>
      </c>
      <c r="B155" s="12">
        <f>CMP!Y157</f>
        <v>384.48</v>
      </c>
    </row>
    <row r="156">
      <c r="A156" s="12">
        <f>CMP!W158</f>
        <v>393.28</v>
      </c>
      <c r="B156" s="12">
        <f>CMP!Y158</f>
        <v>399.39</v>
      </c>
    </row>
    <row r="157">
      <c r="A157" s="12">
        <f>CMP!W159</f>
        <v>407.56</v>
      </c>
      <c r="B157" s="12">
        <f>CMP!Y159</f>
        <v>390.39</v>
      </c>
    </row>
    <row r="158">
      <c r="A158" s="12">
        <f>CMP!W160</f>
        <v>395</v>
      </c>
      <c r="B158" s="12">
        <f>CMP!Y160</f>
        <v>395.42</v>
      </c>
    </row>
    <row r="159">
      <c r="A159" s="12">
        <f>CMP!W161</f>
        <v>399.19</v>
      </c>
      <c r="B159" s="12">
        <f>CMP!Y161</f>
        <v>391.43</v>
      </c>
    </row>
    <row r="160">
      <c r="A160" s="12">
        <f>CMP!W162</f>
        <v>385.45</v>
      </c>
      <c r="B160" s="12">
        <f>CMP!Y162</f>
        <v>398.18</v>
      </c>
    </row>
    <row r="161">
      <c r="A161" s="12">
        <f>CMP!W163</f>
        <v>399.49</v>
      </c>
      <c r="B161" s="12">
        <f>CMP!Y163</f>
        <v>390.52</v>
      </c>
    </row>
    <row r="162">
      <c r="A162" s="12">
        <f>CMP!W164</f>
        <v>393.8</v>
      </c>
      <c r="B162" s="12">
        <f>CMP!Y164</f>
        <v>398.39</v>
      </c>
    </row>
    <row r="163">
      <c r="A163" s="12">
        <f>CMP!W165</f>
        <v>397.45</v>
      </c>
      <c r="B163" s="12">
        <f>CMP!Y165</f>
        <v>408.25</v>
      </c>
    </row>
    <row r="164">
      <c r="A164" s="12">
        <f>CMP!W166</f>
        <v>415.95</v>
      </c>
      <c r="B164" s="12">
        <f>CMP!Y166</f>
        <v>418.97</v>
      </c>
    </row>
    <row r="165">
      <c r="A165" s="12">
        <f>CMP!W167</f>
        <v>417.24</v>
      </c>
      <c r="B165" s="12">
        <f>CMP!Y167</f>
        <v>415.63</v>
      </c>
    </row>
    <row r="166">
      <c r="A166" s="12">
        <f>CMP!W168</f>
        <v>411.34</v>
      </c>
      <c r="B166" s="12">
        <f>CMP!Y168</f>
        <v>418.65</v>
      </c>
    </row>
    <row r="167">
      <c r="A167" s="12">
        <f>CMP!W169</f>
        <v>415.16</v>
      </c>
      <c r="B167" s="12">
        <f>CMP!Y169</f>
        <v>413.5</v>
      </c>
    </row>
    <row r="168">
      <c r="A168" s="12">
        <f>CMP!W170</f>
        <v>409.19</v>
      </c>
      <c r="B168" s="12">
        <f>CMP!Y170</f>
        <v>395.8</v>
      </c>
    </row>
    <row r="169">
      <c r="A169" s="12">
        <f>CMP!W171</f>
        <v>398.98</v>
      </c>
      <c r="B169" s="12">
        <f>CMP!Y171</f>
        <v>400.48</v>
      </c>
    </row>
    <row r="170">
      <c r="A170" s="12">
        <f>CMP!W172</f>
        <v>346.95</v>
      </c>
      <c r="B170" s="12">
        <f>CMP!Y172</f>
        <v>379.48</v>
      </c>
    </row>
    <row r="171">
      <c r="A171" s="12">
        <f>CMP!W173</f>
        <v>381.24</v>
      </c>
      <c r="B171" s="12">
        <f>CMP!Y173</f>
        <v>375.13</v>
      </c>
    </row>
    <row r="172">
      <c r="A172" s="12">
        <f>CMP!W174</f>
        <v>371.06</v>
      </c>
      <c r="B172" s="12">
        <f>CMP!Y174</f>
        <v>364.23</v>
      </c>
    </row>
    <row r="173">
      <c r="A173" s="12">
        <f>CMP!W175</f>
        <v>364.92</v>
      </c>
      <c r="B173" s="12">
        <f>CMP!Y175</f>
        <v>361.05</v>
      </c>
    </row>
    <row r="174">
      <c r="A174" s="12">
        <f>CMP!W176</f>
        <v>359.15</v>
      </c>
      <c r="B174" s="12">
        <f>CMP!Y176</f>
        <v>362.66</v>
      </c>
    </row>
    <row r="175">
      <c r="A175" s="12">
        <f>CMP!W177</f>
        <v>366.94</v>
      </c>
      <c r="B175" s="12">
        <f>CMP!Y177</f>
        <v>357.32</v>
      </c>
    </row>
    <row r="176">
      <c r="A176" s="12">
        <f>CMP!W178</f>
        <v>357.57</v>
      </c>
      <c r="B176" s="12">
        <f>CMP!Y178</f>
        <v>362.87</v>
      </c>
    </row>
    <row r="177">
      <c r="A177" s="12">
        <f>CMP!W179</f>
        <v>358.19</v>
      </c>
      <c r="B177" s="12">
        <f>CMP!Y179</f>
        <v>363.09</v>
      </c>
    </row>
    <row r="178">
      <c r="A178" s="12">
        <f>CMP!W180</f>
        <v>366.85</v>
      </c>
      <c r="B178" s="12">
        <f>CMP!Y180</f>
        <v>355.21</v>
      </c>
    </row>
    <row r="179">
      <c r="A179" s="12">
        <f>CMP!W181</f>
        <v>351.93</v>
      </c>
      <c r="B179" s="12">
        <f>CMP!Y181</f>
        <v>334.96</v>
      </c>
    </row>
    <row r="180">
      <c r="A180" s="12">
        <f>CMP!W182</f>
        <v>331.51</v>
      </c>
      <c r="B180" s="12">
        <f>CMP!Y182</f>
        <v>337.45</v>
      </c>
    </row>
    <row r="181">
      <c r="A181" s="12">
        <f>CMP!W183</f>
        <v>335.87</v>
      </c>
      <c r="B181" s="12">
        <f>CMP!Y183</f>
        <v>338.38</v>
      </c>
    </row>
    <row r="182">
      <c r="A182" s="12">
        <f>CMP!W184</f>
        <v>337.23</v>
      </c>
      <c r="B182" s="12">
        <f>CMP!Y184</f>
        <v>344.5</v>
      </c>
    </row>
    <row r="183">
      <c r="A183" s="12">
        <f>CMP!W185</f>
        <v>347.75</v>
      </c>
      <c r="B183" s="12">
        <f>CMP!Y185</f>
        <v>343.09</v>
      </c>
    </row>
    <row r="184">
      <c r="A184" s="12">
        <f>CMP!W186</f>
        <v>342.87</v>
      </c>
      <c r="B184" s="12">
        <f>CMP!Y186</f>
        <v>350.92</v>
      </c>
    </row>
    <row r="185">
      <c r="A185" s="12">
        <f>CMP!W187</f>
        <v>353.23</v>
      </c>
      <c r="B185" s="12">
        <f>CMP!Y187</f>
        <v>351.83</v>
      </c>
    </row>
    <row r="186">
      <c r="A186" s="12">
        <f>CMP!W188</f>
        <v>352.21</v>
      </c>
      <c r="B186" s="12">
        <f>CMP!Y188</f>
        <v>347.61</v>
      </c>
    </row>
    <row r="187">
      <c r="A187" s="12">
        <f>CMP!W189</f>
        <v>347.96</v>
      </c>
      <c r="B187" s="12">
        <f>CMP!Y189</f>
        <v>349.36</v>
      </c>
    </row>
    <row r="188">
      <c r="A188" s="12">
        <f>CMP!W190</f>
        <v>346.91</v>
      </c>
      <c r="B188" s="12">
        <f>CMP!Y190</f>
        <v>345.87</v>
      </c>
    </row>
    <row r="189">
      <c r="A189" s="12">
        <f>CMP!W191</f>
        <v>339.89</v>
      </c>
      <c r="B189" s="12">
        <f>CMP!Y191</f>
        <v>341.31</v>
      </c>
    </row>
    <row r="190">
      <c r="A190" s="12">
        <f>CMP!W192</f>
        <v>342.09</v>
      </c>
      <c r="B190" s="12">
        <f>CMP!Y192</f>
        <v>337.49</v>
      </c>
    </row>
    <row r="191">
      <c r="A191" s="12">
        <f>CMP!W193</f>
        <v>334.03</v>
      </c>
      <c r="B191" s="12">
        <f>CMP!Y193</f>
        <v>326.4</v>
      </c>
    </row>
    <row r="192">
      <c r="A192" s="12">
        <f>CMP!W194</f>
        <v>329.9</v>
      </c>
      <c r="B192" s="12">
        <f>CMP!Y194</f>
        <v>322.44</v>
      </c>
    </row>
    <row r="193">
      <c r="A193" s="12">
        <f>CMP!W195</f>
        <v>319.01</v>
      </c>
      <c r="B193" s="12">
        <f>CMP!Y195</f>
        <v>316.78</v>
      </c>
    </row>
    <row r="194">
      <c r="A194" s="12">
        <f>CMP!W196</f>
        <v>314.64</v>
      </c>
      <c r="B194" s="12">
        <f>CMP!Y196</f>
        <v>327.73</v>
      </c>
    </row>
    <row r="195">
      <c r="A195" s="12">
        <f>CMP!W197</f>
        <v>331</v>
      </c>
      <c r="B195" s="12">
        <f>CMP!Y197</f>
        <v>338.02</v>
      </c>
    </row>
    <row r="196">
      <c r="A196" s="12">
        <f>CMP!W198</f>
        <v>338.49</v>
      </c>
      <c r="B196" s="12">
        <f>CMP!Y198</f>
        <v>344.44</v>
      </c>
    </row>
    <row r="197">
      <c r="A197" s="12">
        <f>CMP!W199</f>
        <v>348.11</v>
      </c>
      <c r="B197" s="12">
        <f>CMP!Y199</f>
        <v>339.17</v>
      </c>
    </row>
    <row r="198">
      <c r="A198" s="12">
        <f>CMP!W200</f>
        <v>346</v>
      </c>
      <c r="B198" s="12">
        <f>CMP!Y200</f>
        <v>358.82</v>
      </c>
    </row>
    <row r="199">
      <c r="A199" s="12">
        <f>CMP!W201</f>
        <v>367.15</v>
      </c>
      <c r="B199" s="12">
        <f>CMP!Y201</f>
        <v>364.58</v>
      </c>
    </row>
    <row r="200">
      <c r="A200" s="12">
        <f>CMP!W202</f>
        <v>367.23</v>
      </c>
      <c r="B200" s="12">
        <f>CMP!Y202</f>
        <v>368.49</v>
      </c>
    </row>
    <row r="201">
      <c r="A201" s="12">
        <f>CMP!W203</f>
        <v>367.2</v>
      </c>
      <c r="B201" s="12">
        <f>CMP!Y203</f>
        <v>368.04</v>
      </c>
    </row>
    <row r="202">
      <c r="A202" s="12">
        <f>CMP!W204</f>
        <v>365</v>
      </c>
      <c r="B202" s="12">
        <f>CMP!Y204</f>
        <v>370.98</v>
      </c>
    </row>
    <row r="203">
      <c r="A203" s="12">
        <f>CMP!W205</f>
        <v>370.66</v>
      </c>
      <c r="B203" s="12">
        <f>CMP!Y205</f>
        <v>367.68</v>
      </c>
    </row>
    <row r="204">
      <c r="A204" s="12">
        <f>CMP!W206</f>
        <v>366.47</v>
      </c>
      <c r="B204" s="12">
        <f>CMP!Y206</f>
        <v>363.6</v>
      </c>
    </row>
    <row r="205">
      <c r="A205" s="12">
        <f>CMP!W207</f>
        <v>360</v>
      </c>
      <c r="B205" s="12">
        <f>CMP!Y207</f>
        <v>341.18</v>
      </c>
    </row>
    <row r="206">
      <c r="A206" s="12">
        <f>CMP!W208</f>
        <v>347.44</v>
      </c>
      <c r="B206" s="12">
        <f>CMP!Y208</f>
        <v>346.46</v>
      </c>
    </row>
    <row r="207">
      <c r="A207" s="12">
        <f>CMP!W209</f>
        <v>342.2</v>
      </c>
      <c r="B207" s="12">
        <f>CMP!Y209</f>
        <v>348.68</v>
      </c>
    </row>
    <row r="208">
      <c r="A208" s="12">
        <f>CMP!W210</f>
        <v>352.27</v>
      </c>
      <c r="B208" s="12">
        <f>CMP!Y210</f>
        <v>348.41</v>
      </c>
    </row>
    <row r="209">
      <c r="A209" s="12">
        <f>CMP!W211</f>
        <v>344.67</v>
      </c>
      <c r="B209" s="12">
        <f>CMP!Y211</f>
        <v>355.93</v>
      </c>
    </row>
    <row r="210">
      <c r="A210" s="12">
        <f>CMP!W212</f>
        <v>359.08</v>
      </c>
      <c r="B210" s="12">
        <f>CMP!Y212</f>
        <v>369.95</v>
      </c>
    </row>
    <row r="211">
      <c r="A211" s="12">
        <f>CMP!W213</f>
        <v>371.91</v>
      </c>
      <c r="B211" s="12">
        <f>CMP!Y213</f>
        <v>368.15</v>
      </c>
    </row>
    <row r="212">
      <c r="A212" s="12">
        <f>CMP!W214</f>
        <v>368.55</v>
      </c>
      <c r="B212" s="12">
        <f>CMP!Y214</f>
        <v>364.56</v>
      </c>
    </row>
    <row r="213">
      <c r="A213" s="12">
        <f>CMP!W215</f>
        <v>364.22</v>
      </c>
      <c r="B213" s="12">
        <f>CMP!Y215</f>
        <v>350.35</v>
      </c>
    </row>
    <row r="214">
      <c r="A214" s="12">
        <f>CMP!W216</f>
        <v>353.67</v>
      </c>
      <c r="B214" s="12">
        <f>CMP!Y216</f>
        <v>367.65</v>
      </c>
    </row>
    <row r="215">
      <c r="A215" s="12">
        <f>CMP!W217</f>
        <v>373.95</v>
      </c>
      <c r="B215" s="12">
        <f>CMP!Y217</f>
        <v>366.96</v>
      </c>
    </row>
    <row r="216">
      <c r="A216" s="12">
        <f>CMP!W218</f>
        <v>370.26</v>
      </c>
      <c r="B216" s="12">
        <f>CMP!Y218</f>
        <v>365.36</v>
      </c>
    </row>
    <row r="217">
      <c r="A217" s="12">
        <f>CMP!W219</f>
        <v>366.59</v>
      </c>
      <c r="B217" s="12">
        <f>CMP!Y219</f>
        <v>361.19</v>
      </c>
    </row>
    <row r="218">
      <c r="A218" s="12">
        <f>CMP!W220</f>
        <v>359</v>
      </c>
      <c r="B218" s="12">
        <f>CMP!Y220</f>
        <v>369.61</v>
      </c>
    </row>
    <row r="219">
      <c r="A219" s="12">
        <f>CMP!W221</f>
        <v>370.23</v>
      </c>
      <c r="B219" s="12">
        <f>CMP!Y221</f>
        <v>369.43</v>
      </c>
    </row>
    <row r="220">
      <c r="A220" s="12">
        <f>CMP!W222</f>
        <v>373.59</v>
      </c>
      <c r="B220" s="12">
        <f>CMP!Y222</f>
        <v>377.88</v>
      </c>
    </row>
    <row r="221">
      <c r="A221" s="12">
        <f>CMP!W223</f>
        <v>379.87</v>
      </c>
      <c r="B221" s="12">
        <f>CMP!Y223</f>
        <v>380.71</v>
      </c>
    </row>
    <row r="222">
      <c r="A222" s="12">
        <f>CMP!W224</f>
        <v>379.24</v>
      </c>
      <c r="B222" s="12">
        <f>CMP!Y224</f>
        <v>374.13</v>
      </c>
    </row>
    <row r="223">
      <c r="A223" s="12">
        <f>CMP!W225</f>
        <v>375.85</v>
      </c>
      <c r="B223" s="12">
        <f>CMP!Y225</f>
        <v>381.43</v>
      </c>
    </row>
    <row r="224">
      <c r="A224" s="12">
        <f>CMP!W226</f>
        <v>384.38</v>
      </c>
      <c r="B224" s="12">
        <f>CMP!Y226</f>
        <v>377.14</v>
      </c>
    </row>
    <row r="225">
      <c r="A225" s="12">
        <f>CMP!W227</f>
        <v>378.53</v>
      </c>
      <c r="B225" s="12">
        <f>CMP!Y227</f>
        <v>377.05</v>
      </c>
    </row>
    <row r="226">
      <c r="A226" s="12">
        <f>CMP!W228</f>
        <v>375.88</v>
      </c>
      <c r="B226" s="12">
        <f>CMP!Y228</f>
        <v>363.65</v>
      </c>
    </row>
    <row r="227">
      <c r="A227" s="12">
        <f>CMP!W229</f>
        <v>359.77</v>
      </c>
      <c r="B227" s="12">
        <f>CMP!Y229</f>
        <v>351.35</v>
      </c>
    </row>
    <row r="228">
      <c r="A228" s="12">
        <f>CMP!W230</f>
        <v>345.18</v>
      </c>
      <c r="B228" s="12">
        <f>CMP!Y230</f>
        <v>349.1</v>
      </c>
    </row>
    <row r="229">
      <c r="A229" s="12">
        <f>CMP!W231</f>
        <v>348.48</v>
      </c>
      <c r="B229" s="12">
        <f>CMP!Y231</f>
        <v>355.71</v>
      </c>
    </row>
    <row r="230">
      <c r="A230" s="12">
        <f>CMP!W232</f>
        <v>353.52</v>
      </c>
      <c r="B230" s="12">
        <f>CMP!Y232</f>
        <v>325.89</v>
      </c>
    </row>
    <row r="231">
      <c r="A231" s="12">
        <f>CMP!W233</f>
        <v>324.94</v>
      </c>
      <c r="B231" s="12">
        <f>CMP!Y233</f>
        <v>321.1</v>
      </c>
    </row>
    <row r="232">
      <c r="A232" s="12">
        <f>CMP!W234</f>
        <v>339.57</v>
      </c>
      <c r="B232" s="12">
        <f>CMP!Y234</f>
        <v>339.56</v>
      </c>
    </row>
    <row r="233">
      <c r="A233" s="12">
        <f>CMP!W235</f>
        <v>337.63</v>
      </c>
      <c r="B233" s="12">
        <f>CMP!Y235</f>
        <v>333.13</v>
      </c>
    </row>
    <row r="234">
      <c r="A234" s="12">
        <f>CMP!W236</f>
        <v>337.24</v>
      </c>
      <c r="B234" s="12">
        <f>CMP!Y236</f>
        <v>346.4</v>
      </c>
    </row>
    <row r="235">
      <c r="A235" s="12">
        <f>CMP!W237</f>
        <v>378.33</v>
      </c>
      <c r="B235" s="12">
        <f>CMP!Y237</f>
        <v>364.7</v>
      </c>
    </row>
    <row r="236">
      <c r="A236" s="12">
        <f>CMP!W238</f>
        <v>360.67</v>
      </c>
      <c r="B236" s="12">
        <f>CMP!Y238</f>
        <v>346.71</v>
      </c>
    </row>
    <row r="237">
      <c r="A237" s="12">
        <f>CMP!W239</f>
        <v>351</v>
      </c>
      <c r="B237" s="12">
        <f>CMP!Y239</f>
        <v>332.67</v>
      </c>
    </row>
    <row r="238">
      <c r="A238" s="12">
        <f>CMP!W240</f>
        <v>333.1</v>
      </c>
      <c r="B238" s="12">
        <f>CMP!Y240</f>
        <v>329.54</v>
      </c>
    </row>
    <row r="239">
      <c r="A239" s="12">
        <f>CMP!W241</f>
        <v>318</v>
      </c>
      <c r="B239" s="12">
        <f>CMP!Y241</f>
        <v>333.16</v>
      </c>
    </row>
    <row r="240">
      <c r="A240" s="12">
        <f>CMP!W242</f>
        <v>332.28</v>
      </c>
      <c r="B240" s="12">
        <f>CMP!Y242</f>
        <v>301.83</v>
      </c>
    </row>
    <row r="241">
      <c r="A241" s="12">
        <f>CMP!W243</f>
        <v>307.12</v>
      </c>
      <c r="B241" s="12">
        <f>CMP!Y243</f>
        <v>312.87</v>
      </c>
    </row>
    <row r="242">
      <c r="A242" s="12">
        <f>CMP!W244</f>
        <v>300.51</v>
      </c>
      <c r="B242" s="12">
        <f>CMP!Y244</f>
        <v>299.83</v>
      </c>
    </row>
    <row r="243">
      <c r="A243" s="12">
        <f>CMP!W245</f>
        <v>305.26</v>
      </c>
      <c r="B243" s="12">
        <f>CMP!Y245</f>
        <v>284.84</v>
      </c>
    </row>
    <row r="244">
      <c r="A244" s="12">
        <f>CMP!W246</f>
        <v>275.57</v>
      </c>
      <c r="B244" s="12">
        <f>CMP!Y246</f>
        <v>285.81</v>
      </c>
    </row>
    <row r="245">
      <c r="A245" s="12">
        <f>CMP!W247</f>
        <v>297.77</v>
      </c>
      <c r="B245" s="12">
        <f>CMP!Y247</f>
        <v>301.78</v>
      </c>
    </row>
    <row r="246">
      <c r="A246" s="12">
        <f>CMP!W248</f>
        <v>304.59</v>
      </c>
      <c r="B246" s="12">
        <f>CMP!Y248</f>
        <v>317.38</v>
      </c>
    </row>
    <row r="247">
      <c r="A247" s="12">
        <f>CMP!W249</f>
        <v>318</v>
      </c>
      <c r="B247" s="12">
        <f>CMP!Y249</f>
        <v>309.1</v>
      </c>
    </row>
    <row r="248">
      <c r="A248" s="12">
        <f>CMP!W250</f>
        <v>311.1</v>
      </c>
      <c r="B248" s="12">
        <f>CMP!Y250</f>
        <v>315.44</v>
      </c>
    </row>
    <row r="249">
      <c r="A249" s="12">
        <f>CMP!W251</f>
        <v>314.76</v>
      </c>
      <c r="B249" s="12">
        <f>CMP!Y251</f>
        <v>310.84</v>
      </c>
    </row>
    <row r="250">
      <c r="A250" s="12">
        <f>CMP!W252</f>
        <v>312.9</v>
      </c>
      <c r="B250" s="12">
        <f>CMP!Y252</f>
        <v>327.5</v>
      </c>
    </row>
    <row r="251">
      <c r="A251" s="12">
        <f>CMP!W253</f>
        <v>328</v>
      </c>
      <c r="B251" s="12">
        <f>CMP!Y253</f>
        <v>317.92</v>
      </c>
    </row>
    <row r="252">
      <c r="A252" s="12">
        <f>CMP!W254</f>
        <v>311.07</v>
      </c>
      <c r="B252" s="12">
        <f>CMP!Y254</f>
        <v>303.47</v>
      </c>
    </row>
    <row r="253">
      <c r="A253" s="12">
        <f>CMP!W255</f>
        <v>300</v>
      </c>
      <c r="B253" s="12">
        <f>CMP!Y255</f>
        <v>294.07</v>
      </c>
    </row>
    <row r="254">
      <c r="A254" s="12">
        <f>CMP!W256</f>
        <v>295</v>
      </c>
      <c r="B254" s="12">
        <f>CMP!Y256</f>
        <v>294.4</v>
      </c>
    </row>
    <row r="255">
      <c r="A255" s="12">
        <f>CMP!W257</f>
        <v>300.4</v>
      </c>
      <c r="B255" s="12">
        <f>CMP!Y257</f>
        <v>286.73</v>
      </c>
    </row>
    <row r="256">
      <c r="A256" s="12">
        <f>CMP!W258</f>
        <v>285.51</v>
      </c>
      <c r="B256" s="12">
        <f>CMP!Y258</f>
        <v>290.06</v>
      </c>
    </row>
    <row r="257">
      <c r="A257" s="12">
        <f>CMP!W259</f>
        <v>287.14</v>
      </c>
      <c r="B257" s="12">
        <f>CMP!Y259</f>
        <v>286.21</v>
      </c>
    </row>
    <row r="258">
      <c r="A258" s="12">
        <f>CMP!W260</f>
        <v>283.79</v>
      </c>
      <c r="B258" s="12">
        <f>CMP!Y260</f>
        <v>270.6</v>
      </c>
    </row>
    <row r="259">
      <c r="A259" s="12">
        <f>CMP!W261</f>
        <v>254.63</v>
      </c>
      <c r="B259" s="12">
        <f>CMP!Y261</f>
        <v>266.98</v>
      </c>
    </row>
    <row r="260">
      <c r="A260" s="12">
        <f>CMP!W262</f>
        <v>274.42</v>
      </c>
      <c r="B260" s="12">
        <f>CMP!Y262</f>
        <v>262.13</v>
      </c>
    </row>
    <row r="261">
      <c r="A261" s="12">
        <f>CMP!W263</f>
        <v>260.11</v>
      </c>
      <c r="B261" s="12">
        <f>CMP!Y263</f>
        <v>258.82</v>
      </c>
    </row>
    <row r="262">
      <c r="A262" s="12">
        <f>CMP!W264</f>
        <v>260.55</v>
      </c>
      <c r="B262" s="12">
        <f>CMP!Y264</f>
        <v>261.43</v>
      </c>
    </row>
    <row r="263">
      <c r="A263" s="12">
        <f>CMP!W265</f>
        <v>259.24</v>
      </c>
      <c r="B263" s="12">
        <f>CMP!Y265</f>
        <v>266.63</v>
      </c>
    </row>
    <row r="264">
      <c r="A264" s="12">
        <f>CMP!W266</f>
        <v>271.98</v>
      </c>
      <c r="B264" s="12">
        <f>CMP!Y266</f>
        <v>282.65</v>
      </c>
    </row>
    <row r="265">
      <c r="A265" s="12">
        <f>CMP!W267</f>
        <v>282.32</v>
      </c>
      <c r="B265" s="12">
        <f>CMP!Y267</f>
        <v>288.75</v>
      </c>
    </row>
    <row r="266">
      <c r="A266" s="12">
        <f>CMP!W268</f>
        <v>288</v>
      </c>
      <c r="B266" s="12">
        <f>CMP!Y268</f>
        <v>286.13</v>
      </c>
    </row>
    <row r="267">
      <c r="A267" s="12">
        <f>CMP!W269</f>
        <v>293.19</v>
      </c>
      <c r="B267" s="12">
        <f>CMP!Y269</f>
        <v>290.3</v>
      </c>
    </row>
    <row r="268">
      <c r="A268" s="12">
        <f>CMP!W270</f>
        <v>288.13</v>
      </c>
      <c r="B268" s="12">
        <f>CMP!Y270</f>
        <v>275.33</v>
      </c>
    </row>
    <row r="269">
      <c r="A269" s="12">
        <f>CMP!W271</f>
        <v>268.33</v>
      </c>
      <c r="B269" s="12">
        <f>CMP!Y271</f>
        <v>282.88</v>
      </c>
    </row>
    <row r="270">
      <c r="A270" s="12">
        <f>CMP!W272</f>
        <v>282.48</v>
      </c>
      <c r="B270" s="12">
        <f>CMP!Y272</f>
        <v>265.14</v>
      </c>
    </row>
    <row r="271">
      <c r="A271" s="12">
        <f>CMP!W273</f>
        <v>264.19</v>
      </c>
      <c r="B271" s="12">
        <f>CMP!Y273</f>
        <v>269.7</v>
      </c>
    </row>
    <row r="272">
      <c r="A272" s="12">
        <f>CMP!W274</f>
        <v>274.08</v>
      </c>
      <c r="B272" s="12">
        <f>CMP!Y274</f>
        <v>265.32</v>
      </c>
    </row>
    <row r="273">
      <c r="A273" s="12">
        <f>CMP!W275</f>
        <v>267.66</v>
      </c>
      <c r="B273" s="12">
        <f>CMP!Y275</f>
        <v>274.88</v>
      </c>
    </row>
    <row r="274">
      <c r="A274" s="12">
        <f>CMP!W276</f>
        <v>277.64</v>
      </c>
      <c r="B274" s="12">
        <f>CMP!Y276</f>
        <v>276.02</v>
      </c>
    </row>
    <row r="275">
      <c r="A275" s="12">
        <f>CMP!W277</f>
        <v>271.81</v>
      </c>
      <c r="B275" s="12">
        <f>CMP!Y277</f>
        <v>266.84</v>
      </c>
    </row>
    <row r="276">
      <c r="A276" s="12">
        <f>CMP!W278</f>
        <v>266.51</v>
      </c>
      <c r="B276" s="12">
        <f>CMP!Y278</f>
        <v>262.8</v>
      </c>
    </row>
    <row r="277">
      <c r="A277" s="12">
        <f>CMP!W279</f>
        <v>263.3</v>
      </c>
      <c r="B277" s="12">
        <f>CMP!Y279</f>
        <v>270.94</v>
      </c>
    </row>
    <row r="278">
      <c r="A278" s="12">
        <f>CMP!W280</f>
        <v>269.96</v>
      </c>
      <c r="B278" s="12">
        <f>CMP!Y280</f>
        <v>266.77</v>
      </c>
    </row>
    <row r="279">
      <c r="A279" s="12">
        <f>CMP!W281</f>
        <v>264.64</v>
      </c>
      <c r="B279" s="12">
        <f>CMP!Y281</f>
        <v>260.58</v>
      </c>
    </row>
    <row r="280">
      <c r="A280" s="12">
        <f>CMP!W282</f>
        <v>263.83</v>
      </c>
      <c r="B280" s="12">
        <f>CMP!Y282</f>
        <v>246.39</v>
      </c>
    </row>
    <row r="281">
      <c r="A281" s="12">
        <f>CMP!W283</f>
        <v>242</v>
      </c>
      <c r="B281" s="12">
        <f>CMP!Y283</f>
        <v>233.88</v>
      </c>
    </row>
    <row r="282">
      <c r="A282" s="12">
        <f>CMP!W284</f>
        <v>233.92</v>
      </c>
      <c r="B282" s="12">
        <f>CMP!Y284</f>
        <v>253.67</v>
      </c>
    </row>
    <row r="283">
      <c r="A283" s="12">
        <f>CMP!W285</f>
        <v>250.11</v>
      </c>
      <c r="B283" s="12">
        <f>CMP!Y285</f>
        <v>255.57</v>
      </c>
    </row>
    <row r="284">
      <c r="A284" s="12">
        <f>CMP!W286</f>
        <v>257.94</v>
      </c>
      <c r="B284" s="12">
        <f>CMP!Y286</f>
        <v>256.08</v>
      </c>
    </row>
    <row r="285">
      <c r="A285" s="12">
        <f>CMP!W287</f>
        <v>260.16</v>
      </c>
      <c r="B285" s="12">
        <f>CMP!Y287</f>
        <v>267.66</v>
      </c>
    </row>
    <row r="286">
      <c r="A286" s="12">
        <f>CMP!W288</f>
        <v>259.28</v>
      </c>
      <c r="B286" s="12">
        <f>CMP!Y288</f>
        <v>267.66</v>
      </c>
    </row>
    <row r="287">
      <c r="A287" s="12">
        <f>CMP!W289</f>
        <v>270.2</v>
      </c>
      <c r="B287" s="12">
        <f>CMP!Y289</f>
        <v>271.2</v>
      </c>
    </row>
    <row r="288">
      <c r="A288" s="12">
        <f>CMP!W290</f>
        <v>281.88</v>
      </c>
      <c r="B288" s="12">
        <f>CMP!Y290</f>
        <v>297.57</v>
      </c>
    </row>
    <row r="289">
      <c r="A289" s="12">
        <f>CMP!W291</f>
        <v>302.1</v>
      </c>
      <c r="B289" s="12">
        <f>CMP!Y291</f>
        <v>315.34</v>
      </c>
    </row>
    <row r="290">
      <c r="A290" s="12">
        <f>CMP!W292</f>
        <v>319.98</v>
      </c>
      <c r="B290" s="12">
        <f>CMP!Y292</f>
        <v>320.27</v>
      </c>
    </row>
    <row r="291">
      <c r="A291" s="12">
        <f>CMP!W293</f>
        <v>317.71</v>
      </c>
      <c r="B291" s="12">
        <f>CMP!Y293</f>
        <v>319.96</v>
      </c>
    </row>
    <row r="292">
      <c r="A292" s="12">
        <f>CMP!W294</f>
        <v>314.57</v>
      </c>
      <c r="B292" s="12">
        <f>CMP!Y294</f>
        <v>324.66</v>
      </c>
    </row>
    <row r="293">
      <c r="A293" s="12">
        <f>CMP!W295</f>
        <v>330.96</v>
      </c>
      <c r="B293" s="12">
        <f>CMP!Y295</f>
        <v>337.59</v>
      </c>
    </row>
    <row r="294">
      <c r="A294" s="12">
        <f>CMP!W296</f>
        <v>334.24</v>
      </c>
      <c r="B294" s="12">
        <f>CMP!Y296</f>
        <v>332.94</v>
      </c>
    </row>
    <row r="295">
      <c r="A295" s="12">
        <f>CMP!W297</f>
        <v>349.6</v>
      </c>
      <c r="B295" s="12">
        <f>CMP!Y297</f>
        <v>354.64</v>
      </c>
    </row>
    <row r="296">
      <c r="A296" s="12">
        <f>CMP!W298</f>
        <v>354</v>
      </c>
      <c r="B296" s="12">
        <f>CMP!Y298</f>
        <v>351.39</v>
      </c>
    </row>
    <row r="297">
      <c r="A297" s="12">
        <f>CMP!W299</f>
        <v>349.5</v>
      </c>
      <c r="B297" s="12">
        <f>CMP!Y299</f>
        <v>353.19</v>
      </c>
    </row>
    <row r="298">
      <c r="A298" s="12">
        <f>CMP!W300</f>
        <v>351.97</v>
      </c>
      <c r="B298" s="12">
        <f>CMP!Y300</f>
        <v>339.1</v>
      </c>
    </row>
    <row r="299">
      <c r="A299" s="12">
        <f>CMP!W301</f>
        <v>334.89</v>
      </c>
      <c r="B299" s="12">
        <f>CMP!Y301</f>
        <v>325.16</v>
      </c>
    </row>
    <row r="300">
      <c r="A300" s="12">
        <f>CMP!W302</f>
        <v>328.25</v>
      </c>
      <c r="B300" s="12">
        <f>CMP!Y302</f>
        <v>321.99</v>
      </c>
    </row>
    <row r="301">
      <c r="A301" s="12">
        <f>CMP!W303</f>
        <v>320.6</v>
      </c>
      <c r="B301" s="12">
        <f>CMP!Y303</f>
        <v>326.67</v>
      </c>
    </row>
    <row r="302">
      <c r="A302" s="12">
        <f>CMP!W304</f>
        <v>328.72</v>
      </c>
      <c r="B302" s="12">
        <f>CMP!Y304</f>
        <v>338.05</v>
      </c>
    </row>
    <row r="303">
      <c r="A303" s="12">
        <f>CMP!W305</f>
        <v>334.7</v>
      </c>
      <c r="B303" s="12">
        <f>CMP!Y305</f>
        <v>335.66</v>
      </c>
    </row>
    <row r="304">
      <c r="A304" s="12">
        <f>CMP!W306</f>
        <v>335.87</v>
      </c>
      <c r="B304" s="12">
        <f>CMP!Y306</f>
        <v>328.9</v>
      </c>
    </row>
    <row r="305">
      <c r="A305" s="12">
        <f>CMP!W307</f>
        <v>332.75</v>
      </c>
      <c r="B305" s="12">
        <f>CMP!Y307</f>
        <v>340.66</v>
      </c>
    </row>
    <row r="306">
      <c r="A306" s="12">
        <f>CMP!W308</f>
        <v>339.68</v>
      </c>
      <c r="B306" s="12">
        <f>CMP!Y308</f>
        <v>339.5</v>
      </c>
    </row>
    <row r="307">
      <c r="A307" s="12">
        <f>CMP!W309</f>
        <v>337.18</v>
      </c>
      <c r="B307" s="12">
        <f>CMP!Y309</f>
        <v>339.85</v>
      </c>
    </row>
    <row r="308">
      <c r="A308" s="12">
        <f>CMP!W310</f>
        <v>342.6</v>
      </c>
      <c r="B308" s="12">
        <f>CMP!Y310</f>
        <v>351.34</v>
      </c>
    </row>
    <row r="309">
      <c r="A309" s="12">
        <f>CMP!W311</f>
        <v>353.2</v>
      </c>
      <c r="B309" s="12">
        <f>CMP!Y311</f>
        <v>355.81</v>
      </c>
    </row>
    <row r="310">
      <c r="A310" s="12">
        <f>CMP!W312</f>
        <v>357</v>
      </c>
      <c r="B310" s="12">
        <f>CMP!Y312</f>
        <v>352.19</v>
      </c>
    </row>
    <row r="311">
      <c r="A311" s="12">
        <f>CMP!W313</f>
        <v>347.9</v>
      </c>
      <c r="B311" s="12">
        <f>CMP!Y313</f>
        <v>344.71</v>
      </c>
    </row>
    <row r="312">
      <c r="A312" s="12">
        <f>CMP!W314</f>
        <v>338</v>
      </c>
      <c r="B312" s="12">
        <f>CMP!Y314</f>
        <v>347.57</v>
      </c>
    </row>
    <row r="313">
      <c r="A313" s="12">
        <f>CMP!W315</f>
        <v>350</v>
      </c>
      <c r="B313" s="12">
        <f>CMP!Y315</f>
        <v>345.73</v>
      </c>
    </row>
    <row r="314">
      <c r="A314" s="12">
        <f>CMP!W316</f>
        <v>348.09</v>
      </c>
      <c r="B314" s="12">
        <f>CMP!Y316</f>
        <v>359.97</v>
      </c>
    </row>
    <row r="315">
      <c r="A315" s="12">
        <f>CMP!W317</f>
        <v>357.3</v>
      </c>
      <c r="B315" s="12">
        <f>CMP!Y317</f>
        <v>351.77</v>
      </c>
    </row>
    <row r="316">
      <c r="A316" s="12">
        <f>CMP!W318</f>
        <v>351.75</v>
      </c>
      <c r="B316" s="12">
        <f>CMP!Y318</f>
        <v>359.07</v>
      </c>
    </row>
    <row r="317">
      <c r="A317" s="12">
        <f>CMP!W319</f>
        <v>358.47</v>
      </c>
      <c r="B317" s="12">
        <f>CMP!Y319</f>
        <v>356.87</v>
      </c>
    </row>
    <row r="318">
      <c r="A318" s="12">
        <f>CMP!W320</f>
        <v>355.8</v>
      </c>
      <c r="B318" s="12">
        <f>CMP!Y320</f>
        <v>361.92</v>
      </c>
    </row>
    <row r="319">
      <c r="A319" s="12">
        <f>CMP!W321</f>
        <v>364.85</v>
      </c>
      <c r="B319" s="12">
        <f>CMP!Y321</f>
        <v>359.91</v>
      </c>
    </row>
    <row r="320">
      <c r="A320" s="12">
        <f>CMP!W322</f>
        <v>360.03</v>
      </c>
      <c r="B320" s="12">
        <f>CMP!Y322</f>
        <v>356.97</v>
      </c>
    </row>
    <row r="321">
      <c r="A321" s="12">
        <f>CMP!W323</f>
        <v>360.34</v>
      </c>
      <c r="B321" s="12">
        <f>CMP!Y323</f>
        <v>363.02</v>
      </c>
    </row>
    <row r="322">
      <c r="A322" s="12">
        <f>CMP!W324</f>
        <v>367.01</v>
      </c>
      <c r="B322" s="12">
        <f>CMP!Y324</f>
        <v>363.91</v>
      </c>
    </row>
    <row r="323">
      <c r="A323" s="12">
        <f>CMP!W325</f>
        <v>362.98</v>
      </c>
      <c r="B323" s="12">
        <f>CMP!Y325</f>
        <v>364.97</v>
      </c>
    </row>
    <row r="324">
      <c r="A324" s="12">
        <f>CMP!W326</f>
        <v>363.5</v>
      </c>
      <c r="B324" s="12">
        <f>CMP!Y326</f>
        <v>362.87</v>
      </c>
    </row>
    <row r="325">
      <c r="A325" s="12">
        <f>CMP!W327</f>
        <v>362.47</v>
      </c>
      <c r="B325" s="12">
        <f>CMP!Y327</f>
        <v>358.1</v>
      </c>
    </row>
    <row r="326">
      <c r="A326" s="12">
        <f>CMP!W328</f>
        <v>362.26</v>
      </c>
      <c r="B326" s="12">
        <f>CMP!Y328</f>
        <v>357.32</v>
      </c>
    </row>
    <row r="327">
      <c r="A327" s="12">
        <f>CMP!W329</f>
        <v>359.72</v>
      </c>
      <c r="B327" s="12">
        <f>CMP!Y329</f>
        <v>351.04</v>
      </c>
    </row>
    <row r="328">
      <c r="A328" s="12">
        <f>CMP!W330</f>
        <v>351.46</v>
      </c>
      <c r="B328" s="12">
        <f>CMP!Y330</f>
        <v>354.3</v>
      </c>
    </row>
    <row r="329">
      <c r="A329" s="12">
        <f>CMP!W331</f>
        <v>353.6</v>
      </c>
      <c r="B329" s="12">
        <f>CMP!Y331</f>
        <v>359.61</v>
      </c>
    </row>
    <row r="330">
      <c r="A330" s="12">
        <f>CMP!W332</f>
        <v>360.16</v>
      </c>
      <c r="B330" s="12">
        <f>CMP!Y332</f>
        <v>352.6</v>
      </c>
    </row>
    <row r="331">
      <c r="A331" s="12">
        <f>CMP!W333</f>
        <v>345.75</v>
      </c>
      <c r="B331" s="12">
        <f>CMP!Y333</f>
        <v>349.6</v>
      </c>
    </row>
    <row r="332">
      <c r="A332" s="12">
        <f>CMP!W334</f>
        <v>352</v>
      </c>
      <c r="B332" s="12">
        <f>CMP!Y334</f>
        <v>358.86</v>
      </c>
    </row>
    <row r="333">
      <c r="A333" s="12">
        <f>CMP!W335</f>
        <v>359.37</v>
      </c>
      <c r="B333" s="12">
        <f>CMP!Y335</f>
        <v>356.27</v>
      </c>
    </row>
    <row r="334">
      <c r="A334" s="12">
        <f>CMP!W336</f>
        <v>355.81</v>
      </c>
      <c r="B334" s="12">
        <f>CMP!Y336</f>
        <v>361.21</v>
      </c>
    </row>
    <row r="335">
      <c r="A335" s="12">
        <f>CMP!W337</f>
        <v>360.5</v>
      </c>
      <c r="B335" s="12">
        <f>CMP!Y337</f>
        <v>358.82</v>
      </c>
    </row>
    <row r="336">
      <c r="A336" s="12">
        <f>CMP!W338</f>
        <v>361.02</v>
      </c>
      <c r="B336" s="12">
        <f>CMP!Y338</f>
        <v>361.46</v>
      </c>
    </row>
    <row r="337">
      <c r="A337" s="12">
        <f>CMP!W339</f>
        <v>362.47</v>
      </c>
      <c r="B337" s="12">
        <f>CMP!Y339</f>
        <v>363.44</v>
      </c>
    </row>
    <row r="338">
      <c r="A338" s="12">
        <f>CMP!W340</f>
        <v>366.4</v>
      </c>
      <c r="B338" s="12">
        <f>CMP!Y340</f>
        <v>358.78</v>
      </c>
    </row>
    <row r="339">
      <c r="A339" s="12">
        <f>CMP!W341</f>
        <v>358.91</v>
      </c>
      <c r="B339" s="12">
        <f>CMP!Y341</f>
        <v>375.22</v>
      </c>
    </row>
    <row r="340">
      <c r="A340" s="12">
        <f>CMP!W342</f>
        <v>374</v>
      </c>
      <c r="B340" s="12">
        <f>CMP!Y342</f>
        <v>377.87</v>
      </c>
    </row>
    <row r="341">
      <c r="A341" s="12">
        <f>CMP!W343</f>
        <v>375.95</v>
      </c>
      <c r="B341" s="12">
        <f>CMP!Y343</f>
        <v>361.01</v>
      </c>
    </row>
    <row r="342">
      <c r="A342" s="12">
        <f>CMP!W344</f>
        <v>359</v>
      </c>
      <c r="B342" s="12">
        <f>CMP!Y344</f>
        <v>366.23</v>
      </c>
    </row>
    <row r="343">
      <c r="A343" s="12">
        <f>CMP!W345</f>
        <v>367.87</v>
      </c>
      <c r="B343" s="12">
        <f>CMP!Y345</f>
        <v>359.97</v>
      </c>
    </row>
    <row r="344">
      <c r="A344" s="12">
        <f>CMP!W346</f>
        <v>361</v>
      </c>
      <c r="B344" s="12">
        <f>CMP!Y346</f>
        <v>353.37</v>
      </c>
    </row>
    <row r="345">
      <c r="A345" s="12">
        <f>CMP!W347</f>
        <v>354.49</v>
      </c>
      <c r="B345" s="12">
        <f>CMP!Y347</f>
        <v>354.61</v>
      </c>
    </row>
    <row r="346">
      <c r="A346" s="12">
        <f>CMP!W348</f>
        <v>357.16</v>
      </c>
      <c r="B346" s="12">
        <f>CMP!Y348</f>
        <v>356.56</v>
      </c>
    </row>
    <row r="347">
      <c r="A347" s="12">
        <f>CMP!W349</f>
        <v>359</v>
      </c>
      <c r="B347" s="12">
        <f>CMP!Y349</f>
        <v>366.96</v>
      </c>
    </row>
    <row r="348">
      <c r="A348" s="12">
        <f>CMP!W350</f>
        <v>366.25</v>
      </c>
      <c r="B348" s="12">
        <f>CMP!Y350</f>
        <v>367.72</v>
      </c>
    </row>
    <row r="349">
      <c r="A349" s="12">
        <f>CMP!W351</f>
        <v>369.26</v>
      </c>
      <c r="B349" s="12">
        <f>CMP!Y351</f>
        <v>369.75</v>
      </c>
    </row>
    <row r="350">
      <c r="A350" s="12">
        <f>CMP!W352</f>
        <v>370.07</v>
      </c>
      <c r="B350" s="12">
        <f>CMP!Y352</f>
        <v>367.88</v>
      </c>
    </row>
    <row r="351">
      <c r="A351" s="12">
        <f>CMP!W353</f>
        <v>369</v>
      </c>
      <c r="B351" s="12">
        <f>CMP!Y353</f>
        <v>365.49</v>
      </c>
    </row>
    <row r="352">
      <c r="A352" s="12">
        <f>CMP!W354</f>
        <v>365.11</v>
      </c>
      <c r="B352" s="12">
        <f>CMP!Y354</f>
        <v>361.41</v>
      </c>
    </row>
    <row r="353">
      <c r="A353" s="12">
        <f>CMP!W355</f>
        <v>360.54</v>
      </c>
      <c r="B353" s="12">
        <f>CMP!Y355</f>
        <v>364.71</v>
      </c>
    </row>
    <row r="354">
      <c r="A354" s="12">
        <f>CMP!W356</f>
        <v>365.79</v>
      </c>
      <c r="B354" s="12">
        <f>CMP!Y356</f>
        <v>363.92</v>
      </c>
    </row>
    <row r="355">
      <c r="A355" s="12">
        <f>CMP!W357</f>
        <v>365</v>
      </c>
      <c r="B355" s="12">
        <f>CMP!Y357</f>
        <v>367.65</v>
      </c>
    </row>
    <row r="356">
      <c r="A356" s="12">
        <f>CMP!W358</f>
        <v>360.69</v>
      </c>
      <c r="B356" s="12">
        <f>CMP!Y358</f>
        <v>351.14</v>
      </c>
    </row>
    <row r="357">
      <c r="A357" s="12">
        <f>CMP!W359</f>
        <v>350.71</v>
      </c>
      <c r="B357" s="12">
        <f>CMP!Y359</f>
        <v>348.87</v>
      </c>
    </row>
    <row r="358">
      <c r="A358" s="12">
        <f>CMP!W360</f>
        <v>355</v>
      </c>
      <c r="B358" s="12">
        <f>CMP!Y360</f>
        <v>359.46</v>
      </c>
    </row>
    <row r="359">
      <c r="A359" s="12">
        <f>CMP!W361</f>
        <v>365.05</v>
      </c>
      <c r="B359" s="12">
        <f>CMP!Y361</f>
        <v>354.74</v>
      </c>
    </row>
    <row r="360">
      <c r="A360" s="12">
        <f>CMP!W362</f>
        <v>355</v>
      </c>
      <c r="B360" s="12">
        <f>CMP!Y362</f>
        <v>360.35</v>
      </c>
    </row>
    <row r="361">
      <c r="A361" s="12">
        <f>CMP!W363</f>
        <v>359.7</v>
      </c>
      <c r="B361" s="12">
        <f>CMP!Y363</f>
        <v>377.34</v>
      </c>
    </row>
    <row r="362">
      <c r="A362" s="12">
        <f>CMP!W364</f>
        <v>375.45</v>
      </c>
      <c r="B362" s="12">
        <f>CMP!Y364</f>
        <v>381.89</v>
      </c>
    </row>
    <row r="363">
      <c r="A363" s="12">
        <f>CMP!W365</f>
        <v>381.07</v>
      </c>
      <c r="B363" s="12">
        <f>CMP!Y365</f>
        <v>374.23</v>
      </c>
    </row>
    <row r="364">
      <c r="A364" s="12">
        <f>CMP!W366</f>
        <v>374.49</v>
      </c>
      <c r="B364" s="12">
        <f>CMP!Y366</f>
        <v>368.33</v>
      </c>
    </row>
    <row r="365">
      <c r="A365" s="12">
        <f>CMP!W367</f>
        <v>368.35</v>
      </c>
      <c r="B365" s="12">
        <f>CMP!Y367</f>
        <v>374.85</v>
      </c>
    </row>
    <row r="366">
      <c r="A366" s="12">
        <f>CMP!W368</f>
        <v>373.68</v>
      </c>
      <c r="B366" s="12">
        <f>CMP!Y368</f>
        <v>371.83</v>
      </c>
    </row>
    <row r="367">
      <c r="A367" s="12">
        <f>CMP!W369</f>
        <v>369.56</v>
      </c>
      <c r="B367" s="12">
        <f>CMP!Y369</f>
        <v>370.54</v>
      </c>
    </row>
    <row r="368">
      <c r="A368" s="12">
        <f>CMP!W370</f>
        <v>374</v>
      </c>
      <c r="B368" s="12">
        <f>CMP!Y370</f>
        <v>378.81</v>
      </c>
    </row>
    <row r="369">
      <c r="A369" s="12">
        <f>CMP!W371</f>
        <v>378</v>
      </c>
      <c r="B369" s="12">
        <f>CMP!Y371</f>
        <v>379.06</v>
      </c>
    </row>
    <row r="370">
      <c r="A370" s="12">
        <f>CMP!W372</f>
        <v>381.53</v>
      </c>
      <c r="B370" s="12">
        <f>CMP!Y372</f>
        <v>385.03</v>
      </c>
    </row>
    <row r="371">
      <c r="A371" s="12">
        <f>CMP!W373</f>
        <v>377.69</v>
      </c>
      <c r="B371" s="12">
        <f>CMP!Y373</f>
        <v>378.67</v>
      </c>
    </row>
    <row r="372">
      <c r="A372" s="12">
        <f>CMP!W374</f>
        <v>377</v>
      </c>
      <c r="B372" s="12">
        <f>CMP!Y374</f>
        <v>370.46</v>
      </c>
    </row>
    <row r="373">
      <c r="A373" s="12">
        <f>CMP!W375</f>
        <v>367.92</v>
      </c>
      <c r="B373" s="12">
        <f>CMP!Y375</f>
        <v>364.37</v>
      </c>
    </row>
    <row r="374">
      <c r="A374" s="12">
        <f>CMP!W376</f>
        <v>360.9</v>
      </c>
      <c r="B374" s="12">
        <f>CMP!Y376</f>
        <v>362.75</v>
      </c>
    </row>
    <row r="375">
      <c r="A375" s="12">
        <f>CMP!W377</f>
        <v>361.62</v>
      </c>
      <c r="B375" s="12">
        <f>CMP!Y377</f>
        <v>361.04</v>
      </c>
    </row>
    <row r="376">
      <c r="A376" s="12">
        <f>CMP!W378</f>
        <v>352.29</v>
      </c>
      <c r="B376" s="12">
        <f>CMP!Y378</f>
        <v>345.26</v>
      </c>
    </row>
    <row r="377">
      <c r="A377" s="12">
        <f>CMP!W379</f>
        <v>348.71</v>
      </c>
      <c r="B377" s="12">
        <f>CMP!Y379</f>
        <v>345.61</v>
      </c>
    </row>
    <row r="378">
      <c r="A378" s="12">
        <f>CMP!W380</f>
        <v>343.34</v>
      </c>
      <c r="B378" s="12">
        <f>CMP!Y380</f>
        <v>354.99</v>
      </c>
    </row>
    <row r="379">
      <c r="A379" s="12">
        <f>CMP!W381</f>
        <v>356.37</v>
      </c>
      <c r="B379" s="12">
        <f>CMP!Y381</f>
        <v>359.31</v>
      </c>
    </row>
    <row r="380">
      <c r="A380" s="12">
        <f>CMP!W382</f>
        <v>356.39</v>
      </c>
      <c r="B380" s="12">
        <f>CMP!Y382</f>
        <v>354.45</v>
      </c>
    </row>
    <row r="381">
      <c r="A381" s="12">
        <f>CMP!W383</f>
        <v>351.23</v>
      </c>
      <c r="B381" s="12">
        <f>CMP!Y383</f>
        <v>348.11</v>
      </c>
    </row>
    <row r="382">
      <c r="A382" s="12">
        <f>CMP!W384</f>
        <v>350.95</v>
      </c>
      <c r="B382" s="12">
        <f>CMP!Y384</f>
        <v>354.27</v>
      </c>
    </row>
    <row r="383">
      <c r="A383" s="12">
        <f>CMP!W385</f>
        <v>358.01</v>
      </c>
      <c r="B383" s="12">
        <f>CMP!Y385</f>
        <v>359.73</v>
      </c>
    </row>
    <row r="384">
      <c r="A384" s="12">
        <f>CMP!W386</f>
        <v>355.5</v>
      </c>
      <c r="B384" s="12">
        <f>CMP!Y386</f>
        <v>352.21</v>
      </c>
    </row>
    <row r="385">
      <c r="A385" s="12">
        <f>CMP!W387</f>
        <v>355.41</v>
      </c>
      <c r="B385" s="12">
        <f>CMP!Y387</f>
        <v>354.39</v>
      </c>
    </row>
    <row r="386">
      <c r="A386" s="12">
        <f>CMP!W388</f>
        <v>354.39</v>
      </c>
      <c r="B386" s="12">
        <f>CMP!Y388</f>
        <v>354.78</v>
      </c>
    </row>
    <row r="387">
      <c r="A387" s="12">
        <f>CMP!W389</f>
        <v>353.6</v>
      </c>
      <c r="B387" s="12">
        <f>CMP!Y389</f>
        <v>349.19</v>
      </c>
    </row>
    <row r="388">
      <c r="A388" s="12">
        <f>CMP!W390</f>
        <v>350.55</v>
      </c>
      <c r="B388" s="12">
        <f>CMP!Y390</f>
        <v>351.85</v>
      </c>
    </row>
    <row r="389">
      <c r="A389" s="12">
        <f>CMP!W391</f>
        <v>347.22</v>
      </c>
      <c r="B389" s="12">
        <f>CMP!Y391</f>
        <v>343.28</v>
      </c>
    </row>
    <row r="390">
      <c r="A390" s="12">
        <f>CMP!W392</f>
        <v>343.56</v>
      </c>
      <c r="B390" s="12">
        <f>CMP!Y392</f>
        <v>336.63</v>
      </c>
    </row>
    <row r="391">
      <c r="A391" s="12">
        <f>CMP!W393</f>
        <v>345</v>
      </c>
      <c r="B391" s="12">
        <f>CMP!Y393</f>
        <v>353.4</v>
      </c>
    </row>
    <row r="392">
      <c r="A392" s="12">
        <f>CMP!W394</f>
        <v>354.38</v>
      </c>
      <c r="B392" s="12">
        <f>CMP!Y394</f>
        <v>355.73</v>
      </c>
    </row>
    <row r="393">
      <c r="A393" s="12">
        <f>CMP!W395</f>
        <v>354.84</v>
      </c>
      <c r="B393" s="12">
        <f>CMP!Y395</f>
        <v>357.13</v>
      </c>
    </row>
    <row r="394">
      <c r="A394" s="12">
        <f>CMP!W396</f>
        <v>357.39</v>
      </c>
      <c r="B394" s="12">
        <f>CMP!Y396</f>
        <v>360.87</v>
      </c>
    </row>
    <row r="395">
      <c r="A395" s="12">
        <f>CMP!W397</f>
        <v>363.65</v>
      </c>
      <c r="B395" s="12">
        <f>CMP!Y397</f>
        <v>352.01</v>
      </c>
    </row>
    <row r="396">
      <c r="A396" s="12">
        <f>CMP!W398</f>
        <v>355</v>
      </c>
      <c r="B396" s="12">
        <f>CMP!Y398</f>
        <v>351.27</v>
      </c>
    </row>
    <row r="397">
      <c r="A397" s="12">
        <f>CMP!W399</f>
        <v>351.82</v>
      </c>
      <c r="B397" s="12">
        <f>CMP!Y399</f>
        <v>345.56</v>
      </c>
    </row>
    <row r="398">
      <c r="A398" s="12">
        <f>CMP!W400</f>
        <v>347.23</v>
      </c>
      <c r="B398" s="12">
        <f>CMP!Y400</f>
        <v>343.43</v>
      </c>
    </row>
    <row r="399">
      <c r="A399" s="12">
        <f>CMP!W401</f>
        <v>341.63</v>
      </c>
      <c r="B399" s="12">
        <f>CMP!Y401</f>
        <v>339.73</v>
      </c>
    </row>
    <row r="400">
      <c r="A400" s="12">
        <f>CMP!W402</f>
        <v>342.69</v>
      </c>
      <c r="B400" s="12">
        <f>CMP!Y402</f>
        <v>350.62</v>
      </c>
    </row>
    <row r="401">
      <c r="A401" s="12">
        <f>CMP!W403</f>
        <v>355.57</v>
      </c>
      <c r="B401" s="12">
        <f>CMP!Y403</f>
        <v>357.12</v>
      </c>
    </row>
    <row r="402">
      <c r="A402" s="12">
        <f>CMP!W404</f>
        <v>361.72</v>
      </c>
      <c r="B402" s="12">
        <f>CMP!Y404</f>
        <v>363.52</v>
      </c>
    </row>
    <row r="403">
      <c r="A403" s="12">
        <f>CMP!W405</f>
        <v>365.91</v>
      </c>
      <c r="B403" s="12">
        <f>CMP!Y405</f>
        <v>365.21</v>
      </c>
    </row>
    <row r="404">
      <c r="A404" s="12">
        <f>CMP!W406</f>
        <v>365</v>
      </c>
      <c r="B404" s="12">
        <f>CMP!Y406</f>
        <v>369.21</v>
      </c>
    </row>
    <row r="405">
      <c r="A405" s="12">
        <f>CMP!W407</f>
        <v>370.27</v>
      </c>
      <c r="B405" s="12">
        <f>CMP!Y407</f>
        <v>371.04</v>
      </c>
    </row>
    <row r="406">
      <c r="A406" s="12">
        <f>CMP!W408</f>
        <v>370.75</v>
      </c>
      <c r="B406" s="12">
        <f>CMP!Y408</f>
        <v>360.3</v>
      </c>
    </row>
    <row r="407">
      <c r="A407" s="12">
        <f>CMP!W409</f>
        <v>361.6</v>
      </c>
      <c r="B407" s="12">
        <f>CMP!Y409</f>
        <v>362.2</v>
      </c>
    </row>
    <row r="408">
      <c r="A408" s="12">
        <f>CMP!W410</f>
        <v>363.2</v>
      </c>
      <c r="B408" s="12">
        <f>CMP!Y410</f>
        <v>370.02</v>
      </c>
    </row>
    <row r="409">
      <c r="A409" s="12">
        <f>CMP!W411</f>
        <v>370.26</v>
      </c>
      <c r="B409" s="12">
        <f>CMP!Y411</f>
        <v>367.32</v>
      </c>
    </row>
    <row r="410">
      <c r="A410" s="12">
        <f>CMP!W412</f>
        <v>373.5</v>
      </c>
      <c r="B410" s="12">
        <f>CMP!Y412</f>
        <v>374.6</v>
      </c>
    </row>
    <row r="411">
      <c r="A411" s="12">
        <f>CMP!W413</f>
        <v>374.89</v>
      </c>
      <c r="B411" s="12">
        <f>CMP!Y413</f>
        <v>375.43</v>
      </c>
    </row>
    <row r="412">
      <c r="A412" s="12">
        <f>CMP!W414</f>
        <v>376.69</v>
      </c>
      <c r="B412" s="12">
        <f>CMP!Y414</f>
        <v>381.72</v>
      </c>
    </row>
    <row r="413">
      <c r="A413" s="12">
        <f>CMP!W415</f>
        <v>378.29</v>
      </c>
      <c r="B413" s="12">
        <f>CMP!Y415</f>
        <v>380.55</v>
      </c>
    </row>
    <row r="414">
      <c r="A414" s="12">
        <f>CMP!W416</f>
        <v>378.19</v>
      </c>
      <c r="B414" s="12">
        <f>CMP!Y416</f>
        <v>376.16</v>
      </c>
    </row>
    <row r="415">
      <c r="A415" s="12">
        <f>CMP!W417</f>
        <v>379.06</v>
      </c>
      <c r="B415" s="12">
        <f>CMP!Y417</f>
        <v>379.93</v>
      </c>
    </row>
    <row r="416">
      <c r="A416" s="12">
        <f>CMP!W418</f>
        <v>382.77</v>
      </c>
      <c r="B416" s="12">
        <f>CMP!Y418</f>
        <v>381</v>
      </c>
    </row>
    <row r="417">
      <c r="A417" s="12">
        <f>CMP!W419</f>
        <v>381.1</v>
      </c>
      <c r="B417" s="12">
        <f>CMP!Y419</f>
        <v>379.5</v>
      </c>
    </row>
    <row r="418">
      <c r="A418" s="12">
        <f>CMP!W420</f>
        <v>378.68</v>
      </c>
      <c r="B418" s="12">
        <f>CMP!Y420</f>
        <v>373.25</v>
      </c>
    </row>
    <row r="419">
      <c r="A419" s="12">
        <f>CMP!W421</f>
        <v>372.94</v>
      </c>
      <c r="B419" s="12">
        <f>CMP!Y421</f>
        <v>366.6</v>
      </c>
    </row>
    <row r="420">
      <c r="A420" s="12">
        <f>CMP!W422</f>
        <v>370.09</v>
      </c>
      <c r="B420" s="12">
        <f>CMP!Y422</f>
        <v>365.99</v>
      </c>
    </row>
    <row r="421">
      <c r="A421" s="12">
        <f>CMP!W423</f>
        <v>366.25</v>
      </c>
      <c r="B421" s="12">
        <f>CMP!Y423</f>
        <v>362.44</v>
      </c>
    </row>
    <row r="422">
      <c r="A422" s="12">
        <f>CMP!W424</f>
        <v>323.76</v>
      </c>
      <c r="B422" s="12">
        <f>CMP!Y424</f>
        <v>325.21</v>
      </c>
    </row>
    <row r="423">
      <c r="A423" s="12">
        <f>CMP!W425</f>
        <v>323.4</v>
      </c>
      <c r="B423" s="12">
        <f>CMP!Y425</f>
        <v>315.1</v>
      </c>
    </row>
    <row r="424">
      <c r="A424" s="12">
        <f>CMP!W426</f>
        <v>312</v>
      </c>
      <c r="B424" s="12">
        <f>CMP!Y426</f>
        <v>310.62</v>
      </c>
    </row>
    <row r="425">
      <c r="A425" s="12">
        <f>CMP!W427</f>
        <v>311.44</v>
      </c>
      <c r="B425" s="12">
        <f>CMP!Y427</f>
        <v>307.3</v>
      </c>
    </row>
    <row r="426">
      <c r="A426" s="12">
        <f>CMP!W428</f>
        <v>310.51</v>
      </c>
      <c r="B426" s="12">
        <f>CMP!Y428</f>
        <v>317.94</v>
      </c>
    </row>
    <row r="427">
      <c r="A427" s="12">
        <f>CMP!W429</f>
        <v>318.86</v>
      </c>
      <c r="B427" s="12">
        <f>CMP!Y429</f>
        <v>326.46</v>
      </c>
    </row>
    <row r="428">
      <c r="A428" s="12">
        <f>CMP!W430</f>
        <v>328.79</v>
      </c>
      <c r="B428" s="12">
        <f>CMP!Y430</f>
        <v>335.78</v>
      </c>
    </row>
    <row r="429">
      <c r="A429" s="12">
        <f>CMP!W431</f>
        <v>335.98</v>
      </c>
      <c r="B429" s="12">
        <f>CMP!Y431</f>
        <v>332.7</v>
      </c>
    </row>
    <row r="430">
      <c r="A430" s="12">
        <f>CMP!W432</f>
        <v>329.2</v>
      </c>
      <c r="B430" s="12">
        <f>CMP!Y432</f>
        <v>325.93</v>
      </c>
    </row>
    <row r="431">
      <c r="A431" s="12">
        <f>CMP!W433</f>
        <v>325.16</v>
      </c>
      <c r="B431" s="12">
        <f>CMP!Y433</f>
        <v>322.99</v>
      </c>
    </row>
    <row r="432">
      <c r="A432" s="12">
        <f>CMP!W434</f>
        <v>324.25</v>
      </c>
      <c r="B432" s="12">
        <f>CMP!Y434</f>
        <v>319.5</v>
      </c>
    </row>
    <row r="433">
      <c r="A433" s="12">
        <f>CMP!W435</f>
        <v>317.49</v>
      </c>
      <c r="B433" s="12">
        <f>CMP!Y435</f>
        <v>318.83</v>
      </c>
    </row>
    <row r="434">
      <c r="A434" s="12">
        <f>CMP!W436</f>
        <v>310.96</v>
      </c>
      <c r="B434" s="12">
        <f>CMP!Y436</f>
        <v>307.63</v>
      </c>
    </row>
    <row r="435">
      <c r="A435" s="12">
        <f>CMP!W437</f>
        <v>310.58</v>
      </c>
      <c r="B435" s="12">
        <f>CMP!Y437</f>
        <v>310.1</v>
      </c>
    </row>
    <row r="436">
      <c r="A436" s="12">
        <f>CMP!W438</f>
        <v>302.56</v>
      </c>
      <c r="B436" s="12">
        <f>CMP!Y438</f>
        <v>304.29</v>
      </c>
    </row>
    <row r="437">
      <c r="A437" s="12">
        <f>CMP!W439</f>
        <v>311.03</v>
      </c>
      <c r="B437" s="12">
        <f>CMP!Y439</f>
        <v>315.9</v>
      </c>
    </row>
    <row r="438">
      <c r="A438" s="12">
        <f>CMP!W440</f>
        <v>313.74</v>
      </c>
      <c r="B438" s="12">
        <f>CMP!Y440</f>
        <v>308.93</v>
      </c>
    </row>
    <row r="439">
      <c r="A439" s="12">
        <f>CMP!W441</f>
        <v>305.46</v>
      </c>
      <c r="B439" s="12">
        <f>CMP!Y441</f>
        <v>310.83</v>
      </c>
    </row>
    <row r="440">
      <c r="A440" s="12">
        <f>CMP!W442</f>
        <v>309.77</v>
      </c>
      <c r="B440" s="12">
        <f>CMP!Y442</f>
        <v>312.28</v>
      </c>
    </row>
    <row r="441">
      <c r="A441" s="12">
        <f>CMP!W443</f>
        <v>308.01</v>
      </c>
      <c r="B441" s="12">
        <f>CMP!Y443</f>
        <v>299.11</v>
      </c>
    </row>
    <row r="442">
      <c r="A442" s="12">
        <f>CMP!W444</f>
        <v>299.5</v>
      </c>
      <c r="B442" s="12">
        <f>CMP!Y444</f>
        <v>295.76</v>
      </c>
    </row>
    <row r="443">
      <c r="A443" s="12">
        <f>CMP!W445</f>
        <v>298.86</v>
      </c>
      <c r="B443" s="12">
        <f>CMP!Y445</f>
        <v>302.8</v>
      </c>
    </row>
    <row r="444">
      <c r="A444" s="12">
        <f>CMP!W446</f>
        <v>306.25</v>
      </c>
      <c r="B444" s="12">
        <f>CMP!Y446</f>
        <v>309.38</v>
      </c>
    </row>
    <row r="445">
      <c r="A445" s="12">
        <f>CMP!W447</f>
        <v>304.57</v>
      </c>
      <c r="B445" s="12">
        <f>CMP!Y447</f>
        <v>298.99</v>
      </c>
    </row>
    <row r="446">
      <c r="A446" s="12">
        <f>CMP!W448</f>
        <v>301.61</v>
      </c>
      <c r="B446" s="12">
        <f>CMP!Y448</f>
        <v>297.81</v>
      </c>
    </row>
    <row r="447">
      <c r="A447" s="12">
        <f>CMP!W449</f>
        <v>298.65</v>
      </c>
      <c r="B447" s="12">
        <f>CMP!Y449</f>
        <v>296.93</v>
      </c>
    </row>
    <row r="448">
      <c r="A448" s="12">
        <f>CMP!W450</f>
        <v>295</v>
      </c>
      <c r="B448" s="12">
        <f>CMP!Y450</f>
        <v>291.44</v>
      </c>
    </row>
    <row r="449">
      <c r="A449" s="12">
        <f>CMP!W451</f>
        <v>295.24</v>
      </c>
      <c r="B449" s="12">
        <f>CMP!Y451</f>
        <v>294.98</v>
      </c>
    </row>
    <row r="450">
      <c r="A450" s="12">
        <f>CMP!W452</f>
        <v>294.54</v>
      </c>
      <c r="B450" s="12">
        <f>CMP!Y452</f>
        <v>291.03</v>
      </c>
    </row>
    <row r="451">
      <c r="A451" s="12">
        <f>CMP!W453</f>
        <v>289.47</v>
      </c>
      <c r="B451" s="12">
        <f>CMP!Y453</f>
        <v>291.77</v>
      </c>
    </row>
    <row r="452">
      <c r="A452" s="12">
        <f>CMP!W454</f>
        <v>295</v>
      </c>
      <c r="B452" s="12">
        <f>CMP!Y454</f>
        <v>296.78</v>
      </c>
    </row>
    <row r="453">
      <c r="A453" s="12">
        <f>CMP!W455</f>
        <v>298.78</v>
      </c>
      <c r="B453" s="12">
        <f>CMP!Y455</f>
        <v>293.75</v>
      </c>
    </row>
    <row r="454">
      <c r="A454" s="12">
        <f>CMP!W456</f>
        <v>290.82</v>
      </c>
      <c r="B454" s="12">
        <f>CMP!Y456</f>
        <v>289.29</v>
      </c>
    </row>
    <row r="455">
      <c r="A455" s="12">
        <f>CMP!W457</f>
        <v>291.25</v>
      </c>
      <c r="B455" s="12">
        <f>CMP!Y457</f>
        <v>291.52</v>
      </c>
    </row>
    <row r="456">
      <c r="A456" s="12">
        <f>CMP!W458</f>
        <v>285.32</v>
      </c>
      <c r="B456" s="12">
        <f>CMP!Y458</f>
        <v>293.25</v>
      </c>
    </row>
    <row r="457">
      <c r="A457" s="12">
        <f>CMP!W459</f>
        <v>293.35</v>
      </c>
      <c r="B457" s="12">
        <f>CMP!Y459</f>
        <v>290.17</v>
      </c>
    </row>
    <row r="458">
      <c r="A458" s="12">
        <f>CMP!W460</f>
        <v>294.81</v>
      </c>
      <c r="B458" s="12">
        <f>CMP!Y460</f>
        <v>294.34</v>
      </c>
    </row>
    <row r="459">
      <c r="A459" s="12">
        <f>CMP!W461</f>
        <v>291.16</v>
      </c>
      <c r="B459" s="12">
        <f>CMP!Y461</f>
        <v>287.99</v>
      </c>
    </row>
    <row r="460">
      <c r="A460" s="12">
        <f>CMP!W462</f>
        <v>285.7</v>
      </c>
      <c r="B460" s="12">
        <f>CMP!Y462</f>
        <v>288.27</v>
      </c>
    </row>
    <row r="461">
      <c r="A461" s="12">
        <f>CMP!W463</f>
        <v>288.1</v>
      </c>
      <c r="B461" s="12">
        <f>CMP!Y463</f>
        <v>288.86</v>
      </c>
    </row>
    <row r="462">
      <c r="A462" s="12">
        <f>CMP!W464</f>
        <v>290.61</v>
      </c>
      <c r="B462" s="12">
        <f>CMP!Y464</f>
        <v>294.15</v>
      </c>
    </row>
    <row r="463">
      <c r="A463" s="12">
        <f>CMP!W465</f>
        <v>294.23</v>
      </c>
      <c r="B463" s="12">
        <f>CMP!Y465</f>
        <v>294.29</v>
      </c>
    </row>
    <row r="464">
      <c r="A464" s="12">
        <f>CMP!W466</f>
        <v>294.5</v>
      </c>
      <c r="B464" s="12">
        <f>CMP!Y466</f>
        <v>298.6</v>
      </c>
    </row>
    <row r="465">
      <c r="A465" s="12">
        <f>CMP!W467</f>
        <v>294.99</v>
      </c>
      <c r="B465" s="12">
        <f>CMP!Y467</f>
        <v>291.56</v>
      </c>
    </row>
    <row r="466">
      <c r="A466" s="12">
        <f>CMP!W468</f>
        <v>291.56</v>
      </c>
      <c r="B466" s="12">
        <f>CMP!Y468</f>
        <v>286.6</v>
      </c>
    </row>
    <row r="467">
      <c r="A467" s="12">
        <f>CMP!W469</f>
        <v>280.26</v>
      </c>
      <c r="B467" s="12">
        <f>CMP!Y469</f>
        <v>270.75</v>
      </c>
    </row>
    <row r="468">
      <c r="A468" s="12">
        <f>CMP!W470</f>
        <v>268.35</v>
      </c>
      <c r="B468" s="12">
        <f>CMP!Y470</f>
        <v>265.92</v>
      </c>
    </row>
    <row r="469">
      <c r="A469" s="12">
        <f>CMP!W471</f>
        <v>262.5</v>
      </c>
      <c r="B469" s="12">
        <f>CMP!Y471</f>
        <v>254.59</v>
      </c>
    </row>
    <row r="470">
      <c r="A470" s="12">
        <f>CMP!W472</f>
        <v>255.71</v>
      </c>
      <c r="B470" s="12">
        <f>CMP!Y472</f>
        <v>264.75</v>
      </c>
    </row>
    <row r="471">
      <c r="A471" s="12">
        <f>CMP!W473</f>
        <v>266.42</v>
      </c>
      <c r="B471" s="12">
        <f>CMP!Y473</f>
        <v>263.31</v>
      </c>
    </row>
    <row r="472">
      <c r="A472" s="12">
        <f>CMP!W474</f>
        <v>266.18</v>
      </c>
      <c r="B472" s="12">
        <f>CMP!Y474</f>
        <v>263.08</v>
      </c>
    </row>
    <row r="473">
      <c r="A473" s="12">
        <f>CMP!W475</f>
        <v>264</v>
      </c>
      <c r="B473" s="12">
        <f>CMP!Y475</f>
        <v>267.62</v>
      </c>
    </row>
    <row r="474">
      <c r="A474" s="12">
        <f>CMP!W476</f>
        <v>267.35</v>
      </c>
      <c r="B474" s="12">
        <f>CMP!Y476</f>
        <v>269.58</v>
      </c>
    </row>
    <row r="475">
      <c r="A475" s="12">
        <f>CMP!W477</f>
        <v>263.61</v>
      </c>
      <c r="B475" s="12">
        <f>CMP!Y477</f>
        <v>268.03</v>
      </c>
    </row>
    <row r="476">
      <c r="A476" s="12">
        <f>CMP!W478</f>
        <v>267.78</v>
      </c>
      <c r="B476" s="12">
        <f>CMP!Y478</f>
        <v>268.15</v>
      </c>
    </row>
    <row r="477">
      <c r="A477" s="12">
        <f>CMP!W479</f>
        <v>268.2</v>
      </c>
      <c r="B477" s="12">
        <f>CMP!Y479</f>
        <v>272.79</v>
      </c>
    </row>
    <row r="478">
      <c r="A478" s="12">
        <f>CMP!W480</f>
        <v>271.99</v>
      </c>
      <c r="B478" s="12">
        <f>CMP!Y480</f>
        <v>274.46</v>
      </c>
    </row>
    <row r="479">
      <c r="A479" s="12">
        <f>CMP!W481</f>
        <v>273.03</v>
      </c>
      <c r="B479" s="12">
        <f>CMP!Y481</f>
        <v>270.72</v>
      </c>
    </row>
    <row r="480">
      <c r="A480" s="12">
        <f>CMP!W482</f>
        <v>270.02</v>
      </c>
      <c r="B480" s="12">
        <f>CMP!Y482</f>
        <v>267.53</v>
      </c>
    </row>
    <row r="481">
      <c r="A481" s="12">
        <f>CMP!W483</f>
        <v>265.97</v>
      </c>
      <c r="B481" s="12">
        <f>CMP!Y483</f>
        <v>280.48</v>
      </c>
    </row>
    <row r="482">
      <c r="A482" s="12">
        <f>CMP!W484</f>
        <v>284.8</v>
      </c>
      <c r="B482" s="12">
        <f>CMP!Y484</f>
        <v>282.93</v>
      </c>
    </row>
    <row r="483">
      <c r="A483" s="12">
        <f>CMP!W485</f>
        <v>283.93</v>
      </c>
      <c r="B483" s="12">
        <f>CMP!Y485</f>
        <v>285.53</v>
      </c>
    </row>
    <row r="484">
      <c r="A484" s="12">
        <f>CMP!W486</f>
        <v>283.82</v>
      </c>
      <c r="B484" s="12">
        <f>CMP!Y486</f>
        <v>284.25</v>
      </c>
    </row>
    <row r="485">
      <c r="A485" s="12">
        <f>CMP!W487</f>
        <v>283.12</v>
      </c>
      <c r="B485" s="12">
        <f>CMP!Y487</f>
        <v>286.28</v>
      </c>
    </row>
    <row r="486">
      <c r="A486" s="12">
        <f>CMP!W488</f>
        <v>304.49</v>
      </c>
      <c r="B486" s="12">
        <f>CMP!Y488</f>
        <v>293.35</v>
      </c>
    </row>
    <row r="487">
      <c r="A487" s="12">
        <f>CMP!W489</f>
        <v>289.36</v>
      </c>
      <c r="B487" s="12">
        <f>CMP!Y489</f>
        <v>275.3</v>
      </c>
    </row>
    <row r="488">
      <c r="A488" s="12">
        <f>CMP!W490</f>
        <v>272.89</v>
      </c>
      <c r="B488" s="12">
        <f>CMP!Y490</f>
        <v>278.05</v>
      </c>
    </row>
    <row r="489">
      <c r="A489" s="12">
        <f>CMP!W491</f>
        <v>271.16</v>
      </c>
      <c r="B489" s="12">
        <f>CMP!Y491</f>
        <v>266.69</v>
      </c>
    </row>
    <row r="490">
      <c r="A490" s="12">
        <f>CMP!W492</f>
        <v>268.06</v>
      </c>
      <c r="B490" s="12">
        <f>CMP!Y492</f>
        <v>271.27</v>
      </c>
    </row>
    <row r="491">
      <c r="A491" s="12">
        <f>CMP!W493</f>
        <v>271.81</v>
      </c>
      <c r="B491" s="12">
        <f>CMP!Y493</f>
        <v>271.5</v>
      </c>
    </row>
    <row r="492">
      <c r="A492" s="12">
        <f>CMP!W494</f>
        <v>270.68</v>
      </c>
      <c r="B492" s="12">
        <f>CMP!Y494</f>
        <v>276.82</v>
      </c>
    </row>
    <row r="493">
      <c r="A493" s="12">
        <f>CMP!W495</f>
        <v>278.05</v>
      </c>
      <c r="B493" s="12">
        <f>CMP!Y495</f>
        <v>281.86</v>
      </c>
    </row>
    <row r="494">
      <c r="A494" s="12">
        <f>CMP!W496</f>
        <v>281.87</v>
      </c>
      <c r="B494" s="12">
        <f>CMP!Y496</f>
        <v>281.21</v>
      </c>
    </row>
    <row r="495">
      <c r="A495" s="12">
        <f>CMP!W497</f>
        <v>284.34</v>
      </c>
      <c r="B495" s="12">
        <f>CMP!Y497</f>
        <v>291.45</v>
      </c>
    </row>
    <row r="496">
      <c r="A496" s="12">
        <f>CMP!W498</f>
        <v>291</v>
      </c>
      <c r="B496" s="12">
        <f>CMP!Y498</f>
        <v>287.41</v>
      </c>
    </row>
    <row r="497">
      <c r="A497" s="12">
        <f>CMP!W499</f>
        <v>288.7</v>
      </c>
      <c r="B497" s="12">
        <f>CMP!Y499</f>
        <v>286.81</v>
      </c>
    </row>
    <row r="498">
      <c r="A498" s="12">
        <f>CMP!W500</f>
        <v>288</v>
      </c>
      <c r="B498" s="12">
        <f>CMP!Y500</f>
        <v>292.86</v>
      </c>
    </row>
    <row r="499">
      <c r="A499" s="12">
        <f>CMP!W501</f>
        <v>289.99</v>
      </c>
      <c r="B499" s="12">
        <f>CMP!Y501</f>
        <v>288.03</v>
      </c>
    </row>
    <row r="500">
      <c r="A500" s="12">
        <f>CMP!W502</f>
        <v>288.19</v>
      </c>
      <c r="B500" s="12">
        <f>CMP!Y502</f>
        <v>288.59</v>
      </c>
    </row>
    <row r="501">
      <c r="A501" s="12">
        <f>CMP!W503</f>
        <v>290.7</v>
      </c>
      <c r="B501" s="12">
        <f>CMP!Y503</f>
        <v>289.57</v>
      </c>
    </row>
    <row r="502">
      <c r="A502" s="12">
        <f>CMP!W504</f>
        <v>288.73</v>
      </c>
      <c r="B502" s="12">
        <f>CMP!Y504</f>
        <v>291.57</v>
      </c>
    </row>
    <row r="503">
      <c r="A503" s="12">
        <f>CMP!W505</f>
        <v>289.16</v>
      </c>
      <c r="B503" s="12">
        <f>CMP!Y505</f>
        <v>294.18</v>
      </c>
    </row>
    <row r="504">
      <c r="A504" s="12">
        <f>CMP!W506</f>
        <v>295.32</v>
      </c>
      <c r="B504" s="12">
        <f>CMP!Y506</f>
        <v>292.01</v>
      </c>
    </row>
    <row r="505">
      <c r="A505" s="12">
        <f>CMP!W507</f>
        <v>291.03</v>
      </c>
      <c r="B505" s="12">
        <f>CMP!Y507</f>
        <v>283.11</v>
      </c>
    </row>
    <row r="506">
      <c r="A506" s="12">
        <f>CMP!W508</f>
        <v>283.25</v>
      </c>
      <c r="B506" s="12">
        <f>CMP!Y508</f>
        <v>289.62</v>
      </c>
    </row>
    <row r="507">
      <c r="A507" s="12">
        <f>CMP!W509</f>
        <v>290.59</v>
      </c>
      <c r="B507" s="12">
        <f>CMP!Y509</f>
        <v>295.03</v>
      </c>
    </row>
    <row r="508">
      <c r="A508" s="12">
        <f>CMP!W510</f>
        <v>296</v>
      </c>
      <c r="B508" s="12">
        <f>CMP!Y510</f>
        <v>302.57</v>
      </c>
    </row>
    <row r="509">
      <c r="A509" s="12">
        <f>CMP!W511</f>
        <v>304.01</v>
      </c>
      <c r="B509" s="12">
        <f>CMP!Y511</f>
        <v>302.6</v>
      </c>
    </row>
    <row r="510">
      <c r="A510" s="12">
        <f>CMP!W512</f>
        <v>301.01</v>
      </c>
      <c r="B510" s="12">
        <f>CMP!Y512</f>
        <v>305.16</v>
      </c>
    </row>
    <row r="511">
      <c r="A511" s="12">
        <f>CMP!W513</f>
        <v>306</v>
      </c>
      <c r="B511" s="12">
        <f>CMP!Y513</f>
        <v>311.69</v>
      </c>
    </row>
    <row r="512">
      <c r="A512" s="12">
        <f>CMP!W514</f>
        <v>309.1</v>
      </c>
      <c r="B512" s="12">
        <f>CMP!Y514</f>
        <v>310.48</v>
      </c>
    </row>
    <row r="513">
      <c r="A513" s="12">
        <f>CMP!W515</f>
        <v>308.83</v>
      </c>
      <c r="B513" s="12">
        <f>CMP!Y515</f>
        <v>315.55</v>
      </c>
    </row>
    <row r="514">
      <c r="A514" s="12">
        <f>CMP!W516</f>
        <v>315</v>
      </c>
      <c r="B514" s="12">
        <f>CMP!Y516</f>
        <v>312.49</v>
      </c>
    </row>
    <row r="515">
      <c r="A515" s="12">
        <f>CMP!W517</f>
        <v>313.93</v>
      </c>
      <c r="B515" s="12">
        <f>CMP!Y517</f>
        <v>315.93</v>
      </c>
    </row>
    <row r="516">
      <c r="A516" s="12">
        <f>CMP!W518</f>
        <v>315.78</v>
      </c>
      <c r="B516" s="12">
        <f>CMP!Y518</f>
        <v>314.66</v>
      </c>
    </row>
    <row r="517">
      <c r="A517" s="12">
        <f>CMP!W519</f>
        <v>314.39</v>
      </c>
      <c r="B517" s="12">
        <f>CMP!Y519</f>
        <v>309.99</v>
      </c>
    </row>
    <row r="518">
      <c r="A518" s="12">
        <f>CMP!W520</f>
        <v>302.22</v>
      </c>
      <c r="B518" s="12">
        <f>CMP!Y520</f>
        <v>306.16</v>
      </c>
    </row>
    <row r="519">
      <c r="A519" s="12">
        <f>CMP!W521</f>
        <v>308.43</v>
      </c>
      <c r="B519" s="12">
        <f>CMP!Y521</f>
        <v>304.32</v>
      </c>
    </row>
    <row r="520">
      <c r="A520" s="12">
        <f>CMP!W522</f>
        <v>305.27</v>
      </c>
      <c r="B520" s="12">
        <f>CMP!Y522</f>
        <v>302.86</v>
      </c>
    </row>
    <row r="521">
      <c r="A521" s="12">
        <f>CMP!W523</f>
        <v>304.7</v>
      </c>
      <c r="B521" s="12">
        <f>CMP!Y523</f>
        <v>307.35</v>
      </c>
    </row>
    <row r="522">
      <c r="A522" s="12">
        <f>CMP!W524</f>
        <v>307.35</v>
      </c>
      <c r="B522" s="12">
        <f>CMP!Y524</f>
        <v>302.5</v>
      </c>
    </row>
    <row r="523">
      <c r="A523" s="12">
        <f>CMP!W525</f>
        <v>296.12</v>
      </c>
      <c r="B523" s="12">
        <f>CMP!Y525</f>
        <v>293.12</v>
      </c>
    </row>
    <row r="524">
      <c r="A524" s="12">
        <f>CMP!W526</f>
        <v>294.49</v>
      </c>
      <c r="B524" s="12">
        <f>CMP!Y526</f>
        <v>298.93</v>
      </c>
    </row>
    <row r="525">
      <c r="A525" s="12">
        <f>CMP!W527</f>
        <v>295.67</v>
      </c>
      <c r="B525" s="12">
        <f>CMP!Y527</f>
        <v>298.44</v>
      </c>
    </row>
    <row r="526">
      <c r="A526" s="12">
        <f>CMP!W528</f>
        <v>298.5</v>
      </c>
      <c r="B526" s="12">
        <f>CMP!Y528</f>
        <v>298.5</v>
      </c>
    </row>
    <row r="527">
      <c r="A527" s="12">
        <f>CMP!W529</f>
        <v>300.85</v>
      </c>
      <c r="B527" s="12">
        <f>CMP!Y529</f>
        <v>304.21</v>
      </c>
    </row>
    <row r="528">
      <c r="A528" s="12">
        <f>CMP!W530</f>
        <v>307.36</v>
      </c>
      <c r="B528" s="12">
        <f>CMP!Y530</f>
        <v>315.48</v>
      </c>
    </row>
    <row r="529">
      <c r="A529" s="12">
        <f>CMP!W531</f>
        <v>316.26</v>
      </c>
      <c r="B529" s="12">
        <f>CMP!Y531</f>
        <v>320.8</v>
      </c>
    </row>
    <row r="530">
      <c r="A530" s="12">
        <f>CMP!W532</f>
        <v>324.5</v>
      </c>
      <c r="B530" s="12">
        <f>CMP!Y532</f>
        <v>332.22</v>
      </c>
    </row>
    <row r="531">
      <c r="A531" s="12">
        <f>CMP!W533</f>
        <v>335</v>
      </c>
      <c r="B531" s="12">
        <f>CMP!Y533</f>
        <v>336.9</v>
      </c>
    </row>
    <row r="532">
      <c r="A532" s="12">
        <f>CMP!W534</f>
        <v>337.76</v>
      </c>
      <c r="B532" s="12">
        <f>CMP!Y534</f>
        <v>333.1</v>
      </c>
    </row>
    <row r="533">
      <c r="A533" s="12">
        <f>CMP!W535</f>
        <v>334.01</v>
      </c>
      <c r="B533" s="12">
        <f>CMP!Y535</f>
        <v>333.2</v>
      </c>
    </row>
    <row r="534">
      <c r="A534" s="12">
        <f>CMP!W536</f>
        <v>334.6</v>
      </c>
      <c r="B534" s="12">
        <f>CMP!Y536</f>
        <v>332.63</v>
      </c>
    </row>
    <row r="535">
      <c r="A535" s="12">
        <f>CMP!W537</f>
        <v>332.96</v>
      </c>
      <c r="B535" s="12">
        <f>CMP!Y537</f>
        <v>329.09</v>
      </c>
    </row>
    <row r="536">
      <c r="A536" s="12">
        <f>CMP!W538</f>
        <v>329.08</v>
      </c>
      <c r="B536" s="12">
        <f>CMP!Y538</f>
        <v>323.31</v>
      </c>
    </row>
    <row r="537">
      <c r="A537" s="12">
        <f>CMP!W539</f>
        <v>322</v>
      </c>
      <c r="B537" s="12">
        <f>CMP!Y539</f>
        <v>323.57</v>
      </c>
    </row>
    <row r="538">
      <c r="A538" s="12">
        <f>CMP!W540</f>
        <v>326.1</v>
      </c>
      <c r="B538" s="12">
        <f>CMP!Y540</f>
        <v>329.81</v>
      </c>
    </row>
    <row r="539">
      <c r="A539" s="12">
        <f>CMP!W541</f>
        <v>326.78</v>
      </c>
      <c r="B539" s="12">
        <f>CMP!Y541</f>
        <v>325.9</v>
      </c>
    </row>
    <row r="540">
      <c r="A540" s="12">
        <f>CMP!W542</f>
        <v>323.12</v>
      </c>
      <c r="B540" s="12">
        <f>CMP!Y542</f>
        <v>335.83</v>
      </c>
    </row>
    <row r="541">
      <c r="A541" s="12">
        <f>CMP!W543</f>
        <v>336.47</v>
      </c>
      <c r="B541" s="12">
        <f>CMP!Y543</f>
        <v>330.75</v>
      </c>
    </row>
    <row r="542">
      <c r="A542" s="12">
        <f>CMP!W544</f>
        <v>331.49</v>
      </c>
      <c r="B542" s="12">
        <f>CMP!Y544</f>
        <v>339.26</v>
      </c>
    </row>
    <row r="543">
      <c r="A543" s="12">
        <f>CMP!W545</f>
        <v>342</v>
      </c>
      <c r="B543" s="12">
        <f>CMP!Y545</f>
        <v>335.66</v>
      </c>
    </row>
    <row r="544">
      <c r="A544" s="12">
        <f>CMP!W546</f>
        <v>337.13</v>
      </c>
      <c r="B544" s="12">
        <f>CMP!Y546</f>
        <v>329.05</v>
      </c>
    </row>
    <row r="545">
      <c r="A545" s="12">
        <f>CMP!W547</f>
        <v>331.8</v>
      </c>
      <c r="B545" s="12">
        <f>CMP!Y547</f>
        <v>338.92</v>
      </c>
    </row>
    <row r="546">
      <c r="A546" s="12">
        <f>CMP!W548</f>
        <v>344.4</v>
      </c>
      <c r="B546" s="12">
        <f>CMP!Y548</f>
        <v>338.69</v>
      </c>
    </row>
    <row r="547">
      <c r="A547" s="12">
        <f>CMP!W549</f>
        <v>338.68</v>
      </c>
      <c r="B547" s="12">
        <f>CMP!Y549</f>
        <v>339.07</v>
      </c>
    </row>
    <row r="548">
      <c r="A548" s="12">
        <f>CMP!W550</f>
        <v>343.5</v>
      </c>
      <c r="B548" s="12">
        <f>CMP!Y550</f>
        <v>338.62</v>
      </c>
    </row>
    <row r="549">
      <c r="A549" s="12">
        <f>CMP!W551</f>
        <v>341</v>
      </c>
      <c r="B549" s="12">
        <f>CMP!Y551</f>
        <v>339.67</v>
      </c>
    </row>
    <row r="550">
      <c r="A550" s="12">
        <f>CMP!W552</f>
        <v>340</v>
      </c>
      <c r="B550" s="12">
        <f>CMP!Y552</f>
        <v>338.11</v>
      </c>
    </row>
    <row r="551">
      <c r="A551" s="12">
        <f>CMP!W553</f>
        <v>332.55</v>
      </c>
      <c r="B551" s="12">
        <f>CMP!Y553</f>
        <v>326</v>
      </c>
    </row>
    <row r="552">
      <c r="A552" s="12">
        <f>CMP!W554</f>
        <v>326.04</v>
      </c>
      <c r="B552" s="12">
        <f>CMP!Y554</f>
        <v>349.6</v>
      </c>
    </row>
    <row r="553">
      <c r="A553" s="12">
        <f>CMP!W555</f>
        <v>348.46</v>
      </c>
      <c r="B553" s="12">
        <f>CMP!Y555</f>
        <v>353.16</v>
      </c>
    </row>
    <row r="554">
      <c r="A554" s="12">
        <f>CMP!W556</f>
        <v>345.95</v>
      </c>
      <c r="B554" s="12">
        <f>CMP!Y556</f>
        <v>342.88</v>
      </c>
    </row>
    <row r="555">
      <c r="A555" s="12">
        <f>CMP!W557</f>
        <v>345.88</v>
      </c>
      <c r="B555" s="12">
        <f>CMP!Y557</f>
        <v>348.52</v>
      </c>
    </row>
    <row r="556">
      <c r="A556" s="12">
        <f>CMP!W558</f>
        <v>349</v>
      </c>
      <c r="B556" s="12">
        <f>CMP!Y558</f>
        <v>343.16</v>
      </c>
    </row>
    <row r="557">
      <c r="A557" s="12">
        <f>CMP!W559</f>
        <v>341.1</v>
      </c>
      <c r="B557" s="12">
        <f>CMP!Y559</f>
        <v>347.74</v>
      </c>
    </row>
    <row r="558">
      <c r="A558" s="12">
        <f>CMP!W560</f>
        <v>347.39</v>
      </c>
      <c r="B558" s="12">
        <f>CMP!Y560</f>
        <v>345.09</v>
      </c>
    </row>
    <row r="559">
      <c r="A559" s="12">
        <f>CMP!W561</f>
        <v>347.24</v>
      </c>
      <c r="B559" s="12">
        <f>CMP!Y561</f>
        <v>358</v>
      </c>
    </row>
    <row r="560">
      <c r="A560" s="12">
        <f>CMP!W562</f>
        <v>361</v>
      </c>
      <c r="B560" s="12">
        <f>CMP!Y562</f>
        <v>369.01</v>
      </c>
    </row>
    <row r="561">
      <c r="A561" s="12">
        <f>CMP!W563</f>
        <v>375.13</v>
      </c>
      <c r="B561" s="12">
        <f>CMP!Y563</f>
        <v>369.67</v>
      </c>
    </row>
    <row r="562">
      <c r="A562" s="12">
        <f>CMP!W564</f>
        <v>369.6</v>
      </c>
      <c r="B562" s="12">
        <f>CMP!Y564</f>
        <v>366.95</v>
      </c>
    </row>
    <row r="563">
      <c r="A563" s="12">
        <f>CMP!W565</f>
        <v>365.04</v>
      </c>
      <c r="B563" s="12">
        <f>CMP!Y565</f>
        <v>366.77</v>
      </c>
    </row>
    <row r="564">
      <c r="A564" s="12">
        <f>CMP!W566</f>
        <v>365</v>
      </c>
      <c r="B564" s="12">
        <f>CMP!Y566</f>
        <v>371.07</v>
      </c>
    </row>
    <row r="565">
      <c r="A565" s="12">
        <f>CMP!W567</f>
        <v>373.75</v>
      </c>
      <c r="B565" s="12">
        <f>CMP!Y567</f>
        <v>373.69</v>
      </c>
    </row>
    <row r="566">
      <c r="A566" s="12">
        <f>CMP!W568</f>
        <v>377.18</v>
      </c>
      <c r="B566" s="12">
        <f>CMP!Y568</f>
        <v>380.01</v>
      </c>
    </row>
    <row r="567">
      <c r="A567" s="12">
        <f>CMP!W569</f>
        <v>376.96</v>
      </c>
      <c r="B567" s="12">
        <f>CMP!Y569</f>
        <v>381.4</v>
      </c>
    </row>
    <row r="568">
      <c r="A568" s="12">
        <f>CMP!W570</f>
        <v>381.47</v>
      </c>
      <c r="B568" s="12">
        <f>CMP!Y570</f>
        <v>380.4</v>
      </c>
    </row>
    <row r="569">
      <c r="A569" s="12">
        <f>CMP!W571</f>
        <v>379.3</v>
      </c>
      <c r="B569" s="12">
        <f>CMP!Y571</f>
        <v>387.78</v>
      </c>
    </row>
    <row r="570">
      <c r="A570" s="12">
        <f>CMP!W572</f>
        <v>388.12</v>
      </c>
      <c r="B570" s="12">
        <f>CMP!Y572</f>
        <v>386.19</v>
      </c>
    </row>
    <row r="571">
      <c r="A571" s="12">
        <f>CMP!W573</f>
        <v>386.56</v>
      </c>
      <c r="B571" s="12">
        <f>CMP!Y573</f>
        <v>386</v>
      </c>
    </row>
    <row r="572">
      <c r="A572" s="12">
        <f>CMP!W574</f>
        <v>385.33</v>
      </c>
      <c r="B572" s="12">
        <f>CMP!Y574</f>
        <v>380.07</v>
      </c>
    </row>
    <row r="573">
      <c r="A573" s="12">
        <f>CMP!W575</f>
        <v>364.76</v>
      </c>
      <c r="B573" s="12">
        <f>CMP!Y575</f>
        <v>368.7</v>
      </c>
    </row>
    <row r="574">
      <c r="A574" s="12">
        <f>CMP!W576</f>
        <v>372</v>
      </c>
      <c r="B574" s="12">
        <f>CMP!Y576</f>
        <v>360.09</v>
      </c>
    </row>
    <row r="575">
      <c r="A575" s="12">
        <f>CMP!W577</f>
        <v>366.31</v>
      </c>
      <c r="B575" s="12">
        <f>CMP!Y577</f>
        <v>379.24</v>
      </c>
    </row>
    <row r="576">
      <c r="A576" s="12">
        <f>CMP!W578</f>
        <v>371.46</v>
      </c>
      <c r="B576" s="12">
        <f>CMP!Y578</f>
        <v>371.71</v>
      </c>
    </row>
    <row r="577">
      <c r="A577" s="12">
        <f>CMP!W579</f>
        <v>364.21</v>
      </c>
      <c r="B577" s="12">
        <f>CMP!Y579</f>
        <v>369.03</v>
      </c>
    </row>
    <row r="578">
      <c r="A578" s="12">
        <f>CMP!W580</f>
        <v>373.11</v>
      </c>
      <c r="B578" s="12">
        <f>CMP!Y580</f>
        <v>381.05</v>
      </c>
    </row>
    <row r="579">
      <c r="A579" s="12">
        <f>CMP!W581</f>
        <v>381.03</v>
      </c>
      <c r="B579" s="12">
        <f>CMP!Y581</f>
        <v>368.77</v>
      </c>
    </row>
    <row r="580">
      <c r="A580" s="12">
        <f>CMP!W582</f>
        <v>377.77</v>
      </c>
      <c r="B580" s="12">
        <f>CMP!Y582</f>
        <v>383.79</v>
      </c>
    </row>
    <row r="581">
      <c r="A581" s="12">
        <f>CMP!W583</f>
        <v>381</v>
      </c>
      <c r="B581" s="12">
        <f>CMP!Y583</f>
        <v>372.78</v>
      </c>
    </row>
    <row r="582">
      <c r="A582" s="12">
        <f>CMP!W584</f>
        <v>367.7</v>
      </c>
      <c r="B582" s="12">
        <f>CMP!Y584</f>
        <v>368.97</v>
      </c>
    </row>
    <row r="583">
      <c r="A583" s="12">
        <f>CMP!W585</f>
        <v>343.86</v>
      </c>
      <c r="B583" s="12">
        <f>CMP!Y585</f>
        <v>346.49</v>
      </c>
    </row>
    <row r="584">
      <c r="A584" s="12">
        <f>CMP!W586</f>
        <v>356.43</v>
      </c>
      <c r="B584" s="12">
        <f>CMP!Y586</f>
        <v>364.13</v>
      </c>
    </row>
    <row r="585">
      <c r="A585" s="12">
        <f>CMP!W587</f>
        <v>358.92</v>
      </c>
      <c r="B585" s="12">
        <f>CMP!Y587</f>
        <v>349.92</v>
      </c>
    </row>
    <row r="586">
      <c r="A586" s="12">
        <f>CMP!W588</f>
        <v>326.5</v>
      </c>
      <c r="B586" s="12">
        <f>CMP!Y588</f>
        <v>315.25</v>
      </c>
    </row>
    <row r="587">
      <c r="A587" s="12">
        <f>CMP!W589</f>
        <v>330.51</v>
      </c>
      <c r="B587" s="12">
        <f>CMP!Y589</f>
        <v>336.3</v>
      </c>
    </row>
    <row r="588">
      <c r="A588" s="12">
        <f>CMP!W590</f>
        <v>306.63</v>
      </c>
      <c r="B588" s="12">
        <f>CMP!Y590</f>
        <v>298.84</v>
      </c>
    </row>
    <row r="589">
      <c r="A589" s="12">
        <f>CMP!W591</f>
        <v>306.19</v>
      </c>
      <c r="B589" s="12">
        <f>CMP!Y591</f>
        <v>319.75</v>
      </c>
    </row>
    <row r="590">
      <c r="A590" s="12">
        <f>CMP!W592</f>
        <v>302.4</v>
      </c>
      <c r="B590" s="12">
        <f>CMP!Y592</f>
        <v>315.47</v>
      </c>
    </row>
    <row r="591">
      <c r="A591" s="12">
        <f>CMP!W593</f>
        <v>324.33</v>
      </c>
      <c r="B591" s="12">
        <f>CMP!Y593</f>
        <v>332.03</v>
      </c>
    </row>
    <row r="592">
      <c r="A592" s="12">
        <f>CMP!W594</f>
        <v>342.31</v>
      </c>
      <c r="B592" s="12">
        <f>CMP!Y594</f>
        <v>332.83</v>
      </c>
    </row>
    <row r="593">
      <c r="A593" s="12">
        <f>CMP!W595</f>
        <v>347.89</v>
      </c>
      <c r="B593" s="12">
        <f>CMP!Y595</f>
        <v>360.27</v>
      </c>
    </row>
    <row r="594">
      <c r="A594" s="12">
        <f>CMP!W596</f>
        <v>369.99</v>
      </c>
      <c r="B594" s="12">
        <f>CMP!Y596</f>
        <v>357.32</v>
      </c>
    </row>
    <row r="595">
      <c r="A595" s="12">
        <f>CMP!W597</f>
        <v>361.02</v>
      </c>
      <c r="B595" s="12">
        <f>CMP!Y597</f>
        <v>342.39</v>
      </c>
    </row>
    <row r="596">
      <c r="A596" s="12">
        <f>CMP!W598</f>
        <v>344</v>
      </c>
      <c r="B596" s="12">
        <f>CMP!Y598</f>
        <v>362.99</v>
      </c>
    </row>
    <row r="597">
      <c r="A597" s="12">
        <f>CMP!W599</f>
        <v>359.09</v>
      </c>
      <c r="B597" s="12">
        <f>CMP!Y599</f>
        <v>357.12</v>
      </c>
    </row>
    <row r="598">
      <c r="A598" s="12">
        <f>CMP!W600</f>
        <v>363</v>
      </c>
      <c r="B598" s="12">
        <f>CMP!Y600</f>
        <v>370.96</v>
      </c>
    </row>
    <row r="599">
      <c r="A599" s="12">
        <f>CMP!W601</f>
        <v>367.93</v>
      </c>
      <c r="B599" s="12">
        <f>CMP!Y601</f>
        <v>375.5</v>
      </c>
    </row>
    <row r="600">
      <c r="A600" s="12">
        <f>CMP!W602</f>
        <v>376.05</v>
      </c>
      <c r="B600" s="12">
        <f>CMP!Y602</f>
        <v>364.08</v>
      </c>
    </row>
    <row r="601">
      <c r="A601" s="12">
        <f>CMP!W603</f>
        <v>364.08</v>
      </c>
      <c r="B601" s="12">
        <f>CMP!Y603</f>
        <v>370.08</v>
      </c>
    </row>
    <row r="602">
      <c r="A602" s="12">
        <f>CMP!W604</f>
        <v>367.47</v>
      </c>
      <c r="B602" s="12">
        <f>CMP!Y604</f>
        <v>361.76</v>
      </c>
    </row>
    <row r="603">
      <c r="A603" s="12">
        <f>CMP!W605</f>
        <v>365.22</v>
      </c>
      <c r="B603" s="12">
        <f>CMP!Y605</f>
        <v>379.96</v>
      </c>
    </row>
    <row r="604">
      <c r="A604" s="12">
        <f>CMP!W606</f>
        <v>380</v>
      </c>
      <c r="B604" s="12">
        <f>CMP!Y606</f>
        <v>372.28</v>
      </c>
    </row>
    <row r="605">
      <c r="A605" s="12">
        <f>CMP!W607</f>
        <v>374.01</v>
      </c>
      <c r="B605" s="12">
        <f>CMP!Y607</f>
        <v>371.12</v>
      </c>
    </row>
    <row r="606">
      <c r="A606" s="12">
        <f>CMP!W608</f>
        <v>371.06</v>
      </c>
      <c r="B606" s="12">
        <f>CMP!Y608</f>
        <v>370.72</v>
      </c>
    </row>
    <row r="607">
      <c r="A607" s="12">
        <f>CMP!W609</f>
        <v>371.31</v>
      </c>
      <c r="B607" s="12">
        <f>CMP!Y609</f>
        <v>396.72</v>
      </c>
    </row>
    <row r="608">
      <c r="A608" s="12">
        <f>CMP!W610</f>
        <v>397.5</v>
      </c>
      <c r="B608" s="12">
        <f>CMP!Y610</f>
        <v>413.55</v>
      </c>
    </row>
    <row r="609">
      <c r="A609" s="12">
        <f>CMP!W611</f>
        <v>413</v>
      </c>
      <c r="B609" s="12">
        <f>CMP!Y611</f>
        <v>426.75</v>
      </c>
    </row>
    <row r="610">
      <c r="A610" s="12">
        <f>CMP!W612</f>
        <v>437</v>
      </c>
      <c r="B610" s="12">
        <f>CMP!Y612</f>
        <v>439.17</v>
      </c>
    </row>
    <row r="611">
      <c r="A611" s="12">
        <f>CMP!W613</f>
        <v>431</v>
      </c>
      <c r="B611" s="12">
        <f>CMP!Y613</f>
        <v>422.96</v>
      </c>
    </row>
    <row r="612">
      <c r="A612" s="12">
        <f>CMP!W614</f>
        <v>435.17</v>
      </c>
      <c r="B612" s="12">
        <f>CMP!Y614</f>
        <v>437.49</v>
      </c>
    </row>
    <row r="613">
      <c r="A613" s="12">
        <f>CMP!W615</f>
        <v>444.77</v>
      </c>
      <c r="B613" s="12">
        <f>CMP!Y615</f>
        <v>433.83</v>
      </c>
    </row>
    <row r="614">
      <c r="A614" s="12">
        <f>CMP!W616</f>
        <v>429.73</v>
      </c>
      <c r="B614" s="12">
        <f>CMP!Y616</f>
        <v>421.42</v>
      </c>
    </row>
    <row r="615">
      <c r="A615" s="12">
        <f>CMP!W617</f>
        <v>419.26</v>
      </c>
      <c r="B615" s="12">
        <f>CMP!Y617</f>
        <v>426.7</v>
      </c>
    </row>
    <row r="616">
      <c r="A616" s="12">
        <f>CMP!W618</f>
        <v>425</v>
      </c>
      <c r="B616" s="12">
        <f>CMP!Y618</f>
        <v>424.99</v>
      </c>
    </row>
    <row r="617">
      <c r="A617" s="12">
        <f>CMP!W619</f>
        <v>425</v>
      </c>
      <c r="B617" s="12">
        <f>CMP!Y619</f>
        <v>421.38</v>
      </c>
    </row>
    <row r="618">
      <c r="A618" s="12">
        <f>CMP!W620</f>
        <v>419.99</v>
      </c>
      <c r="B618" s="12">
        <f>CMP!Y620</f>
        <v>403.83</v>
      </c>
    </row>
    <row r="619">
      <c r="A619" s="12">
        <f>CMP!W621</f>
        <v>399.53</v>
      </c>
      <c r="B619" s="12">
        <f>CMP!Y621</f>
        <v>411.89</v>
      </c>
    </row>
    <row r="620">
      <c r="A620" s="12">
        <f>CMP!W622</f>
        <v>410.31</v>
      </c>
      <c r="B620" s="12">
        <f>CMP!Y622</f>
        <v>419.85</v>
      </c>
    </row>
    <row r="621">
      <c r="A621" s="12">
        <f>CMP!W623</f>
        <v>415.1</v>
      </c>
      <c r="B621" s="12">
        <f>CMP!Y623</f>
        <v>415.27</v>
      </c>
    </row>
    <row r="622">
      <c r="A622" s="12">
        <f>CMP!W624</f>
        <v>417.78</v>
      </c>
      <c r="B622" s="12">
        <f>CMP!Y624</f>
        <v>428.15</v>
      </c>
    </row>
    <row r="623">
      <c r="A623" s="12">
        <f>CMP!W625</f>
        <v>427.56</v>
      </c>
      <c r="B623" s="12">
        <f>CMP!Y625</f>
        <v>424.68</v>
      </c>
    </row>
    <row r="624">
      <c r="A624" s="12">
        <f>CMP!W626</f>
        <v>429.3</v>
      </c>
      <c r="B624" s="12">
        <f>CMP!Y626</f>
        <v>434.26</v>
      </c>
    </row>
    <row r="625">
      <c r="A625" s="12">
        <f>CMP!W627</f>
        <v>436.89</v>
      </c>
      <c r="B625" s="12">
        <f>CMP!Y627</f>
        <v>436.53</v>
      </c>
    </row>
    <row r="626">
      <c r="A626" s="12">
        <f>CMP!W628</f>
        <v>434.14</v>
      </c>
      <c r="B626" s="12">
        <f>CMP!Y628</f>
        <v>435.55</v>
      </c>
    </row>
    <row r="627">
      <c r="A627" s="12">
        <f>CMP!W629</f>
        <v>436.33</v>
      </c>
      <c r="B627" s="12">
        <f>CMP!Y629</f>
        <v>440.52</v>
      </c>
    </row>
    <row r="628">
      <c r="A628" s="12">
        <f>CMP!W630</f>
        <v>442</v>
      </c>
      <c r="B628" s="12">
        <f>CMP!Y630</f>
        <v>431.82</v>
      </c>
    </row>
    <row r="629">
      <c r="A629" s="12">
        <f>CMP!W631</f>
        <v>435.69</v>
      </c>
      <c r="B629" s="12">
        <f>CMP!Y631</f>
        <v>438.27</v>
      </c>
    </row>
    <row r="630">
      <c r="A630" s="12">
        <f>CMP!W632</f>
        <v>444.9</v>
      </c>
      <c r="B630" s="12">
        <f>CMP!Y632</f>
        <v>441.95</v>
      </c>
    </row>
    <row r="631">
      <c r="A631" s="12">
        <f>CMP!W633</f>
        <v>440.7</v>
      </c>
      <c r="B631" s="12">
        <f>CMP!Y633</f>
        <v>454.19</v>
      </c>
    </row>
    <row r="632">
      <c r="A632" s="12">
        <f>CMP!W634</f>
        <v>451.16</v>
      </c>
      <c r="B632" s="12">
        <f>CMP!Y634</f>
        <v>452.58</v>
      </c>
    </row>
    <row r="633">
      <c r="A633" s="12">
        <f>CMP!W635</f>
        <v>453.4</v>
      </c>
      <c r="B633" s="12">
        <f>CMP!Y635</f>
        <v>451.04</v>
      </c>
    </row>
    <row r="634">
      <c r="A634" s="12">
        <f>CMP!W636</f>
        <v>454.25</v>
      </c>
      <c r="B634" s="12">
        <f>CMP!Y636</f>
        <v>447.67</v>
      </c>
    </row>
    <row r="635">
      <c r="A635" s="12">
        <f>CMP!W637</f>
        <v>448.56</v>
      </c>
      <c r="B635" s="12">
        <f>CMP!Y637</f>
        <v>436.25</v>
      </c>
    </row>
    <row r="636">
      <c r="A636" s="12">
        <f>CMP!W638</f>
        <v>437</v>
      </c>
      <c r="B636" s="12">
        <f>CMP!Y638</f>
        <v>429.32</v>
      </c>
    </row>
    <row r="637">
      <c r="A637" s="12">
        <f>CMP!W639</f>
        <v>427.77</v>
      </c>
      <c r="B637" s="12">
        <f>CMP!Y639</f>
        <v>414.77</v>
      </c>
    </row>
    <row r="638">
      <c r="A638" s="12">
        <f>CMP!W640</f>
        <v>410.38</v>
      </c>
      <c r="B638" s="12">
        <f>CMP!Y640</f>
        <v>419.89</v>
      </c>
    </row>
    <row r="639">
      <c r="A639" s="12">
        <f>CMP!W641</f>
        <v>417.24</v>
      </c>
      <c r="B639" s="12">
        <f>CMP!Y641</f>
        <v>413.44</v>
      </c>
    </row>
    <row r="640">
      <c r="A640" s="12">
        <f>CMP!W642</f>
        <v>417.46</v>
      </c>
      <c r="B640" s="12">
        <f>CMP!Y642</f>
        <v>419.73</v>
      </c>
    </row>
    <row r="641">
      <c r="A641" s="12">
        <f>CMP!W643</f>
        <v>418.83</v>
      </c>
      <c r="B641" s="12">
        <f>CMP!Y643</f>
        <v>425.92</v>
      </c>
    </row>
    <row r="642">
      <c r="A642" s="12">
        <f>CMP!W644</f>
        <v>425.87</v>
      </c>
      <c r="B642" s="12">
        <f>CMP!Y644</f>
        <v>427.31</v>
      </c>
    </row>
    <row r="643">
      <c r="A643" s="12">
        <f>CMP!W645</f>
        <v>426.95</v>
      </c>
      <c r="B643" s="12">
        <f>CMP!Y645</f>
        <v>421.97</v>
      </c>
    </row>
    <row r="644">
      <c r="A644" s="12">
        <f>CMP!W646</f>
        <v>422.39</v>
      </c>
      <c r="B644" s="12">
        <f>CMP!Y646</f>
        <v>414.33</v>
      </c>
    </row>
    <row r="645">
      <c r="A645" s="12">
        <f>CMP!W647</f>
        <v>407.29</v>
      </c>
      <c r="B645" s="12">
        <f>CMP!Y647</f>
        <v>419.6</v>
      </c>
    </row>
    <row r="646">
      <c r="A646" s="12">
        <f>CMP!W648</f>
        <v>416</v>
      </c>
      <c r="B646" s="12">
        <f>CMP!Y648</f>
        <v>419.49</v>
      </c>
    </row>
    <row r="647">
      <c r="A647" s="12">
        <f>CMP!W649</f>
        <v>421.65</v>
      </c>
      <c r="B647" s="12">
        <f>CMP!Y649</f>
        <v>434.05</v>
      </c>
    </row>
    <row r="648">
      <c r="A648" s="12">
        <f>CMP!W650</f>
        <v>436</v>
      </c>
      <c r="B648" s="12">
        <f>CMP!Y650</f>
        <v>434.48</v>
      </c>
    </row>
    <row r="649">
      <c r="A649" s="12">
        <f>CMP!W651</f>
        <v>428.2</v>
      </c>
      <c r="B649" s="12">
        <f>CMP!Y651</f>
        <v>425.56</v>
      </c>
    </row>
    <row r="650">
      <c r="A650" s="12">
        <f>CMP!W652</f>
        <v>429</v>
      </c>
      <c r="B650" s="12">
        <f>CMP!Y652</f>
        <v>418.07</v>
      </c>
    </row>
    <row r="651">
      <c r="A651" s="12">
        <f>CMP!W653</f>
        <v>421.4</v>
      </c>
      <c r="B651" s="12">
        <f>CMP!Y653</f>
        <v>425.5</v>
      </c>
    </row>
    <row r="652">
      <c r="A652" s="12">
        <f>CMP!W654</f>
        <v>425.76</v>
      </c>
      <c r="B652" s="12">
        <f>CMP!Y654</f>
        <v>436.13</v>
      </c>
    </row>
    <row r="653">
      <c r="A653" s="12">
        <f>CMP!W655</f>
        <v>441.82</v>
      </c>
      <c r="B653" s="12">
        <f>CMP!Y655</f>
        <v>447.77</v>
      </c>
    </row>
    <row r="654">
      <c r="A654" s="12">
        <f>CMP!W656</f>
        <v>448.73</v>
      </c>
      <c r="B654" s="12">
        <f>CMP!Y656</f>
        <v>449.87</v>
      </c>
    </row>
    <row r="655">
      <c r="A655" s="12">
        <f>CMP!W657</f>
        <v>449.12</v>
      </c>
      <c r="B655" s="12">
        <f>CMP!Y657</f>
        <v>453.72</v>
      </c>
    </row>
    <row r="656">
      <c r="A656" s="12">
        <f>CMP!W658</f>
        <v>455.01</v>
      </c>
      <c r="B656" s="12">
        <f>CMP!Y658</f>
        <v>468.04</v>
      </c>
    </row>
    <row r="657">
      <c r="A657" s="12">
        <f>CMP!W659</f>
        <v>466.5</v>
      </c>
      <c r="B657" s="12">
        <f>CMP!Y659</f>
        <v>466.26</v>
      </c>
    </row>
    <row r="658">
      <c r="A658" s="12">
        <f>CMP!W660</f>
        <v>468.54</v>
      </c>
      <c r="B658" s="12">
        <f>CMP!Y660</f>
        <v>457.85</v>
      </c>
    </row>
    <row r="659">
      <c r="A659" s="12">
        <f>CMP!W661</f>
        <v>458.86</v>
      </c>
      <c r="B659" s="12">
        <f>CMP!Y661</f>
        <v>465.91</v>
      </c>
    </row>
    <row r="660">
      <c r="A660" s="12">
        <f>CMP!W662</f>
        <v>466.39</v>
      </c>
      <c r="B660" s="12">
        <f>CMP!Y662</f>
        <v>443.4</v>
      </c>
    </row>
    <row r="661">
      <c r="A661" s="12">
        <f>CMP!W663</f>
        <v>445.23</v>
      </c>
      <c r="B661" s="12">
        <f>CMP!Y663</f>
        <v>447.24</v>
      </c>
    </row>
    <row r="662">
      <c r="A662" s="12">
        <f>CMP!W664</f>
        <v>450.02</v>
      </c>
      <c r="B662" s="12">
        <f>CMP!Y664</f>
        <v>455.04</v>
      </c>
    </row>
    <row r="663">
      <c r="A663" s="12">
        <f>CMP!W665</f>
        <v>454</v>
      </c>
      <c r="B663" s="12">
        <f>CMP!Y665</f>
        <v>485.64</v>
      </c>
    </row>
    <row r="664">
      <c r="A664" s="12">
        <f>CMP!W666</f>
        <v>485.64</v>
      </c>
      <c r="B664" s="12">
        <f>CMP!Y666</f>
        <v>476.89</v>
      </c>
    </row>
    <row r="665">
      <c r="A665" s="12">
        <f>CMP!W667</f>
        <v>480.77</v>
      </c>
      <c r="B665" s="12">
        <f>CMP!Y667</f>
        <v>493.81</v>
      </c>
    </row>
    <row r="666">
      <c r="A666" s="12">
        <f>CMP!W668</f>
        <v>497.31</v>
      </c>
      <c r="B666" s="12">
        <f>CMP!Y668</f>
        <v>493.16</v>
      </c>
    </row>
    <row r="667">
      <c r="A667" s="12">
        <f>CMP!W669</f>
        <v>498.58</v>
      </c>
      <c r="B667" s="12">
        <f>CMP!Y669</f>
        <v>502.78</v>
      </c>
    </row>
    <row r="668">
      <c r="A668" s="12">
        <f>CMP!W670</f>
        <v>508.4</v>
      </c>
      <c r="B668" s="12">
        <f>CMP!Y670</f>
        <v>507.76</v>
      </c>
    </row>
    <row r="669">
      <c r="A669" s="12">
        <f>CMP!W671</f>
        <v>519.73</v>
      </c>
      <c r="B669" s="12">
        <f>CMP!Y671</f>
        <v>548.73</v>
      </c>
    </row>
    <row r="670">
      <c r="A670" s="12">
        <f>CMP!W672</f>
        <v>567.98</v>
      </c>
      <c r="B670" s="12">
        <f>CMP!Y672</f>
        <v>525.5</v>
      </c>
    </row>
    <row r="671">
      <c r="A671" s="12">
        <f>CMP!W673</f>
        <v>517.08</v>
      </c>
      <c r="B671" s="12">
        <f>CMP!Y673</f>
        <v>524.88</v>
      </c>
    </row>
    <row r="672">
      <c r="A672" s="12">
        <f>CMP!W674</f>
        <v>516.3</v>
      </c>
      <c r="B672" s="12">
        <f>CMP!Y674</f>
        <v>523.26</v>
      </c>
    </row>
    <row r="673">
      <c r="A673" s="12">
        <f>CMP!W675</f>
        <v>526.48</v>
      </c>
      <c r="B673" s="12">
        <f>CMP!Y675</f>
        <v>527.39</v>
      </c>
    </row>
    <row r="674">
      <c r="A674" s="12">
        <f>CMP!W676</f>
        <v>494.87</v>
      </c>
      <c r="B674" s="12">
        <f>CMP!Y676</f>
        <v>492.99</v>
      </c>
    </row>
    <row r="675">
      <c r="A675" s="12">
        <f>CMP!W677</f>
        <v>489.14</v>
      </c>
      <c r="B675" s="12">
        <f>CMP!Y677</f>
        <v>502.41</v>
      </c>
    </row>
    <row r="676">
      <c r="A676" s="12">
        <f>CMP!W678</f>
        <v>506</v>
      </c>
      <c r="B676" s="12">
        <f>CMP!Y678</f>
        <v>490.1</v>
      </c>
    </row>
    <row r="677">
      <c r="A677" s="12">
        <f>CMP!W679</f>
        <v>492.19</v>
      </c>
      <c r="B677" s="12">
        <f>CMP!Y679</f>
        <v>489.82</v>
      </c>
    </row>
    <row r="678">
      <c r="A678" s="12">
        <f>CMP!W680</f>
        <v>491.13</v>
      </c>
      <c r="B678" s="12">
        <f>CMP!Y680</f>
        <v>477.58</v>
      </c>
    </row>
    <row r="679">
      <c r="A679" s="12">
        <f>CMP!W681</f>
        <v>468.77</v>
      </c>
      <c r="B679" s="12">
        <f>CMP!Y681</f>
        <v>480.45</v>
      </c>
    </row>
    <row r="680">
      <c r="A680" s="12">
        <f>CMP!W682</f>
        <v>484.51</v>
      </c>
      <c r="B680" s="12">
        <f>CMP!Y682</f>
        <v>495.65</v>
      </c>
    </row>
    <row r="681">
      <c r="A681" s="12">
        <f>CMP!W683</f>
        <v>496.02</v>
      </c>
      <c r="B681" s="12">
        <f>CMP!Y683</f>
        <v>488.51</v>
      </c>
    </row>
    <row r="682">
      <c r="A682" s="12">
        <f>CMP!W684</f>
        <v>492.25</v>
      </c>
      <c r="B682" s="12">
        <f>CMP!Y684</f>
        <v>484.48</v>
      </c>
    </row>
    <row r="683">
      <c r="A683" s="12">
        <f>CMP!W685</f>
        <v>480.71</v>
      </c>
      <c r="B683" s="12">
        <f>CMP!Y685</f>
        <v>485.8</v>
      </c>
    </row>
    <row r="684">
      <c r="A684" s="12">
        <f>CMP!W686</f>
        <v>488.29</v>
      </c>
      <c r="B684" s="12">
        <f>CMP!Y686</f>
        <v>488.88</v>
      </c>
    </row>
    <row r="685">
      <c r="A685" s="12">
        <f>CMP!W687</f>
        <v>490.86</v>
      </c>
      <c r="B685" s="12">
        <f>CMP!Y687</f>
        <v>498.62</v>
      </c>
    </row>
    <row r="686">
      <c r="A686" s="12">
        <f>CMP!W688</f>
        <v>498.65</v>
      </c>
      <c r="B686" s="12">
        <f>CMP!Y688</f>
        <v>509.64</v>
      </c>
    </row>
    <row r="687">
      <c r="A687" s="12">
        <f>CMP!W689</f>
        <v>508.68</v>
      </c>
      <c r="B687" s="12">
        <f>CMP!Y689</f>
        <v>502.11</v>
      </c>
    </row>
    <row r="688">
      <c r="A688" s="12">
        <f>CMP!W690</f>
        <v>504.11</v>
      </c>
      <c r="B688" s="12">
        <f>CMP!Y690</f>
        <v>509.08</v>
      </c>
    </row>
    <row r="689">
      <c r="A689" s="12">
        <f>CMP!W691</f>
        <v>505.45</v>
      </c>
      <c r="B689" s="12">
        <f>CMP!Y691</f>
        <v>494.73</v>
      </c>
    </row>
    <row r="690">
      <c r="A690" s="12">
        <f>CMP!W692</f>
        <v>493.35</v>
      </c>
      <c r="B690" s="12">
        <f>CMP!Y692</f>
        <v>483.38</v>
      </c>
    </row>
    <row r="691">
      <c r="A691" s="12">
        <f>CMP!W693</f>
        <v>479.75</v>
      </c>
      <c r="B691" s="12">
        <f>CMP!Y693</f>
        <v>466.93</v>
      </c>
    </row>
    <row r="692">
      <c r="A692" s="12">
        <f>CMP!W694</f>
        <v>471.34</v>
      </c>
      <c r="B692" s="12">
        <f>CMP!Y694</f>
        <v>475.47</v>
      </c>
    </row>
    <row r="693">
      <c r="A693" s="12">
        <f>CMP!W695</f>
        <v>478.4</v>
      </c>
      <c r="B693" s="12">
        <f>CMP!Y695</f>
        <v>481.33</v>
      </c>
    </row>
    <row r="694">
      <c r="A694" s="12">
        <f>CMP!W696</f>
        <v>482.82</v>
      </c>
      <c r="B694" s="12">
        <f>CMP!Y696</f>
        <v>482.68</v>
      </c>
    </row>
    <row r="695">
      <c r="A695" s="12">
        <f>CMP!W697</f>
        <v>484.19</v>
      </c>
      <c r="B695" s="12">
        <f>CMP!Y697</f>
        <v>482.35</v>
      </c>
    </row>
    <row r="696">
      <c r="A696" s="12">
        <f>CMP!W698</f>
        <v>484.35</v>
      </c>
      <c r="B696" s="12">
        <f>CMP!Y698</f>
        <v>491.87</v>
      </c>
    </row>
    <row r="697">
      <c r="A697" s="12">
        <f>CMP!W699</f>
        <v>493.93</v>
      </c>
      <c r="B697" s="12">
        <f>CMP!Y699</f>
        <v>484.53</v>
      </c>
    </row>
    <row r="698">
      <c r="A698" s="12">
        <f>CMP!W700</f>
        <v>484.69</v>
      </c>
      <c r="B698" s="12">
        <f>CMP!Y700</f>
        <v>497.9</v>
      </c>
    </row>
    <row r="699">
      <c r="A699" s="12">
        <f>CMP!W701</f>
        <v>496.46</v>
      </c>
      <c r="B699" s="12">
        <f>CMP!Y701</f>
        <v>492.31</v>
      </c>
    </row>
    <row r="700">
      <c r="A700" s="12">
        <f>CMP!W702</f>
        <v>495.44</v>
      </c>
      <c r="B700" s="12">
        <f>CMP!Y702</f>
        <v>488.81</v>
      </c>
    </row>
    <row r="701">
      <c r="A701" s="12">
        <f>CMP!W703</f>
        <v>488.19</v>
      </c>
      <c r="B701" s="12">
        <f>CMP!Y703</f>
        <v>490.58</v>
      </c>
    </row>
    <row r="702">
      <c r="A702" s="12">
        <f>CMP!W704</f>
        <v>492.5</v>
      </c>
      <c r="B702" s="12">
        <f>CMP!Y704</f>
        <v>547.53</v>
      </c>
    </row>
    <row r="703">
      <c r="A703" s="12">
        <f>CMP!W705</f>
        <v>537.78</v>
      </c>
      <c r="B703" s="12">
        <f>CMP!Y705</f>
        <v>526.27</v>
      </c>
    </row>
    <row r="704">
      <c r="A704" s="12">
        <f>CMP!W706</f>
        <v>532</v>
      </c>
      <c r="B704" s="12">
        <f>CMP!Y706</f>
        <v>523.89</v>
      </c>
    </row>
    <row r="705">
      <c r="A705" s="12">
        <f>CMP!W707</f>
        <v>521.16</v>
      </c>
      <c r="B705" s="12">
        <f>CMP!Y707</f>
        <v>529.56</v>
      </c>
    </row>
    <row r="706">
      <c r="A706" s="12">
        <f>CMP!W708</f>
        <v>532.6</v>
      </c>
      <c r="B706" s="12">
        <f>CMP!Y708</f>
        <v>556.55</v>
      </c>
    </row>
    <row r="707">
      <c r="A707" s="12">
        <f>CMP!W709</f>
        <v>553.78</v>
      </c>
      <c r="B707" s="12">
        <f>CMP!Y709</f>
        <v>552.84</v>
      </c>
    </row>
    <row r="708">
      <c r="A708" s="12">
        <f>CMP!W710</f>
        <v>545</v>
      </c>
      <c r="B708" s="12">
        <f>CMP!Y710</f>
        <v>525.75</v>
      </c>
    </row>
    <row r="709">
      <c r="A709" s="12">
        <f>CMP!W711</f>
        <v>520.18</v>
      </c>
      <c r="B709" s="12">
        <f>CMP!Y711</f>
        <v>516.05</v>
      </c>
    </row>
    <row r="710">
      <c r="A710" s="12">
        <f>CMP!W712</f>
        <v>498.4</v>
      </c>
      <c r="B710" s="12">
        <f>CMP!Y712</f>
        <v>507.02</v>
      </c>
    </row>
    <row r="711">
      <c r="A711" s="12">
        <f>CMP!W713</f>
        <v>519.21</v>
      </c>
      <c r="B711" s="12">
        <f>CMP!Y713</f>
        <v>500.19</v>
      </c>
    </row>
    <row r="712">
      <c r="A712" s="12">
        <f>CMP!W714</f>
        <v>503.35</v>
      </c>
      <c r="B712" s="12">
        <f>CMP!Y714</f>
        <v>480.67</v>
      </c>
    </row>
    <row r="713">
      <c r="A713" s="12">
        <f>CMP!W715</f>
        <v>486.49</v>
      </c>
      <c r="B713" s="12">
        <f>CMP!Y715</f>
        <v>482.03</v>
      </c>
    </row>
    <row r="714">
      <c r="A714" s="12">
        <f>CMP!W716</f>
        <v>480.62</v>
      </c>
      <c r="B714" s="12">
        <f>CMP!Y716</f>
        <v>476.26</v>
      </c>
    </row>
    <row r="715">
      <c r="A715" s="12">
        <f>CMP!W717</f>
        <v>484</v>
      </c>
      <c r="B715" s="12">
        <f>CMP!Y717</f>
        <v>495.99</v>
      </c>
    </row>
    <row r="716">
      <c r="A716" s="12">
        <f>CMP!W718</f>
        <v>499.99</v>
      </c>
      <c r="B716" s="12">
        <f>CMP!Y718</f>
        <v>483.86</v>
      </c>
    </row>
    <row r="717">
      <c r="A717" s="12">
        <f>CMP!W719</f>
        <v>475.16</v>
      </c>
      <c r="B717" s="12">
        <f>CMP!Y719</f>
        <v>470.2</v>
      </c>
    </row>
    <row r="718">
      <c r="A718" s="12">
        <f>CMP!W720</f>
        <v>472.51</v>
      </c>
      <c r="B718" s="12">
        <f>CMP!Y720</f>
        <v>469.96</v>
      </c>
    </row>
    <row r="719">
      <c r="A719" s="12">
        <f>CMP!W721</f>
        <v>467.69</v>
      </c>
      <c r="B719" s="12">
        <f>CMP!Y721</f>
        <v>487.35</v>
      </c>
    </row>
    <row r="720">
      <c r="A720" s="12">
        <f>CMP!W722</f>
        <v>489.01</v>
      </c>
      <c r="B720" s="12">
        <f>CMP!Y722</f>
        <v>491.17</v>
      </c>
    </row>
    <row r="721">
      <c r="A721" s="12">
        <f>CMP!W723</f>
        <v>491.04</v>
      </c>
      <c r="B721" s="12">
        <f>CMP!Y723</f>
        <v>470.61</v>
      </c>
    </row>
    <row r="722">
      <c r="A722" s="12">
        <f>CMP!W724</f>
        <v>470.53</v>
      </c>
      <c r="B722" s="12">
        <f>CMP!Y724</f>
        <v>473.08</v>
      </c>
    </row>
    <row r="723">
      <c r="A723" s="12">
        <f>CMP!W725</f>
        <v>474.39</v>
      </c>
      <c r="B723" s="12">
        <f>CMP!Y725</f>
        <v>482.88</v>
      </c>
    </row>
    <row r="724">
      <c r="A724" s="12">
        <f>CMP!W726</f>
        <v>489.11</v>
      </c>
      <c r="B724" s="12">
        <f>CMP!Y726</f>
        <v>490.65</v>
      </c>
    </row>
    <row r="725">
      <c r="A725" s="12">
        <f>CMP!W727</f>
        <v>489.5</v>
      </c>
      <c r="B725" s="12">
        <f>CMP!Y727</f>
        <v>493.48</v>
      </c>
    </row>
    <row r="726">
      <c r="A726" s="12">
        <f>CMP!W728</f>
        <v>492.57</v>
      </c>
      <c r="B726" s="12">
        <f>CMP!Y728</f>
        <v>500.03</v>
      </c>
    </row>
    <row r="727">
      <c r="A727" s="12">
        <f>CMP!W729</f>
        <v>506.03</v>
      </c>
      <c r="B727" s="12">
        <f>CMP!Y729</f>
        <v>527.51</v>
      </c>
    </row>
    <row r="728">
      <c r="A728" s="12">
        <f>CMP!W730</f>
        <v>516.43</v>
      </c>
      <c r="B728" s="12">
        <f>CMP!Y730</f>
        <v>503.06</v>
      </c>
    </row>
    <row r="729">
      <c r="A729" s="12">
        <f>CMP!W731</f>
        <v>506.8</v>
      </c>
      <c r="B729" s="12">
        <f>CMP!Y731</f>
        <v>520.65</v>
      </c>
    </row>
    <row r="730">
      <c r="A730" s="12">
        <f>CMP!W732</f>
        <v>518.72</v>
      </c>
      <c r="B730" s="12">
        <f>CMP!Y732</f>
        <v>505.87</v>
      </c>
    </row>
    <row r="731">
      <c r="A731" s="12">
        <f>CMP!W733</f>
        <v>518</v>
      </c>
      <c r="B731" s="12">
        <f>CMP!Y733</f>
        <v>534.66</v>
      </c>
    </row>
    <row r="732">
      <c r="A732" s="12">
        <f>CMP!W734</f>
        <v>533.48</v>
      </c>
      <c r="B732" s="12">
        <f>CMP!Y734</f>
        <v>531.79</v>
      </c>
    </row>
    <row r="733">
      <c r="A733" s="12">
        <f>CMP!W735</f>
        <v>537.83</v>
      </c>
      <c r="B733" s="12">
        <f>CMP!Y735</f>
        <v>539.44</v>
      </c>
    </row>
    <row r="734">
      <c r="A734" s="12">
        <f>CMP!W736</f>
        <v>548.81</v>
      </c>
      <c r="B734" s="12">
        <f>CMP!Y736</f>
        <v>539.81</v>
      </c>
    </row>
    <row r="735">
      <c r="A735" s="12">
        <f>CMP!W737</f>
        <v>540.56</v>
      </c>
      <c r="B735" s="12">
        <f>CMP!Y737</f>
        <v>554.09</v>
      </c>
    </row>
    <row r="736">
      <c r="A736" s="12">
        <f>CMP!W738</f>
        <v>562.61</v>
      </c>
      <c r="B736" s="12">
        <f>CMP!Y738</f>
        <v>541.45</v>
      </c>
    </row>
    <row r="737">
      <c r="A737" s="12">
        <f>CMP!W739</f>
        <v>545.52</v>
      </c>
      <c r="B737" s="12">
        <f>CMP!Y739</f>
        <v>541.94</v>
      </c>
    </row>
    <row r="738">
      <c r="A738" s="12">
        <f>CMP!W740</f>
        <v>549.5</v>
      </c>
      <c r="B738" s="12">
        <f>CMP!Y740</f>
        <v>530.79</v>
      </c>
    </row>
    <row r="739">
      <c r="A739" s="12">
        <f>CMP!W741</f>
        <v>537.07</v>
      </c>
      <c r="B739" s="12">
        <f>CMP!Y741</f>
        <v>530.72</v>
      </c>
    </row>
    <row r="740">
      <c r="A740" s="12">
        <f>CMP!W742</f>
        <v>528.14</v>
      </c>
      <c r="B740" s="12">
        <f>CMP!Y742</f>
        <v>525.42</v>
      </c>
    </row>
    <row r="741">
      <c r="A741" s="12">
        <f>CMP!W743</f>
        <v>501.03</v>
      </c>
      <c r="B741" s="12">
        <f>CMP!Y743</f>
        <v>489.05</v>
      </c>
    </row>
    <row r="742">
      <c r="A742" s="12">
        <f>CMP!W744</f>
        <v>494.69</v>
      </c>
      <c r="B742" s="12">
        <f>CMP!Y744</f>
        <v>485.23</v>
      </c>
    </row>
    <row r="743">
      <c r="A743" s="12">
        <f>CMP!W745</f>
        <v>488.11</v>
      </c>
      <c r="B743" s="12">
        <f>CMP!Y745</f>
        <v>488.28</v>
      </c>
    </row>
    <row r="744">
      <c r="A744" s="12">
        <f>CMP!W746</f>
        <v>487.03</v>
      </c>
      <c r="B744" s="12">
        <f>CMP!Y746</f>
        <v>488.24</v>
      </c>
    </row>
    <row r="745">
      <c r="A745" s="12">
        <f>CMP!W747</f>
        <v>490.01</v>
      </c>
      <c r="B745" s="12">
        <f>CMP!Y747</f>
        <v>488.93</v>
      </c>
    </row>
    <row r="746">
      <c r="A746" s="12">
        <f>CMP!W748</f>
        <v>486.36</v>
      </c>
      <c r="B746" s="12">
        <f>CMP!Y748</f>
        <v>486.24</v>
      </c>
    </row>
    <row r="747">
      <c r="A747" s="12">
        <f>CMP!W749</f>
        <v>488.5</v>
      </c>
      <c r="B747" s="12">
        <f>CMP!Y749</f>
        <v>504.21</v>
      </c>
    </row>
    <row r="748">
      <c r="A748" s="12">
        <f>CMP!W750</f>
        <v>502.01</v>
      </c>
      <c r="B748" s="12">
        <f>CMP!Y750</f>
        <v>475.74</v>
      </c>
    </row>
    <row r="749">
      <c r="A749" s="12">
        <f>CMP!W751</f>
        <v>478.87</v>
      </c>
      <c r="B749" s="12">
        <f>CMP!Y751</f>
        <v>484.12</v>
      </c>
    </row>
    <row r="750">
      <c r="A750" s="12">
        <f>CMP!W752</f>
        <v>484.93</v>
      </c>
      <c r="B750" s="12">
        <f>CMP!Y752</f>
        <v>487.22</v>
      </c>
    </row>
    <row r="751">
      <c r="A751" s="12">
        <f>CMP!W753</f>
        <v>495.36</v>
      </c>
      <c r="B751" s="12">
        <f>CMP!Y753</f>
        <v>496.95</v>
      </c>
    </row>
    <row r="752">
      <c r="A752" s="12">
        <f>CMP!W754</f>
        <v>506.56</v>
      </c>
      <c r="B752" s="12">
        <f>CMP!Y754</f>
        <v>513.76</v>
      </c>
    </row>
    <row r="753">
      <c r="A753" s="12">
        <f>CMP!W755</f>
        <v>515</v>
      </c>
      <c r="B753" s="12">
        <f>CMP!Y755</f>
        <v>514.73</v>
      </c>
    </row>
    <row r="754">
      <c r="A754" s="12">
        <f>CMP!W756</f>
        <v>485.54</v>
      </c>
      <c r="B754" s="12">
        <f>CMP!Y756</f>
        <v>470.5</v>
      </c>
    </row>
    <row r="755">
      <c r="A755" s="12">
        <f>CMP!W757</f>
        <v>470.95</v>
      </c>
      <c r="B755" s="12">
        <f>CMP!Y757</f>
        <v>480.24</v>
      </c>
    </row>
    <row r="756">
      <c r="A756" s="12">
        <f>CMP!W758</f>
        <v>483</v>
      </c>
      <c r="B756" s="12">
        <f>CMP!Y758</f>
        <v>490.76</v>
      </c>
    </row>
    <row r="757">
      <c r="A757" s="12">
        <f>CMP!W759</f>
        <v>491</v>
      </c>
      <c r="B757" s="12">
        <f>CMP!Y759</f>
        <v>486.77</v>
      </c>
    </row>
    <row r="758">
      <c r="A758" s="12">
        <f>CMP!W760</f>
        <v>486.77</v>
      </c>
      <c r="B758" s="12">
        <f>CMP!Y760</f>
        <v>482.84</v>
      </c>
    </row>
    <row r="759">
      <c r="A759" s="12">
        <f>CMP!W761</f>
        <v>480</v>
      </c>
      <c r="B759" s="12">
        <f>CMP!Y761</f>
        <v>479.1</v>
      </c>
    </row>
    <row r="760">
      <c r="A760" s="12">
        <f>CMP!W762</f>
        <v>480.12</v>
      </c>
      <c r="B760" s="12">
        <f>CMP!Y762</f>
        <v>480.63</v>
      </c>
    </row>
    <row r="761">
      <c r="A761" s="12">
        <f>CMP!W763</f>
        <v>481.95</v>
      </c>
      <c r="B761" s="12">
        <f>CMP!Y763</f>
        <v>481.79</v>
      </c>
    </row>
    <row r="762">
      <c r="A762" s="12">
        <f>CMP!W764</f>
        <v>482</v>
      </c>
      <c r="B762" s="12">
        <f>CMP!Y764</f>
        <v>484.67</v>
      </c>
    </row>
    <row r="763">
      <c r="A763" s="12">
        <f>CMP!W765</f>
        <v>485.22</v>
      </c>
      <c r="B763" s="12">
        <f>CMP!Y765</f>
        <v>488.24</v>
      </c>
    </row>
    <row r="764">
      <c r="A764" s="12">
        <f>CMP!W766</f>
        <v>490.46</v>
      </c>
      <c r="B764" s="12">
        <f>CMP!Y766</f>
        <v>476.62</v>
      </c>
    </row>
    <row r="765">
      <c r="A765" s="12">
        <f>CMP!W767</f>
        <v>478.84</v>
      </c>
      <c r="B765" s="12">
        <f>CMP!Y767</f>
        <v>482.88</v>
      </c>
    </row>
    <row r="766">
      <c r="A766" s="12">
        <f>CMP!W768</f>
        <v>485.13</v>
      </c>
      <c r="B766" s="12">
        <f>CMP!Y768</f>
        <v>485</v>
      </c>
    </row>
    <row r="767">
      <c r="A767" s="12">
        <f>CMP!W769</f>
        <v>486.58</v>
      </c>
      <c r="B767" s="12">
        <f>CMP!Y769</f>
        <v>491.36</v>
      </c>
    </row>
    <row r="768">
      <c r="A768" s="12">
        <f>CMP!W770</f>
        <v>490.08</v>
      </c>
      <c r="B768" s="12">
        <f>CMP!Y770</f>
        <v>490.7</v>
      </c>
    </row>
    <row r="769">
      <c r="A769" s="12">
        <f>CMP!W771</f>
        <v>492.34</v>
      </c>
      <c r="B769" s="12">
        <f>CMP!Y771</f>
        <v>504.58</v>
      </c>
    </row>
    <row r="770">
      <c r="A770" s="12">
        <f>CMP!W772</f>
        <v>501.62</v>
      </c>
      <c r="B770" s="12">
        <f>CMP!Y772</f>
        <v>503.38</v>
      </c>
    </row>
    <row r="771">
      <c r="A771" s="12">
        <f>CMP!W773</f>
        <v>502.99</v>
      </c>
      <c r="B771" s="12">
        <f>CMP!Y773</f>
        <v>497.52</v>
      </c>
    </row>
    <row r="772">
      <c r="A772" s="12">
        <f>CMP!W774</f>
        <v>497.5</v>
      </c>
      <c r="B772" s="12">
        <f>CMP!Y774</f>
        <v>498.31</v>
      </c>
    </row>
    <row r="773">
      <c r="A773" s="12">
        <f>CMP!W775</f>
        <v>500.01</v>
      </c>
      <c r="B773" s="12">
        <f>CMP!Y775</f>
        <v>515.78</v>
      </c>
    </row>
    <row r="774">
      <c r="A774" s="12">
        <f>CMP!W776</f>
        <v>517.9</v>
      </c>
      <c r="B774" s="12">
        <f>CMP!Y776</f>
        <v>512.66</v>
      </c>
    </row>
    <row r="775">
      <c r="A775" s="12">
        <f>CMP!W777</f>
        <v>510.53</v>
      </c>
      <c r="B775" s="12">
        <f>CMP!Y777</f>
        <v>493.6</v>
      </c>
    </row>
    <row r="776">
      <c r="A776" s="12">
        <f>CMP!W778</f>
        <v>494.56</v>
      </c>
      <c r="B776" s="12">
        <f>CMP!Y778</f>
        <v>501.09</v>
      </c>
    </row>
    <row r="777">
      <c r="A777" s="12">
        <f>CMP!W779</f>
        <v>495</v>
      </c>
      <c r="B777" s="12">
        <f>CMP!Y779</f>
        <v>503.22</v>
      </c>
    </row>
    <row r="778">
      <c r="A778" s="12">
        <f>CMP!W780</f>
        <v>505.44</v>
      </c>
      <c r="B778" s="12">
        <f>CMP!Y780</f>
        <v>522.42</v>
      </c>
    </row>
    <row r="779">
      <c r="A779" s="12">
        <f>CMP!W781</f>
        <v>518.5</v>
      </c>
      <c r="B779" s="12">
        <f>CMP!Y781</f>
        <v>519.78</v>
      </c>
    </row>
    <row r="780">
      <c r="A780" s="12">
        <f>CMP!W782</f>
        <v>520.11</v>
      </c>
      <c r="B780" s="12">
        <f>CMP!Y782</f>
        <v>524.83</v>
      </c>
    </row>
    <row r="781">
      <c r="A781" s="12">
        <f>CMP!W783</f>
        <v>529</v>
      </c>
      <c r="B781" s="12">
        <f>CMP!Y783</f>
        <v>532.9</v>
      </c>
    </row>
    <row r="782">
      <c r="A782" s="12">
        <f>CMP!W784</f>
        <v>533.2</v>
      </c>
      <c r="B782" s="12">
        <f>CMP!Y784</f>
        <v>534.45</v>
      </c>
    </row>
    <row r="783">
      <c r="A783" s="12">
        <f>CMP!W785</f>
        <v>530.05</v>
      </c>
      <c r="B783" s="12">
        <f>CMP!Y785</f>
        <v>528.91</v>
      </c>
    </row>
    <row r="784">
      <c r="A784" s="12">
        <f>CMP!W786</f>
        <v>527.69</v>
      </c>
      <c r="B784" s="12">
        <f>CMP!Y786</f>
        <v>527.33</v>
      </c>
    </row>
    <row r="785">
      <c r="A785" s="12">
        <f>CMP!W787</f>
        <v>524.76</v>
      </c>
      <c r="B785" s="12">
        <f>CMP!Y787</f>
        <v>514.48</v>
      </c>
    </row>
    <row r="786">
      <c r="A786" s="12">
        <f>CMP!W788</f>
        <v>515.12</v>
      </c>
      <c r="B786" s="12">
        <f>CMP!Y788</f>
        <v>513.97</v>
      </c>
    </row>
    <row r="787">
      <c r="A787" s="12">
        <f>CMP!W789</f>
        <v>516.43</v>
      </c>
      <c r="B787" s="12">
        <f>CMP!Y789</f>
        <v>519.12</v>
      </c>
    </row>
    <row r="788">
      <c r="A788" s="12">
        <f>CMP!W790</f>
        <v>519.9</v>
      </c>
      <c r="B788" s="12">
        <f>CMP!Y790</f>
        <v>530.87</v>
      </c>
    </row>
    <row r="789">
      <c r="A789" s="12">
        <f>CMP!W791</f>
        <v>530.13</v>
      </c>
      <c r="B789" s="12">
        <f>CMP!Y791</f>
        <v>524.59</v>
      </c>
    </row>
    <row r="790">
      <c r="A790" s="12">
        <f>CMP!W792</f>
        <v>525.53</v>
      </c>
      <c r="B790" s="12">
        <f>CMP!Y792</f>
        <v>540.73</v>
      </c>
    </row>
    <row r="791">
      <c r="A791" s="12">
        <f>CMP!W793</f>
        <v>539</v>
      </c>
      <c r="B791" s="12">
        <f>CMP!Y793</f>
        <v>522.86</v>
      </c>
    </row>
    <row r="792">
      <c r="A792" s="12">
        <f>CMP!W794</f>
        <v>521.55</v>
      </c>
      <c r="B792" s="12">
        <f>CMP!Y794</f>
        <v>520.8</v>
      </c>
    </row>
    <row r="793">
      <c r="A793" s="12">
        <f>CMP!W795</f>
        <v>511.97</v>
      </c>
      <c r="B793" s="12">
        <f>CMP!Y795</f>
        <v>500.49</v>
      </c>
    </row>
    <row r="794">
      <c r="A794" s="12">
        <f>CMP!W796</f>
        <v>508.28</v>
      </c>
      <c r="B794" s="12">
        <f>CMP!Y796</f>
        <v>508.89</v>
      </c>
    </row>
    <row r="795">
      <c r="A795" s="12">
        <f>CMP!W797</f>
        <v>511.31</v>
      </c>
      <c r="B795" s="12">
        <f>CMP!Y797</f>
        <v>510.4</v>
      </c>
    </row>
    <row r="796">
      <c r="A796" s="12">
        <f>CMP!W798</f>
        <v>507.84</v>
      </c>
      <c r="B796" s="12">
        <f>CMP!Y798</f>
        <v>499.1</v>
      </c>
    </row>
    <row r="797">
      <c r="A797" s="12">
        <f>CMP!W799</f>
        <v>500</v>
      </c>
      <c r="B797" s="12">
        <f>CMP!Y799</f>
        <v>494.25</v>
      </c>
    </row>
    <row r="798">
      <c r="A798" s="12">
        <f>CMP!W800</f>
        <v>495.5</v>
      </c>
      <c r="B798" s="12">
        <f>CMP!Y800</f>
        <v>507.79</v>
      </c>
    </row>
    <row r="799">
      <c r="A799" s="12">
        <f>CMP!W801</f>
        <v>507.35</v>
      </c>
      <c r="B799" s="12">
        <f>CMP!Y801</f>
        <v>500.86</v>
      </c>
    </row>
    <row r="800">
      <c r="A800" s="12">
        <f>CMP!W802</f>
        <v>500</v>
      </c>
      <c r="B800" s="12">
        <f>CMP!Y802</f>
        <v>497.98</v>
      </c>
    </row>
    <row r="801">
      <c r="A801" s="12">
        <f>CMP!W803</f>
        <v>501</v>
      </c>
      <c r="B801" s="12">
        <f>CMP!Y803</f>
        <v>501.77</v>
      </c>
    </row>
    <row r="802">
      <c r="A802" s="12">
        <f>CMP!W804</f>
        <v>565.42</v>
      </c>
      <c r="B802" s="12">
        <f>CMP!Y804</f>
        <v>586.34</v>
      </c>
    </row>
    <row r="803">
      <c r="A803" s="12">
        <f>CMP!W805</f>
        <v>582.45</v>
      </c>
      <c r="B803" s="12">
        <f>CMP!Y805</f>
        <v>579.84</v>
      </c>
    </row>
    <row r="804">
      <c r="A804" s="12">
        <f>CMP!W806</f>
        <v>582.1</v>
      </c>
      <c r="B804" s="12">
        <f>CMP!Y806</f>
        <v>565.17</v>
      </c>
    </row>
    <row r="805">
      <c r="A805" s="12">
        <f>CMP!W807</f>
        <v>567</v>
      </c>
      <c r="B805" s="12">
        <f>CMP!Y807</f>
        <v>556.78</v>
      </c>
    </row>
    <row r="806">
      <c r="A806" s="12">
        <f>CMP!W808</f>
        <v>554.73</v>
      </c>
      <c r="B806" s="12">
        <f>CMP!Y808</f>
        <v>561.93</v>
      </c>
    </row>
    <row r="807">
      <c r="A807" s="12">
        <f>CMP!W809</f>
        <v>550.71</v>
      </c>
      <c r="B807" s="12">
        <f>CMP!Y809</f>
        <v>523.28</v>
      </c>
    </row>
    <row r="808">
      <c r="A808" s="12">
        <f>CMP!W810</f>
        <v>535.88</v>
      </c>
      <c r="B808" s="12">
        <f>CMP!Y810</f>
        <v>538.6</v>
      </c>
    </row>
    <row r="809">
      <c r="A809" s="12">
        <f>CMP!W811</f>
        <v>538</v>
      </c>
      <c r="B809" s="12">
        <f>CMP!Y811</f>
        <v>532.39</v>
      </c>
    </row>
    <row r="810">
      <c r="A810" s="12">
        <f>CMP!W812</f>
        <v>536.79</v>
      </c>
      <c r="B810" s="12">
        <f>CMP!Y812</f>
        <v>539.04</v>
      </c>
    </row>
    <row r="811">
      <c r="A811" s="12">
        <f>CMP!W813</f>
        <v>542.01</v>
      </c>
      <c r="B811" s="12">
        <f>CMP!Y813</f>
        <v>548.16</v>
      </c>
    </row>
    <row r="812">
      <c r="A812" s="12">
        <f>CMP!W814</f>
        <v>550.17</v>
      </c>
      <c r="B812" s="12">
        <f>CMP!Y814</f>
        <v>539.45</v>
      </c>
    </row>
    <row r="813">
      <c r="A813" s="12">
        <f>CMP!W815</f>
        <v>539.81</v>
      </c>
      <c r="B813" s="12">
        <f>CMP!Y815</f>
        <v>552.16</v>
      </c>
    </row>
    <row r="814">
      <c r="A814" s="12">
        <f>CMP!W816</f>
        <v>552.26</v>
      </c>
      <c r="B814" s="12">
        <f>CMP!Y816</f>
        <v>550.79</v>
      </c>
    </row>
    <row r="815">
      <c r="A815" s="12">
        <f>CMP!W817</f>
        <v>555</v>
      </c>
      <c r="B815" s="12">
        <f>CMP!Y817</f>
        <v>547.92</v>
      </c>
    </row>
    <row r="816">
      <c r="A816" s="12">
        <f>CMP!W818</f>
        <v>546</v>
      </c>
      <c r="B816" s="12">
        <f>CMP!Y818</f>
        <v>559.07</v>
      </c>
    </row>
    <row r="817">
      <c r="A817" s="12">
        <f>CMP!W819</f>
        <v>562.5</v>
      </c>
      <c r="B817" s="12">
        <f>CMP!Y819</f>
        <v>563.59</v>
      </c>
    </row>
    <row r="818">
      <c r="A818" s="12">
        <f>CMP!W820</f>
        <v>564.44</v>
      </c>
      <c r="B818" s="12">
        <f>CMP!Y820</f>
        <v>557.59</v>
      </c>
    </row>
    <row r="819">
      <c r="A819" s="12">
        <f>CMP!W821</f>
        <v>556.94</v>
      </c>
      <c r="B819" s="12">
        <f>CMP!Y821</f>
        <v>556.52</v>
      </c>
    </row>
    <row r="820">
      <c r="A820" s="12">
        <f>CMP!W822</f>
        <v>557.29</v>
      </c>
      <c r="B820" s="12">
        <f>CMP!Y822</f>
        <v>557.28</v>
      </c>
    </row>
    <row r="821">
      <c r="A821" s="12">
        <f>CMP!W823</f>
        <v>550.99</v>
      </c>
      <c r="B821" s="12">
        <f>CMP!Y823</f>
        <v>551.34</v>
      </c>
    </row>
    <row r="822">
      <c r="A822" s="12">
        <f>CMP!W824</f>
        <v>549</v>
      </c>
      <c r="B822" s="12">
        <f>CMP!Y824</f>
        <v>548.22</v>
      </c>
    </row>
    <row r="823">
      <c r="A823" s="12">
        <f>CMP!W825</f>
        <v>548</v>
      </c>
      <c r="B823" s="12">
        <f>CMP!Y825</f>
        <v>540.22</v>
      </c>
    </row>
    <row r="824">
      <c r="A824" s="12">
        <f>CMP!W826</f>
        <v>534.99</v>
      </c>
      <c r="B824" s="12">
        <f>CMP!Y826</f>
        <v>533.78</v>
      </c>
    </row>
    <row r="825">
      <c r="A825" s="12">
        <f>CMP!W827</f>
        <v>525</v>
      </c>
      <c r="B825" s="12">
        <f>CMP!Y827</f>
        <v>546.15</v>
      </c>
    </row>
    <row r="826">
      <c r="A826" s="12">
        <f>CMP!W828</f>
        <v>539.8</v>
      </c>
      <c r="B826" s="12">
        <f>CMP!Y828</f>
        <v>553.41</v>
      </c>
    </row>
    <row r="827">
      <c r="A827" s="12">
        <f>CMP!W829</f>
        <v>550.27</v>
      </c>
      <c r="B827" s="12">
        <f>CMP!Y829</f>
        <v>546.7</v>
      </c>
    </row>
    <row r="828">
      <c r="A828" s="12">
        <f>CMP!W830</f>
        <v>546.51</v>
      </c>
      <c r="B828" s="12">
        <f>CMP!Y830</f>
        <v>538.85</v>
      </c>
    </row>
    <row r="829">
      <c r="A829" s="12">
        <f>CMP!W831</f>
        <v>545.57</v>
      </c>
      <c r="B829" s="12">
        <f>CMP!Y831</f>
        <v>550.64</v>
      </c>
    </row>
    <row r="830">
      <c r="A830" s="12">
        <f>CMP!W832</f>
        <v>553.34</v>
      </c>
      <c r="B830" s="12">
        <f>CMP!Y832</f>
        <v>547.82</v>
      </c>
    </row>
    <row r="831">
      <c r="A831" s="12">
        <f>CMP!W833</f>
        <v>545.93</v>
      </c>
      <c r="B831" s="12">
        <f>CMP!Y833</f>
        <v>520.7</v>
      </c>
    </row>
    <row r="832">
      <c r="A832" s="12">
        <f>CMP!W834</f>
        <v>521.5</v>
      </c>
      <c r="B832" s="12">
        <f>CMP!Y834</f>
        <v>511.29</v>
      </c>
    </row>
    <row r="833">
      <c r="A833" s="12">
        <f>CMP!W835</f>
        <v>511.98</v>
      </c>
      <c r="B833" s="12">
        <f>CMP!Y835</f>
        <v>516.39</v>
      </c>
    </row>
    <row r="834">
      <c r="A834" s="12">
        <f>CMP!W836</f>
        <v>514.46</v>
      </c>
      <c r="B834" s="12">
        <f>CMP!Y836</f>
        <v>493.33</v>
      </c>
    </row>
    <row r="835">
      <c r="A835" s="12">
        <f>CMP!W837</f>
        <v>507.31</v>
      </c>
      <c r="B835" s="12">
        <f>CMP!Y837</f>
        <v>506.44</v>
      </c>
    </row>
    <row r="836">
      <c r="A836" s="12">
        <f>CMP!W838</f>
        <v>513.5</v>
      </c>
      <c r="B836" s="12">
        <f>CMP!Y838</f>
        <v>504.54</v>
      </c>
    </row>
    <row r="837">
      <c r="A837" s="12">
        <f>CMP!W839</f>
        <v>512.2</v>
      </c>
      <c r="B837" s="12">
        <f>CMP!Y839</f>
        <v>523.06</v>
      </c>
    </row>
    <row r="838">
      <c r="A838" s="12">
        <f>CMP!W840</f>
        <v>512.5</v>
      </c>
      <c r="B838" s="12">
        <f>CMP!Y840</f>
        <v>518.02</v>
      </c>
    </row>
    <row r="839">
      <c r="A839" s="12">
        <f>CMP!W841</f>
        <v>516.32</v>
      </c>
      <c r="B839" s="12">
        <f>CMP!Y841</f>
        <v>520.25</v>
      </c>
    </row>
    <row r="840">
      <c r="A840" s="12">
        <f>CMP!W842</f>
        <v>524.47</v>
      </c>
      <c r="B840" s="12">
        <f>CMP!Y842</f>
        <v>524.03</v>
      </c>
    </row>
    <row r="841">
      <c r="A841" s="12">
        <f>CMP!W843</f>
        <v>522</v>
      </c>
      <c r="B841" s="12">
        <f>CMP!Y843</f>
        <v>524.44</v>
      </c>
    </row>
    <row r="842">
      <c r="A842" s="12">
        <f>CMP!W844</f>
        <v>516.4</v>
      </c>
      <c r="B842" s="12">
        <f>CMP!Y844</f>
        <v>504.79</v>
      </c>
    </row>
    <row r="843">
      <c r="A843" s="12">
        <f>CMP!W845</f>
        <v>504.96</v>
      </c>
      <c r="B843" s="12">
        <f>CMP!Y845</f>
        <v>512.18</v>
      </c>
    </row>
    <row r="844">
      <c r="A844" s="12">
        <f>CMP!W846</f>
        <v>509.13</v>
      </c>
      <c r="B844" s="12">
        <f>CMP!Y846</f>
        <v>523.11</v>
      </c>
    </row>
    <row r="845">
      <c r="A845" s="12">
        <f>CMP!W847</f>
        <v>529.87</v>
      </c>
      <c r="B845" s="12">
        <f>CMP!Y847</f>
        <v>535.09</v>
      </c>
    </row>
    <row r="846">
      <c r="A846" s="12">
        <f>CMP!W848</f>
        <v>533.78</v>
      </c>
      <c r="B846" s="12">
        <f>CMP!Y848</f>
        <v>520.81</v>
      </c>
    </row>
    <row r="847">
      <c r="A847" s="12">
        <f>CMP!W849</f>
        <v>516.99</v>
      </c>
      <c r="B847" s="12">
        <f>CMP!Y849</f>
        <v>502.86</v>
      </c>
    </row>
    <row r="848">
      <c r="A848" s="12">
        <f>CMP!W850</f>
        <v>502.82</v>
      </c>
      <c r="B848" s="12">
        <f>CMP!Y850</f>
        <v>508.05</v>
      </c>
    </row>
    <row r="849">
      <c r="A849" s="12">
        <f>CMP!W851</f>
        <v>505.66</v>
      </c>
      <c r="B849" s="12">
        <f>CMP!Y851</f>
        <v>513.95</v>
      </c>
    </row>
    <row r="850">
      <c r="A850" s="12">
        <f>CMP!W852</f>
        <v>510.51</v>
      </c>
      <c r="B850" s="12">
        <f>CMP!Y852</f>
        <v>513.39</v>
      </c>
    </row>
    <row r="851">
      <c r="A851" s="12">
        <f>CMP!W853</f>
        <v>515.67</v>
      </c>
      <c r="B851" s="12">
        <f>CMP!Y853</f>
        <v>521.66</v>
      </c>
    </row>
    <row r="852">
      <c r="A852" s="12">
        <f>CMP!W854</f>
        <v>529.93</v>
      </c>
      <c r="B852" s="12">
        <f>CMP!Y854</f>
        <v>539.42</v>
      </c>
    </row>
    <row r="853">
      <c r="A853" s="12">
        <f>CMP!W855</f>
        <v>540.01</v>
      </c>
      <c r="B853" s="12">
        <f>CMP!Y855</f>
        <v>540.67</v>
      </c>
    </row>
    <row r="854">
      <c r="A854" s="12">
        <f>CMP!W856</f>
        <v>544.81</v>
      </c>
      <c r="B854" s="12">
        <f>CMP!Y856</f>
        <v>544.53</v>
      </c>
    </row>
    <row r="855">
      <c r="A855" s="12">
        <f>CMP!W857</f>
        <v>543.5</v>
      </c>
      <c r="B855" s="12">
        <f>CMP!Y857</f>
        <v>546.99</v>
      </c>
    </row>
    <row r="856">
      <c r="A856" s="12">
        <f>CMP!W858</f>
        <v>551.13</v>
      </c>
      <c r="B856" s="12">
        <f>CMP!Y858</f>
        <v>554.58</v>
      </c>
    </row>
    <row r="857">
      <c r="A857" s="12">
        <f>CMP!W859</f>
        <v>552.69</v>
      </c>
      <c r="B857" s="12">
        <f>CMP!Y859</f>
        <v>555.31</v>
      </c>
    </row>
    <row r="858">
      <c r="A858" s="12">
        <f>CMP!W860</f>
        <v>551.05</v>
      </c>
      <c r="B858" s="12">
        <f>CMP!Y860</f>
        <v>552.78</v>
      </c>
    </row>
    <row r="859">
      <c r="A859" s="12">
        <f>CMP!W861</f>
        <v>557</v>
      </c>
      <c r="B859" s="12">
        <f>CMP!Y861</f>
        <v>553.73</v>
      </c>
    </row>
    <row r="860">
      <c r="A860" s="12">
        <f>CMP!W862</f>
        <v>554.87</v>
      </c>
      <c r="B860" s="12">
        <f>CMP!Y862</f>
        <v>540.02</v>
      </c>
    </row>
    <row r="861">
      <c r="A861" s="12">
        <f>CMP!W863</f>
        <v>544.17</v>
      </c>
      <c r="B861" s="12">
        <f>CMP!Y863</f>
        <v>549.22</v>
      </c>
    </row>
    <row r="862">
      <c r="A862" s="12">
        <f>CMP!W864</f>
        <v>550.54</v>
      </c>
      <c r="B862" s="12">
        <f>CMP!Y864</f>
        <v>546.54</v>
      </c>
    </row>
    <row r="863">
      <c r="A863" s="12">
        <f>CMP!W865</f>
        <v>546.9</v>
      </c>
      <c r="B863" s="12">
        <f>CMP!Y865</f>
        <v>554.44</v>
      </c>
    </row>
    <row r="864">
      <c r="A864" s="12">
        <f>CMP!W866</f>
        <v>554.42</v>
      </c>
      <c r="B864" s="12">
        <f>CMP!Y866</f>
        <v>549.57</v>
      </c>
    </row>
    <row r="865">
      <c r="A865" s="12">
        <f>CMP!W867</f>
        <v>508</v>
      </c>
      <c r="B865" s="12">
        <f>CMP!Y867</f>
        <v>508.9</v>
      </c>
    </row>
    <row r="866">
      <c r="A866" s="12">
        <f>CMP!W868</f>
        <v>513.82</v>
      </c>
      <c r="B866" s="12">
        <f>CMP!Y868</f>
        <v>508.78</v>
      </c>
    </row>
    <row r="867">
      <c r="A867" s="12">
        <f>CMP!W869</f>
        <v>509.01</v>
      </c>
      <c r="B867" s="12">
        <f>CMP!Y869</f>
        <v>505.55</v>
      </c>
    </row>
    <row r="868">
      <c r="A868" s="12">
        <f>CMP!W870</f>
        <v>506.76</v>
      </c>
      <c r="B868" s="12">
        <f>CMP!Y870</f>
        <v>510.3</v>
      </c>
    </row>
    <row r="869">
      <c r="A869" s="12">
        <f>CMP!W871</f>
        <v>512.62</v>
      </c>
      <c r="B869" s="12">
        <f>CMP!Y871</f>
        <v>505.55</v>
      </c>
    </row>
    <row r="870">
      <c r="A870" s="12">
        <f>CMP!W872</f>
        <v>505.2</v>
      </c>
      <c r="B870" s="12">
        <f>CMP!Y872</f>
        <v>506.52</v>
      </c>
    </row>
    <row r="871">
      <c r="A871" s="12">
        <f>CMP!W873</f>
        <v>507.6</v>
      </c>
      <c r="B871" s="12">
        <f>CMP!Y873</f>
        <v>509</v>
      </c>
    </row>
    <row r="872">
      <c r="A872" s="12">
        <f>CMP!W874</f>
        <v>505</v>
      </c>
      <c r="B872" s="12">
        <f>CMP!Y874</f>
        <v>513.47</v>
      </c>
    </row>
    <row r="873">
      <c r="A873" s="12">
        <f>CMP!W875</f>
        <v>512.65</v>
      </c>
      <c r="B873" s="12">
        <f>CMP!Y875</f>
        <v>509.11</v>
      </c>
    </row>
    <row r="874">
      <c r="A874" s="12">
        <f>CMP!W876</f>
        <v>510.78</v>
      </c>
      <c r="B874" s="12">
        <f>CMP!Y876</f>
        <v>503.18</v>
      </c>
    </row>
    <row r="875">
      <c r="A875" s="12">
        <f>CMP!W877</f>
        <v>504.99</v>
      </c>
      <c r="B875" s="12">
        <f>CMP!Y877</f>
        <v>496.08</v>
      </c>
    </row>
    <row r="876">
      <c r="A876" s="12">
        <f>CMP!W878</f>
        <v>495.99</v>
      </c>
      <c r="B876" s="12">
        <f>CMP!Y878</f>
        <v>499.55</v>
      </c>
    </row>
    <row r="877">
      <c r="A877" s="12">
        <f>CMP!W879</f>
        <v>504.62</v>
      </c>
      <c r="B877" s="12">
        <f>CMP!Y879</f>
        <v>503.84</v>
      </c>
    </row>
    <row r="878">
      <c r="A878" s="12">
        <f>CMP!W880</f>
        <v>502</v>
      </c>
      <c r="B878" s="12">
        <f>CMP!Y880</f>
        <v>486.69</v>
      </c>
    </row>
    <row r="879">
      <c r="A879" s="12">
        <f>CMP!W881</f>
        <v>479.75</v>
      </c>
      <c r="B879" s="12">
        <f>CMP!Y881</f>
        <v>495.08</v>
      </c>
    </row>
    <row r="880">
      <c r="A880" s="12">
        <f>CMP!W882</f>
        <v>486.83</v>
      </c>
      <c r="B880" s="12">
        <f>CMP!Y882</f>
        <v>484.98</v>
      </c>
    </row>
    <row r="881">
      <c r="A881" s="12">
        <f>CMP!W883</f>
        <v>489.13</v>
      </c>
      <c r="B881" s="12">
        <f>CMP!Y883</f>
        <v>486.66</v>
      </c>
    </row>
    <row r="882">
      <c r="A882" s="12">
        <f>CMP!W884</f>
        <v>487.86</v>
      </c>
      <c r="B882" s="12">
        <f>CMP!Y884</f>
        <v>493.37</v>
      </c>
    </row>
    <row r="883">
      <c r="A883" s="12">
        <f>CMP!W885</f>
        <v>485.59</v>
      </c>
      <c r="B883" s="12">
        <f>CMP!Y885</f>
        <v>488.94</v>
      </c>
    </row>
    <row r="884">
      <c r="A884" s="12">
        <f>CMP!W886</f>
        <v>488.4</v>
      </c>
      <c r="B884" s="12">
        <f>CMP!Y886</f>
        <v>486.28</v>
      </c>
    </row>
    <row r="885">
      <c r="A885" s="12">
        <f>CMP!W887</f>
        <v>481.63</v>
      </c>
      <c r="B885" s="12">
        <f>CMP!Y887</f>
        <v>487.7</v>
      </c>
    </row>
    <row r="886">
      <c r="A886" s="12">
        <f>CMP!W888</f>
        <v>489.55</v>
      </c>
      <c r="B886" s="12">
        <f>CMP!Y888</f>
        <v>501.67</v>
      </c>
    </row>
    <row r="887">
      <c r="A887" s="12">
        <f>CMP!W889</f>
        <v>503.12</v>
      </c>
      <c r="B887" s="12">
        <f>CMP!Y889</f>
        <v>497.89</v>
      </c>
    </row>
    <row r="888">
      <c r="A888" s="12">
        <f>CMP!W890</f>
        <v>501.05</v>
      </c>
      <c r="B888" s="12">
        <f>CMP!Y890</f>
        <v>502.9</v>
      </c>
    </row>
    <row r="889">
      <c r="A889" s="12">
        <f>CMP!W891</f>
        <v>506</v>
      </c>
      <c r="B889" s="12">
        <f>CMP!Y891</f>
        <v>501.34</v>
      </c>
    </row>
    <row r="890">
      <c r="A890" s="12">
        <f>CMP!W892</f>
        <v>502.34</v>
      </c>
      <c r="B890" s="12">
        <f>CMP!Y892</f>
        <v>502.36</v>
      </c>
    </row>
    <row r="891">
      <c r="A891" s="12">
        <f>CMP!W893</f>
        <v>501.8</v>
      </c>
      <c r="B891" s="12">
        <f>CMP!Y893</f>
        <v>503.86</v>
      </c>
    </row>
    <row r="892">
      <c r="A892" s="12">
        <f>CMP!W894</f>
        <v>504.4</v>
      </c>
      <c r="B892" s="12">
        <f>CMP!Y894</f>
        <v>502.81</v>
      </c>
    </row>
    <row r="893">
      <c r="A893" s="12">
        <f>CMP!W895</f>
        <v>504.01</v>
      </c>
      <c r="B893" s="12">
        <f>CMP!Y895</f>
        <v>499.08</v>
      </c>
    </row>
    <row r="894">
      <c r="A894" s="12">
        <f>CMP!W896</f>
        <v>499.82</v>
      </c>
      <c r="B894" s="12">
        <f>CMP!Y896</f>
        <v>499.24</v>
      </c>
    </row>
    <row r="895">
      <c r="A895" s="12">
        <f>CMP!W897</f>
        <v>495.19</v>
      </c>
      <c r="B895" s="12">
        <f>CMP!Y897</f>
        <v>489.43</v>
      </c>
    </row>
    <row r="896">
      <c r="A896" s="12">
        <f>CMP!W898</f>
        <v>492</v>
      </c>
      <c r="B896" s="12">
        <f>CMP!Y898</f>
        <v>494.74</v>
      </c>
    </row>
    <row r="897">
      <c r="A897" s="12">
        <f>CMP!W899</f>
        <v>492.92</v>
      </c>
      <c r="B897" s="12">
        <f>CMP!Y899</f>
        <v>494.66</v>
      </c>
    </row>
    <row r="898">
      <c r="A898" s="12">
        <f>CMP!W900</f>
        <v>497</v>
      </c>
      <c r="B898" s="12">
        <f>CMP!Y900</f>
        <v>492.39</v>
      </c>
    </row>
    <row r="899">
      <c r="A899" s="12">
        <f>CMP!W901</f>
        <v>494.5</v>
      </c>
      <c r="B899" s="12">
        <f>CMP!Y901</f>
        <v>485.81</v>
      </c>
    </row>
    <row r="900">
      <c r="A900" s="12">
        <f>CMP!W902</f>
        <v>487.17</v>
      </c>
      <c r="B900" s="12">
        <f>CMP!Y902</f>
        <v>487.27</v>
      </c>
    </row>
    <row r="901">
      <c r="A901" s="12">
        <f>CMP!W903</f>
        <v>490</v>
      </c>
      <c r="B901" s="12">
        <f>CMP!Y903</f>
        <v>488.77</v>
      </c>
    </row>
    <row r="902">
      <c r="A902" s="12">
        <f>CMP!W904</f>
        <v>489.68</v>
      </c>
      <c r="B902" s="12">
        <f>CMP!Y904</f>
        <v>499.89</v>
      </c>
    </row>
    <row r="903">
      <c r="A903" s="12">
        <f>CMP!W905</f>
        <v>501.23</v>
      </c>
      <c r="B903" s="12">
        <f>CMP!Y905</f>
        <v>491.9</v>
      </c>
    </row>
    <row r="904">
      <c r="A904" s="12">
        <f>CMP!W906</f>
        <v>495</v>
      </c>
      <c r="B904" s="12">
        <f>CMP!Y906</f>
        <v>492.41</v>
      </c>
    </row>
    <row r="905">
      <c r="A905" s="12">
        <f>CMP!W907</f>
        <v>490.25</v>
      </c>
      <c r="B905" s="12">
        <f>CMP!Y907</f>
        <v>498.34</v>
      </c>
    </row>
    <row r="906">
      <c r="A906" s="12">
        <f>CMP!W908</f>
        <v>496.4</v>
      </c>
      <c r="B906" s="12">
        <f>CMP!Y908</f>
        <v>500.77</v>
      </c>
    </row>
    <row r="907">
      <c r="A907" s="12">
        <f>CMP!W909</f>
        <v>501.64</v>
      </c>
      <c r="B907" s="12">
        <f>CMP!Y909</f>
        <v>497</v>
      </c>
    </row>
    <row r="908">
      <c r="A908" s="12">
        <f>CMP!W910</f>
        <v>498.54</v>
      </c>
      <c r="B908" s="12">
        <f>CMP!Y910</f>
        <v>508.82</v>
      </c>
    </row>
    <row r="909">
      <c r="A909" s="12">
        <f>CMP!W911</f>
        <v>508.48</v>
      </c>
      <c r="B909" s="12">
        <f>CMP!Y911</f>
        <v>512.74</v>
      </c>
    </row>
    <row r="910">
      <c r="A910" s="12">
        <f>CMP!W912</f>
        <v>517.96</v>
      </c>
      <c r="B910" s="12">
        <f>CMP!Y912</f>
        <v>518.06</v>
      </c>
    </row>
    <row r="911">
      <c r="A911" s="12">
        <f>CMP!W913</f>
        <v>528.84</v>
      </c>
      <c r="B911" s="12">
        <f>CMP!Y913</f>
        <v>527.07</v>
      </c>
    </row>
    <row r="912">
      <c r="A912" s="12">
        <f>CMP!W914</f>
        <v>528.12</v>
      </c>
      <c r="B912" s="12">
        <f>CMP!Y914</f>
        <v>533.03</v>
      </c>
    </row>
    <row r="913">
      <c r="A913" s="12">
        <f>CMP!W915</f>
        <v>533.55</v>
      </c>
      <c r="B913" s="12">
        <f>CMP!Y915</f>
        <v>533.5</v>
      </c>
    </row>
    <row r="914">
      <c r="A914" s="12">
        <f>CMP!W916</f>
        <v>534.06</v>
      </c>
      <c r="B914" s="12">
        <f>CMP!Y916</f>
        <v>528.21</v>
      </c>
    </row>
    <row r="915">
      <c r="A915" s="12">
        <f>CMP!W917</f>
        <v>525.72</v>
      </c>
      <c r="B915" s="12">
        <f>CMP!Y917</f>
        <v>533.54</v>
      </c>
    </row>
    <row r="916">
      <c r="A916" s="12">
        <f>CMP!W918</f>
        <v>535.5</v>
      </c>
      <c r="B916" s="12">
        <f>CMP!Y918</f>
        <v>533.98</v>
      </c>
    </row>
    <row r="917">
      <c r="A917" s="12">
        <f>CMP!W919</f>
        <v>533</v>
      </c>
      <c r="B917" s="12">
        <f>CMP!Y919</f>
        <v>541.64</v>
      </c>
    </row>
    <row r="918">
      <c r="A918" s="12">
        <f>CMP!W920</f>
        <v>544.24</v>
      </c>
      <c r="B918" s="12">
        <f>CMP!Y920</f>
        <v>535.96</v>
      </c>
    </row>
    <row r="919">
      <c r="A919" s="12">
        <f>CMP!W921</f>
        <v>530.93</v>
      </c>
      <c r="B919" s="12">
        <f>CMP!Y921</f>
        <v>530.76</v>
      </c>
    </row>
    <row r="920">
      <c r="A920" s="12">
        <f>CMP!W922</f>
        <v>531</v>
      </c>
      <c r="B920" s="12">
        <f>CMP!Y922</f>
        <v>535.98</v>
      </c>
    </row>
    <row r="921">
      <c r="A921" s="12">
        <f>CMP!W923</f>
        <v>540.3</v>
      </c>
      <c r="B921" s="12">
        <f>CMP!Y923</f>
        <v>537.31</v>
      </c>
    </row>
    <row r="922">
      <c r="A922" s="12">
        <f>CMP!W924</f>
        <v>535.76</v>
      </c>
      <c r="B922" s="12">
        <f>CMP!Y924</f>
        <v>540.68</v>
      </c>
    </row>
    <row r="923">
      <c r="A923" s="12">
        <f>CMP!W925</f>
        <v>541.01</v>
      </c>
      <c r="B923" s="12">
        <f>CMP!Y925</f>
        <v>547.95</v>
      </c>
    </row>
    <row r="924">
      <c r="A924" s="12">
        <f>CMP!W926</f>
        <v>553.97</v>
      </c>
      <c r="B924" s="12">
        <f>CMP!Y926</f>
        <v>542.95</v>
      </c>
    </row>
    <row r="925">
      <c r="A925" s="12">
        <f>CMP!W927</f>
        <v>541.81</v>
      </c>
      <c r="B925" s="12">
        <f>CMP!Y927</f>
        <v>530.31</v>
      </c>
    </row>
    <row r="926">
      <c r="A926" s="12">
        <f>CMP!W928</f>
        <v>526.05</v>
      </c>
      <c r="B926" s="12">
        <f>CMP!Y928</f>
        <v>532.28</v>
      </c>
    </row>
    <row r="927">
      <c r="A927" s="12">
        <f>CMP!W929</f>
        <v>526.07</v>
      </c>
      <c r="B927" s="12">
        <f>CMP!Y929</f>
        <v>531.05</v>
      </c>
    </row>
    <row r="928">
      <c r="A928" s="12">
        <f>CMP!W930</f>
        <v>526.13</v>
      </c>
      <c r="B928" s="12">
        <f>CMP!Y930</f>
        <v>513.63</v>
      </c>
    </row>
    <row r="929">
      <c r="A929" s="12">
        <f>CMP!W931</f>
        <v>510.21</v>
      </c>
      <c r="B929" s="12">
        <f>CMP!Y931</f>
        <v>511.77</v>
      </c>
    </row>
    <row r="930">
      <c r="A930" s="12">
        <f>CMP!W932</f>
        <v>512.16</v>
      </c>
      <c r="B930" s="12">
        <f>CMP!Y932</f>
        <v>515.41</v>
      </c>
    </row>
    <row r="931">
      <c r="A931" s="12">
        <f>CMP!W933</f>
        <v>514.38</v>
      </c>
      <c r="B931" s="12">
        <f>CMP!Y933</f>
        <v>516.49</v>
      </c>
    </row>
    <row r="932">
      <c r="A932" s="12">
        <f>CMP!W934</f>
        <v>518.08</v>
      </c>
      <c r="B932" s="12">
        <f>CMP!Y934</f>
        <v>518.91</v>
      </c>
    </row>
    <row r="933">
      <c r="A933" s="12">
        <f>CMP!W935</f>
        <v>521.82</v>
      </c>
      <c r="B933" s="12">
        <f>CMP!Y935</f>
        <v>519.3</v>
      </c>
    </row>
    <row r="934">
      <c r="A934" s="12">
        <f>CMP!W936</f>
        <v>519.96</v>
      </c>
      <c r="B934" s="12">
        <f>CMP!Y936</f>
        <v>514.25</v>
      </c>
    </row>
    <row r="935">
      <c r="A935" s="12">
        <f>CMP!W937</f>
        <v>512.69</v>
      </c>
      <c r="B935" s="12">
        <f>CMP!Y937</f>
        <v>517.57</v>
      </c>
    </row>
    <row r="936">
      <c r="A936" s="12">
        <f>CMP!W938</f>
        <v>519</v>
      </c>
      <c r="B936" s="12">
        <f>CMP!Y938</f>
        <v>515.15</v>
      </c>
    </row>
    <row r="937">
      <c r="A937" s="12">
        <f>CMP!W939</f>
        <v>514.39</v>
      </c>
      <c r="B937" s="12">
        <f>CMP!Y939</f>
        <v>510.82</v>
      </c>
    </row>
    <row r="938">
      <c r="A938" s="12">
        <f>CMP!W940</f>
        <v>513</v>
      </c>
      <c r="B938" s="12">
        <f>CMP!Y940</f>
        <v>517.35</v>
      </c>
    </row>
    <row r="939">
      <c r="A939" s="12">
        <f>CMP!W941</f>
        <v>517.13</v>
      </c>
      <c r="B939" s="12">
        <f>CMP!Y941</f>
        <v>524.89</v>
      </c>
    </row>
    <row r="940">
      <c r="A940" s="12">
        <f>CMP!W942</f>
        <v>524</v>
      </c>
      <c r="B940" s="12">
        <f>CMP!Y942</f>
        <v>520.55</v>
      </c>
    </row>
    <row r="941">
      <c r="A941" s="12">
        <f>CMP!W943</f>
        <v>521.15</v>
      </c>
      <c r="B941" s="12">
        <f>CMP!Y943</f>
        <v>519.97</v>
      </c>
    </row>
    <row r="942">
      <c r="A942" s="12">
        <f>CMP!W944</f>
        <v>520</v>
      </c>
      <c r="B942" s="12">
        <f>CMP!Y944</f>
        <v>515.84</v>
      </c>
    </row>
    <row r="943">
      <c r="A943" s="12">
        <f>CMP!W945</f>
        <v>517</v>
      </c>
      <c r="B943" s="12">
        <f>CMP!Y945</f>
        <v>512.4</v>
      </c>
    </row>
    <row r="944">
      <c r="A944" s="12">
        <f>CMP!W946</f>
        <v>511.86</v>
      </c>
      <c r="B944" s="12">
        <f>CMP!Y946</f>
        <v>510.72</v>
      </c>
    </row>
    <row r="945">
      <c r="A945" s="12">
        <f>CMP!W947</f>
        <v>512.64</v>
      </c>
      <c r="B945" s="12">
        <f>CMP!Y947</f>
        <v>515.92</v>
      </c>
    </row>
    <row r="946">
      <c r="A946" s="12">
        <f>CMP!W948</f>
        <v>515.24</v>
      </c>
      <c r="B946" s="12">
        <f>CMP!Y948</f>
        <v>517.92</v>
      </c>
    </row>
    <row r="947">
      <c r="A947" s="12">
        <f>CMP!W949</f>
        <v>515.47</v>
      </c>
      <c r="B947" s="12">
        <f>CMP!Y949</f>
        <v>518.91</v>
      </c>
    </row>
    <row r="948">
      <c r="A948" s="12">
        <f>CMP!W950</f>
        <v>520</v>
      </c>
      <c r="B948" s="12">
        <f>CMP!Y950</f>
        <v>521.87</v>
      </c>
    </row>
    <row r="949">
      <c r="A949" s="12">
        <f>CMP!W951</f>
        <v>522.74</v>
      </c>
      <c r="B949" s="12">
        <f>CMP!Y951</f>
        <v>543.71</v>
      </c>
    </row>
    <row r="950">
      <c r="A950" s="12">
        <f>CMP!W952</f>
        <v>545.09</v>
      </c>
      <c r="B950" s="12">
        <f>CMP!Y952</f>
        <v>546.88</v>
      </c>
    </row>
    <row r="951">
      <c r="A951" s="12">
        <f>CMP!W953</f>
        <v>545.98</v>
      </c>
      <c r="B951" s="12">
        <f>CMP!Y953</f>
        <v>553.33</v>
      </c>
    </row>
    <row r="952">
      <c r="A952" s="12">
        <f>CMP!W954</f>
        <v>551.48</v>
      </c>
      <c r="B952" s="12">
        <f>CMP!Y954</f>
        <v>553.41</v>
      </c>
    </row>
    <row r="953">
      <c r="A953" s="12">
        <f>CMP!W955</f>
        <v>550.16</v>
      </c>
      <c r="B953" s="12">
        <f>CMP!Y955</f>
        <v>547.58</v>
      </c>
    </row>
    <row r="954">
      <c r="A954" s="12">
        <f>CMP!W956</f>
        <v>546.16</v>
      </c>
      <c r="B954" s="12">
        <f>CMP!Y956</f>
        <v>550.12</v>
      </c>
    </row>
    <row r="955">
      <c r="A955" s="12">
        <f>CMP!W957</f>
        <v>551.6</v>
      </c>
      <c r="B955" s="12">
        <f>CMP!Y957</f>
        <v>558.92</v>
      </c>
    </row>
    <row r="956">
      <c r="A956" s="12">
        <f>CMP!W958</f>
        <v>557.25</v>
      </c>
      <c r="B956" s="12">
        <f>CMP!Y958</f>
        <v>566.18</v>
      </c>
    </row>
    <row r="957">
      <c r="A957" s="12">
        <f>CMP!W959</f>
        <v>566.12</v>
      </c>
      <c r="B957" s="12">
        <f>CMP!Y959</f>
        <v>569.19</v>
      </c>
    </row>
    <row r="958">
      <c r="A958" s="12">
        <f>CMP!W960</f>
        <v>569</v>
      </c>
      <c r="B958" s="12">
        <f>CMP!Y960</f>
        <v>582.07</v>
      </c>
    </row>
    <row r="959">
      <c r="A959" s="12">
        <f>CMP!W961</f>
        <v>583.68</v>
      </c>
      <c r="B959" s="12">
        <f>CMP!Y961</f>
        <v>588.55</v>
      </c>
    </row>
    <row r="960">
      <c r="A960" s="12">
        <f>CMP!W962</f>
        <v>585.8</v>
      </c>
      <c r="B960" s="12">
        <f>CMP!Y962</f>
        <v>590.53</v>
      </c>
    </row>
    <row r="961">
      <c r="A961" s="12">
        <f>CMP!W963</f>
        <v>594.69</v>
      </c>
      <c r="B961" s="12">
        <f>CMP!Y963</f>
        <v>606.71</v>
      </c>
    </row>
    <row r="962">
      <c r="A962" s="12">
        <f>CMP!W964</f>
        <v>603.84</v>
      </c>
      <c r="B962" s="12">
        <f>CMP!Y964</f>
        <v>606.05</v>
      </c>
    </row>
    <row r="963">
      <c r="A963" s="12">
        <f>CMP!W965</f>
        <v>606.47</v>
      </c>
      <c r="B963" s="12">
        <f>CMP!Y965</f>
        <v>597.54</v>
      </c>
    </row>
    <row r="964">
      <c r="A964" s="12">
        <f>CMP!W966</f>
        <v>598.16</v>
      </c>
      <c r="B964" s="12">
        <f>CMP!Y966</f>
        <v>598.72</v>
      </c>
    </row>
    <row r="965">
      <c r="A965" s="12">
        <f>CMP!W967</f>
        <v>598.57</v>
      </c>
      <c r="B965" s="12">
        <f>CMP!Y967</f>
        <v>589.29</v>
      </c>
    </row>
    <row r="966">
      <c r="A966" s="12">
        <f>CMP!W968</f>
        <v>584.89</v>
      </c>
      <c r="B966" s="12">
        <f>CMP!Y968</f>
        <v>577.76</v>
      </c>
    </row>
    <row r="967">
      <c r="A967" s="12">
        <f>CMP!W969</f>
        <v>578.17</v>
      </c>
      <c r="B967" s="12">
        <f>CMP!Y969</f>
        <v>582.87</v>
      </c>
    </row>
    <row r="968">
      <c r="A968" s="12">
        <f>CMP!W970</f>
        <v>584.3</v>
      </c>
      <c r="B968" s="12">
        <f>CMP!Y970</f>
        <v>586.5</v>
      </c>
    </row>
    <row r="969">
      <c r="A969" s="12">
        <f>CMP!W971</f>
        <v>587.85</v>
      </c>
      <c r="B969" s="12">
        <f>CMP!Y971</f>
        <v>589.35</v>
      </c>
    </row>
    <row r="970">
      <c r="A970" s="12">
        <f>CMP!W972</f>
        <v>586.79</v>
      </c>
      <c r="B970" s="12">
        <f>CMP!Y972</f>
        <v>575.43</v>
      </c>
    </row>
    <row r="971">
      <c r="A971" s="12">
        <f>CMP!W973</f>
        <v>578.31</v>
      </c>
      <c r="B971" s="12">
        <f>CMP!Y973</f>
        <v>573.14</v>
      </c>
    </row>
    <row r="972">
      <c r="A972" s="12">
        <f>CMP!W974</f>
        <v>579.69</v>
      </c>
      <c r="B972" s="12">
        <f>CMP!Y974</f>
        <v>590.65</v>
      </c>
    </row>
    <row r="973">
      <c r="A973" s="12">
        <f>CMP!W975</f>
        <v>590.79</v>
      </c>
      <c r="B973" s="12">
        <f>CMP!Y975</f>
        <v>593.26</v>
      </c>
    </row>
    <row r="974">
      <c r="A974" s="12">
        <f>CMP!W976</f>
        <v>592.5</v>
      </c>
      <c r="B974" s="12">
        <f>CMP!Y976</f>
        <v>592.39</v>
      </c>
    </row>
    <row r="975">
      <c r="A975" s="12">
        <f>CMP!W977</f>
        <v>587.95</v>
      </c>
      <c r="B975" s="12">
        <f>CMP!Y977</f>
        <v>592.64</v>
      </c>
    </row>
    <row r="976">
      <c r="A976" s="12">
        <f>CMP!W978</f>
        <v>589</v>
      </c>
      <c r="B976" s="12">
        <f>CMP!Y978</f>
        <v>583.85</v>
      </c>
    </row>
    <row r="977">
      <c r="A977" s="12">
        <f>CMP!W979</f>
        <v>589.01</v>
      </c>
      <c r="B977" s="12">
        <f>CMP!Y979</f>
        <v>599.06</v>
      </c>
    </row>
    <row r="978">
      <c r="A978" s="12">
        <f>CMP!W980</f>
        <v>608.05</v>
      </c>
      <c r="B978" s="12">
        <f>CMP!Y980</f>
        <v>610.34</v>
      </c>
    </row>
    <row r="979">
      <c r="A979" s="12">
        <f>CMP!W981</f>
        <v>604.24</v>
      </c>
      <c r="B979" s="12">
        <f>CMP!Y981</f>
        <v>613.15</v>
      </c>
    </row>
    <row r="980">
      <c r="A980" s="12">
        <f>CMP!W982</f>
        <v>613.39</v>
      </c>
      <c r="B980" s="12">
        <f>CMP!Y982</f>
        <v>603.35</v>
      </c>
    </row>
    <row r="981">
      <c r="A981" s="12">
        <f>CMP!W983</f>
        <v>606.94</v>
      </c>
      <c r="B981" s="12">
        <f>CMP!Y983</f>
        <v>634.81</v>
      </c>
    </row>
    <row r="982">
      <c r="A982" s="12">
        <f>CMP!W984</f>
        <v>628.18</v>
      </c>
      <c r="B982" s="12">
        <f>CMP!Y984</f>
        <v>639.1</v>
      </c>
    </row>
    <row r="983">
      <c r="A983" s="12">
        <f>CMP!W985</f>
        <v>642.23</v>
      </c>
      <c r="B983" s="12">
        <f>CMP!Y985</f>
        <v>631.85</v>
      </c>
    </row>
    <row r="984">
      <c r="A984" s="12">
        <f>CMP!W986</f>
        <v>634.17</v>
      </c>
      <c r="B984" s="12">
        <f>CMP!Y986</f>
        <v>632.66</v>
      </c>
    </row>
    <row r="985">
      <c r="A985" s="12">
        <f>CMP!W987</f>
        <v>633.2</v>
      </c>
      <c r="B985" s="12">
        <f>CMP!Y987</f>
        <v>627.04</v>
      </c>
    </row>
    <row r="986">
      <c r="A986" s="12">
        <f>CMP!W988</f>
        <v>633.02</v>
      </c>
      <c r="B986" s="12">
        <f>CMP!Y988</f>
        <v>624.94</v>
      </c>
    </row>
    <row r="987">
      <c r="A987" s="12">
        <f>CMP!W989</f>
        <v>632.18</v>
      </c>
      <c r="B987" s="12">
        <f>CMP!Y989</f>
        <v>629.76</v>
      </c>
    </row>
    <row r="988">
      <c r="A988" s="12">
        <f>CMP!W990</f>
        <v>632.23</v>
      </c>
      <c r="B988" s="12">
        <f>CMP!Y990</f>
        <v>633.8</v>
      </c>
    </row>
    <row r="989">
      <c r="A989" s="12">
        <f>CMP!W991</f>
        <v>638</v>
      </c>
      <c r="B989" s="12">
        <f>CMP!Y991</f>
        <v>628.29</v>
      </c>
    </row>
    <row r="990">
      <c r="A990" s="12">
        <f>CMP!W992</f>
        <v>632.1</v>
      </c>
      <c r="B990" s="12">
        <f>CMP!Y992</f>
        <v>637.97</v>
      </c>
    </row>
    <row r="991">
      <c r="A991" s="12">
        <f>CMP!W993</f>
        <v>636.97</v>
      </c>
      <c r="B991" s="12">
        <f>CMP!Y993</f>
        <v>639</v>
      </c>
    </row>
    <row r="992">
      <c r="A992" s="12">
        <f>CMP!W994</f>
        <v>625.57</v>
      </c>
      <c r="B992" s="12">
        <f>CMP!Y994</f>
        <v>625.14</v>
      </c>
    </row>
    <row r="993">
      <c r="A993" s="12">
        <f>CMP!W995</f>
        <v>628.89</v>
      </c>
      <c r="B993" s="12">
        <f>CMP!Y995</f>
        <v>653.16</v>
      </c>
    </row>
    <row r="994">
      <c r="A994" s="12">
        <f>CMP!W996</f>
        <v>651.81</v>
      </c>
      <c r="B994" s="12">
        <f>CMP!Y996</f>
        <v>664.78</v>
      </c>
    </row>
    <row r="995">
      <c r="A995" s="12">
        <f>CMP!W997</f>
        <v>663.74</v>
      </c>
      <c r="B995" s="12">
        <f>CMP!Y997</f>
        <v>671.66</v>
      </c>
    </row>
    <row r="996">
      <c r="A996" s="12">
        <f>CMP!W998</f>
        <v>673.76</v>
      </c>
      <c r="B996" s="12">
        <f>CMP!Y998</f>
        <v>668.52</v>
      </c>
    </row>
    <row r="997">
      <c r="A997" s="12">
        <f>CMP!W999</f>
        <v>669</v>
      </c>
      <c r="B997" s="12">
        <f>CMP!Y999</f>
        <v>662.92</v>
      </c>
    </row>
    <row r="998">
      <c r="A998" s="12">
        <f>CMP!W1000</f>
        <v>670.95</v>
      </c>
      <c r="B998" s="12">
        <f>CMP!Y1000</f>
        <v>674.05</v>
      </c>
    </row>
    <row r="999">
      <c r="A999" s="12">
        <f>CMP!W1001</f>
        <v>673.06</v>
      </c>
      <c r="B999" s="12">
        <f>CMP!Y1001</f>
        <v>690.31</v>
      </c>
    </row>
    <row r="1000">
      <c r="A1000" s="12">
        <f>CMP!W1002</f>
        <v>689.06</v>
      </c>
      <c r="B1000" s="12">
        <f>CMP!Y1002</f>
        <v>681.17</v>
      </c>
    </row>
    <row r="1001">
      <c r="A1001" s="12">
        <f>CMP!W1003</f>
        <v>683.11</v>
      </c>
      <c r="B1001" s="12">
        <f>CMP!Y1003</f>
        <v>677.72</v>
      </c>
    </row>
    <row r="1002">
      <c r="A1002" s="12">
        <f>CMP!W1004</f>
        <v>677.27</v>
      </c>
      <c r="B1002" s="12">
        <f>CMP!Y1004</f>
        <v>688.29</v>
      </c>
    </row>
    <row r="1003">
      <c r="A1003" s="12">
        <f>CMP!W1005</f>
        <v>685.89</v>
      </c>
      <c r="B1003" s="12">
        <f>CMP!Y1005</f>
        <v>668.4</v>
      </c>
    </row>
    <row r="1004">
      <c r="A1004" s="12">
        <f>CMP!W1006</f>
        <v>663.97</v>
      </c>
      <c r="B1004" s="12">
        <f>CMP!Y1006</f>
        <v>645.72</v>
      </c>
    </row>
    <row r="1005">
      <c r="A1005" s="12">
        <f>CMP!W1007</f>
        <v>650.29</v>
      </c>
      <c r="B1005" s="12">
        <f>CMP!Y1007</f>
        <v>651.45</v>
      </c>
    </row>
    <row r="1006">
      <c r="A1006" s="12">
        <f>CMP!W1008</f>
        <v>653.7</v>
      </c>
      <c r="B1006" s="12">
        <f>CMP!Y1008</f>
        <v>655.99</v>
      </c>
    </row>
    <row r="1007">
      <c r="A1007" s="12">
        <f>CMP!W1009</f>
        <v>653.01</v>
      </c>
      <c r="B1007" s="12">
        <f>CMP!Y1009</f>
        <v>646.91</v>
      </c>
    </row>
    <row r="1008">
      <c r="A1008" s="12">
        <f>CMP!W1010</f>
        <v>650.24</v>
      </c>
      <c r="B1008" s="12">
        <f>CMP!Y1010</f>
        <v>657.58</v>
      </c>
    </row>
    <row r="1009">
      <c r="A1009" s="12">
        <f>CMP!W1011</f>
        <v>660.01</v>
      </c>
      <c r="B1009" s="12">
        <f>CMP!Y1011</f>
        <v>682.61</v>
      </c>
    </row>
    <row r="1010">
      <c r="A1010" s="12">
        <f>CMP!W1012</f>
        <v>681.24</v>
      </c>
      <c r="B1010" s="12">
        <f>CMP!Y1012</f>
        <v>679.33</v>
      </c>
    </row>
    <row r="1011">
      <c r="A1011" s="12">
        <f>CMP!W1013</f>
        <v>678.27</v>
      </c>
      <c r="B1011" s="12">
        <f>CMP!Y1013</f>
        <v>687.4</v>
      </c>
    </row>
    <row r="1012">
      <c r="A1012" s="12">
        <f>CMP!W1014</f>
        <v>690</v>
      </c>
      <c r="B1012" s="12">
        <f>CMP!Y1014</f>
        <v>691.69</v>
      </c>
    </row>
    <row r="1013">
      <c r="A1013" s="12">
        <f>CMP!W1015</f>
        <v>691.61</v>
      </c>
      <c r="B1013" s="12">
        <f>CMP!Y1015</f>
        <v>682.02</v>
      </c>
    </row>
    <row r="1014">
      <c r="A1014" s="12">
        <f>CMP!W1016</f>
        <v>692.35</v>
      </c>
      <c r="B1014" s="12">
        <f>CMP!Y1016</f>
        <v>678.8</v>
      </c>
    </row>
    <row r="1015">
      <c r="A1015" s="12">
        <f>CMP!W1017</f>
        <v>676.02</v>
      </c>
      <c r="B1015" s="12">
        <f>CMP!Y1017</f>
        <v>659.2</v>
      </c>
    </row>
    <row r="1016">
      <c r="A1016" s="12">
        <f>CMP!W1018</f>
        <v>658.18</v>
      </c>
      <c r="B1016" s="12">
        <f>CMP!Y1018</f>
        <v>654.06</v>
      </c>
    </row>
    <row r="1017">
      <c r="A1017" s="12">
        <f>CMP!W1019</f>
        <v>658.01</v>
      </c>
      <c r="B1017" s="12">
        <f>CMP!Y1019</f>
        <v>658.29</v>
      </c>
    </row>
    <row r="1018">
      <c r="A1018" s="12">
        <f>CMP!W1020</f>
        <v>675</v>
      </c>
      <c r="B1018" s="12">
        <f>CMP!Y1020</f>
        <v>665.64</v>
      </c>
    </row>
    <row r="1019">
      <c r="A1019" s="12">
        <f>CMP!W1021</f>
        <v>663.2</v>
      </c>
      <c r="B1019" s="12">
        <f>CMP!Y1021</f>
        <v>663.84</v>
      </c>
    </row>
    <row r="1020">
      <c r="A1020" s="12">
        <f>CMP!W1022</f>
        <v>668.2</v>
      </c>
      <c r="B1020" s="12">
        <f>CMP!Y1022</f>
        <v>641.9</v>
      </c>
    </row>
    <row r="1021">
      <c r="A1021" s="12">
        <f>CMP!W1023</f>
        <v>649.48</v>
      </c>
      <c r="B1021" s="12">
        <f>CMP!Y1023</f>
        <v>617.77</v>
      </c>
    </row>
    <row r="1022">
      <c r="A1022" s="12">
        <f>CMP!W1024</f>
        <v>617.1</v>
      </c>
      <c r="B1022" s="12">
        <f>CMP!Y1024</f>
        <v>616.47</v>
      </c>
    </row>
    <row r="1023">
      <c r="A1023" s="12">
        <f>CMP!W1025</f>
        <v>622.75</v>
      </c>
      <c r="B1023" s="12">
        <f>CMP!Y1025</f>
        <v>602.13</v>
      </c>
    </row>
    <row r="1024">
      <c r="A1024" s="12">
        <f>CMP!W1026</f>
        <v>606.01</v>
      </c>
      <c r="B1024" s="12">
        <f>CMP!Y1026</f>
        <v>612.69</v>
      </c>
    </row>
    <row r="1025">
      <c r="A1025" s="12">
        <f>CMP!W1027</f>
        <v>619.83</v>
      </c>
      <c r="B1025" s="12">
        <f>CMP!Y1027</f>
        <v>625.58</v>
      </c>
    </row>
    <row r="1026">
      <c r="A1026" s="12">
        <f>CMP!W1028</f>
        <v>630</v>
      </c>
      <c r="B1026" s="12">
        <f>CMP!Y1028</f>
        <v>628.08</v>
      </c>
    </row>
    <row r="1027">
      <c r="A1027" s="12">
        <f>CMP!W1029</f>
        <v>627.58</v>
      </c>
      <c r="B1027" s="12">
        <f>CMP!Y1029</f>
        <v>611</v>
      </c>
    </row>
    <row r="1028">
      <c r="A1028" s="12">
        <f>CMP!W1030</f>
        <v>616.78</v>
      </c>
      <c r="B1028" s="12">
        <f>CMP!Y1030</f>
        <v>611.66</v>
      </c>
    </row>
    <row r="1029">
      <c r="A1029" s="12">
        <f>CMP!W1031</f>
        <v>612</v>
      </c>
      <c r="B1029" s="12">
        <f>CMP!Y1031</f>
        <v>604.56</v>
      </c>
    </row>
    <row r="1030">
      <c r="A1030" s="12">
        <f>CMP!W1032</f>
        <v>598.71</v>
      </c>
      <c r="B1030" s="12">
        <f>CMP!Y1032</f>
        <v>597.99</v>
      </c>
    </row>
    <row r="1031">
      <c r="A1031" s="12">
        <f>CMP!W1033</f>
        <v>598.18</v>
      </c>
      <c r="B1031" s="12">
        <f>CMP!Y1033</f>
        <v>605.04</v>
      </c>
    </row>
    <row r="1032">
      <c r="A1032" s="12">
        <f>CMP!W1034</f>
        <v>597.09</v>
      </c>
      <c r="B1032" s="12">
        <f>CMP!Y1034</f>
        <v>591.06</v>
      </c>
    </row>
    <row r="1033">
      <c r="A1033" s="12">
        <f>CMP!W1035</f>
        <v>591.61</v>
      </c>
      <c r="B1033" s="12">
        <f>CMP!Y1035</f>
        <v>586.73</v>
      </c>
    </row>
    <row r="1034">
      <c r="A1034" s="12" t="str">
        <f>CMP!W1036</f>
        <v/>
      </c>
      <c r="B1034" s="12" t="str">
        <f>CMP!Y1036</f>
        <v/>
      </c>
    </row>
    <row r="1035">
      <c r="A1035" s="12" t="str">
        <f>CMP!W1037</f>
        <v/>
      </c>
      <c r="B1035" s="12" t="str">
        <f>CMP!Y1037</f>
        <v/>
      </c>
    </row>
    <row r="1036">
      <c r="A1036" s="12" t="str">
        <f>CMP!W1038</f>
        <v/>
      </c>
      <c r="B1036" s="12" t="str">
        <f>CMP!Y1038</f>
        <v/>
      </c>
    </row>
    <row r="1037">
      <c r="A1037" s="12" t="str">
        <f>CMP!W1039</f>
        <v/>
      </c>
      <c r="B1037" s="12" t="str">
        <f>CMP!Y1039</f>
        <v/>
      </c>
    </row>
    <row r="1038">
      <c r="A1038" s="12" t="str">
        <f>CMP!W1040</f>
        <v/>
      </c>
      <c r="B1038" s="12" t="str">
        <f>CMP!Y1040</f>
        <v/>
      </c>
    </row>
    <row r="1039">
      <c r="A1039" s="12" t="str">
        <f>CMP!W1041</f>
        <v/>
      </c>
      <c r="B1039" s="12" t="str">
        <f>CMP!Y1041</f>
        <v/>
      </c>
    </row>
    <row r="1040">
      <c r="A1040" s="12" t="str">
        <f>CMP!W1042</f>
        <v/>
      </c>
      <c r="B1040" s="12" t="str">
        <f>CMP!Y1042</f>
        <v/>
      </c>
    </row>
    <row r="1041">
      <c r="A1041" s="12" t="str">
        <f>CMP!W1043</f>
        <v/>
      </c>
      <c r="B1041" s="12" t="str">
        <f>CMP!Y1043</f>
        <v/>
      </c>
    </row>
    <row r="1042">
      <c r="A1042" s="12" t="str">
        <f>CMP!W1044</f>
        <v/>
      </c>
      <c r="B1042" s="12" t="str">
        <f>CMP!Y1044</f>
        <v/>
      </c>
    </row>
    <row r="1043">
      <c r="A1043" s="12" t="str">
        <f>CMP!W1045</f>
        <v/>
      </c>
      <c r="B1043" s="12" t="str">
        <f>CMP!Y1045</f>
        <v/>
      </c>
    </row>
    <row r="1044">
      <c r="A1044" s="12" t="str">
        <f>CMP!W1046</f>
        <v/>
      </c>
      <c r="B1044" s="12" t="str">
        <f>CMP!Y1046</f>
        <v/>
      </c>
    </row>
    <row r="1045">
      <c r="A1045" s="12" t="str">
        <f>CMP!W1047</f>
        <v/>
      </c>
      <c r="B1045" s="12" t="str">
        <f>CMP!Y1047</f>
        <v/>
      </c>
    </row>
    <row r="1046">
      <c r="A1046" s="12" t="str">
        <f>CMP!W1048</f>
        <v/>
      </c>
      <c r="B1046" s="12" t="str">
        <f>CMP!Y1048</f>
        <v/>
      </c>
    </row>
    <row r="1047">
      <c r="A1047" s="12" t="str">
        <f>CMP!W1049</f>
        <v/>
      </c>
      <c r="B1047" s="12" t="str">
        <f>CMP!Y1049</f>
        <v/>
      </c>
    </row>
    <row r="1048">
      <c r="A1048" s="12" t="str">
        <f>CMP!M1050</f>
        <v/>
      </c>
      <c r="B1048" s="12" t="str">
        <f>CMP!Y1050</f>
        <v/>
      </c>
    </row>
    <row r="1049">
      <c r="A1049" s="12" t="str">
        <f>CMP!M1051</f>
        <v/>
      </c>
      <c r="B1049" s="12" t="str">
        <f>CMP!Y1051</f>
        <v/>
      </c>
    </row>
    <row r="1050">
      <c r="A1050" s="12" t="str">
        <f>CMP!M1052</f>
        <v/>
      </c>
      <c r="B1050" s="12" t="str">
        <f>CMP!Y1052</f>
        <v/>
      </c>
    </row>
    <row r="1051">
      <c r="A1051" s="12" t="str">
        <f>CMP!M1053</f>
        <v/>
      </c>
      <c r="B1051" s="12" t="str">
        <f>CMP!Y1053</f>
        <v/>
      </c>
    </row>
    <row r="1052">
      <c r="A1052" s="12" t="str">
        <f>CMP!M1054</f>
        <v/>
      </c>
    </row>
    <row r="1053">
      <c r="A1053" s="12" t="str">
        <f>CMP!M1055</f>
        <v/>
      </c>
    </row>
    <row r="1054">
      <c r="A1054" s="12" t="str">
        <f>CMP!M1056</f>
        <v/>
      </c>
    </row>
    <row r="1055">
      <c r="A1055" s="12" t="str">
        <f>CMP!M1057</f>
        <v/>
      </c>
    </row>
    <row r="1056">
      <c r="A1056" s="12" t="str">
        <f>CMP!M1058</f>
        <v/>
      </c>
    </row>
    <row r="1057">
      <c r="A1057" s="12" t="str">
        <f>CMP!M1059</f>
        <v/>
      </c>
    </row>
    <row r="1058">
      <c r="A1058" s="12" t="str">
        <f>CMP!M1060</f>
        <v/>
      </c>
    </row>
    <row r="1059">
      <c r="A1059" s="12" t="str">
        <f>CMP!M1061</f>
        <v/>
      </c>
    </row>
    <row r="1060">
      <c r="A1060" s="12" t="str">
        <f>CMP!M1062</f>
        <v/>
      </c>
    </row>
    <row r="1061">
      <c r="A1061" s="12" t="str">
        <f>CMP!M1063</f>
        <v/>
      </c>
    </row>
    <row r="1062">
      <c r="A1062" s="12" t="str">
        <f>CMP!M1064</f>
        <v/>
      </c>
    </row>
    <row r="1063">
      <c r="A1063" s="12" t="str">
        <f>CMP!M1065</f>
        <v/>
      </c>
    </row>
    <row r="1064">
      <c r="A1064" s="12" t="str">
        <f>CMP!M1066</f>
        <v/>
      </c>
    </row>
    <row r="1065">
      <c r="A1065" s="12" t="str">
        <f>CMP!M1067</f>
        <v/>
      </c>
    </row>
    <row r="1066">
      <c r="A1066" s="12" t="str">
        <f>CMP!M1068</f>
        <v/>
      </c>
    </row>
    <row r="1067">
      <c r="A1067" s="12" t="str">
        <f>CMP!M1069</f>
        <v/>
      </c>
    </row>
    <row r="1068">
      <c r="A1068" s="12" t="str">
        <f>CMP!M1070</f>
        <v/>
      </c>
    </row>
    <row r="1069">
      <c r="A1069" s="12" t="str">
        <f>CMP!M1071</f>
        <v/>
      </c>
    </row>
    <row r="1070">
      <c r="A1070" s="12" t="str">
        <f>CMP!M1072</f>
        <v/>
      </c>
    </row>
    <row r="1071">
      <c r="A1071" s="12" t="str">
        <f>CMP!M1073</f>
        <v/>
      </c>
    </row>
    <row r="1072">
      <c r="A1072" s="12" t="str">
        <f>CMP!M1074</f>
        <v/>
      </c>
    </row>
    <row r="1073">
      <c r="A1073" s="12" t="str">
        <f>CMP!M1075</f>
        <v/>
      </c>
    </row>
    <row r="1074">
      <c r="A1074" s="12" t="str">
        <f>CMP!M1076</f>
        <v/>
      </c>
    </row>
    <row r="1075">
      <c r="A1075" s="12" t="str">
        <f>CMP!M1077</f>
        <v/>
      </c>
    </row>
    <row r="1076">
      <c r="A1076" s="12" t="str">
        <f>CMP!M1078</f>
        <v/>
      </c>
    </row>
    <row r="1077">
      <c r="A1077" s="12" t="str">
        <f>CMP!M1079</f>
        <v/>
      </c>
    </row>
    <row r="1078">
      <c r="A1078" s="12" t="str">
        <f>CMP!M1080</f>
        <v/>
      </c>
    </row>
    <row r="1079">
      <c r="A1079" s="12" t="str">
        <f>CMP!M1081</f>
        <v/>
      </c>
    </row>
    <row r="1080">
      <c r="A1080" s="12" t="str">
        <f>CMP!M1082</f>
        <v/>
      </c>
    </row>
    <row r="1081">
      <c r="A1081" s="12" t="str">
        <f>CMP!M1083</f>
        <v/>
      </c>
    </row>
    <row r="1082">
      <c r="A1082" s="12" t="str">
        <f>CMP!M1084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2" t="s">
        <v>7</v>
      </c>
    </row>
    <row r="2">
      <c r="A2" s="12">
        <f>CMP!AB4</f>
        <v>1123</v>
      </c>
      <c r="B2" s="12">
        <f>CMP!AD4</f>
        <v>1129.17</v>
      </c>
    </row>
    <row r="3">
      <c r="A3" s="12">
        <f>CMP!AB5</f>
        <v>1130.11</v>
      </c>
      <c r="B3" s="12">
        <f>CMP!AD5</f>
        <v>1136.84</v>
      </c>
    </row>
    <row r="4">
      <c r="A4" s="12">
        <f>CMP!AB6</f>
        <v>1127.01</v>
      </c>
      <c r="B4" s="12">
        <f>CMP!AD6</f>
        <v>1126.69</v>
      </c>
    </row>
    <row r="5">
      <c r="A5" s="12">
        <f>CMP!AB7</f>
        <v>1130.16</v>
      </c>
      <c r="B5" s="12">
        <f>CMP!AD7</f>
        <v>1137.29</v>
      </c>
    </row>
    <row r="6">
      <c r="A6" s="12">
        <f>CMP!AB8</f>
        <v>1138.28</v>
      </c>
      <c r="B6" s="12">
        <f>CMP!AD8</f>
        <v>1129.88</v>
      </c>
    </row>
    <row r="7">
      <c r="A7" s="12">
        <f>CMP!AB9</f>
        <v>1129.77</v>
      </c>
      <c r="B7" s="12">
        <f>CMP!AD9</f>
        <v>1126.31</v>
      </c>
    </row>
    <row r="8">
      <c r="A8" s="12">
        <f>CMP!AB10</f>
        <v>1132.86</v>
      </c>
      <c r="B8" s="12">
        <f>CMP!AD10</f>
        <v>1139.49</v>
      </c>
    </row>
    <row r="9">
      <c r="A9" s="12">
        <f>CMP!AB11</f>
        <v>1141</v>
      </c>
      <c r="B9" s="12">
        <f>CMP!AD11</f>
        <v>1156.16</v>
      </c>
    </row>
    <row r="10">
      <c r="A10" s="12">
        <f>CMP!AB12</f>
        <v>1160.7</v>
      </c>
      <c r="B10" s="12">
        <f>CMP!AD12</f>
        <v>1186</v>
      </c>
    </row>
    <row r="11">
      <c r="A11" s="12">
        <f>CMP!AB13</f>
        <v>1202.66</v>
      </c>
      <c r="B11" s="12">
        <f>CMP!AD13</f>
        <v>1195.83</v>
      </c>
    </row>
    <row r="12">
      <c r="A12" s="12">
        <f>CMP!AB14</f>
        <v>1204.88</v>
      </c>
      <c r="B12" s="12">
        <f>CMP!AD14</f>
        <v>1193.6</v>
      </c>
    </row>
    <row r="13">
      <c r="A13" s="12">
        <f>CMP!AB15</f>
        <v>1194.8</v>
      </c>
      <c r="B13" s="12">
        <f>CMP!AD15</f>
        <v>1161.27</v>
      </c>
    </row>
    <row r="14">
      <c r="A14" s="12">
        <f>CMP!AB16</f>
        <v>1167.1</v>
      </c>
      <c r="B14" s="12">
        <f>CMP!AD16</f>
        <v>1176.75</v>
      </c>
    </row>
    <row r="15">
      <c r="A15" s="12">
        <f>CMP!AB17</f>
        <v>1172.05</v>
      </c>
      <c r="B15" s="12">
        <f>CMP!AD17</f>
        <v>1162.35</v>
      </c>
    </row>
    <row r="16">
      <c r="A16" s="12">
        <f>CMP!AB18</f>
        <v>1173.85</v>
      </c>
      <c r="B16" s="12">
        <f>CMP!AD18</f>
        <v>1133.95</v>
      </c>
    </row>
    <row r="17">
      <c r="A17" s="12">
        <f>CMP!AB19</f>
        <v>1128.26</v>
      </c>
      <c r="B17" s="12">
        <f>CMP!AD19</f>
        <v>1141.57</v>
      </c>
    </row>
    <row r="18">
      <c r="A18" s="12">
        <f>CMP!AB20</f>
        <v>1137.99</v>
      </c>
      <c r="B18" s="12">
        <f>CMP!AD20</f>
        <v>1152.35</v>
      </c>
    </row>
    <row r="19">
      <c r="A19" s="12">
        <f>CMP!AB21</f>
        <v>1156.59</v>
      </c>
      <c r="B19" s="12">
        <f>CMP!AD21</f>
        <v>1159.79</v>
      </c>
    </row>
    <row r="20">
      <c r="A20" s="12">
        <f>CMP!AB22</f>
        <v>1170.4</v>
      </c>
      <c r="B20" s="12">
        <f>CMP!AD22</f>
        <v>1162</v>
      </c>
    </row>
    <row r="21">
      <c r="A21" s="12">
        <f>CMP!AB23</f>
        <v>1164.6</v>
      </c>
      <c r="B21" s="12">
        <f>CMP!AD23</f>
        <v>1168.92</v>
      </c>
    </row>
    <row r="22">
      <c r="A22" s="12">
        <f>CMP!AB24</f>
        <v>1166.51</v>
      </c>
      <c r="B22" s="12">
        <f>CMP!AD24</f>
        <v>1165.08</v>
      </c>
    </row>
    <row r="23">
      <c r="A23" s="12">
        <f>CMP!AB25</f>
        <v>1170</v>
      </c>
      <c r="B23" s="12">
        <f>CMP!AD25</f>
        <v>1164.13</v>
      </c>
    </row>
    <row r="24">
      <c r="A24" s="12">
        <f>CMP!AB26</f>
        <v>1163.71</v>
      </c>
      <c r="B24" s="12">
        <f>CMP!AD26</f>
        <v>1174.26</v>
      </c>
    </row>
    <row r="25">
      <c r="A25" s="12">
        <f>CMP!AB27</f>
        <v>1179.03</v>
      </c>
      <c r="B25" s="12">
        <f>CMP!AD27</f>
        <v>1179.14</v>
      </c>
    </row>
    <row r="26">
      <c r="A26" s="12">
        <f>CMP!AB28</f>
        <v>1187.37</v>
      </c>
      <c r="B26" s="12">
        <f>CMP!AD28</f>
        <v>1190.58</v>
      </c>
    </row>
    <row r="27">
      <c r="A27" s="12">
        <f>CMP!AB29</f>
        <v>1189.15</v>
      </c>
      <c r="B27" s="12">
        <f>CMP!AD29</f>
        <v>1187.38</v>
      </c>
    </row>
    <row r="28">
      <c r="A28" s="12">
        <f>CMP!AB30</f>
        <v>1190.5</v>
      </c>
      <c r="B28" s="12">
        <f>CMP!AD30</f>
        <v>1177.62</v>
      </c>
    </row>
    <row r="29">
      <c r="A29" s="12">
        <f>CMP!AB31</f>
        <v>1175.9</v>
      </c>
      <c r="B29" s="12">
        <f>CMP!AD31</f>
        <v>1174.76</v>
      </c>
    </row>
    <row r="30">
      <c r="A30" s="12">
        <f>CMP!AB32</f>
        <v>1172.08</v>
      </c>
      <c r="B30" s="12">
        <f>CMP!AD32</f>
        <v>1168.36</v>
      </c>
    </row>
    <row r="31">
      <c r="A31" s="12">
        <f>CMP!AB33</f>
        <v>1168.36</v>
      </c>
      <c r="B31" s="12">
        <f>CMP!AD33</f>
        <v>1176.76</v>
      </c>
    </row>
    <row r="32">
      <c r="A32" s="12">
        <f>CMP!AB34</f>
        <v>1179.91</v>
      </c>
      <c r="B32" s="12">
        <f>CMP!AD34</f>
        <v>1182.26</v>
      </c>
    </row>
    <row r="33">
      <c r="A33" s="12">
        <f>CMP!AB35</f>
        <v>1189</v>
      </c>
      <c r="B33" s="12">
        <f>CMP!AD35</f>
        <v>1186.1</v>
      </c>
    </row>
    <row r="34">
      <c r="A34" s="12">
        <f>CMP!AB36</f>
        <v>1182.35</v>
      </c>
      <c r="B34" s="12">
        <f>CMP!AD36</f>
        <v>1169.47</v>
      </c>
    </row>
    <row r="35">
      <c r="A35" s="12">
        <f>CMP!AB37</f>
        <v>1172</v>
      </c>
      <c r="B35" s="12">
        <f>CMP!AD37</f>
        <v>1189.01</v>
      </c>
    </row>
    <row r="36">
      <c r="A36" s="12">
        <f>CMP!AB38</f>
        <v>1188.3</v>
      </c>
      <c r="B36" s="12">
        <f>CMP!AD38</f>
        <v>1204.2</v>
      </c>
    </row>
    <row r="37">
      <c r="A37" s="12">
        <f>CMP!AB39</f>
        <v>1205</v>
      </c>
      <c r="B37" s="12">
        <f>CMP!AD39</f>
        <v>1209.59</v>
      </c>
    </row>
    <row r="38">
      <c r="A38" s="12">
        <f>CMP!AB40</f>
        <v>1217.51</v>
      </c>
      <c r="B38" s="12">
        <f>CMP!AD40</f>
        <v>1229.14</v>
      </c>
    </row>
    <row r="39">
      <c r="A39" s="12">
        <f>CMP!AB41</f>
        <v>1236</v>
      </c>
      <c r="B39" s="12">
        <f>CMP!AD41</f>
        <v>1246.87</v>
      </c>
    </row>
    <row r="40">
      <c r="A40" s="12">
        <f>CMP!AB42</f>
        <v>1256.9</v>
      </c>
      <c r="B40" s="12">
        <f>CMP!AD42</f>
        <v>1252.7</v>
      </c>
    </row>
    <row r="41">
      <c r="A41" s="12">
        <f>CMP!AB43</f>
        <v>1245.15</v>
      </c>
      <c r="B41" s="12">
        <f>CMP!AD43</f>
        <v>1254.33</v>
      </c>
    </row>
    <row r="42">
      <c r="A42" s="12">
        <f>CMP!AB44</f>
        <v>1259.74</v>
      </c>
      <c r="B42" s="12">
        <f>CMP!AD44</f>
        <v>1276.68</v>
      </c>
    </row>
    <row r="43">
      <c r="A43" s="12">
        <f>CMP!AB45</f>
        <v>1273.39</v>
      </c>
      <c r="B43" s="12">
        <f>CMP!AD45</f>
        <v>1305.2</v>
      </c>
    </row>
    <row r="44">
      <c r="A44" s="12">
        <f>CMP!AB46</f>
        <v>1323</v>
      </c>
      <c r="B44" s="12">
        <f>CMP!AD46</f>
        <v>1304.86</v>
      </c>
    </row>
    <row r="45">
      <c r="A45" s="12">
        <f>CMP!AB47</f>
        <v>1312.24</v>
      </c>
      <c r="B45" s="12">
        <f>CMP!AD47</f>
        <v>1295</v>
      </c>
    </row>
    <row r="46">
      <c r="A46" s="12">
        <f>CMP!AB48</f>
        <v>1293.95</v>
      </c>
      <c r="B46" s="12">
        <f>CMP!AD48</f>
        <v>1293.32</v>
      </c>
    </row>
    <row r="47">
      <c r="A47" s="12">
        <f>CMP!AB49</f>
        <v>1312</v>
      </c>
      <c r="B47" s="12">
        <f>CMP!AD49</f>
        <v>1294.58</v>
      </c>
    </row>
    <row r="48">
      <c r="A48" s="12">
        <f>CMP!AB50</f>
        <v>1297.17</v>
      </c>
      <c r="B48" s="12">
        <f>CMP!AD50</f>
        <v>1327.31</v>
      </c>
    </row>
    <row r="49">
      <c r="A49" s="12">
        <f>CMP!AB51</f>
        <v>1338.09</v>
      </c>
      <c r="B49" s="12">
        <f>CMP!AD51</f>
        <v>1362.54</v>
      </c>
    </row>
    <row r="50">
      <c r="A50" s="12">
        <f>CMP!AB52</f>
        <v>1374.82</v>
      </c>
      <c r="B50" s="12">
        <f>CMP!AD52</f>
        <v>1357.51</v>
      </c>
    </row>
    <row r="51">
      <c r="A51" s="12">
        <f>CMP!AB53</f>
        <v>1368</v>
      </c>
      <c r="B51" s="12">
        <f>CMP!AD53</f>
        <v>1377.95</v>
      </c>
    </row>
    <row r="52">
      <c r="A52" s="12">
        <f>CMP!AB54</f>
        <v>1392.01</v>
      </c>
      <c r="B52" s="12">
        <f>CMP!AD54</f>
        <v>1402.05</v>
      </c>
    </row>
    <row r="53">
      <c r="A53" s="12">
        <f>CMP!AB55</f>
        <v>1409.18</v>
      </c>
      <c r="B53" s="12">
        <f>CMP!AD55</f>
        <v>1417.68</v>
      </c>
    </row>
    <row r="54">
      <c r="A54" s="12">
        <f>CMP!AB56</f>
        <v>1403.17</v>
      </c>
      <c r="B54" s="12">
        <f>CMP!AD56</f>
        <v>1437.82</v>
      </c>
    </row>
    <row r="55">
      <c r="A55" s="12">
        <f>CMP!AB57</f>
        <v>1451.3</v>
      </c>
      <c r="B55" s="12">
        <f>CMP!AD57</f>
        <v>1450.89</v>
      </c>
    </row>
    <row r="56">
      <c r="A56" s="12">
        <f>CMP!AB58</f>
        <v>1445</v>
      </c>
      <c r="B56" s="12">
        <f>CMP!AD58</f>
        <v>1390</v>
      </c>
    </row>
    <row r="57">
      <c r="A57" s="12">
        <f>CMP!AB59</f>
        <v>1477.39</v>
      </c>
      <c r="B57" s="12">
        <f>CMP!AD59</f>
        <v>1429.95</v>
      </c>
    </row>
    <row r="58">
      <c r="A58" s="12">
        <f>CMP!AB60</f>
        <v>1402.62</v>
      </c>
      <c r="B58" s="12">
        <f>CMP!AD60</f>
        <v>1390</v>
      </c>
    </row>
    <row r="59">
      <c r="A59" s="12">
        <f>CMP!AB61</f>
        <v>1361.46</v>
      </c>
      <c r="B59" s="12">
        <f>CMP!AD61</f>
        <v>1442.84</v>
      </c>
    </row>
    <row r="60">
      <c r="A60" s="12">
        <f>CMP!AB62</f>
        <v>1449</v>
      </c>
      <c r="B60" s="12">
        <f>CMP!AD62</f>
        <v>1416.78</v>
      </c>
    </row>
    <row r="61">
      <c r="A61" s="12">
        <f>CMP!AB63</f>
        <v>1429.68</v>
      </c>
      <c r="B61" s="12">
        <f>CMP!AD63</f>
        <v>1350.5</v>
      </c>
    </row>
    <row r="62">
      <c r="A62" s="12">
        <f>CMP!AB64</f>
        <v>1373.49</v>
      </c>
      <c r="B62" s="12">
        <f>CMP!AD64</f>
        <v>1339.6</v>
      </c>
    </row>
    <row r="63">
      <c r="A63" s="12">
        <f>CMP!AB65</f>
        <v>1364.67</v>
      </c>
      <c r="B63" s="12">
        <f>CMP!AD65</f>
        <v>1386.23</v>
      </c>
    </row>
    <row r="64">
      <c r="A64" s="12">
        <f>CMP!AB66</f>
        <v>1385.93</v>
      </c>
      <c r="B64" s="12">
        <f>CMP!AD66</f>
        <v>1414.51</v>
      </c>
    </row>
    <row r="65">
      <c r="A65" s="12">
        <f>CMP!AB67</f>
        <v>1406.25</v>
      </c>
      <c r="B65" s="12">
        <f>CMP!AD67</f>
        <v>1451.05</v>
      </c>
    </row>
    <row r="66">
      <c r="A66" s="12">
        <f>CMP!AB68</f>
        <v>1466.89</v>
      </c>
      <c r="B66" s="12">
        <f>CMP!AD68</f>
        <v>1461.76</v>
      </c>
    </row>
    <row r="67">
      <c r="A67" s="12">
        <f>CMP!AB69</f>
        <v>1457.37</v>
      </c>
      <c r="B67" s="12">
        <f>CMP!AD69</f>
        <v>1448.69</v>
      </c>
    </row>
    <row r="68">
      <c r="A68" s="12">
        <f>CMP!AB70</f>
        <v>1446.49</v>
      </c>
      <c r="B68" s="12">
        <f>CMP!AD70</f>
        <v>1468.35</v>
      </c>
    </row>
    <row r="69">
      <c r="A69" s="12">
        <f>CMP!AB71</f>
        <v>1485</v>
      </c>
      <c r="B69" s="12">
        <f>CMP!AD71</f>
        <v>1482.92</v>
      </c>
    </row>
    <row r="70">
      <c r="A70" s="12">
        <f>CMP!AB72</f>
        <v>1495.36</v>
      </c>
      <c r="B70" s="12">
        <f>CMP!AD72</f>
        <v>1485.34</v>
      </c>
    </row>
    <row r="71">
      <c r="A71" s="12">
        <f>CMP!AB73</f>
        <v>1495.34</v>
      </c>
      <c r="B71" s="12">
        <f>CMP!AD73</f>
        <v>1500</v>
      </c>
    </row>
    <row r="72">
      <c r="A72" s="12">
        <f>CMP!AB74</f>
        <v>1509.2</v>
      </c>
      <c r="B72" s="12">
        <f>CMP!AD74</f>
        <v>1521.95</v>
      </c>
    </row>
    <row r="73">
      <c r="A73" s="12">
        <f>CMP!AB75</f>
        <v>1524.5</v>
      </c>
      <c r="B73" s="12">
        <f>CMP!AD75</f>
        <v>1511.98</v>
      </c>
    </row>
    <row r="74">
      <c r="A74" s="12">
        <f>CMP!AB76</f>
        <v>1519.51</v>
      </c>
      <c r="B74" s="12">
        <f>CMP!AD76</f>
        <v>1512.45</v>
      </c>
    </row>
    <row r="75">
      <c r="A75" s="12">
        <f>CMP!AB77</f>
        <v>1513.6</v>
      </c>
      <c r="B75" s="12">
        <f>CMP!AD77</f>
        <v>1493.45</v>
      </c>
    </row>
    <row r="76">
      <c r="A76" s="12">
        <f>CMP!AB78</f>
        <v>1469.1</v>
      </c>
      <c r="B76" s="12">
        <f>CMP!AD78</f>
        <v>1500.25</v>
      </c>
    </row>
    <row r="77">
      <c r="A77" s="12">
        <f>CMP!AB79</f>
        <v>1494.24</v>
      </c>
      <c r="B77" s="12">
        <f>CMP!AD79</f>
        <v>1523.61</v>
      </c>
    </row>
    <row r="78">
      <c r="A78" s="12">
        <f>CMP!AB80</f>
        <v>1533.2</v>
      </c>
      <c r="B78" s="12">
        <f>CMP!AD80</f>
        <v>1537.64</v>
      </c>
    </row>
    <row r="79">
      <c r="A79" s="12">
        <f>CMP!AB81</f>
        <v>1526.52</v>
      </c>
      <c r="B79" s="12">
        <f>CMP!AD81</f>
        <v>1545</v>
      </c>
    </row>
    <row r="80">
      <c r="A80" s="12">
        <f>CMP!AB82</f>
        <v>1550</v>
      </c>
      <c r="B80" s="12">
        <f>CMP!AD82</f>
        <v>1551.86</v>
      </c>
    </row>
    <row r="81">
      <c r="A81" s="12">
        <f>CMP!AB83</f>
        <v>1563.5</v>
      </c>
      <c r="B81" s="12">
        <f>CMP!AD83</f>
        <v>1578.89</v>
      </c>
    </row>
    <row r="82">
      <c r="A82" s="12">
        <f>CMP!AB84</f>
        <v>1592.6</v>
      </c>
      <c r="B82" s="12">
        <f>CMP!AD84</f>
        <v>1598.39</v>
      </c>
    </row>
    <row r="83">
      <c r="A83" s="12">
        <f>CMP!AB85</f>
        <v>1615.96</v>
      </c>
      <c r="B83" s="12">
        <f>CMP!AD85</f>
        <v>1588.18</v>
      </c>
    </row>
    <row r="84">
      <c r="A84" s="12">
        <f>CMP!AB86</f>
        <v>1597</v>
      </c>
      <c r="B84" s="12">
        <f>CMP!AD86</f>
        <v>1591</v>
      </c>
    </row>
    <row r="85">
      <c r="A85" s="12">
        <f>CMP!AB87</f>
        <v>1595</v>
      </c>
      <c r="B85" s="12">
        <f>CMP!AD87</f>
        <v>1582.32</v>
      </c>
    </row>
    <row r="86">
      <c r="A86" s="12">
        <f>CMP!AB88</f>
        <v>1583.45</v>
      </c>
      <c r="B86" s="12">
        <f>CMP!AD88</f>
        <v>1571.68</v>
      </c>
    </row>
    <row r="87">
      <c r="A87" s="12">
        <f>CMP!AB89</f>
        <v>1554.53</v>
      </c>
      <c r="B87" s="12">
        <f>CMP!AD89</f>
        <v>1544.93</v>
      </c>
    </row>
    <row r="88">
      <c r="A88" s="12">
        <f>CMP!AB90</f>
        <v>1550.34</v>
      </c>
      <c r="B88" s="12">
        <f>CMP!AD90</f>
        <v>1586.51</v>
      </c>
    </row>
    <row r="89">
      <c r="A89" s="12">
        <f>CMP!AB91</f>
        <v>1586.45</v>
      </c>
      <c r="B89" s="12">
        <f>CMP!AD91</f>
        <v>1581.86</v>
      </c>
    </row>
    <row r="90">
      <c r="A90" s="12">
        <f>CMP!AB92</f>
        <v>1565.47</v>
      </c>
      <c r="B90" s="12">
        <f>CMP!AD92</f>
        <v>1544.92</v>
      </c>
    </row>
    <row r="91">
      <c r="A91" s="12">
        <f>CMP!AB93</f>
        <v>1539.01</v>
      </c>
      <c r="B91" s="12">
        <f>CMP!AD93</f>
        <v>1495.56</v>
      </c>
    </row>
    <row r="92">
      <c r="A92" s="12">
        <f>CMP!AB94</f>
        <v>1530</v>
      </c>
      <c r="B92" s="12">
        <f>CMP!AD94</f>
        <v>1555.86</v>
      </c>
    </row>
    <row r="93">
      <c r="A93" s="12">
        <f>CMP!AB95</f>
        <v>1572.4</v>
      </c>
      <c r="B93" s="12">
        <f>CMP!AD95</f>
        <v>1497.05</v>
      </c>
    </row>
    <row r="94">
      <c r="A94" s="12">
        <f>CMP!AB96</f>
        <v>1447</v>
      </c>
      <c r="B94" s="12">
        <f>CMP!AD96</f>
        <v>1431.42</v>
      </c>
    </row>
    <row r="95">
      <c r="A95" s="12">
        <f>CMP!AB97</f>
        <v>1406</v>
      </c>
      <c r="B95" s="12">
        <f>CMP!AD97</f>
        <v>1447.34</v>
      </c>
    </row>
    <row r="96">
      <c r="A96" s="12">
        <f>CMP!AB98</f>
        <v>1417.62</v>
      </c>
      <c r="B96" s="12">
        <f>CMP!AD98</f>
        <v>1371.99</v>
      </c>
    </row>
    <row r="97">
      <c r="A97" s="12">
        <f>CMP!AB99</f>
        <v>1391.38</v>
      </c>
      <c r="B97" s="12">
        <f>CMP!AD99</f>
        <v>1392.05</v>
      </c>
    </row>
    <row r="98">
      <c r="A98" s="12">
        <f>CMP!AB100</f>
        <v>1358.24</v>
      </c>
      <c r="B98" s="12">
        <f>CMP!AD100</f>
        <v>1410.57</v>
      </c>
    </row>
    <row r="99">
      <c r="A99" s="12">
        <f>CMP!AB101</f>
        <v>1441.99</v>
      </c>
      <c r="B99" s="12">
        <f>CMP!AD101</f>
        <v>1451.75</v>
      </c>
    </row>
    <row r="100">
      <c r="A100" s="12">
        <f>CMP!AB102</f>
        <v>1429.97</v>
      </c>
      <c r="B100" s="12">
        <f>CMP!AD102</f>
        <v>1405.23</v>
      </c>
    </row>
    <row r="101">
      <c r="A101" s="12">
        <f>CMP!AB103</f>
        <v>1425.03</v>
      </c>
      <c r="B101" s="12">
        <f>CMP!AD103</f>
        <v>1406.08</v>
      </c>
    </row>
    <row r="102">
      <c r="A102" s="12">
        <f>CMP!AB104</f>
        <v>1431.99</v>
      </c>
      <c r="B102" s="12">
        <f>CMP!AD104</f>
        <v>1436.22</v>
      </c>
    </row>
    <row r="103">
      <c r="A103" s="12">
        <f>CMP!AB105</f>
        <v>1439.44</v>
      </c>
      <c r="B103" s="12">
        <f>CMP!AD105</f>
        <v>1427.05</v>
      </c>
    </row>
    <row r="104">
      <c r="A104" s="12">
        <f>CMP!AB106</f>
        <v>1439.5</v>
      </c>
      <c r="B104" s="12">
        <f>CMP!AD106</f>
        <v>1448.5</v>
      </c>
    </row>
    <row r="105">
      <c r="A105" s="12">
        <f>CMP!AB107</f>
        <v>1449.14</v>
      </c>
      <c r="B105" s="12">
        <f>CMP!AD107</f>
        <v>1430.79</v>
      </c>
    </row>
    <row r="106">
      <c r="A106" s="12">
        <f>CMP!AB108</f>
        <v>1445</v>
      </c>
      <c r="B106" s="12">
        <f>CMP!AD108</f>
        <v>1441.5</v>
      </c>
    </row>
    <row r="107">
      <c r="A107" s="12">
        <f>CMP!AB109</f>
        <v>1462.3</v>
      </c>
      <c r="B107" s="12">
        <f>CMP!AD109</f>
        <v>1503.83</v>
      </c>
    </row>
    <row r="108">
      <c r="A108" s="12">
        <f>CMP!AB110</f>
        <v>1514.65</v>
      </c>
      <c r="B108" s="12">
        <f>CMP!AD110</f>
        <v>1527.84</v>
      </c>
    </row>
    <row r="109">
      <c r="A109" s="12">
        <f>CMP!AB111</f>
        <v>1543.22</v>
      </c>
      <c r="B109" s="12">
        <f>CMP!AD111</f>
        <v>1556.91</v>
      </c>
    </row>
    <row r="110">
      <c r="A110" s="12">
        <f>CMP!AB112</f>
        <v>1561.2</v>
      </c>
      <c r="B110" s="12">
        <f>CMP!AD112</f>
        <v>1527.49</v>
      </c>
    </row>
    <row r="111">
      <c r="A111" s="12">
        <f>CMP!AB113</f>
        <v>1546.69</v>
      </c>
      <c r="B111" s="12">
        <f>CMP!AD113</f>
        <v>1517.86</v>
      </c>
    </row>
    <row r="112">
      <c r="A112" s="12">
        <f>CMP!AB114</f>
        <v>1535.8</v>
      </c>
      <c r="B112" s="12">
        <f>CMP!AD114</f>
        <v>1460.09</v>
      </c>
    </row>
    <row r="113">
      <c r="A113" s="12">
        <f>CMP!AB115</f>
        <v>1458</v>
      </c>
      <c r="B113" s="12">
        <f>CMP!AD115</f>
        <v>1460.17</v>
      </c>
    </row>
    <row r="114">
      <c r="A114" s="12">
        <f>CMP!AB116</f>
        <v>1485.01</v>
      </c>
      <c r="B114" s="12">
        <f>CMP!AD116</f>
        <v>1517.96</v>
      </c>
    </row>
    <row r="115">
      <c r="A115" s="12">
        <f>CMP!AB117</f>
        <v>1634.01</v>
      </c>
      <c r="B115" s="12">
        <f>CMP!AD117</f>
        <v>1572.62</v>
      </c>
    </row>
    <row r="116">
      <c r="A116" s="12">
        <f>CMP!AB118</f>
        <v>1582.5</v>
      </c>
      <c r="B116" s="12">
        <f>CMP!AD118</f>
        <v>1566.13</v>
      </c>
    </row>
    <row r="117">
      <c r="A117" s="12">
        <f>CMP!AB119</f>
        <v>1563.22</v>
      </c>
      <c r="B117" s="12">
        <f>CMP!AD119</f>
        <v>1582.26</v>
      </c>
    </row>
    <row r="118">
      <c r="A118" s="12">
        <f>CMP!AB120</f>
        <v>1580.98</v>
      </c>
      <c r="B118" s="12">
        <f>CMP!AD120</f>
        <v>1569.68</v>
      </c>
    </row>
    <row r="119">
      <c r="A119" s="12">
        <f>CMP!AB121</f>
        <v>1560.01</v>
      </c>
      <c r="B119" s="12">
        <f>CMP!AD121</f>
        <v>1572.08</v>
      </c>
    </row>
    <row r="120">
      <c r="A120" s="12">
        <f>CMP!AB122</f>
        <v>1562.45</v>
      </c>
      <c r="B120" s="12">
        <f>CMP!AD122</f>
        <v>1580.95</v>
      </c>
    </row>
    <row r="121">
      <c r="A121" s="12">
        <f>CMP!AB123</f>
        <v>1589.34</v>
      </c>
      <c r="B121" s="12">
        <f>CMP!AD123</f>
        <v>1600.14</v>
      </c>
    </row>
    <row r="122">
      <c r="A122" s="12">
        <f>CMP!AB124</f>
        <v>1595</v>
      </c>
      <c r="B122" s="12">
        <f>CMP!AD124</f>
        <v>1592.39</v>
      </c>
    </row>
    <row r="123">
      <c r="A123" s="12">
        <f>CMP!AB125</f>
        <v>1600</v>
      </c>
      <c r="B123" s="12">
        <f>CMP!AD125</f>
        <v>1608</v>
      </c>
    </row>
    <row r="124">
      <c r="A124" s="12">
        <f>CMP!AB126</f>
        <v>1608.48</v>
      </c>
      <c r="B124" s="12">
        <f>CMP!AD126</f>
        <v>1609.08</v>
      </c>
    </row>
    <row r="125">
      <c r="A125" s="12">
        <f>CMP!AB127</f>
        <v>1610.99</v>
      </c>
      <c r="B125" s="12">
        <f>CMP!AD127</f>
        <v>1602.91</v>
      </c>
    </row>
    <row r="126">
      <c r="A126" s="12">
        <f>CMP!AB128</f>
        <v>1604</v>
      </c>
      <c r="B126" s="12">
        <f>CMP!AD128</f>
        <v>1601.54</v>
      </c>
    </row>
    <row r="127">
      <c r="A127" s="12">
        <f>CMP!AB129</f>
        <v>1587.8</v>
      </c>
      <c r="B127" s="12">
        <f>CMP!AD129</f>
        <v>1576.12</v>
      </c>
    </row>
    <row r="128">
      <c r="A128" s="12">
        <f>CMP!AB130</f>
        <v>1577.5</v>
      </c>
      <c r="B128" s="12">
        <f>CMP!AD130</f>
        <v>1587.28</v>
      </c>
    </row>
    <row r="129">
      <c r="A129" s="12">
        <f>CMP!AB131</f>
        <v>1580.56</v>
      </c>
      <c r="B129" s="12">
        <f>CMP!AD131</f>
        <v>1581.76</v>
      </c>
    </row>
    <row r="130">
      <c r="A130" s="12">
        <f>CMP!AB132</f>
        <v>1581.33</v>
      </c>
      <c r="B130" s="12">
        <f>CMP!AD132</f>
        <v>1574.37</v>
      </c>
    </row>
    <row r="131">
      <c r="A131" s="12">
        <f>CMP!AB133</f>
        <v>1585</v>
      </c>
      <c r="B131" s="12">
        <f>CMP!AD133</f>
        <v>1585.46</v>
      </c>
    </row>
    <row r="132">
      <c r="A132" s="12">
        <f>CMP!AB134</f>
        <v>1589.89</v>
      </c>
      <c r="B132" s="12">
        <f>CMP!AD134</f>
        <v>1581.4</v>
      </c>
    </row>
    <row r="133">
      <c r="A133" s="12">
        <f>CMP!AB135</f>
        <v>1571.05</v>
      </c>
      <c r="B133" s="12">
        <f>CMP!AD135</f>
        <v>1601.86</v>
      </c>
    </row>
    <row r="134">
      <c r="A134" s="12">
        <f>CMP!AB136</f>
        <v>1598.03</v>
      </c>
      <c r="B134" s="12">
        <f>CMP!AD136</f>
        <v>1603.07</v>
      </c>
    </row>
    <row r="135">
      <c r="A135" s="12">
        <f>CMP!AB137</f>
        <v>1603</v>
      </c>
      <c r="B135" s="12">
        <f>CMP!AD137</f>
        <v>1610.15</v>
      </c>
    </row>
    <row r="136">
      <c r="A136" s="12">
        <f>CMP!AB138</f>
        <v>1600.71</v>
      </c>
      <c r="B136" s="12">
        <f>CMP!AD138</f>
        <v>1612.87</v>
      </c>
    </row>
    <row r="137">
      <c r="A137" s="12">
        <f>CMP!AB139</f>
        <v>1618.1</v>
      </c>
      <c r="B137" s="12">
        <f>CMP!AD139</f>
        <v>1624.89</v>
      </c>
    </row>
    <row r="138">
      <c r="A138" s="12">
        <f>CMP!AB140</f>
        <v>1618.1</v>
      </c>
      <c r="B138" s="12">
        <f>CMP!AD140</f>
        <v>1624.89</v>
      </c>
    </row>
    <row r="139">
      <c r="A139" s="12">
        <f>CMP!AB141</f>
        <v>1637.03</v>
      </c>
      <c r="B139" s="12">
        <f>CMP!AD141</f>
        <v>1641.54</v>
      </c>
    </row>
    <row r="140">
      <c r="A140" s="12">
        <f>CMP!AB142</f>
        <v>1648.9</v>
      </c>
      <c r="B140" s="12">
        <f>CMP!AD142</f>
        <v>1665.27</v>
      </c>
    </row>
    <row r="141">
      <c r="A141" s="12">
        <f>CMP!AB143</f>
        <v>1672.99</v>
      </c>
      <c r="B141" s="12">
        <f>CMP!AD143</f>
        <v>1696.35</v>
      </c>
    </row>
    <row r="142">
      <c r="A142" s="12">
        <f>CMP!AB144</f>
        <v>1704.51</v>
      </c>
      <c r="B142" s="12">
        <f>CMP!AD144</f>
        <v>1695.75</v>
      </c>
    </row>
    <row r="143">
      <c r="A143" s="12">
        <f>CMP!AB145</f>
        <v>1698.56</v>
      </c>
      <c r="B143" s="12">
        <f>CMP!AD145</f>
        <v>1689.3</v>
      </c>
    </row>
    <row r="144">
      <c r="A144" s="12">
        <f>CMP!AB146</f>
        <v>1681.12</v>
      </c>
      <c r="B144" s="12">
        <f>CMP!AD146</f>
        <v>1683.99</v>
      </c>
    </row>
    <row r="145">
      <c r="A145" s="12">
        <f>CMP!AB147</f>
        <v>1681.51</v>
      </c>
      <c r="B145" s="12">
        <f>CMP!AD147</f>
        <v>1689.12</v>
      </c>
    </row>
    <row r="146">
      <c r="A146" s="12">
        <f>CMP!AB148</f>
        <v>1693</v>
      </c>
      <c r="B146" s="12">
        <f>CMP!AD148</f>
        <v>1698.75</v>
      </c>
    </row>
    <row r="147">
      <c r="A147" s="12">
        <f>CMP!AB149</f>
        <v>1702.81</v>
      </c>
      <c r="B147" s="12">
        <f>CMP!AD149</f>
        <v>1704.86</v>
      </c>
    </row>
    <row r="148">
      <c r="A148" s="12">
        <f>CMP!AB150</f>
        <v>1713.48</v>
      </c>
      <c r="B148" s="12">
        <f>CMP!AD150</f>
        <v>1723.86</v>
      </c>
    </row>
    <row r="149">
      <c r="A149" s="12">
        <f>CMP!AB151</f>
        <v>1714</v>
      </c>
      <c r="B149" s="12">
        <f>CMP!AD151</f>
        <v>1715.97</v>
      </c>
    </row>
    <row r="150">
      <c r="A150" s="12">
        <f>CMP!AB152</f>
        <v>1706.26</v>
      </c>
      <c r="B150" s="12">
        <f>CMP!AD152</f>
        <v>1723.79</v>
      </c>
    </row>
    <row r="151">
      <c r="A151" s="12">
        <f>CMP!AB153</f>
        <v>1709.04</v>
      </c>
      <c r="B151" s="12">
        <f>CMP!AD153</f>
        <v>1734.78</v>
      </c>
    </row>
    <row r="152">
      <c r="A152" s="12">
        <f>CMP!AB154</f>
        <v>1742.5</v>
      </c>
      <c r="B152" s="12">
        <f>CMP!AD154</f>
        <v>1750.08</v>
      </c>
    </row>
    <row r="153">
      <c r="A153" s="12">
        <f>CMP!AB155</f>
        <v>1760</v>
      </c>
      <c r="B153" s="12">
        <f>CMP!AD155</f>
        <v>1730.22</v>
      </c>
    </row>
    <row r="154">
      <c r="A154" s="12">
        <f>CMP!AB156</f>
        <v>1742.62</v>
      </c>
      <c r="B154" s="12">
        <f>CMP!AD156</f>
        <v>1715.67</v>
      </c>
    </row>
    <row r="155">
      <c r="A155" s="12">
        <f>CMP!AB157</f>
        <v>1702.51</v>
      </c>
      <c r="B155" s="12">
        <f>CMP!AD157</f>
        <v>1663.15</v>
      </c>
    </row>
    <row r="156">
      <c r="A156" s="12">
        <f>CMP!AB158</f>
        <v>1672.37</v>
      </c>
      <c r="B156" s="12">
        <f>CMP!AD158</f>
        <v>1691.09</v>
      </c>
    </row>
    <row r="157">
      <c r="A157" s="12">
        <f>CMP!AB159</f>
        <v>1708.11</v>
      </c>
      <c r="B157" s="12">
        <f>CMP!AD159</f>
        <v>1660.51</v>
      </c>
    </row>
    <row r="158">
      <c r="A158" s="12">
        <f>CMP!AB160</f>
        <v>1672.54</v>
      </c>
      <c r="B158" s="12">
        <f>CMP!AD160</f>
        <v>1701.45</v>
      </c>
    </row>
    <row r="159">
      <c r="A159" s="12">
        <f>CMP!AB161</f>
        <v>1717</v>
      </c>
      <c r="B159" s="12">
        <f>CMP!AD161</f>
        <v>1699.8</v>
      </c>
    </row>
    <row r="160">
      <c r="A160" s="12">
        <f>CMP!AB162</f>
        <v>1682.7</v>
      </c>
      <c r="B160" s="12">
        <f>CMP!AD162</f>
        <v>1713.78</v>
      </c>
    </row>
    <row r="161">
      <c r="A161" s="12">
        <f>CMP!AB163</f>
        <v>1723.96</v>
      </c>
      <c r="B161" s="12">
        <f>CMP!AD163</f>
        <v>1693.96</v>
      </c>
    </row>
    <row r="162">
      <c r="A162" s="12">
        <f>CMP!AB164</f>
        <v>1705.38</v>
      </c>
      <c r="B162" s="12">
        <f>CMP!AD164</f>
        <v>1699.73</v>
      </c>
    </row>
    <row r="163">
      <c r="A163" s="12">
        <f>CMP!AB165</f>
        <v>1696</v>
      </c>
      <c r="B163" s="12">
        <f>CMP!AD165</f>
        <v>1710.63</v>
      </c>
    </row>
    <row r="164">
      <c r="A164" s="12">
        <f>CMP!AB166</f>
        <v>1724.05</v>
      </c>
      <c r="B164" s="12">
        <f>CMP!AD166</f>
        <v>1739.02</v>
      </c>
    </row>
    <row r="165">
      <c r="A165" s="12">
        <f>CMP!AB167</f>
        <v>1738.53</v>
      </c>
      <c r="B165" s="12">
        <f>CMP!AD167</f>
        <v>1743.07</v>
      </c>
    </row>
    <row r="166">
      <c r="A166" s="12">
        <f>CMP!AB168</f>
        <v>1737.99</v>
      </c>
      <c r="B166" s="12">
        <f>CMP!AD168</f>
        <v>1755</v>
      </c>
    </row>
    <row r="167">
      <c r="A167" s="12">
        <f>CMP!AB169</f>
        <v>1764.51</v>
      </c>
      <c r="B167" s="12">
        <f>CMP!AD169</f>
        <v>1796.62</v>
      </c>
    </row>
    <row r="168">
      <c r="A168" s="12">
        <f>CMP!AB170</f>
        <v>1803.93</v>
      </c>
      <c r="B168" s="12">
        <f>CMP!AD170</f>
        <v>1813.03</v>
      </c>
    </row>
    <row r="169">
      <c r="A169" s="12">
        <f>CMP!AB171</f>
        <v>1821.95</v>
      </c>
      <c r="B169" s="12">
        <f>CMP!AD171</f>
        <v>1822.49</v>
      </c>
    </row>
    <row r="170">
      <c r="A170" s="12">
        <f>CMP!AB172</f>
        <v>1811.56</v>
      </c>
      <c r="B170" s="12">
        <f>CMP!AD172</f>
        <v>1843.93</v>
      </c>
    </row>
    <row r="171">
      <c r="A171" s="12">
        <f>CMP!AB173</f>
        <v>1848</v>
      </c>
      <c r="B171" s="12">
        <f>CMP!AD173</f>
        <v>1842.92</v>
      </c>
    </row>
    <row r="172">
      <c r="A172" s="12">
        <f>CMP!AB174</f>
        <v>1829.46</v>
      </c>
      <c r="B172" s="12">
        <f>CMP!AD174</f>
        <v>1812.97</v>
      </c>
    </row>
    <row r="173">
      <c r="A173" s="12">
        <f>CMP!AB175</f>
        <v>1825.01</v>
      </c>
      <c r="B173" s="12">
        <f>CMP!AD175</f>
        <v>1813.7</v>
      </c>
    </row>
    <row r="174">
      <c r="A174" s="12">
        <f>CMP!AB176</f>
        <v>1812.21</v>
      </c>
      <c r="B174" s="12">
        <f>CMP!AD176</f>
        <v>1802</v>
      </c>
    </row>
    <row r="175">
      <c r="A175" s="12">
        <f>CMP!AB177</f>
        <v>1829.01</v>
      </c>
      <c r="B175" s="12">
        <f>CMP!AD177</f>
        <v>1829.24</v>
      </c>
    </row>
    <row r="176">
      <c r="A176" s="12">
        <f>CMP!AB178</f>
        <v>1829.3</v>
      </c>
      <c r="B176" s="12">
        <f>CMP!AD178</f>
        <v>1863.61</v>
      </c>
    </row>
    <row r="177">
      <c r="A177" s="12">
        <f>CMP!AB179</f>
        <v>1839</v>
      </c>
      <c r="B177" s="12">
        <f>CMP!AD179</f>
        <v>1808</v>
      </c>
    </row>
    <row r="178">
      <c r="A178" s="12">
        <f>CMP!AB180</f>
        <v>1876.05</v>
      </c>
      <c r="B178" s="12">
        <f>CMP!AD180</f>
        <v>1817.27</v>
      </c>
    </row>
    <row r="179">
      <c r="A179" s="12">
        <f>CMP!AB181</f>
        <v>1827.33</v>
      </c>
      <c r="B179" s="12">
        <f>CMP!AD181</f>
        <v>1779.22</v>
      </c>
    </row>
    <row r="180">
      <c r="A180" s="12">
        <f>CMP!AB182</f>
        <v>1786.49</v>
      </c>
      <c r="B180" s="12">
        <f>CMP!AD182</f>
        <v>1777.44</v>
      </c>
    </row>
    <row r="181">
      <c r="A181" s="12">
        <f>CMP!AB183</f>
        <v>1784</v>
      </c>
      <c r="B181" s="12">
        <f>CMP!AD183</f>
        <v>1797.17</v>
      </c>
    </row>
    <row r="182">
      <c r="A182" s="12">
        <f>CMP!AB184</f>
        <v>1788.77</v>
      </c>
      <c r="B182" s="12">
        <f>CMP!AD184</f>
        <v>1834.33</v>
      </c>
    </row>
    <row r="183">
      <c r="A183" s="12">
        <f>CMP!AB185</f>
        <v>1837.74</v>
      </c>
      <c r="B183" s="12">
        <f>CMP!AD185</f>
        <v>1823.29</v>
      </c>
    </row>
    <row r="184">
      <c r="A184" s="12">
        <f>CMP!AB186</f>
        <v>1825.81</v>
      </c>
      <c r="B184" s="12">
        <f>CMP!AD186</f>
        <v>1847.75</v>
      </c>
    </row>
    <row r="185">
      <c r="A185" s="12">
        <f>CMP!AB187</f>
        <v>1854.53</v>
      </c>
      <c r="B185" s="12">
        <f>CMP!AD187</f>
        <v>1862.48</v>
      </c>
    </row>
    <row r="186">
      <c r="A186" s="12">
        <f>CMP!AB188</f>
        <v>1861</v>
      </c>
      <c r="B186" s="12">
        <f>CMP!AD188</f>
        <v>1886.52</v>
      </c>
    </row>
    <row r="187">
      <c r="A187" s="12">
        <f>CMP!AB189</f>
        <v>1882</v>
      </c>
      <c r="B187" s="12">
        <f>CMP!AD189</f>
        <v>1898.52</v>
      </c>
    </row>
    <row r="188">
      <c r="A188" s="12">
        <f>CMP!AB190</f>
        <v>1888.51</v>
      </c>
      <c r="B188" s="12">
        <f>CMP!AD190</f>
        <v>1886.3</v>
      </c>
    </row>
    <row r="189">
      <c r="A189" s="12">
        <f>CMP!AB191</f>
        <v>1898.5</v>
      </c>
      <c r="B189" s="12">
        <f>CMP!AD191</f>
        <v>1896.2</v>
      </c>
    </row>
    <row r="190">
      <c r="A190" s="12">
        <f>CMP!AB192</f>
        <v>1919.39</v>
      </c>
      <c r="B190" s="12">
        <f>CMP!AD192</f>
        <v>1919.65</v>
      </c>
    </row>
    <row r="191">
      <c r="A191" s="12">
        <f>CMP!AB193</f>
        <v>1909.55</v>
      </c>
      <c r="B191" s="12">
        <f>CMP!AD193</f>
        <v>1882.62</v>
      </c>
    </row>
    <row r="192">
      <c r="A192" s="12">
        <f>CMP!AB194</f>
        <v>1903.94</v>
      </c>
      <c r="B192" s="12">
        <f>CMP!AD194</f>
        <v>1886.52</v>
      </c>
    </row>
    <row r="193">
      <c r="A193" s="12">
        <f>CMP!AB195</f>
        <v>1885.8</v>
      </c>
      <c r="B193" s="12">
        <f>CMP!AD195</f>
        <v>1882.22</v>
      </c>
    </row>
    <row r="194">
      <c r="A194" s="12">
        <f>CMP!AB196</f>
        <v>1890.57</v>
      </c>
      <c r="B194" s="12">
        <f>CMP!AD196</f>
        <v>1876.71</v>
      </c>
    </row>
    <row r="195">
      <c r="A195" s="12">
        <f>CMP!AB197</f>
        <v>1880</v>
      </c>
      <c r="B195" s="12">
        <f>CMP!AD197</f>
        <v>1883.42</v>
      </c>
    </row>
    <row r="196">
      <c r="A196" s="12">
        <f>CMP!AB198</f>
        <v>1876.64</v>
      </c>
      <c r="B196" s="12">
        <f>CMP!AD198</f>
        <v>1904.9</v>
      </c>
    </row>
    <row r="197">
      <c r="A197" s="12">
        <f>CMP!AB199</f>
        <v>1907.17</v>
      </c>
      <c r="B197" s="12">
        <f>CMP!AD199</f>
        <v>1902.9</v>
      </c>
    </row>
    <row r="198">
      <c r="A198" s="12">
        <f>CMP!AB200</f>
        <v>1910.51</v>
      </c>
      <c r="B198" s="12">
        <f>CMP!AD200</f>
        <v>1905.39</v>
      </c>
    </row>
    <row r="199">
      <c r="A199" s="12">
        <f>CMP!AB201</f>
        <v>1915</v>
      </c>
      <c r="B199" s="12">
        <f>CMP!AD201</f>
        <v>1927.68</v>
      </c>
    </row>
    <row r="200">
      <c r="A200" s="12">
        <f>CMP!AB202</f>
        <v>1937.73</v>
      </c>
      <c r="B200" s="12">
        <f>CMP!AD202</f>
        <v>1932.82</v>
      </c>
    </row>
    <row r="201">
      <c r="A201" s="12">
        <f>CMP!AB203</f>
        <v>1953.45</v>
      </c>
      <c r="B201" s="12">
        <f>CMP!AD203</f>
        <v>1998.1</v>
      </c>
    </row>
    <row r="202">
      <c r="A202" s="12">
        <f>CMP!AB204</f>
        <v>1997.42</v>
      </c>
      <c r="B202" s="12">
        <f>CMP!AD204</f>
        <v>2002.38</v>
      </c>
    </row>
    <row r="203">
      <c r="A203" s="12">
        <f>CMP!AB205</f>
        <v>2007</v>
      </c>
      <c r="B203" s="12">
        <f>CMP!AD205</f>
        <v>2012.71</v>
      </c>
    </row>
    <row r="204">
      <c r="A204" s="12">
        <f>CMP!AB206</f>
        <v>2026.5</v>
      </c>
      <c r="B204" s="12">
        <f>CMP!AD206</f>
        <v>2039.51</v>
      </c>
    </row>
    <row r="205">
      <c r="A205" s="12">
        <f>CMP!AB207</f>
        <v>2038.11</v>
      </c>
      <c r="B205" s="12">
        <f>CMP!AD207</f>
        <v>1994.82</v>
      </c>
    </row>
    <row r="206">
      <c r="A206" s="12">
        <f>CMP!AB208</f>
        <v>2006.51</v>
      </c>
      <c r="B206" s="12">
        <f>CMP!AD208</f>
        <v>1958.31</v>
      </c>
    </row>
    <row r="207">
      <c r="A207" s="12">
        <f>CMP!AB209</f>
        <v>1938.71</v>
      </c>
      <c r="B207" s="12">
        <f>CMP!AD209</f>
        <v>1952.07</v>
      </c>
    </row>
    <row r="208">
      <c r="A208" s="12">
        <f>CMP!AB210</f>
        <v>1971</v>
      </c>
      <c r="B208" s="12">
        <f>CMP!AD210</f>
        <v>1939.01</v>
      </c>
    </row>
    <row r="209">
      <c r="A209" s="12">
        <f>CMP!AB211</f>
        <v>1928.27</v>
      </c>
      <c r="B209" s="12">
        <f>CMP!AD211</f>
        <v>1987.15</v>
      </c>
    </row>
    <row r="210">
      <c r="A210" s="12">
        <f>CMP!AB212</f>
        <v>1994</v>
      </c>
      <c r="B210" s="12">
        <f>CMP!AD212</f>
        <v>1990</v>
      </c>
    </row>
    <row r="211">
      <c r="A211" s="12">
        <f>CMP!AB213</f>
        <v>2000</v>
      </c>
      <c r="B211" s="12">
        <f>CMP!AD213</f>
        <v>1989.87</v>
      </c>
    </row>
    <row r="212">
      <c r="A212" s="12">
        <f>CMP!AB214</f>
        <v>1992.93</v>
      </c>
      <c r="B212" s="12">
        <f>CMP!AD214</f>
        <v>1970.19</v>
      </c>
    </row>
    <row r="213">
      <c r="A213" s="12">
        <f>CMP!AB215</f>
        <v>1954.73</v>
      </c>
      <c r="B213" s="12">
        <f>CMP!AD215</f>
        <v>1908.03</v>
      </c>
    </row>
    <row r="214">
      <c r="A214" s="12">
        <f>CMP!AB216</f>
        <v>1918.65</v>
      </c>
      <c r="B214" s="12">
        <f>CMP!AD216</f>
        <v>1941.05</v>
      </c>
    </row>
    <row r="215">
      <c r="A215" s="12">
        <f>CMP!AB217</f>
        <v>1940.5</v>
      </c>
      <c r="B215" s="12">
        <f>CMP!AD217</f>
        <v>1926.42</v>
      </c>
    </row>
    <row r="216">
      <c r="A216" s="12">
        <f>CMP!AB218</f>
        <v>1938.58</v>
      </c>
      <c r="B216" s="12">
        <f>CMP!AD218</f>
        <v>1944.3</v>
      </c>
    </row>
    <row r="217">
      <c r="A217" s="12">
        <f>CMP!AB219</f>
        <v>1954.22</v>
      </c>
      <c r="B217" s="12">
        <f>CMP!AD219</f>
        <v>1915.01</v>
      </c>
    </row>
    <row r="218">
      <c r="A218" s="12">
        <f>CMP!AB220</f>
        <v>1903.79</v>
      </c>
      <c r="B218" s="12">
        <f>CMP!AD220</f>
        <v>1934.36</v>
      </c>
    </row>
    <row r="219">
      <c r="A219" s="12">
        <f>CMP!AB221</f>
        <v>1942.9</v>
      </c>
      <c r="B219" s="12">
        <f>CMP!AD221</f>
        <v>1974.55</v>
      </c>
    </row>
    <row r="220">
      <c r="A220" s="12">
        <f>CMP!AB222</f>
        <v>1968.5</v>
      </c>
      <c r="B220" s="12">
        <f>CMP!AD222</f>
        <v>1974.85</v>
      </c>
    </row>
    <row r="221">
      <c r="A221" s="12">
        <f>CMP!AB223</f>
        <v>1993.24</v>
      </c>
      <c r="B221" s="12">
        <f>CMP!AD223</f>
        <v>2012.98</v>
      </c>
    </row>
    <row r="222">
      <c r="A222" s="12">
        <f>CMP!AB224</f>
        <v>2004.41</v>
      </c>
      <c r="B222" s="12">
        <f>CMP!AD224</f>
        <v>2003</v>
      </c>
    </row>
    <row r="223">
      <c r="A223" s="12">
        <f>CMP!AB225</f>
        <v>2021.99</v>
      </c>
      <c r="B223" s="12">
        <f>CMP!AD225</f>
        <v>2004.36</v>
      </c>
    </row>
    <row r="224">
      <c r="A224" s="12">
        <f>CMP!AB226</f>
        <v>1999.99</v>
      </c>
      <c r="B224" s="12">
        <f>CMP!AD226</f>
        <v>1971.31</v>
      </c>
    </row>
    <row r="225">
      <c r="A225" s="12">
        <f>CMP!AB227</f>
        <v>1981.7</v>
      </c>
      <c r="B225" s="12">
        <f>CMP!AD227</f>
        <v>1952.76</v>
      </c>
    </row>
    <row r="226">
      <c r="A226" s="12">
        <f>CMP!AB228</f>
        <v>1949</v>
      </c>
      <c r="B226" s="12">
        <f>CMP!AD228</f>
        <v>1909.42</v>
      </c>
    </row>
    <row r="227">
      <c r="A227" s="12">
        <f>CMP!AB229</f>
        <v>1917.99</v>
      </c>
      <c r="B227" s="12">
        <f>CMP!AD229</f>
        <v>1889.65</v>
      </c>
    </row>
    <row r="228">
      <c r="A228" s="12">
        <f>CMP!AB230</f>
        <v>1874</v>
      </c>
      <c r="B228" s="12">
        <f>CMP!AD230</f>
        <v>1864.42</v>
      </c>
    </row>
    <row r="229">
      <c r="A229" s="12">
        <f>CMP!AB231</f>
        <v>1859.99</v>
      </c>
      <c r="B229" s="12">
        <f>CMP!AD231</f>
        <v>1870.32</v>
      </c>
    </row>
    <row r="230">
      <c r="A230" s="12">
        <f>CMP!AB232</f>
        <v>1857.89</v>
      </c>
      <c r="B230" s="12">
        <f>CMP!AD232</f>
        <v>1755.25</v>
      </c>
    </row>
    <row r="231">
      <c r="A231" s="12">
        <f>CMP!AB233</f>
        <v>1724</v>
      </c>
      <c r="B231" s="12">
        <f>CMP!AD233</f>
        <v>1719.36</v>
      </c>
    </row>
    <row r="232">
      <c r="A232" s="12">
        <f>CMP!AB234</f>
        <v>1808</v>
      </c>
      <c r="B232" s="12">
        <f>CMP!AD234</f>
        <v>1788.61</v>
      </c>
    </row>
    <row r="233">
      <c r="A233" s="12">
        <f>CMP!AB235</f>
        <v>1795</v>
      </c>
      <c r="B233" s="12">
        <f>CMP!AD235</f>
        <v>1760.95</v>
      </c>
    </row>
    <row r="234">
      <c r="A234" s="12">
        <f>CMP!AB236</f>
        <v>1783.5</v>
      </c>
      <c r="B234" s="12">
        <f>CMP!AD236</f>
        <v>1819.96</v>
      </c>
    </row>
    <row r="235">
      <c r="A235" s="12">
        <f>CMP!AB237</f>
        <v>1842.79</v>
      </c>
      <c r="B235" s="12">
        <f>CMP!AD237</f>
        <v>1831.73</v>
      </c>
    </row>
    <row r="236">
      <c r="A236" s="12">
        <f>CMP!AB238</f>
        <v>1821.49</v>
      </c>
      <c r="B236" s="12">
        <f>CMP!AD238</f>
        <v>1770.72</v>
      </c>
    </row>
    <row r="237">
      <c r="A237" s="12">
        <f>CMP!AB239</f>
        <v>1785.16</v>
      </c>
      <c r="B237" s="12">
        <f>CMP!AD239</f>
        <v>1764.03</v>
      </c>
    </row>
    <row r="238">
      <c r="A238" s="12">
        <f>CMP!AB240</f>
        <v>1784</v>
      </c>
      <c r="B238" s="12">
        <f>CMP!AD240</f>
        <v>1789.3</v>
      </c>
    </row>
    <row r="239">
      <c r="A239" s="12">
        <f>CMP!AB241</f>
        <v>1742.24</v>
      </c>
      <c r="B239" s="12">
        <f>CMP!AD241</f>
        <v>1768.7</v>
      </c>
    </row>
    <row r="240">
      <c r="A240" s="12">
        <f>CMP!AB242</f>
        <v>1773.7</v>
      </c>
      <c r="B240" s="12">
        <f>CMP!AD242</f>
        <v>1664.2</v>
      </c>
    </row>
    <row r="241">
      <c r="A241" s="12">
        <f>CMP!AB243</f>
        <v>1703.34</v>
      </c>
      <c r="B241" s="12">
        <f>CMP!AD243</f>
        <v>1782.17</v>
      </c>
    </row>
    <row r="242">
      <c r="A242" s="12">
        <f>CMP!AB244</f>
        <v>1649.59</v>
      </c>
      <c r="B242" s="12">
        <f>CMP!AD244</f>
        <v>1642.81</v>
      </c>
    </row>
    <row r="243">
      <c r="A243" s="12">
        <f>CMP!AB245</f>
        <v>1660</v>
      </c>
      <c r="B243" s="12">
        <f>CMP!AD245</f>
        <v>1538.88</v>
      </c>
    </row>
    <row r="244">
      <c r="A244" s="12">
        <f>CMP!AB246</f>
        <v>1486.16</v>
      </c>
      <c r="B244" s="12">
        <f>CMP!AD246</f>
        <v>1530.42</v>
      </c>
    </row>
    <row r="245">
      <c r="A245" s="12">
        <f>CMP!AB247</f>
        <v>1569.99</v>
      </c>
      <c r="B245" s="12">
        <f>CMP!AD247</f>
        <v>1598.01</v>
      </c>
    </row>
    <row r="246">
      <c r="A246" s="12">
        <f>CMP!AB248</f>
        <v>1623.53</v>
      </c>
      <c r="B246" s="12">
        <f>CMP!AD248</f>
        <v>1665.53</v>
      </c>
    </row>
    <row r="247">
      <c r="A247" s="12">
        <f>CMP!AB249</f>
        <v>1678.59</v>
      </c>
      <c r="B247" s="12">
        <f>CMP!AD249</f>
        <v>1665.53</v>
      </c>
    </row>
    <row r="248">
      <c r="A248" s="12">
        <f>CMP!AB250</f>
        <v>1657.57</v>
      </c>
      <c r="B248" s="12">
        <f>CMP!AD250</f>
        <v>1627.8</v>
      </c>
    </row>
    <row r="249">
      <c r="A249" s="12">
        <f>CMP!AB251</f>
        <v>1618.35</v>
      </c>
      <c r="B249" s="12">
        <f>CMP!AD251</f>
        <v>1642.81</v>
      </c>
    </row>
    <row r="250">
      <c r="A250" s="12">
        <f>CMP!AB252</f>
        <v>1673</v>
      </c>
      <c r="B250" s="12">
        <f>CMP!AD252</f>
        <v>1755.49</v>
      </c>
    </row>
    <row r="251">
      <c r="A251" s="12">
        <f>CMP!AB253</f>
        <v>1755</v>
      </c>
      <c r="B251" s="12">
        <f>CMP!AD253</f>
        <v>1754.91</v>
      </c>
    </row>
    <row r="252">
      <c r="A252" s="12">
        <f>CMP!AB254</f>
        <v>1732.5</v>
      </c>
      <c r="B252" s="12">
        <f>CMP!AD254</f>
        <v>1712.43</v>
      </c>
    </row>
    <row r="253">
      <c r="A253" s="12">
        <f>CMP!AB255</f>
        <v>1698.24</v>
      </c>
      <c r="B253" s="12">
        <f>CMP!AD255</f>
        <v>1636.85</v>
      </c>
    </row>
    <row r="254">
      <c r="A254" s="12">
        <f>CMP!AB256</f>
        <v>1649.29</v>
      </c>
      <c r="B254" s="12">
        <f>CMP!AD256</f>
        <v>1631.17</v>
      </c>
    </row>
    <row r="255">
      <c r="A255" s="12">
        <f>CMP!AB257</f>
        <v>1656.32</v>
      </c>
      <c r="B255" s="12">
        <f>CMP!AD257</f>
        <v>1599.01</v>
      </c>
    </row>
    <row r="256">
      <c r="A256" s="12">
        <f>CMP!AB258</f>
        <v>1581.01</v>
      </c>
      <c r="B256" s="12">
        <f>CMP!AD258</f>
        <v>1619.44</v>
      </c>
    </row>
    <row r="257">
      <c r="A257" s="12">
        <f>CMP!AB259</f>
        <v>1587.5</v>
      </c>
      <c r="B257" s="12">
        <f>CMP!AD259</f>
        <v>1593.41</v>
      </c>
    </row>
    <row r="258">
      <c r="A258" s="12">
        <f>CMP!AB260</f>
        <v>1577.01</v>
      </c>
      <c r="B258" s="12">
        <f>CMP!AD260</f>
        <v>1512.29</v>
      </c>
    </row>
    <row r="259">
      <c r="A259" s="12">
        <f>CMP!AB261</f>
        <v>1437.5</v>
      </c>
      <c r="B259" s="12">
        <f>CMP!AD261</f>
        <v>1495.46</v>
      </c>
    </row>
    <row r="260">
      <c r="A260" s="12">
        <f>CMP!AB262</f>
        <v>1542.99</v>
      </c>
      <c r="B260" s="12">
        <f>CMP!AD262</f>
        <v>1516.73</v>
      </c>
    </row>
    <row r="261">
      <c r="A261" s="12">
        <f>CMP!AB263</f>
        <v>1517</v>
      </c>
      <c r="B261" s="12">
        <f>CMP!AD263</f>
        <v>1502.06</v>
      </c>
    </row>
    <row r="262">
      <c r="A262" s="12">
        <f>CMP!AB264</f>
        <v>1539</v>
      </c>
      <c r="B262" s="12">
        <f>CMP!AD264</f>
        <v>1581.33</v>
      </c>
    </row>
    <row r="263">
      <c r="A263" s="12">
        <f>CMP!AB265</f>
        <v>1575.99</v>
      </c>
      <c r="B263" s="12">
        <f>CMP!AD265</f>
        <v>1581.42</v>
      </c>
    </row>
    <row r="264">
      <c r="A264" s="12">
        <f>CMP!AB266</f>
        <v>1613.92</v>
      </c>
      <c r="B264" s="12">
        <f>CMP!AD266</f>
        <v>1677.75</v>
      </c>
    </row>
    <row r="265">
      <c r="A265" s="12">
        <f>CMP!AB267</f>
        <v>1674.99</v>
      </c>
      <c r="B265" s="12">
        <f>CMP!AD267</f>
        <v>1673.57</v>
      </c>
    </row>
    <row r="266">
      <c r="A266" s="12">
        <f>CMP!AB268</f>
        <v>1679.5</v>
      </c>
      <c r="B266" s="12">
        <f>CMP!AD268</f>
        <v>1690.17</v>
      </c>
    </row>
    <row r="267">
      <c r="A267" s="12">
        <f>CMP!AB269</f>
        <v>1769.46</v>
      </c>
      <c r="B267" s="12">
        <f>CMP!AD269</f>
        <v>1772.36</v>
      </c>
    </row>
    <row r="268">
      <c r="A268" s="12">
        <f>CMP!AB270</f>
        <v>1756</v>
      </c>
      <c r="B268" s="12">
        <f>CMP!AD270</f>
        <v>1668.4</v>
      </c>
    </row>
    <row r="269">
      <c r="A269" s="12">
        <f>CMP!AB271</f>
        <v>1614.87</v>
      </c>
      <c r="B269" s="12">
        <f>CMP!AD271</f>
        <v>1699.19</v>
      </c>
    </row>
    <row r="270">
      <c r="A270" s="12">
        <f>CMP!AB272</f>
        <v>1705.07</v>
      </c>
      <c r="B270" s="12">
        <f>CMP!AD272</f>
        <v>1629.13</v>
      </c>
    </row>
    <row r="271">
      <c r="A271" s="12">
        <f>CMP!AB273</f>
        <v>1623.84</v>
      </c>
      <c r="B271" s="12">
        <f>CMP!AD273</f>
        <v>1641.03</v>
      </c>
    </row>
    <row r="272">
      <c r="A272" s="12">
        <f>CMP!AB274</f>
        <v>1678</v>
      </c>
      <c r="B272" s="12">
        <f>CMP!AD274</f>
        <v>1643.24</v>
      </c>
    </row>
    <row r="273">
      <c r="A273" s="12">
        <f>CMP!AB275</f>
        <v>1669</v>
      </c>
      <c r="B273" s="12">
        <f>CMP!AD275</f>
        <v>1663.54</v>
      </c>
    </row>
    <row r="274">
      <c r="A274" s="12">
        <f>CMP!AB276</f>
        <v>1680</v>
      </c>
      <c r="B274" s="12">
        <f>CMP!AD276</f>
        <v>1658.38</v>
      </c>
    </row>
    <row r="275">
      <c r="A275" s="12">
        <f>CMP!AB277</f>
        <v>1638</v>
      </c>
      <c r="B275" s="12">
        <f>CMP!AD277</f>
        <v>1591.91</v>
      </c>
    </row>
    <row r="276">
      <c r="A276" s="12">
        <f>CMP!AB278</f>
        <v>1566</v>
      </c>
      <c r="B276" s="12">
        <f>CMP!AD278</f>
        <v>1520.91</v>
      </c>
    </row>
    <row r="277">
      <c r="A277" s="12">
        <f>CMP!AB279</f>
        <v>1540</v>
      </c>
      <c r="B277" s="12">
        <f>CMP!AD279</f>
        <v>1551.48</v>
      </c>
    </row>
    <row r="278">
      <c r="A278" s="12">
        <f>CMP!AB280</f>
        <v>1543.05</v>
      </c>
      <c r="B278" s="12">
        <f>CMP!AD280</f>
        <v>1495.08</v>
      </c>
    </row>
    <row r="279">
      <c r="A279" s="12">
        <f>CMP!AB281</f>
        <v>1484</v>
      </c>
      <c r="B279" s="12">
        <f>CMP!AD281</f>
        <v>1460.83</v>
      </c>
    </row>
    <row r="280">
      <c r="A280" s="12">
        <f>CMP!AB282</f>
        <v>1464.99</v>
      </c>
      <c r="B280" s="12">
        <f>CMP!AD282</f>
        <v>1377.45</v>
      </c>
    </row>
    <row r="281">
      <c r="A281" s="12">
        <f>CMP!AB283</f>
        <v>1346</v>
      </c>
      <c r="B281" s="12">
        <f>CMP!AD283</f>
        <v>1343.96</v>
      </c>
    </row>
    <row r="282">
      <c r="A282" s="12">
        <f>CMP!AB284</f>
        <v>1368.89</v>
      </c>
      <c r="B282" s="12">
        <f>CMP!AD284</f>
        <v>1470.9</v>
      </c>
    </row>
    <row r="283">
      <c r="A283" s="12">
        <f>CMP!AB285</f>
        <v>1454.2</v>
      </c>
      <c r="B283" s="12">
        <f>CMP!AD285</f>
        <v>1461.64</v>
      </c>
    </row>
    <row r="284">
      <c r="A284" s="12">
        <f>CMP!AB286</f>
        <v>1473.35</v>
      </c>
      <c r="B284" s="12">
        <f>CMP!AD286</f>
        <v>1478.02</v>
      </c>
    </row>
    <row r="285">
      <c r="A285" s="12">
        <f>CMP!AB287</f>
        <v>1510.8</v>
      </c>
      <c r="B285" s="12">
        <f>CMP!AD287</f>
        <v>1501.97</v>
      </c>
    </row>
    <row r="286">
      <c r="A286" s="12">
        <f>CMP!AB288</f>
        <v>1465.2</v>
      </c>
      <c r="B286" s="12">
        <f>CMP!AD288</f>
        <v>1539.13</v>
      </c>
    </row>
    <row r="287">
      <c r="A287" s="12">
        <f>CMP!AB289</f>
        <v>1520.01</v>
      </c>
      <c r="B287" s="12">
        <f>CMP!AD289</f>
        <v>1500.28</v>
      </c>
    </row>
    <row r="288">
      <c r="A288" s="12">
        <f>CMP!AB290</f>
        <v>1530</v>
      </c>
      <c r="B288" s="12">
        <f>CMP!AD290</f>
        <v>1575.39</v>
      </c>
    </row>
    <row r="289">
      <c r="A289" s="12">
        <f>CMP!AB291</f>
        <v>1602.31</v>
      </c>
      <c r="B289" s="12">
        <f>CMP!AD291</f>
        <v>1629.51</v>
      </c>
    </row>
    <row r="290">
      <c r="A290" s="12">
        <f>CMP!AB292</f>
        <v>1664.69</v>
      </c>
      <c r="B290" s="12">
        <f>CMP!AD292</f>
        <v>1656.58</v>
      </c>
    </row>
    <row r="291">
      <c r="A291" s="12">
        <f>CMP!AB293</f>
        <v>1652.98</v>
      </c>
      <c r="B291" s="12">
        <f>CMP!AD293</f>
        <v>1659.42</v>
      </c>
    </row>
    <row r="292">
      <c r="A292" s="12">
        <f>CMP!AB294</f>
        <v>1641.01</v>
      </c>
      <c r="B292" s="12">
        <f>CMP!AD294</f>
        <v>1656.22</v>
      </c>
    </row>
    <row r="293">
      <c r="A293" s="12">
        <f>CMP!AB295</f>
        <v>1640.55</v>
      </c>
      <c r="B293" s="12">
        <f>CMP!AD295</f>
        <v>1640.56</v>
      </c>
    </row>
    <row r="294">
      <c r="A294" s="12">
        <f>CMP!AB296</f>
        <v>1615</v>
      </c>
      <c r="B294" s="12">
        <f>CMP!AD296</f>
        <v>1617.21</v>
      </c>
    </row>
    <row r="295">
      <c r="A295" s="12">
        <f>CMP!AB297</f>
        <v>1632</v>
      </c>
      <c r="B295" s="12">
        <f>CMP!AD297</f>
        <v>1674.56</v>
      </c>
    </row>
    <row r="296">
      <c r="A296" s="12">
        <f>CMP!AB298</f>
        <v>1684.22</v>
      </c>
      <c r="B296" s="12">
        <f>CMP!AD298</f>
        <v>1683.78</v>
      </c>
    </row>
    <row r="297">
      <c r="A297" s="12">
        <f>CMP!AB299</f>
        <v>1680</v>
      </c>
      <c r="B297" s="12">
        <f>CMP!AD299</f>
        <v>1693.22</v>
      </c>
    </row>
    <row r="298">
      <c r="A298" s="12">
        <f>CMP!AB300</f>
        <v>1712</v>
      </c>
      <c r="B298" s="12">
        <f>CMP!AD300</f>
        <v>1696.2</v>
      </c>
    </row>
    <row r="299">
      <c r="A299" s="12">
        <f>CMP!AB301</f>
        <v>1681</v>
      </c>
      <c r="B299" s="12">
        <f>CMP!AD301</f>
        <v>1632.17</v>
      </c>
    </row>
    <row r="300">
      <c r="A300" s="12">
        <f>CMP!AB302</f>
        <v>1656</v>
      </c>
      <c r="B300" s="12">
        <f>CMP!AD302</f>
        <v>1640.02</v>
      </c>
    </row>
    <row r="301">
      <c r="A301" s="12">
        <f>CMP!AB303</f>
        <v>1641.07</v>
      </c>
      <c r="B301" s="12">
        <f>CMP!AD303</f>
        <v>1654.93</v>
      </c>
    </row>
    <row r="302">
      <c r="A302" s="12">
        <f>CMP!AB304</f>
        <v>1670.5</v>
      </c>
      <c r="B302" s="12">
        <f>CMP!AD304</f>
        <v>1670.57</v>
      </c>
    </row>
    <row r="303">
      <c r="A303" s="12">
        <f>CMP!AB305</f>
        <v>1643.59</v>
      </c>
      <c r="B303" s="12">
        <f>CMP!AD305</f>
        <v>1637.89</v>
      </c>
    </row>
    <row r="304">
      <c r="A304" s="12">
        <f>CMP!AB306</f>
        <v>1631.27</v>
      </c>
      <c r="B304" s="12">
        <f>CMP!AD306</f>
        <v>1593.88</v>
      </c>
    </row>
    <row r="305">
      <c r="A305" s="12">
        <f>CMP!AB307</f>
        <v>1623</v>
      </c>
      <c r="B305" s="12">
        <f>CMP!AD307</f>
        <v>1670.43</v>
      </c>
    </row>
    <row r="306">
      <c r="A306" s="12">
        <f>CMP!AB308</f>
        <v>1692.85</v>
      </c>
      <c r="B306" s="12">
        <f>CMP!AD308</f>
        <v>1718.73</v>
      </c>
    </row>
    <row r="307">
      <c r="A307" s="12">
        <f>CMP!AB309</f>
        <v>1638.88</v>
      </c>
      <c r="B307" s="12">
        <f>CMP!AD309</f>
        <v>1626.23</v>
      </c>
    </row>
    <row r="308">
      <c r="A308" s="12">
        <f>CMP!AB310</f>
        <v>1623</v>
      </c>
      <c r="B308" s="12">
        <f>CMP!AD310</f>
        <v>1633.31</v>
      </c>
    </row>
    <row r="309">
      <c r="A309" s="12">
        <f>CMP!AB311</f>
        <v>1643.34</v>
      </c>
      <c r="B309" s="12">
        <f>CMP!AD311</f>
        <v>1658.81</v>
      </c>
    </row>
    <row r="310">
      <c r="A310" s="12">
        <f>CMP!AB312</f>
        <v>1670.75</v>
      </c>
      <c r="B310" s="12">
        <f>CMP!AD312</f>
        <v>1640.26</v>
      </c>
    </row>
    <row r="311">
      <c r="A311" s="12">
        <f>CMP!AB313</f>
        <v>1625</v>
      </c>
      <c r="B311" s="12">
        <f>CMP!AD313</f>
        <v>1614.37</v>
      </c>
    </row>
    <row r="312">
      <c r="A312" s="12">
        <f>CMP!AB314</f>
        <v>1586</v>
      </c>
      <c r="B312" s="12">
        <f>CMP!AD314</f>
        <v>1588.22</v>
      </c>
    </row>
    <row r="313">
      <c r="A313" s="12">
        <f>CMP!AB315</f>
        <v>1600.98</v>
      </c>
      <c r="B313" s="12">
        <f>CMP!AD315</f>
        <v>1591</v>
      </c>
    </row>
    <row r="314">
      <c r="A314" s="12">
        <f>CMP!AB316</f>
        <v>1604</v>
      </c>
      <c r="B314" s="12">
        <f>CMP!AD316</f>
        <v>1638.01</v>
      </c>
    </row>
    <row r="315">
      <c r="A315" s="12">
        <f>CMP!AB317</f>
        <v>1647</v>
      </c>
      <c r="B315" s="12">
        <f>CMP!AD317</f>
        <v>1640</v>
      </c>
    </row>
    <row r="316">
      <c r="A316" s="12">
        <f>CMP!AB318</f>
        <v>1624.5</v>
      </c>
      <c r="B316" s="12">
        <f>CMP!AD318</f>
        <v>1622.65</v>
      </c>
    </row>
    <row r="317">
      <c r="A317" s="12">
        <f>CMP!AB319</f>
        <v>1627.86</v>
      </c>
      <c r="B317" s="12">
        <f>CMP!AD319</f>
        <v>1607.95</v>
      </c>
    </row>
    <row r="318">
      <c r="A318" s="12">
        <f>CMP!AB320</f>
        <v>1601</v>
      </c>
      <c r="B318" s="12">
        <f>CMP!AD320</f>
        <v>1627.58</v>
      </c>
    </row>
    <row r="319">
      <c r="A319" s="12">
        <f>CMP!AB321</f>
        <v>1630</v>
      </c>
      <c r="B319" s="12">
        <f>CMP!AD321</f>
        <v>1622.1</v>
      </c>
    </row>
    <row r="320">
      <c r="A320" s="12">
        <f>CMP!AB322</f>
        <v>1619.85</v>
      </c>
      <c r="B320" s="12">
        <f>CMP!AD322</f>
        <v>1619.44</v>
      </c>
    </row>
    <row r="321">
      <c r="A321" s="12">
        <f>CMP!AB323</f>
        <v>1623.5</v>
      </c>
      <c r="B321" s="12">
        <f>CMP!AD323</f>
        <v>1631.56</v>
      </c>
    </row>
    <row r="322">
      <c r="A322" s="12">
        <f>CMP!AB324</f>
        <v>1641.45</v>
      </c>
      <c r="B322" s="12">
        <f>CMP!AD324</f>
        <v>1633</v>
      </c>
    </row>
    <row r="323">
      <c r="A323" s="12">
        <f>CMP!AB325</f>
        <v>1625.98</v>
      </c>
      <c r="B323" s="12">
        <f>CMP!AD325</f>
        <v>1636.4</v>
      </c>
    </row>
    <row r="324">
      <c r="A324" s="12">
        <f>CMP!AB326</f>
        <v>1628.18</v>
      </c>
      <c r="B324" s="12">
        <f>CMP!AD326</f>
        <v>1641.09</v>
      </c>
    </row>
    <row r="325">
      <c r="A325" s="12">
        <f>CMP!AB327</f>
        <v>1635.25</v>
      </c>
      <c r="B325" s="12">
        <f>CMP!AD327</f>
        <v>1639.83</v>
      </c>
    </row>
    <row r="326">
      <c r="A326" s="12">
        <f>CMP!AB328</f>
        <v>1655.13</v>
      </c>
      <c r="B326" s="12">
        <f>CMP!AD328</f>
        <v>1671.73</v>
      </c>
    </row>
    <row r="327">
      <c r="A327" s="12">
        <f>CMP!AB329</f>
        <v>1685</v>
      </c>
      <c r="B327" s="12">
        <f>CMP!AD329</f>
        <v>1696.17</v>
      </c>
    </row>
    <row r="328">
      <c r="A328" s="12">
        <f>CMP!AB330</f>
        <v>1702.95</v>
      </c>
      <c r="B328" s="12">
        <f>CMP!AD330</f>
        <v>1692.43</v>
      </c>
    </row>
    <row r="329">
      <c r="A329" s="12">
        <f>CMP!AB331</f>
        <v>1695.97</v>
      </c>
      <c r="B329" s="12">
        <f>CMP!AD331</f>
        <v>1668.95</v>
      </c>
    </row>
    <row r="330">
      <c r="A330" s="12">
        <f>CMP!AB332</f>
        <v>1667.37</v>
      </c>
      <c r="B330" s="12">
        <f>CMP!AD332</f>
        <v>1625.95</v>
      </c>
    </row>
    <row r="331">
      <c r="A331" s="12">
        <f>CMP!AB333</f>
        <v>1604.01</v>
      </c>
      <c r="B331" s="12">
        <f>CMP!AD333</f>
        <v>1620.8</v>
      </c>
    </row>
    <row r="332">
      <c r="A332" s="12">
        <f>CMP!AB334</f>
        <v>1626.12</v>
      </c>
      <c r="B332" s="12">
        <f>CMP!AD334</f>
        <v>1670.62</v>
      </c>
    </row>
    <row r="333">
      <c r="A333" s="12">
        <f>CMP!AB335</f>
        <v>1669</v>
      </c>
      <c r="B333" s="12">
        <f>CMP!AD335</f>
        <v>1673.1</v>
      </c>
    </row>
    <row r="334">
      <c r="A334" s="12">
        <f>CMP!AB336</f>
        <v>1683</v>
      </c>
      <c r="B334" s="12">
        <f>CMP!AD336</f>
        <v>1690.81</v>
      </c>
    </row>
    <row r="335">
      <c r="A335" s="12">
        <f>CMP!AB337</f>
        <v>1691.2</v>
      </c>
      <c r="B335" s="12">
        <f>CMP!AD337</f>
        <v>1686.22</v>
      </c>
    </row>
    <row r="336">
      <c r="A336" s="12">
        <f>CMP!AB338</f>
        <v>1703</v>
      </c>
      <c r="B336" s="12">
        <f>CMP!AD338</f>
        <v>1712.36</v>
      </c>
    </row>
    <row r="337">
      <c r="A337" s="12">
        <f>CMP!AB339</f>
        <v>1712.7</v>
      </c>
      <c r="B337" s="12">
        <f>CMP!AD339</f>
        <v>1742.15</v>
      </c>
    </row>
    <row r="338">
      <c r="A338" s="12">
        <f>CMP!AB340</f>
        <v>1753.51</v>
      </c>
      <c r="B338" s="12">
        <f>CMP!AD340</f>
        <v>1761.85</v>
      </c>
    </row>
    <row r="339">
      <c r="A339" s="12">
        <f>CMP!AB341</f>
        <v>1769.94</v>
      </c>
      <c r="B339" s="12">
        <f>CMP!AD341</f>
        <v>1797.27</v>
      </c>
    </row>
    <row r="340">
      <c r="A340" s="12">
        <f>CMP!AB342</f>
        <v>1796.26</v>
      </c>
      <c r="B340" s="12">
        <f>CMP!AD342</f>
        <v>1819.26</v>
      </c>
    </row>
    <row r="341">
      <c r="A341" s="12">
        <f>CMP!AB343</f>
        <v>1810.17</v>
      </c>
      <c r="B341" s="12">
        <f>CMP!AD343</f>
        <v>1764.77</v>
      </c>
    </row>
    <row r="342">
      <c r="A342" s="12">
        <f>CMP!AB344</f>
        <v>1757.79</v>
      </c>
      <c r="B342" s="12">
        <f>CMP!AD344</f>
        <v>1774.26</v>
      </c>
    </row>
    <row r="343">
      <c r="A343" s="12">
        <f>CMP!AB345</f>
        <v>1793</v>
      </c>
      <c r="B343" s="12">
        <f>CMP!AD345</f>
        <v>1783.76</v>
      </c>
    </row>
    <row r="344">
      <c r="A344" s="12">
        <f>CMP!AB346</f>
        <v>1784.13</v>
      </c>
      <c r="B344" s="12">
        <f>CMP!AD346</f>
        <v>1765.7</v>
      </c>
    </row>
    <row r="345">
      <c r="A345" s="12">
        <f>CMP!AB347</f>
        <v>1770</v>
      </c>
      <c r="B345" s="12">
        <f>CMP!AD347</f>
        <v>1773.42</v>
      </c>
    </row>
    <row r="346">
      <c r="A346" s="12">
        <f>CMP!AB348</f>
        <v>1786.58</v>
      </c>
      <c r="B346" s="12">
        <f>CMP!AD348</f>
        <v>1780.75</v>
      </c>
    </row>
    <row r="347">
      <c r="A347" s="12">
        <f>CMP!AB349</f>
        <v>1800.11</v>
      </c>
      <c r="B347" s="12">
        <f>CMP!AD349</f>
        <v>1814.19</v>
      </c>
    </row>
    <row r="348">
      <c r="A348" s="12">
        <f>CMP!AB350</f>
        <v>1811.02</v>
      </c>
      <c r="B348" s="12">
        <f>CMP!AD350</f>
        <v>1813.98</v>
      </c>
    </row>
    <row r="349">
      <c r="A349" s="12">
        <f>CMP!AB351</f>
        <v>1826.72</v>
      </c>
      <c r="B349" s="12">
        <f>CMP!AD351</f>
        <v>1820.7</v>
      </c>
    </row>
    <row r="350">
      <c r="A350" s="12">
        <f>CMP!AB352</f>
        <v>1820.65</v>
      </c>
      <c r="B350" s="12">
        <f>CMP!AD352</f>
        <v>1818.86</v>
      </c>
    </row>
    <row r="351">
      <c r="A351" s="12">
        <f>CMP!AB353</f>
        <v>1829</v>
      </c>
      <c r="B351" s="12">
        <f>CMP!AD353</f>
        <v>1837.28</v>
      </c>
    </row>
    <row r="352">
      <c r="A352" s="12">
        <f>CMP!AB354</f>
        <v>1833.23</v>
      </c>
      <c r="B352" s="12">
        <f>CMP!AD354</f>
        <v>1849.86</v>
      </c>
    </row>
    <row r="353">
      <c r="A353" s="12">
        <f>CMP!AB355</f>
        <v>1845.49</v>
      </c>
      <c r="B353" s="12">
        <f>CMP!AD355</f>
        <v>1835.84</v>
      </c>
    </row>
    <row r="354">
      <c r="A354" s="12">
        <f>CMP!AB356</f>
        <v>1841</v>
      </c>
      <c r="B354" s="12">
        <f>CMP!AD356</f>
        <v>1847.33</v>
      </c>
    </row>
    <row r="355">
      <c r="A355" s="12">
        <f>CMP!AB357</f>
        <v>1848.7</v>
      </c>
      <c r="B355" s="12">
        <f>CMP!AD357</f>
        <v>1844.07</v>
      </c>
    </row>
    <row r="356">
      <c r="A356" s="12">
        <f>CMP!AB358</f>
        <v>1848.4</v>
      </c>
      <c r="B356" s="12">
        <f>CMP!AD358</f>
        <v>1843.06</v>
      </c>
    </row>
    <row r="357">
      <c r="A357" s="12">
        <f>CMP!AB359</f>
        <v>1842</v>
      </c>
      <c r="B357" s="12">
        <f>CMP!AD359</f>
        <v>1844.87</v>
      </c>
    </row>
    <row r="358">
      <c r="A358" s="12">
        <f>CMP!AB360</f>
        <v>1851.35</v>
      </c>
      <c r="B358" s="12">
        <f>CMP!AD360</f>
        <v>1863.04</v>
      </c>
    </row>
    <row r="359">
      <c r="A359" s="12">
        <f>CMP!AB361</f>
        <v>1872.99</v>
      </c>
      <c r="B359" s="12">
        <f>CMP!AD361</f>
        <v>1864.82</v>
      </c>
    </row>
    <row r="360">
      <c r="A360" s="12">
        <f>CMP!AB362</f>
        <v>1868.79</v>
      </c>
      <c r="B360" s="12">
        <f>CMP!AD362</f>
        <v>1861.69</v>
      </c>
    </row>
    <row r="361">
      <c r="A361" s="12">
        <f>CMP!AB363</f>
        <v>1855.4</v>
      </c>
      <c r="B361" s="12">
        <f>CMP!AD363</f>
        <v>1887.31</v>
      </c>
    </row>
    <row r="362">
      <c r="A362" s="12">
        <f>CMP!AB364</f>
        <v>1891.2</v>
      </c>
      <c r="B362" s="12">
        <f>CMP!AD364</f>
        <v>1923.77</v>
      </c>
    </row>
    <row r="363">
      <c r="A363" s="12">
        <f>CMP!AB365</f>
        <v>1925</v>
      </c>
      <c r="B363" s="12">
        <f>CMP!AD365</f>
        <v>1901.75</v>
      </c>
    </row>
    <row r="364">
      <c r="A364" s="12">
        <f>CMP!AB366</f>
        <v>1917</v>
      </c>
      <c r="B364" s="12">
        <f>CMP!AD366</f>
        <v>1902.25</v>
      </c>
    </row>
    <row r="365">
      <c r="A365" s="12">
        <f>CMP!AB367</f>
        <v>1929</v>
      </c>
      <c r="B365" s="12">
        <f>CMP!AD367</f>
        <v>1950.63</v>
      </c>
    </row>
    <row r="366">
      <c r="A366" s="12">
        <f>CMP!AB368</f>
        <v>1949</v>
      </c>
      <c r="B366" s="12">
        <f>CMP!AD368</f>
        <v>1938.43</v>
      </c>
    </row>
    <row r="367">
      <c r="A367" s="12">
        <f>CMP!AB369</f>
        <v>1930.1</v>
      </c>
      <c r="B367" s="12">
        <f>CMP!AD369</f>
        <v>1926.52</v>
      </c>
    </row>
    <row r="368">
      <c r="A368" s="12">
        <f>CMP!AB370</f>
        <v>1933.09</v>
      </c>
      <c r="B368" s="12">
        <f>CMP!AD370</f>
        <v>1911.52</v>
      </c>
    </row>
    <row r="369">
      <c r="A369" s="12">
        <f>CMP!AB371</f>
        <v>1913.33</v>
      </c>
      <c r="B369" s="12">
        <f>CMP!AD371</f>
        <v>1900.82</v>
      </c>
    </row>
    <row r="370">
      <c r="A370" s="12">
        <f>CMP!AB372</f>
        <v>1949</v>
      </c>
      <c r="B370" s="12">
        <f>CMP!AD372</f>
        <v>1962.46</v>
      </c>
    </row>
    <row r="371">
      <c r="A371" s="12">
        <f>CMP!AB373</f>
        <v>1917.98</v>
      </c>
      <c r="B371" s="12">
        <f>CMP!AD373</f>
        <v>1950.55</v>
      </c>
    </row>
    <row r="372">
      <c r="A372" s="12">
        <f>CMP!AB374</f>
        <v>1939.99</v>
      </c>
      <c r="B372" s="12">
        <f>CMP!AD374</f>
        <v>1921</v>
      </c>
    </row>
    <row r="373">
      <c r="A373" s="12">
        <f>CMP!AB375</f>
        <v>1918.87</v>
      </c>
      <c r="B373" s="12">
        <f>CMP!AD375</f>
        <v>1917.77</v>
      </c>
    </row>
    <row r="374">
      <c r="A374" s="12">
        <f>CMP!AB376</f>
        <v>1900</v>
      </c>
      <c r="B374" s="12">
        <f>CMP!AD376</f>
        <v>1899.87</v>
      </c>
    </row>
    <row r="375">
      <c r="A375" s="12">
        <f>CMP!AB377</f>
        <v>1898</v>
      </c>
      <c r="B375" s="12">
        <f>CMP!AD377</f>
        <v>1889.98</v>
      </c>
    </row>
    <row r="376">
      <c r="A376" s="12">
        <f>CMP!AB378</f>
        <v>1836.56</v>
      </c>
      <c r="B376" s="12">
        <f>CMP!AD378</f>
        <v>1822.68</v>
      </c>
    </row>
    <row r="377">
      <c r="A377" s="12">
        <f>CMP!AB379</f>
        <v>1839.5</v>
      </c>
      <c r="B377" s="12">
        <f>CMP!AD379</f>
        <v>1840.12</v>
      </c>
    </row>
    <row r="378">
      <c r="A378" s="12">
        <f>CMP!AB380</f>
        <v>1827.95</v>
      </c>
      <c r="B378" s="12">
        <f>CMP!AD380</f>
        <v>1871.15</v>
      </c>
    </row>
    <row r="379">
      <c r="A379" s="12">
        <f>CMP!AB381</f>
        <v>1885.94</v>
      </c>
      <c r="B379" s="12">
        <f>CMP!AD381</f>
        <v>1907.57</v>
      </c>
    </row>
    <row r="380">
      <c r="A380" s="12">
        <f>CMP!AB382</f>
        <v>1893.05</v>
      </c>
      <c r="B380" s="12">
        <f>CMP!AD382</f>
        <v>1869</v>
      </c>
    </row>
    <row r="381">
      <c r="A381" s="12">
        <f>CMP!AB383</f>
        <v>1852.69</v>
      </c>
      <c r="B381" s="12">
        <f>CMP!AD383</f>
        <v>1858.97</v>
      </c>
    </row>
    <row r="382">
      <c r="A382" s="12">
        <f>CMP!AB384</f>
        <v>1874.79</v>
      </c>
      <c r="B382" s="12">
        <f>CMP!AD384</f>
        <v>1857.52</v>
      </c>
    </row>
    <row r="383">
      <c r="A383" s="12">
        <f>CMP!AB385</f>
        <v>1851.78</v>
      </c>
      <c r="B383" s="12">
        <f>CMP!AD385</f>
        <v>1859.68</v>
      </c>
    </row>
    <row r="384">
      <c r="A384" s="12">
        <f>CMP!AB386</f>
        <v>1836.59</v>
      </c>
      <c r="B384" s="12">
        <f>CMP!AD386</f>
        <v>1815.48</v>
      </c>
    </row>
    <row r="385">
      <c r="A385" s="12">
        <f>CMP!AB387</f>
        <v>1835.89</v>
      </c>
      <c r="B385" s="12">
        <f>CMP!AD387</f>
        <v>1823.28</v>
      </c>
    </row>
    <row r="386">
      <c r="A386" s="12">
        <f>CMP!AB388</f>
        <v>1832.75</v>
      </c>
      <c r="B386" s="12">
        <f>CMP!AD388</f>
        <v>1836.43</v>
      </c>
    </row>
    <row r="387">
      <c r="A387" s="12">
        <f>CMP!AB389</f>
        <v>1823.12</v>
      </c>
      <c r="B387" s="12">
        <f>CMP!AD389</f>
        <v>1819.19</v>
      </c>
    </row>
    <row r="388">
      <c r="A388" s="12">
        <f>CMP!AB390</f>
        <v>1825.49</v>
      </c>
      <c r="B388" s="12">
        <f>CMP!AD390</f>
        <v>1816.32</v>
      </c>
    </row>
    <row r="389">
      <c r="A389" s="12">
        <f>CMP!AB391</f>
        <v>1790.01</v>
      </c>
      <c r="B389" s="12">
        <f>CMP!AD391</f>
        <v>1775.07</v>
      </c>
    </row>
    <row r="390">
      <c r="A390" s="12">
        <f>CMP!AB392</f>
        <v>1760.01</v>
      </c>
      <c r="B390" s="12">
        <f>CMP!AD392</f>
        <v>1692.69</v>
      </c>
    </row>
    <row r="391">
      <c r="A391" s="12">
        <f>CMP!AB393</f>
        <v>1699.24</v>
      </c>
      <c r="B391" s="12">
        <f>CMP!AD393</f>
        <v>1729.56</v>
      </c>
    </row>
    <row r="392">
      <c r="A392" s="12">
        <f>CMP!AB394</f>
        <v>1749.6</v>
      </c>
      <c r="B392" s="12">
        <f>CMP!AD394</f>
        <v>1738.5</v>
      </c>
    </row>
    <row r="393">
      <c r="A393" s="12">
        <f>CMP!AB395</f>
        <v>1737.71</v>
      </c>
      <c r="B393" s="12">
        <f>CMP!AD395</f>
        <v>1754.36</v>
      </c>
    </row>
    <row r="394">
      <c r="A394" s="12">
        <f>CMP!AB396</f>
        <v>1763.7</v>
      </c>
      <c r="B394" s="12">
        <f>CMP!AD396</f>
        <v>1804.03</v>
      </c>
    </row>
    <row r="395">
      <c r="A395" s="12">
        <f>CMP!AB397</f>
        <v>1822</v>
      </c>
      <c r="B395" s="12">
        <f>CMP!AD397</f>
        <v>1860.63</v>
      </c>
    </row>
    <row r="396">
      <c r="A396" s="12">
        <f>CMP!AB398</f>
        <v>1883.25</v>
      </c>
      <c r="B396" s="12">
        <f>CMP!AD398</f>
        <v>1863.7</v>
      </c>
    </row>
    <row r="397">
      <c r="A397" s="12">
        <f>CMP!AB399</f>
        <v>1853.98</v>
      </c>
      <c r="B397" s="12">
        <f>CMP!AD399</f>
        <v>1855.32</v>
      </c>
    </row>
    <row r="398">
      <c r="A398" s="12">
        <f>CMP!AB400</f>
        <v>1866.72</v>
      </c>
      <c r="B398" s="12">
        <f>CMP!AD400</f>
        <v>1870.3</v>
      </c>
    </row>
    <row r="399">
      <c r="A399" s="12">
        <f>CMP!AB401</f>
        <v>1864</v>
      </c>
      <c r="B399" s="12">
        <f>CMP!AD401</f>
        <v>1869.67</v>
      </c>
    </row>
    <row r="400">
      <c r="A400" s="12">
        <f>CMP!AB402</f>
        <v>1876.5</v>
      </c>
      <c r="B400" s="12">
        <f>CMP!AD402</f>
        <v>1886.03</v>
      </c>
    </row>
    <row r="401">
      <c r="A401" s="12">
        <f>CMP!AB403</f>
        <v>1901.35</v>
      </c>
      <c r="B401" s="12">
        <f>CMP!AD403</f>
        <v>1901.37</v>
      </c>
    </row>
    <row r="402">
      <c r="A402" s="12">
        <f>CMP!AB404</f>
        <v>1907.84</v>
      </c>
      <c r="B402" s="12">
        <f>CMP!AD404</f>
        <v>1908.79</v>
      </c>
    </row>
    <row r="403">
      <c r="A403" s="12">
        <f>CMP!AB405</f>
        <v>1933.33</v>
      </c>
      <c r="B403" s="12">
        <f>CMP!AD405</f>
        <v>1918.19</v>
      </c>
    </row>
    <row r="404">
      <c r="A404" s="12">
        <f>CMP!AB406</f>
        <v>1916.1</v>
      </c>
      <c r="B404" s="12">
        <f>CMP!AD406</f>
        <v>1911.3</v>
      </c>
    </row>
    <row r="405">
      <c r="A405" s="12">
        <f>CMP!AB407</f>
        <v>1912.66</v>
      </c>
      <c r="B405" s="12">
        <f>CMP!AD407</f>
        <v>1913.9</v>
      </c>
    </row>
    <row r="406">
      <c r="A406" s="12">
        <f>CMP!AB408</f>
        <v>1911.84</v>
      </c>
      <c r="B406" s="12">
        <f>CMP!AD408</f>
        <v>1878.27</v>
      </c>
    </row>
    <row r="407">
      <c r="A407" s="12">
        <f>CMP!AB409</f>
        <v>1892.48</v>
      </c>
      <c r="B407" s="12">
        <f>CMP!AD409</f>
        <v>1897.83</v>
      </c>
    </row>
    <row r="408">
      <c r="A408" s="12">
        <f>CMP!AB410</f>
        <v>1902</v>
      </c>
      <c r="B408" s="12">
        <f>CMP!AD410</f>
        <v>1904.28</v>
      </c>
    </row>
    <row r="409">
      <c r="A409" s="12">
        <f>CMP!AB411</f>
        <v>1909.1</v>
      </c>
      <c r="B409" s="12">
        <f>CMP!AD411</f>
        <v>1893.63</v>
      </c>
    </row>
    <row r="410">
      <c r="A410" s="12">
        <f>CMP!AB412</f>
        <v>1922.98</v>
      </c>
      <c r="B410" s="12">
        <f>CMP!AD412</f>
        <v>1922.19</v>
      </c>
    </row>
    <row r="411">
      <c r="A411" s="12">
        <f>CMP!AB413</f>
        <v>1919.38</v>
      </c>
      <c r="B411" s="12">
        <f>CMP!AD413</f>
        <v>1934.31</v>
      </c>
    </row>
    <row r="412">
      <c r="A412" s="12">
        <f>CMP!AB414</f>
        <v>1935.89</v>
      </c>
      <c r="B412" s="12">
        <f>CMP!AD414</f>
        <v>1939</v>
      </c>
    </row>
    <row r="413">
      <c r="A413" s="12">
        <f>CMP!AB415</f>
        <v>1928.6</v>
      </c>
      <c r="B413" s="12">
        <f>CMP!AD415</f>
        <v>1942.91</v>
      </c>
    </row>
    <row r="414">
      <c r="A414" s="12">
        <f>CMP!AB416</f>
        <v>1934.12</v>
      </c>
      <c r="B414" s="12">
        <f>CMP!AD416</f>
        <v>1952.32</v>
      </c>
    </row>
    <row r="415">
      <c r="A415" s="12">
        <f>CMP!AB417</f>
        <v>1947.8</v>
      </c>
      <c r="B415" s="12">
        <f>CMP!AD417</f>
        <v>1988.3</v>
      </c>
    </row>
    <row r="416">
      <c r="A416" s="12">
        <f>CMP!AB418</f>
        <v>1996.51</v>
      </c>
      <c r="B416" s="12">
        <f>CMP!AD418</f>
        <v>2017.41</v>
      </c>
    </row>
    <row r="417">
      <c r="A417" s="12">
        <f>CMP!AB419</f>
        <v>2025.62</v>
      </c>
      <c r="B417" s="12">
        <f>CMP!AD419</f>
        <v>2001.07</v>
      </c>
    </row>
    <row r="418">
      <c r="A418" s="12">
        <f>CMP!AB420</f>
        <v>2008.27</v>
      </c>
      <c r="B418" s="12">
        <f>CMP!AD420</f>
        <v>2011</v>
      </c>
    </row>
    <row r="419">
      <c r="A419" s="12">
        <f>CMP!AB421</f>
        <v>2021.4</v>
      </c>
      <c r="B419" s="12">
        <f>CMP!AD421</f>
        <v>2020.99</v>
      </c>
    </row>
    <row r="420">
      <c r="A420" s="12">
        <f>CMP!AB422</f>
        <v>2010.58</v>
      </c>
      <c r="B420" s="12">
        <f>CMP!AD422</f>
        <v>2009.9</v>
      </c>
    </row>
    <row r="421">
      <c r="A421" s="12">
        <f>CMP!AB423</f>
        <v>2007.05</v>
      </c>
      <c r="B421" s="12">
        <f>CMP!AD423</f>
        <v>1992.03</v>
      </c>
    </row>
    <row r="422">
      <c r="A422" s="12">
        <f>CMP!AB424</f>
        <v>1980.01</v>
      </c>
      <c r="B422" s="12">
        <f>CMP!AD424</f>
        <v>1977.9</v>
      </c>
    </row>
    <row r="423">
      <c r="A423" s="12">
        <f>CMP!AB425</f>
        <v>1991.21</v>
      </c>
      <c r="B423" s="12">
        <f>CMP!AD425</f>
        <v>1964.52</v>
      </c>
    </row>
    <row r="424">
      <c r="A424" s="12">
        <f>CMP!AB426</f>
        <v>1971.14</v>
      </c>
      <c r="B424" s="12">
        <f>CMP!AD426</f>
        <v>1985.63</v>
      </c>
    </row>
    <row r="425">
      <c r="A425" s="12">
        <f>CMP!AB427</f>
        <v>1995.99</v>
      </c>
      <c r="B425" s="12">
        <f>CMP!AD427</f>
        <v>1994.49</v>
      </c>
    </row>
    <row r="426">
      <c r="A426" s="12">
        <f>CMP!AB428</f>
        <v>1969.3</v>
      </c>
      <c r="B426" s="12">
        <f>CMP!AD428</f>
        <v>2000.81</v>
      </c>
    </row>
    <row r="427">
      <c r="A427" s="12">
        <f>CMP!AB429</f>
        <v>2001</v>
      </c>
      <c r="B427" s="12">
        <f>CMP!AD429</f>
        <v>1973.82</v>
      </c>
    </row>
    <row r="428">
      <c r="A428" s="12">
        <f>CMP!AB430</f>
        <v>1942</v>
      </c>
      <c r="B428" s="12">
        <f>CMP!AD430</f>
        <v>1943.05</v>
      </c>
    </row>
    <row r="429">
      <c r="A429" s="12">
        <f>CMP!AB431</f>
        <v>1930</v>
      </c>
      <c r="B429" s="12">
        <f>CMP!AD431</f>
        <v>1912.45</v>
      </c>
    </row>
    <row r="430">
      <c r="A430" s="12">
        <f>CMP!AB432</f>
        <v>1891.12</v>
      </c>
      <c r="B430" s="12">
        <f>CMP!AD432</f>
        <v>1898.53</v>
      </c>
    </row>
    <row r="431">
      <c r="A431" s="12">
        <f>CMP!AB433</f>
        <v>1898.11</v>
      </c>
      <c r="B431" s="12">
        <f>CMP!AD433</f>
        <v>1866.78</v>
      </c>
    </row>
    <row r="432">
      <c r="A432" s="12">
        <f>CMP!AB434</f>
        <v>1871.72</v>
      </c>
      <c r="B432" s="12">
        <f>CMP!AD434</f>
        <v>1855.32</v>
      </c>
    </row>
    <row r="433">
      <c r="A433" s="12">
        <f>CMP!AB435</f>
        <v>1845.07</v>
      </c>
      <c r="B433" s="12">
        <f>CMP!AD435</f>
        <v>1823.24</v>
      </c>
    </row>
    <row r="434">
      <c r="A434" s="12">
        <f>CMP!AB436</f>
        <v>1770.22</v>
      </c>
      <c r="B434" s="12">
        <f>CMP!AD436</f>
        <v>1765.13</v>
      </c>
    </row>
    <row r="435">
      <c r="A435" s="12">
        <f>CMP!AB437</f>
        <v>1792.23</v>
      </c>
      <c r="B435" s="12">
        <f>CMP!AD437</f>
        <v>1787.83</v>
      </c>
    </row>
    <row r="436">
      <c r="A436" s="12">
        <f>CMP!AB438</f>
        <v>1773.99</v>
      </c>
      <c r="B436" s="12">
        <f>CMP!AD438</f>
        <v>1793.4</v>
      </c>
    </row>
    <row r="437">
      <c r="A437" s="12">
        <f>CMP!AB439</f>
        <v>1806</v>
      </c>
      <c r="B437" s="12">
        <f>CMP!AD439</f>
        <v>1832.89</v>
      </c>
    </row>
    <row r="438">
      <c r="A438" s="12">
        <f>CMP!AB440</f>
        <v>1828.95</v>
      </c>
      <c r="B438" s="12">
        <f>CMP!AD440</f>
        <v>1807.58</v>
      </c>
    </row>
    <row r="439">
      <c r="A439" s="12">
        <f>CMP!AB441</f>
        <v>1795.99</v>
      </c>
      <c r="B439" s="12">
        <f>CMP!AD441</f>
        <v>1784.92</v>
      </c>
    </row>
    <row r="440">
      <c r="A440" s="12">
        <f>CMP!AB442</f>
        <v>1783</v>
      </c>
      <c r="B440" s="12">
        <f>CMP!AD442</f>
        <v>1824.34</v>
      </c>
    </row>
    <row r="441">
      <c r="A441" s="12">
        <f>CMP!AB443</f>
        <v>1793.01</v>
      </c>
      <c r="B441" s="12">
        <f>CMP!AD443</f>
        <v>1762.96</v>
      </c>
    </row>
    <row r="442">
      <c r="A442" s="12">
        <f>CMP!AB444</f>
        <v>1781.99</v>
      </c>
      <c r="B442" s="12">
        <f>CMP!AD444</f>
        <v>1776.12</v>
      </c>
    </row>
    <row r="443">
      <c r="A443" s="12">
        <f>CMP!AB445</f>
        <v>1792.89</v>
      </c>
      <c r="B443" s="12">
        <f>CMP!AD445</f>
        <v>1792.57</v>
      </c>
    </row>
    <row r="444">
      <c r="A444" s="12">
        <f>CMP!AB446</f>
        <v>1818.08</v>
      </c>
      <c r="B444" s="12">
        <f>CMP!AD446</f>
        <v>1816.12</v>
      </c>
    </row>
    <row r="445">
      <c r="A445" s="12">
        <f>CMP!AB447</f>
        <v>1814.5</v>
      </c>
      <c r="B445" s="12">
        <f>CMP!AD447</f>
        <v>1801.38</v>
      </c>
    </row>
    <row r="446">
      <c r="A446" s="12">
        <f>CMP!AB448</f>
        <v>1819.39</v>
      </c>
      <c r="B446" s="12">
        <f>CMP!AD448</f>
        <v>1823.54</v>
      </c>
    </row>
    <row r="447">
      <c r="A447" s="12">
        <f>CMP!AB449</f>
        <v>1828</v>
      </c>
      <c r="B447" s="12">
        <f>CMP!AD449</f>
        <v>1805.6</v>
      </c>
    </row>
    <row r="448">
      <c r="A448" s="12">
        <f>CMP!AB450</f>
        <v>1793.03</v>
      </c>
      <c r="B448" s="12">
        <f>CMP!AD450</f>
        <v>1749.62</v>
      </c>
    </row>
    <row r="449">
      <c r="A449" s="12">
        <f>CMP!AB451</f>
        <v>1766.91</v>
      </c>
      <c r="B449" s="12">
        <f>CMP!AD451</f>
        <v>1768.87</v>
      </c>
    </row>
    <row r="450">
      <c r="A450" s="12">
        <f>CMP!AB452</f>
        <v>1775.73</v>
      </c>
      <c r="B450" s="12">
        <f>CMP!AD452</f>
        <v>1761.83</v>
      </c>
    </row>
    <row r="451">
      <c r="A451" s="12">
        <f>CMP!AB453</f>
        <v>1755</v>
      </c>
      <c r="B451" s="12">
        <f>CMP!AD453</f>
        <v>1764.25</v>
      </c>
    </row>
    <row r="452">
      <c r="A452" s="12">
        <f>CMP!AB454</f>
        <v>1783</v>
      </c>
      <c r="B452" s="12">
        <f>CMP!AD454</f>
        <v>1786.4</v>
      </c>
    </row>
    <row r="453">
      <c r="A453" s="12">
        <f>CMP!AB455</f>
        <v>1797.49</v>
      </c>
      <c r="B453" s="12">
        <f>CMP!AD455</f>
        <v>1776.29</v>
      </c>
    </row>
    <row r="454">
      <c r="A454" s="12">
        <f>CMP!AB456</f>
        <v>1770</v>
      </c>
      <c r="B454" s="12">
        <f>CMP!AD456</f>
        <v>1789.84</v>
      </c>
    </row>
    <row r="455">
      <c r="A455" s="12">
        <f>CMP!AB457</f>
        <v>1805</v>
      </c>
      <c r="B455" s="12">
        <f>CMP!AD457</f>
        <v>1800.62</v>
      </c>
    </row>
    <row r="456">
      <c r="A456" s="12">
        <f>CMP!AB458</f>
        <v>1821.95</v>
      </c>
      <c r="B456" s="12">
        <f>CMP!AD458</f>
        <v>1840.72</v>
      </c>
    </row>
    <row r="457">
      <c r="A457" s="12">
        <f>CMP!AB459</f>
        <v>1838.22</v>
      </c>
      <c r="B457" s="12">
        <f>CMP!AD459</f>
        <v>1833.51</v>
      </c>
    </row>
    <row r="458">
      <c r="A458" s="12">
        <f>CMP!AB460</f>
        <v>1841</v>
      </c>
      <c r="B458" s="12">
        <f>CMP!AD460</f>
        <v>1831.35</v>
      </c>
    </row>
    <row r="459">
      <c r="A459" s="12">
        <f>CMP!AB461</f>
        <v>1822.75</v>
      </c>
      <c r="B459" s="12">
        <f>CMP!AD461</f>
        <v>1820.55</v>
      </c>
    </row>
    <row r="460">
      <c r="A460" s="12">
        <f>CMP!AB462</f>
        <v>1812.14</v>
      </c>
      <c r="B460" s="12">
        <f>CMP!AD462</f>
        <v>1822.99</v>
      </c>
    </row>
    <row r="461">
      <c r="A461" s="12">
        <f>CMP!AB463</f>
        <v>1837.63</v>
      </c>
      <c r="B461" s="12">
        <f>CMP!AD463</f>
        <v>1843.55</v>
      </c>
    </row>
    <row r="462">
      <c r="A462" s="12">
        <f>CMP!AB464</f>
        <v>1842.01</v>
      </c>
      <c r="B462" s="12">
        <f>CMP!AD464</f>
        <v>1839.34</v>
      </c>
    </row>
    <row r="463">
      <c r="A463" s="12">
        <f>CMP!AB465</f>
        <v>1824.02</v>
      </c>
      <c r="B463" s="12">
        <f>CMP!AD465</f>
        <v>1807.84</v>
      </c>
    </row>
    <row r="464">
      <c r="A464" s="12">
        <f>CMP!AB466</f>
        <v>1807.08</v>
      </c>
      <c r="B464" s="12">
        <f>CMP!AD466</f>
        <v>1822.55</v>
      </c>
    </row>
    <row r="465">
      <c r="A465" s="12">
        <f>CMP!AB467</f>
        <v>1817.04</v>
      </c>
      <c r="B465" s="12">
        <f>CMP!AD467</f>
        <v>1817.46</v>
      </c>
    </row>
    <row r="466">
      <c r="A466" s="12">
        <f>CMP!AB468</f>
        <v>1821.02</v>
      </c>
      <c r="B466" s="12">
        <f>CMP!AD468</f>
        <v>1821.5</v>
      </c>
    </row>
    <row r="467">
      <c r="A467" s="12">
        <f>CMP!AB469</f>
        <v>1821.71</v>
      </c>
      <c r="B467" s="12">
        <f>CMP!AD469</f>
        <v>1794.16</v>
      </c>
    </row>
    <row r="468">
      <c r="A468" s="12">
        <f>CMP!AB470</f>
        <v>1777</v>
      </c>
      <c r="B468" s="12">
        <f>CMP!AD470</f>
        <v>1785.3</v>
      </c>
    </row>
    <row r="469">
      <c r="A469" s="12">
        <f>CMP!AB471</f>
        <v>1790.61</v>
      </c>
      <c r="B469" s="12">
        <f>CMP!AD471</f>
        <v>1741.61</v>
      </c>
    </row>
    <row r="470">
      <c r="A470" s="12">
        <f>CMP!AB472</f>
        <v>1747.36</v>
      </c>
      <c r="B470" s="12">
        <f>CMP!AD472</f>
        <v>1768.33</v>
      </c>
    </row>
    <row r="471">
      <c r="A471" s="12">
        <f>CMP!AB473</f>
        <v>1762.79</v>
      </c>
      <c r="B471" s="12">
        <f>CMP!AD473</f>
        <v>1739.84</v>
      </c>
    </row>
    <row r="472">
      <c r="A472" s="12">
        <f>CMP!AB474</f>
        <v>1748</v>
      </c>
      <c r="B472" s="12">
        <f>CMP!AD474</f>
        <v>1725.45</v>
      </c>
    </row>
    <row r="473">
      <c r="A473" s="12">
        <f>CMP!AB475</f>
        <v>1726.99</v>
      </c>
      <c r="B473" s="12">
        <f>CMP!AD475</f>
        <v>1735.91</v>
      </c>
    </row>
    <row r="474">
      <c r="A474" s="12">
        <f>CMP!AB476</f>
        <v>1746</v>
      </c>
      <c r="B474" s="12">
        <f>CMP!AD476</f>
        <v>1735.65</v>
      </c>
    </row>
    <row r="475">
      <c r="A475" s="12">
        <f>CMP!AB477</f>
        <v>1727.74</v>
      </c>
      <c r="B475" s="12">
        <f>CMP!AD477</f>
        <v>1713.23</v>
      </c>
    </row>
    <row r="476">
      <c r="A476" s="12">
        <f>CMP!AB478</f>
        <v>1713</v>
      </c>
      <c r="B476" s="12">
        <f>CMP!AD478</f>
        <v>1724.42</v>
      </c>
    </row>
    <row r="477">
      <c r="A477" s="12">
        <f>CMP!AB479</f>
        <v>1726.02</v>
      </c>
      <c r="B477" s="12">
        <f>CMP!AD479</f>
        <v>1739.65</v>
      </c>
    </row>
    <row r="478">
      <c r="A478" s="12">
        <f>CMP!AB480</f>
        <v>1731.63</v>
      </c>
      <c r="B478" s="12">
        <f>CMP!AD480</f>
        <v>1732.66</v>
      </c>
    </row>
    <row r="479">
      <c r="A479" s="12">
        <f>CMP!AB481</f>
        <v>1722.49</v>
      </c>
      <c r="B479" s="12">
        <f>CMP!AD481</f>
        <v>1705.51</v>
      </c>
    </row>
    <row r="480">
      <c r="A480" s="12">
        <f>CMP!AB482</f>
        <v>1719.61</v>
      </c>
      <c r="B480" s="12">
        <f>CMP!AD482</f>
        <v>1721.99</v>
      </c>
    </row>
    <row r="481">
      <c r="A481" s="12">
        <f>CMP!AB483</f>
        <v>1725.24</v>
      </c>
      <c r="B481" s="12">
        <f>CMP!AD483</f>
        <v>1720.26</v>
      </c>
    </row>
    <row r="482">
      <c r="A482" s="12">
        <f>CMP!AB484</f>
        <v>1742.92</v>
      </c>
      <c r="B482" s="12">
        <f>CMP!AD484</f>
        <v>1731.92</v>
      </c>
    </row>
    <row r="483">
      <c r="A483" s="12">
        <f>CMP!AB485</f>
        <v>1728.91</v>
      </c>
      <c r="B483" s="12">
        <f>CMP!AD485</f>
        <v>1736.43</v>
      </c>
    </row>
    <row r="484">
      <c r="A484" s="12">
        <f>CMP!AB486</f>
        <v>1742.14</v>
      </c>
      <c r="B484" s="12">
        <f>CMP!AD486</f>
        <v>1767.38</v>
      </c>
    </row>
    <row r="485">
      <c r="A485" s="12">
        <f>CMP!AB487</f>
        <v>1773.33</v>
      </c>
      <c r="B485" s="12">
        <f>CMP!AD487</f>
        <v>1777.43</v>
      </c>
    </row>
    <row r="486">
      <c r="A486" s="12">
        <f>CMP!AB488</f>
        <v>1796.49</v>
      </c>
      <c r="B486" s="12">
        <f>CMP!AD488</f>
        <v>1787.48</v>
      </c>
    </row>
    <row r="487">
      <c r="A487" s="12">
        <f>CMP!AB489</f>
        <v>1787.8</v>
      </c>
      <c r="B487" s="12">
        <f>CMP!AD489</f>
        <v>1757.51</v>
      </c>
    </row>
    <row r="488">
      <c r="A488" s="12">
        <f>CMP!AB490</f>
        <v>1769.66</v>
      </c>
      <c r="B488" s="12">
        <f>CMP!AD490</f>
        <v>1785.66</v>
      </c>
    </row>
    <row r="489">
      <c r="A489" s="12">
        <f>CMP!AB491</f>
        <v>1788.15</v>
      </c>
      <c r="B489" s="12">
        <f>CMP!AD491</f>
        <v>1765.73</v>
      </c>
    </row>
    <row r="490">
      <c r="A490" s="12">
        <f>CMP!AB492</f>
        <v>1761.3</v>
      </c>
      <c r="B490" s="12">
        <f>CMP!AD492</f>
        <v>1762.17</v>
      </c>
    </row>
    <row r="491">
      <c r="A491" s="12">
        <f>CMP!AB493</f>
        <v>1771.09</v>
      </c>
      <c r="B491" s="12">
        <f>CMP!AD493</f>
        <v>1780.78</v>
      </c>
    </row>
    <row r="492">
      <c r="A492" s="12">
        <f>CMP!AB494</f>
        <v>1697.55</v>
      </c>
      <c r="B492" s="12">
        <f>CMP!AD494</f>
        <v>1761.33</v>
      </c>
    </row>
    <row r="493">
      <c r="A493" s="12">
        <f>CMP!AB495</f>
        <v>1748.06</v>
      </c>
      <c r="B493" s="12">
        <f>CMP!AD495</f>
        <v>1777.08</v>
      </c>
    </row>
    <row r="494">
      <c r="A494" s="12">
        <f>CMP!AB496</f>
        <v>1774.81</v>
      </c>
      <c r="B494" s="12">
        <f>CMP!AD496</f>
        <v>1762.71</v>
      </c>
    </row>
    <row r="495">
      <c r="A495" s="12">
        <f>CMP!AB497</f>
        <v>1760.24</v>
      </c>
      <c r="B495" s="12">
        <f>CMP!AD497</f>
        <v>1779.99</v>
      </c>
    </row>
    <row r="496">
      <c r="A496" s="12">
        <f>CMP!AB498</f>
        <v>1775.99</v>
      </c>
      <c r="B496" s="12">
        <f>CMP!AD498</f>
        <v>1776.66</v>
      </c>
    </row>
    <row r="497">
      <c r="A497" s="12">
        <f>CMP!AB499</f>
        <v>1788.01</v>
      </c>
      <c r="B497" s="12">
        <f>CMP!AD499</f>
        <v>1791.44</v>
      </c>
    </row>
    <row r="498">
      <c r="A498" s="12">
        <f>CMP!AB500</f>
        <v>1801.01</v>
      </c>
      <c r="B498" s="12">
        <f>CMP!AD500</f>
        <v>1804.66</v>
      </c>
    </row>
    <row r="499">
      <c r="A499" s="12">
        <f>CMP!AB501</f>
        <v>1809.16</v>
      </c>
      <c r="B499" s="12">
        <f>CMP!AD501</f>
        <v>1801.71</v>
      </c>
    </row>
    <row r="500">
      <c r="A500" s="12">
        <f>CMP!AB502</f>
        <v>1801</v>
      </c>
      <c r="B500" s="12">
        <f>CMP!AD502</f>
        <v>1795.77</v>
      </c>
    </row>
    <row r="501">
      <c r="A501" s="12">
        <f>CMP!AB503</f>
        <v>1803.76</v>
      </c>
      <c r="B501" s="12">
        <f>CMP!AD503</f>
        <v>1788.2</v>
      </c>
    </row>
    <row r="502">
      <c r="A502" s="12">
        <f>CMP!AB504</f>
        <v>1787.89</v>
      </c>
      <c r="B502" s="12">
        <f>CMP!AD504</f>
        <v>1785.88</v>
      </c>
    </row>
    <row r="503">
      <c r="A503" s="12">
        <f>CMP!AB505</f>
        <v>1778</v>
      </c>
      <c r="B503" s="12">
        <f>CMP!AD505</f>
        <v>1771.65</v>
      </c>
    </row>
    <row r="504">
      <c r="A504" s="12">
        <f>CMP!AB506</f>
        <v>1774.66</v>
      </c>
      <c r="B504" s="12">
        <f>CMP!AD506</f>
        <v>1778</v>
      </c>
    </row>
    <row r="505">
      <c r="A505" s="12">
        <f>CMP!AB507</f>
        <v>1773.39</v>
      </c>
      <c r="B505" s="12">
        <f>CMP!AD507</f>
        <v>1753.11</v>
      </c>
    </row>
    <row r="506">
      <c r="A506" s="12">
        <f>CMP!AB508</f>
        <v>1751.43</v>
      </c>
      <c r="B506" s="12">
        <f>CMP!AD508</f>
        <v>1754.6</v>
      </c>
    </row>
    <row r="507">
      <c r="A507" s="12">
        <f>CMP!AB509</f>
        <v>1760.05</v>
      </c>
      <c r="B507" s="12">
        <f>CMP!AD509</f>
        <v>1739.49</v>
      </c>
    </row>
    <row r="508">
      <c r="A508" s="12">
        <f>CMP!AB510</f>
        <v>1738.3</v>
      </c>
      <c r="B508" s="12">
        <f>CMP!AD510</f>
        <v>1752.53</v>
      </c>
    </row>
    <row r="509">
      <c r="A509" s="12">
        <f>CMP!AB511</f>
        <v>1756.99</v>
      </c>
      <c r="B509" s="12">
        <f>CMP!AD511</f>
        <v>1752.79</v>
      </c>
    </row>
    <row r="510">
      <c r="A510" s="12">
        <f>CMP!AB512</f>
        <v>1749.14</v>
      </c>
      <c r="B510" s="12">
        <f>CMP!AD512</f>
        <v>1745.53</v>
      </c>
    </row>
    <row r="511">
      <c r="A511" s="12">
        <f>CMP!AB513</f>
        <v>1743</v>
      </c>
      <c r="B511" s="12">
        <f>CMP!AD513</f>
        <v>1734.71</v>
      </c>
    </row>
    <row r="512">
      <c r="A512" s="12">
        <f>CMP!AB514</f>
        <v>1739.02</v>
      </c>
      <c r="B512" s="12">
        <f>CMP!AD514</f>
        <v>1745.72</v>
      </c>
    </row>
    <row r="513">
      <c r="A513" s="12">
        <f>CMP!AB515</f>
        <v>1753.25</v>
      </c>
      <c r="B513" s="12">
        <f>CMP!AD515</f>
        <v>1773.84</v>
      </c>
    </row>
    <row r="514">
      <c r="A514" s="12">
        <f>CMP!AB516</f>
        <v>1779.92</v>
      </c>
      <c r="B514" s="12">
        <f>CMP!AD516</f>
        <v>1796.94</v>
      </c>
    </row>
    <row r="515">
      <c r="A515" s="12">
        <f>CMP!AB517</f>
        <v>1801</v>
      </c>
      <c r="B515" s="12">
        <f>CMP!AD517</f>
        <v>1818.51</v>
      </c>
    </row>
    <row r="516">
      <c r="A516" s="12">
        <f>CMP!AB518</f>
        <v>1817.78</v>
      </c>
      <c r="B516" s="12">
        <f>CMP!AD518</f>
        <v>1800.8</v>
      </c>
    </row>
    <row r="517">
      <c r="A517" s="12">
        <f>CMP!AB519</f>
        <v>1804.4</v>
      </c>
      <c r="B517" s="12">
        <f>CMP!AD519</f>
        <v>1781.6</v>
      </c>
    </row>
    <row r="518">
      <c r="A518" s="12">
        <f>CMP!AB520</f>
        <v>1760</v>
      </c>
      <c r="B518" s="12">
        <f>CMP!AD520</f>
        <v>1769.96</v>
      </c>
    </row>
    <row r="519">
      <c r="A519" s="12">
        <f>CMP!AB521</f>
        <v>1774.01</v>
      </c>
      <c r="B519" s="12">
        <f>CMP!AD521</f>
        <v>1760.69</v>
      </c>
    </row>
    <row r="520">
      <c r="A520" s="12">
        <f>CMP!AB522</f>
        <v>1763.5</v>
      </c>
      <c r="B520" s="12">
        <f>CMP!AD522</f>
        <v>1740.48</v>
      </c>
    </row>
    <row r="521">
      <c r="A521" s="12">
        <f>CMP!AB523</f>
        <v>1751.2</v>
      </c>
      <c r="B521" s="12">
        <f>CMP!AD523</f>
        <v>1751.6</v>
      </c>
    </row>
    <row r="522">
      <c r="A522" s="12">
        <f>CMP!AB524</f>
        <v>1750.66</v>
      </c>
      <c r="B522" s="12">
        <f>CMP!AD524</f>
        <v>1749.51</v>
      </c>
    </row>
    <row r="523">
      <c r="A523" s="12">
        <f>CMP!AB525</f>
        <v>1747.4</v>
      </c>
      <c r="B523" s="12">
        <f>CMP!AD525</f>
        <v>1739.21</v>
      </c>
    </row>
    <row r="524">
      <c r="A524" s="12">
        <f>CMP!AB526</f>
        <v>1741.67</v>
      </c>
      <c r="B524" s="12">
        <f>CMP!AD526</f>
        <v>1748.72</v>
      </c>
    </row>
    <row r="525">
      <c r="A525" s="12">
        <f>CMP!AB527</f>
        <v>1750</v>
      </c>
      <c r="B525" s="12">
        <f>CMP!AD527</f>
        <v>1760.33</v>
      </c>
    </row>
    <row r="526">
      <c r="A526" s="12">
        <f>CMP!AB528</f>
        <v>1765</v>
      </c>
      <c r="B526" s="12">
        <f>CMP!AD528</f>
        <v>1760.94</v>
      </c>
    </row>
    <row r="527">
      <c r="A527" s="12">
        <f>CMP!AB529</f>
        <v>1767</v>
      </c>
      <c r="B527" s="12">
        <f>CMP!AD529</f>
        <v>1769.21</v>
      </c>
    </row>
    <row r="528">
      <c r="A528" s="12">
        <f>CMP!AB530</f>
        <v>1778.01</v>
      </c>
      <c r="B528" s="12">
        <f>CMP!AD530</f>
        <v>1790.66</v>
      </c>
    </row>
    <row r="529">
      <c r="A529" s="12">
        <f>CMP!AB531</f>
        <v>1795.02</v>
      </c>
      <c r="B529" s="12">
        <f>CMP!AD531</f>
        <v>1784.03</v>
      </c>
    </row>
    <row r="530">
      <c r="A530" s="12">
        <f>CMP!AB532</f>
        <v>1780.5</v>
      </c>
      <c r="B530" s="12">
        <f>CMP!AD532</f>
        <v>1792.28</v>
      </c>
    </row>
    <row r="531">
      <c r="A531" s="12">
        <f>CMP!AB533</f>
        <v>1799.62</v>
      </c>
      <c r="B531" s="12">
        <f>CMP!AD533</f>
        <v>1786.5</v>
      </c>
    </row>
    <row r="532">
      <c r="A532" s="12">
        <f>CMP!AB534</f>
        <v>1788.26</v>
      </c>
      <c r="B532" s="12">
        <f>CMP!AD534</f>
        <v>1793</v>
      </c>
    </row>
    <row r="533">
      <c r="A533" s="12">
        <f>CMP!AB535</f>
        <v>1793.81</v>
      </c>
      <c r="B533" s="12">
        <f>CMP!AD535</f>
        <v>1789.21</v>
      </c>
    </row>
    <row r="534">
      <c r="A534" s="12">
        <f>CMP!AB536</f>
        <v>1801.01</v>
      </c>
      <c r="B534" s="12">
        <f>CMP!AD536</f>
        <v>1868.77</v>
      </c>
    </row>
    <row r="535">
      <c r="A535" s="12">
        <f>CMP!AB537</f>
        <v>1882.92</v>
      </c>
      <c r="B535" s="12">
        <f>CMP!AD537</f>
        <v>1869.8</v>
      </c>
    </row>
    <row r="536">
      <c r="A536" s="12">
        <f>CMP!AB538</f>
        <v>1874</v>
      </c>
      <c r="B536" s="12">
        <f>CMP!AD538</f>
        <v>1846.89</v>
      </c>
    </row>
    <row r="537">
      <c r="A537" s="12">
        <f>CMP!AB539</f>
        <v>1842</v>
      </c>
      <c r="B537" s="12">
        <f>CMP!AD539</f>
        <v>1847.84</v>
      </c>
    </row>
    <row r="538">
      <c r="A538" s="12">
        <f>CMP!AB540</f>
        <v>1875</v>
      </c>
      <c r="B538" s="12">
        <f>CMP!AD540</f>
        <v>1898.01</v>
      </c>
    </row>
    <row r="539">
      <c r="A539" s="12">
        <f>CMP!AB541</f>
        <v>1864.5</v>
      </c>
      <c r="B539" s="12">
        <f>CMP!AD541</f>
        <v>1874.97</v>
      </c>
    </row>
    <row r="540">
      <c r="A540" s="12">
        <f>CMP!AB542</f>
        <v>1860</v>
      </c>
      <c r="B540" s="12">
        <f>CMP!AD542</f>
        <v>1902.88</v>
      </c>
    </row>
    <row r="541">
      <c r="A541" s="12">
        <f>CMP!AB543</f>
        <v>1904.5</v>
      </c>
      <c r="B541" s="12">
        <f>CMP!AD543</f>
        <v>1906.86</v>
      </c>
    </row>
    <row r="542">
      <c r="A542" s="12">
        <f>CMP!AB544</f>
        <v>1898.04</v>
      </c>
      <c r="B542" s="12">
        <f>CMP!AD544</f>
        <v>1891.97</v>
      </c>
    </row>
    <row r="543">
      <c r="A543" s="12">
        <f>CMP!AB545</f>
        <v>1909.89</v>
      </c>
      <c r="B543" s="12">
        <f>CMP!AD545</f>
        <v>1901.05</v>
      </c>
    </row>
    <row r="544">
      <c r="A544" s="12">
        <f>CMP!AB546</f>
        <v>1905.37</v>
      </c>
      <c r="B544" s="12">
        <f>CMP!AD546</f>
        <v>1883.16</v>
      </c>
    </row>
    <row r="545">
      <c r="A545" s="12">
        <f>CMP!AB547</f>
        <v>1891.31</v>
      </c>
      <c r="B545" s="12">
        <f>CMP!AD547</f>
        <v>1891.3</v>
      </c>
    </row>
    <row r="546">
      <c r="A546" s="12">
        <f>CMP!AB548</f>
        <v>1885.88</v>
      </c>
      <c r="B546" s="12">
        <f>CMP!AD548</f>
        <v>1869.44</v>
      </c>
    </row>
    <row r="547">
      <c r="A547" s="12">
        <f>CMP!AB549</f>
        <v>1872.25</v>
      </c>
      <c r="B547" s="12">
        <f>CMP!AD549</f>
        <v>1862.02</v>
      </c>
    </row>
    <row r="548">
      <c r="A548" s="12">
        <f>CMP!AB550</f>
        <v>1882.99</v>
      </c>
      <c r="B548" s="12">
        <f>CMP!AD550</f>
        <v>1877.94</v>
      </c>
    </row>
    <row r="549">
      <c r="A549" s="12">
        <f>CMP!AB551</f>
        <v>1885.89</v>
      </c>
      <c r="B549" s="12">
        <f>CMP!AD551</f>
        <v>1864.72</v>
      </c>
    </row>
    <row r="550">
      <c r="A550" s="12">
        <f>CMP!AB552</f>
        <v>1865</v>
      </c>
      <c r="B550" s="12">
        <f>CMP!AD552</f>
        <v>1892</v>
      </c>
    </row>
    <row r="551">
      <c r="A551" s="12">
        <f>CMP!AB553</f>
        <v>1896.09</v>
      </c>
      <c r="B551" s="12">
        <f>CMP!AD553</f>
        <v>1887.46</v>
      </c>
    </row>
    <row r="552">
      <c r="A552" s="12">
        <f>CMP!AB554</f>
        <v>1885.11</v>
      </c>
      <c r="B552" s="12">
        <f>CMP!AD554</f>
        <v>1884.58</v>
      </c>
    </row>
    <row r="553">
      <c r="A553" s="12">
        <f>CMP!AB555</f>
        <v>1891.37</v>
      </c>
      <c r="B553" s="12">
        <f>CMP!AD555</f>
        <v>1861.64</v>
      </c>
    </row>
    <row r="554">
      <c r="A554" s="12">
        <f>CMP!AB556</f>
        <v>1820</v>
      </c>
      <c r="B554" s="12">
        <f>CMP!AD556</f>
        <v>1828.34</v>
      </c>
    </row>
    <row r="555">
      <c r="A555" s="12">
        <f>CMP!AB557</f>
        <v>1840.5</v>
      </c>
      <c r="B555" s="12">
        <f>CMP!AD557</f>
        <v>1853.25</v>
      </c>
    </row>
    <row r="556">
      <c r="A556" s="12">
        <f>CMP!AB558</f>
        <v>1864</v>
      </c>
      <c r="B556" s="12">
        <f>CMP!AD558</f>
        <v>1858</v>
      </c>
    </row>
    <row r="557">
      <c r="A557" s="12">
        <f>CMP!AB559</f>
        <v>1858</v>
      </c>
      <c r="B557" s="12">
        <f>CMP!AD559</f>
        <v>1870.68</v>
      </c>
    </row>
    <row r="558">
      <c r="A558" s="12">
        <f>CMP!AB560</f>
        <v>2051.47</v>
      </c>
      <c r="B558" s="12">
        <f>CMP!AD560</f>
        <v>2008.72</v>
      </c>
    </row>
    <row r="559">
      <c r="A559" s="12">
        <f>CMP!AB561</f>
        <v>2010.6</v>
      </c>
      <c r="B559" s="12">
        <f>CMP!AD561</f>
        <v>2004.2</v>
      </c>
    </row>
    <row r="560">
      <c r="A560" s="12">
        <f>CMP!AB562</f>
        <v>2029.88</v>
      </c>
      <c r="B560" s="12">
        <f>CMP!AD562</f>
        <v>2049.67</v>
      </c>
    </row>
    <row r="561">
      <c r="A561" s="12">
        <f>CMP!AB563</f>
        <v>2071.02</v>
      </c>
      <c r="B561" s="12">
        <f>CMP!AD563</f>
        <v>2039.87</v>
      </c>
    </row>
    <row r="562">
      <c r="A562" s="12">
        <f>CMP!AB564</f>
        <v>2041.02</v>
      </c>
      <c r="B562" s="12">
        <f>CMP!AD564</f>
        <v>2050.23</v>
      </c>
    </row>
    <row r="563">
      <c r="A563" s="12">
        <f>CMP!AB565</f>
        <v>2041.99</v>
      </c>
      <c r="B563" s="12">
        <f>CMP!AD565</f>
        <v>2079.28</v>
      </c>
    </row>
    <row r="564">
      <c r="A564" s="12">
        <f>CMP!AB566</f>
        <v>2085.01</v>
      </c>
      <c r="B564" s="12">
        <f>CMP!AD566</f>
        <v>2133.91</v>
      </c>
    </row>
    <row r="565">
      <c r="A565" s="12">
        <f>CMP!AB567</f>
        <v>2150.9</v>
      </c>
      <c r="B565" s="12">
        <f>CMP!AD567</f>
        <v>2150.8</v>
      </c>
    </row>
    <row r="566">
      <c r="A566" s="12">
        <f>CMP!AB568</f>
        <v>2163.2</v>
      </c>
      <c r="B566" s="12">
        <f>CMP!AD568</f>
        <v>2160</v>
      </c>
    </row>
    <row r="567">
      <c r="A567" s="12">
        <f>CMP!AB569</f>
        <v>2144.99</v>
      </c>
      <c r="B567" s="12">
        <f>CMP!AD569</f>
        <v>2149.87</v>
      </c>
    </row>
    <row r="568">
      <c r="A568" s="12">
        <f>CMP!AB570</f>
        <v>2155.68</v>
      </c>
      <c r="B568" s="12">
        <f>CMP!AD570</f>
        <v>2134.87</v>
      </c>
    </row>
    <row r="569">
      <c r="A569" s="12">
        <f>CMP!AB571</f>
        <v>2125.02</v>
      </c>
      <c r="B569" s="12">
        <f>CMP!AD571</f>
        <v>2155.67</v>
      </c>
    </row>
    <row r="570">
      <c r="A570" s="12">
        <f>CMP!AB572</f>
        <v>2167.8</v>
      </c>
      <c r="B570" s="12">
        <f>CMP!AD572</f>
        <v>2170.22</v>
      </c>
    </row>
    <row r="571">
      <c r="A571" s="12">
        <f>CMP!AB573</f>
        <v>2173.07</v>
      </c>
      <c r="B571" s="12">
        <f>CMP!AD573</f>
        <v>2153.1</v>
      </c>
    </row>
    <row r="572">
      <c r="A572" s="12">
        <f>CMP!AB574</f>
        <v>2142.15</v>
      </c>
      <c r="B572" s="12">
        <f>CMP!AD574</f>
        <v>2095.97</v>
      </c>
    </row>
    <row r="573">
      <c r="A573" s="12">
        <f>CMP!AB575</f>
        <v>2003.18</v>
      </c>
      <c r="B573" s="12">
        <f>CMP!AD575</f>
        <v>2009.29</v>
      </c>
    </row>
    <row r="574">
      <c r="A574" s="12">
        <f>CMP!AB576</f>
        <v>2026.42</v>
      </c>
      <c r="B574" s="12">
        <f>CMP!AD576</f>
        <v>1972.74</v>
      </c>
    </row>
    <row r="575">
      <c r="A575" s="12">
        <f>CMP!AB577</f>
        <v>1970.28</v>
      </c>
      <c r="B575" s="12">
        <f>CMP!AD577</f>
        <v>1979.59</v>
      </c>
    </row>
    <row r="576">
      <c r="A576" s="12">
        <f>CMP!AB578</f>
        <v>1934.38</v>
      </c>
      <c r="B576" s="12">
        <f>CMP!AD578</f>
        <v>1884.3</v>
      </c>
    </row>
    <row r="577">
      <c r="A577" s="12">
        <f>CMP!AB579</f>
        <v>1814.63</v>
      </c>
      <c r="B577" s="12">
        <f>CMP!AD579</f>
        <v>1883.75</v>
      </c>
    </row>
    <row r="578">
      <c r="A578" s="12">
        <f>CMP!AB580</f>
        <v>1906.49</v>
      </c>
      <c r="B578" s="12">
        <f>CMP!AD580</f>
        <v>1953.95</v>
      </c>
    </row>
    <row r="579">
      <c r="A579" s="12">
        <f>CMP!AB581</f>
        <v>1975.37</v>
      </c>
      <c r="B579" s="12">
        <f>CMP!AD581</f>
        <v>1908.99</v>
      </c>
    </row>
    <row r="580">
      <c r="A580" s="12">
        <f>CMP!AB582</f>
        <v>1946.57</v>
      </c>
      <c r="B580" s="12">
        <f>CMP!AD582</f>
        <v>1975.83</v>
      </c>
    </row>
    <row r="581">
      <c r="A581" s="12">
        <f>CMP!AB583</f>
        <v>1933</v>
      </c>
      <c r="B581" s="12">
        <f>CMP!AD583</f>
        <v>1924.03</v>
      </c>
    </row>
    <row r="582">
      <c r="A582" s="12">
        <f>CMP!AB584</f>
        <v>1875</v>
      </c>
      <c r="B582" s="12">
        <f>CMP!AD584</f>
        <v>1901.09</v>
      </c>
    </row>
    <row r="583">
      <c r="A583" s="12">
        <f>CMP!AB585</f>
        <v>1773.86</v>
      </c>
      <c r="B583" s="12">
        <f>CMP!AD585</f>
        <v>1800.61</v>
      </c>
    </row>
    <row r="584">
      <c r="A584" s="12">
        <f>CMP!AB586</f>
        <v>1870.88</v>
      </c>
      <c r="B584" s="12">
        <f>CMP!AD586</f>
        <v>1891.82</v>
      </c>
    </row>
    <row r="585">
      <c r="A585" s="12">
        <f>CMP!AB587</f>
        <v>1857.85</v>
      </c>
      <c r="B585" s="12">
        <f>CMP!AD587</f>
        <v>1820.86</v>
      </c>
    </row>
    <row r="586">
      <c r="A586" s="12">
        <f>CMP!AB588</f>
        <v>1721.98</v>
      </c>
      <c r="B586" s="12">
        <f>CMP!AD588</f>
        <v>1676.61</v>
      </c>
    </row>
    <row r="587">
      <c r="A587" s="12">
        <f>CMP!AB589</f>
        <v>1755</v>
      </c>
      <c r="B587" s="12">
        <f>CMP!AD589</f>
        <v>1785</v>
      </c>
    </row>
    <row r="588">
      <c r="A588" s="12">
        <f>CMP!AB590</f>
        <v>1641.51</v>
      </c>
      <c r="B588" s="12">
        <f>CMP!AD590</f>
        <v>1689.15</v>
      </c>
    </row>
    <row r="589">
      <c r="A589" s="12">
        <f>CMP!AB591</f>
        <v>1775.47</v>
      </c>
      <c r="B589" s="12">
        <f>CMP!AD591</f>
        <v>1807.84</v>
      </c>
    </row>
    <row r="590">
      <c r="A590" s="12">
        <f>CMP!AB592</f>
        <v>1750</v>
      </c>
      <c r="B590" s="12">
        <f>CMP!AD592</f>
        <v>1830</v>
      </c>
    </row>
    <row r="591">
      <c r="A591" s="12">
        <f>CMP!AB593</f>
        <v>1860</v>
      </c>
      <c r="B591" s="12">
        <f>CMP!AD593</f>
        <v>1880.93</v>
      </c>
    </row>
    <row r="592">
      <c r="A592" s="12">
        <f>CMP!AB594</f>
        <v>1926.31</v>
      </c>
      <c r="B592" s="12">
        <f>CMP!AD594</f>
        <v>1846.09</v>
      </c>
    </row>
    <row r="593">
      <c r="A593" s="12">
        <f>CMP!AB595</f>
        <v>1827.75</v>
      </c>
      <c r="B593" s="12">
        <f>CMP!AD595</f>
        <v>1902.83</v>
      </c>
    </row>
    <row r="594">
      <c r="A594" s="12">
        <f>CMP!AB596</f>
        <v>1951.5</v>
      </c>
      <c r="B594" s="12">
        <f>CMP!AD596</f>
        <v>1940.1</v>
      </c>
    </row>
    <row r="595">
      <c r="A595" s="12">
        <f>CMP!AB597</f>
        <v>1920.69</v>
      </c>
      <c r="B595" s="12">
        <f>CMP!AD597</f>
        <v>1885.84</v>
      </c>
    </row>
    <row r="596">
      <c r="A596" s="12">
        <f>CMP!AB598</f>
        <v>1902</v>
      </c>
      <c r="B596" s="12">
        <f>CMP!AD598</f>
        <v>1955.49</v>
      </c>
    </row>
    <row r="597">
      <c r="A597" s="12">
        <f>CMP!AB599</f>
        <v>1930.86</v>
      </c>
      <c r="B597" s="12">
        <f>CMP!AD599</f>
        <v>1900.1</v>
      </c>
    </row>
    <row r="598">
      <c r="A598" s="12">
        <f>CMP!AB600</f>
        <v>1922.83</v>
      </c>
      <c r="B598" s="12">
        <f>CMP!AD600</f>
        <v>1963.95</v>
      </c>
    </row>
    <row r="599">
      <c r="A599" s="12">
        <f>CMP!AB601</f>
        <v>1964.35</v>
      </c>
      <c r="B599" s="12">
        <f>CMP!AD601</f>
        <v>1949.72</v>
      </c>
    </row>
    <row r="600">
      <c r="A600" s="12">
        <f>CMP!AB602</f>
        <v>1932.97</v>
      </c>
      <c r="B600" s="12">
        <f>CMP!AD602</f>
        <v>1907.7</v>
      </c>
    </row>
    <row r="601">
      <c r="A601" s="12">
        <f>CMP!AB603</f>
        <v>1901.64</v>
      </c>
      <c r="B601" s="12">
        <f>CMP!AD603</f>
        <v>1918.83</v>
      </c>
    </row>
    <row r="602">
      <c r="A602" s="12">
        <f>CMP!AB604</f>
        <v>1911.15</v>
      </c>
      <c r="B602" s="12">
        <f>CMP!AD604</f>
        <v>1906.59</v>
      </c>
    </row>
    <row r="603">
      <c r="A603" s="12">
        <f>CMP!AB605</f>
        <v>1936</v>
      </c>
      <c r="B603" s="12">
        <f>CMP!AD605</f>
        <v>1997.59</v>
      </c>
    </row>
    <row r="604">
      <c r="A604" s="12">
        <f>CMP!AB606</f>
        <v>2017.11</v>
      </c>
      <c r="B604" s="12">
        <f>CMP!AD606</f>
        <v>2011.6</v>
      </c>
    </row>
    <row r="605">
      <c r="A605" s="12">
        <f>CMP!AB607</f>
        <v>2021</v>
      </c>
      <c r="B605" s="12">
        <f>CMP!AD607</f>
        <v>2043</v>
      </c>
    </row>
    <row r="606">
      <c r="A606" s="12">
        <f>CMP!AB608</f>
        <v>2044.3</v>
      </c>
      <c r="B606" s="12">
        <f>CMP!AD608</f>
        <v>2042.76</v>
      </c>
    </row>
    <row r="607">
      <c r="A607" s="12">
        <f>CMP!AB609</f>
        <v>2040</v>
      </c>
      <c r="B607" s="12">
        <f>CMP!AD609</f>
        <v>2168.87</v>
      </c>
    </row>
    <row r="608">
      <c r="A608" s="12">
        <f>CMP!AB610</f>
        <v>2200.47</v>
      </c>
      <c r="B608" s="12">
        <f>CMP!AD610</f>
        <v>2283.32</v>
      </c>
    </row>
    <row r="609">
      <c r="A609" s="12">
        <f>CMP!AB611</f>
        <v>2257.68</v>
      </c>
      <c r="B609" s="12">
        <f>CMP!AD611</f>
        <v>2307.68</v>
      </c>
    </row>
    <row r="610">
      <c r="A610" s="12">
        <f>CMP!AB612</f>
        <v>2346</v>
      </c>
      <c r="B610" s="12">
        <f>CMP!AD612</f>
        <v>2408.19</v>
      </c>
    </row>
    <row r="611">
      <c r="A611" s="12">
        <f>CMP!AB613</f>
        <v>2372.33</v>
      </c>
      <c r="B611" s="12">
        <f>CMP!AD613</f>
        <v>2375</v>
      </c>
    </row>
    <row r="612">
      <c r="A612" s="12">
        <f>CMP!AB614</f>
        <v>2389.95</v>
      </c>
      <c r="B612" s="12">
        <f>CMP!AD614</f>
        <v>2393.61</v>
      </c>
    </row>
    <row r="613">
      <c r="A613" s="12">
        <f>CMP!AB615</f>
        <v>2416.61</v>
      </c>
      <c r="B613" s="12">
        <f>CMP!AD615</f>
        <v>2328.12</v>
      </c>
    </row>
    <row r="614">
      <c r="A614" s="12">
        <f>CMP!AB616</f>
        <v>2369</v>
      </c>
      <c r="B614" s="12">
        <f>CMP!AD616</f>
        <v>2363.49</v>
      </c>
    </row>
    <row r="615">
      <c r="A615" s="12">
        <f>CMP!AB617</f>
        <v>2399.98</v>
      </c>
      <c r="B615" s="12">
        <f>CMP!AD617</f>
        <v>2399.45</v>
      </c>
    </row>
    <row r="616">
      <c r="A616" s="12">
        <f>CMP!AB618</f>
        <v>2417</v>
      </c>
      <c r="B616" s="12">
        <f>CMP!AD618</f>
        <v>2410.22</v>
      </c>
    </row>
    <row r="617">
      <c r="A617" s="12">
        <f>CMP!AB619</f>
        <v>2443.2</v>
      </c>
      <c r="B617" s="12">
        <f>CMP!AD619</f>
        <v>2376</v>
      </c>
    </row>
    <row r="618">
      <c r="A618" s="12">
        <f>CMP!AB620</f>
        <v>2372.1</v>
      </c>
      <c r="B618" s="12">
        <f>CMP!AD620</f>
        <v>2314.08</v>
      </c>
    </row>
    <row r="619">
      <c r="A619" s="12">
        <f>CMP!AB621</f>
        <v>2330.01</v>
      </c>
      <c r="B619" s="12">
        <f>CMP!AD621</f>
        <v>2372.71</v>
      </c>
    </row>
    <row r="620">
      <c r="A620" s="12">
        <f>CMP!AB622</f>
        <v>2419.84</v>
      </c>
      <c r="B620" s="12">
        <f>CMP!AD622</f>
        <v>2474</v>
      </c>
    </row>
    <row r="621">
      <c r="A621" s="12">
        <f>CMP!AB623</f>
        <v>2336.8</v>
      </c>
      <c r="B621" s="12">
        <f>CMP!AD623</f>
        <v>2286.04</v>
      </c>
    </row>
    <row r="622">
      <c r="A622" s="12">
        <f>CMP!AB624</f>
        <v>2256.38</v>
      </c>
      <c r="B622" s="12">
        <f>CMP!AD624</f>
        <v>2315.99</v>
      </c>
    </row>
    <row r="623">
      <c r="A623" s="12">
        <f>CMP!AB625</f>
        <v>2340</v>
      </c>
      <c r="B623" s="12">
        <f>CMP!AD625</f>
        <v>2317.8</v>
      </c>
    </row>
    <row r="624">
      <c r="A624" s="12">
        <f>CMP!AB626</f>
        <v>2329.44</v>
      </c>
      <c r="B624" s="12">
        <f>CMP!AD626</f>
        <v>2351.26</v>
      </c>
    </row>
    <row r="625">
      <c r="A625" s="12">
        <f>CMP!AB627</f>
        <v>2374.78</v>
      </c>
      <c r="B625" s="12">
        <f>CMP!AD627</f>
        <v>2367.61</v>
      </c>
    </row>
    <row r="626">
      <c r="A626" s="12">
        <f>CMP!AB628</f>
        <v>2372.14</v>
      </c>
      <c r="B626" s="12">
        <f>CMP!AD628</f>
        <v>2379.61</v>
      </c>
    </row>
    <row r="627">
      <c r="A627" s="12">
        <f>CMP!AB629</f>
        <v>2374.7</v>
      </c>
      <c r="B627" s="12">
        <f>CMP!AD629</f>
        <v>2409</v>
      </c>
    </row>
    <row r="628">
      <c r="A628" s="12">
        <f>CMP!AB630</f>
        <v>2411.85</v>
      </c>
      <c r="B628" s="12">
        <f>CMP!AD630</f>
        <v>2356.95</v>
      </c>
    </row>
    <row r="629">
      <c r="A629" s="12">
        <f>CMP!AB631</f>
        <v>2366.8</v>
      </c>
      <c r="B629" s="12">
        <f>CMP!AD631</f>
        <v>2367.92</v>
      </c>
    </row>
    <row r="630">
      <c r="A630" s="12">
        <f>CMP!AB632</f>
        <v>2361.01</v>
      </c>
      <c r="B630" s="12">
        <f>CMP!AD632</f>
        <v>2388.85</v>
      </c>
    </row>
    <row r="631">
      <c r="A631" s="12">
        <f>CMP!AB633</f>
        <v>2368.52</v>
      </c>
      <c r="B631" s="12">
        <f>CMP!AD633</f>
        <v>2409.78</v>
      </c>
    </row>
    <row r="632">
      <c r="A632" s="12">
        <f>CMP!AB634</f>
        <v>2404.35</v>
      </c>
      <c r="B632" s="12">
        <f>CMP!AD634</f>
        <v>2426.26</v>
      </c>
    </row>
    <row r="633">
      <c r="A633" s="12">
        <f>CMP!AB635</f>
        <v>2429.83</v>
      </c>
      <c r="B633" s="12">
        <f>CMP!AD635</f>
        <v>2449.33</v>
      </c>
    </row>
    <row r="634">
      <c r="A634" s="12">
        <f>CMP!AB636</f>
        <v>2477.87</v>
      </c>
      <c r="B634" s="12">
        <f>CMP!AD636</f>
        <v>2497.94</v>
      </c>
    </row>
    <row r="635">
      <c r="A635" s="12">
        <f>CMP!AB637</f>
        <v>2500</v>
      </c>
      <c r="B635" s="12">
        <f>CMP!AD637</f>
        <v>2446.74</v>
      </c>
    </row>
    <row r="636">
      <c r="A636" s="12">
        <f>CMP!AB638</f>
        <v>2455.01</v>
      </c>
      <c r="B636" s="12">
        <f>CMP!AD638</f>
        <v>2436.88</v>
      </c>
    </row>
    <row r="637">
      <c r="A637" s="12">
        <f>CMP!AB639</f>
        <v>2458</v>
      </c>
      <c r="B637" s="12">
        <f>CMP!AD639</f>
        <v>2421.86</v>
      </c>
    </row>
    <row r="638">
      <c r="A638" s="12">
        <f>CMP!AB640</f>
        <v>2404.99</v>
      </c>
      <c r="B638" s="12">
        <f>CMP!AD640</f>
        <v>2410.39</v>
      </c>
    </row>
    <row r="639">
      <c r="A639" s="12">
        <f>CMP!AB641</f>
        <v>2384.33</v>
      </c>
      <c r="B639" s="12">
        <f>CMP!AD641</f>
        <v>2401.1</v>
      </c>
    </row>
    <row r="640">
      <c r="A640" s="12">
        <f>CMP!AB642</f>
        <v>2415.94</v>
      </c>
      <c r="B640" s="12">
        <f>CMP!AD642</f>
        <v>2442.37</v>
      </c>
    </row>
    <row r="641">
      <c r="A641" s="12">
        <f>CMP!AB643</f>
        <v>2448</v>
      </c>
      <c r="B641" s="12">
        <f>CMP!AD643</f>
        <v>2471.04</v>
      </c>
    </row>
    <row r="642">
      <c r="A642" s="12">
        <f>CMP!AB644</f>
        <v>2467</v>
      </c>
      <c r="B642" s="12">
        <f>CMP!AD644</f>
        <v>2472.41</v>
      </c>
    </row>
    <row r="643">
      <c r="A643" s="12">
        <f>CMP!AB645</f>
        <v>2468.01</v>
      </c>
      <c r="B643" s="12">
        <f>CMP!AD645</f>
        <v>2478.4</v>
      </c>
    </row>
    <row r="644">
      <c r="A644" s="12">
        <f>CMP!AB646</f>
        <v>2477.43</v>
      </c>
      <c r="B644" s="12">
        <f>CMP!AD646</f>
        <v>2460.6</v>
      </c>
    </row>
    <row r="645">
      <c r="A645" s="12">
        <f>CMP!AB647</f>
        <v>2444.51</v>
      </c>
      <c r="B645" s="12">
        <f>CMP!AD647</f>
        <v>2483</v>
      </c>
    </row>
    <row r="646">
      <c r="A646" s="12">
        <f>CMP!AB648</f>
        <v>2500.2</v>
      </c>
      <c r="B646" s="12">
        <f>CMP!AD648</f>
        <v>2524.06</v>
      </c>
    </row>
    <row r="647">
      <c r="A647" s="12">
        <f>CMP!AB649</f>
        <v>2529.44</v>
      </c>
      <c r="B647" s="12">
        <f>CMP!AD649</f>
        <v>2600.86</v>
      </c>
    </row>
    <row r="648">
      <c r="A648" s="12">
        <f>CMP!AB650</f>
        <v>2645</v>
      </c>
      <c r="B648" s="12">
        <f>CMP!AD650</f>
        <v>2647.45</v>
      </c>
    </row>
    <row r="649">
      <c r="A649" s="12">
        <f>CMP!AB651</f>
        <v>2603.5</v>
      </c>
      <c r="B649" s="12">
        <f>CMP!AD651</f>
        <v>2557.96</v>
      </c>
    </row>
    <row r="650">
      <c r="A650" s="12">
        <f>CMP!AB652</f>
        <v>2601.21</v>
      </c>
      <c r="B650" s="12">
        <f>CMP!AD652</f>
        <v>2545.02</v>
      </c>
    </row>
    <row r="651">
      <c r="A651" s="12">
        <f>CMP!AB653</f>
        <v>2526.6</v>
      </c>
      <c r="B651" s="12">
        <f>CMP!AD653</f>
        <v>2572.68</v>
      </c>
    </row>
    <row r="652">
      <c r="A652" s="12">
        <f>CMP!AB654</f>
        <v>2620</v>
      </c>
      <c r="B652" s="12">
        <f>CMP!AD654</f>
        <v>2615.27</v>
      </c>
    </row>
    <row r="653">
      <c r="A653" s="12">
        <f>CMP!AB655</f>
        <v>2647.5</v>
      </c>
      <c r="B653" s="12">
        <f>CMP!AD655</f>
        <v>2640.98</v>
      </c>
    </row>
    <row r="654">
      <c r="A654" s="12">
        <f>CMP!AB656</f>
        <v>2647.01</v>
      </c>
      <c r="B654" s="12">
        <f>CMP!AD656</f>
        <v>2653.98</v>
      </c>
    </row>
    <row r="655">
      <c r="A655" s="12">
        <f>CMP!AB657</f>
        <v>2678.08</v>
      </c>
      <c r="B655" s="12">
        <f>CMP!AD657</f>
        <v>2675.01</v>
      </c>
    </row>
    <row r="656">
      <c r="A656" s="12">
        <f>CMP!AB658</f>
        <v>2684.5</v>
      </c>
      <c r="B656" s="12">
        <f>CMP!AD658</f>
        <v>2713.82</v>
      </c>
    </row>
    <row r="657">
      <c r="A657" s="12">
        <f>CMP!AB659</f>
        <v>2726.02</v>
      </c>
      <c r="B657" s="12">
        <f>CMP!AD659</f>
        <v>2764.41</v>
      </c>
    </row>
    <row r="658">
      <c r="A658" s="12">
        <f>CMP!AB660</f>
        <v>2780</v>
      </c>
      <c r="B658" s="12">
        <f>CMP!AD660</f>
        <v>2734.4</v>
      </c>
    </row>
    <row r="659">
      <c r="A659" s="12">
        <f>CMP!AB661</f>
        <v>2739.55</v>
      </c>
      <c r="B659" s="12">
        <f>CMP!AD661</f>
        <v>2754.58</v>
      </c>
    </row>
    <row r="660">
      <c r="A660" s="12">
        <f>CMP!AB662</f>
        <v>2775.06</v>
      </c>
      <c r="B660" s="12">
        <f>CMP!AD662</f>
        <v>2692.87</v>
      </c>
    </row>
    <row r="661">
      <c r="A661" s="12">
        <f>CMP!AB663</f>
        <v>2690.01</v>
      </c>
      <c r="B661" s="12">
        <f>CMP!AD663</f>
        <v>2680.38</v>
      </c>
    </row>
    <row r="662">
      <c r="A662" s="12">
        <f>CMP!AB664</f>
        <v>2685.07</v>
      </c>
      <c r="B662" s="12">
        <f>CMP!AD664</f>
        <v>2758.82</v>
      </c>
    </row>
    <row r="663">
      <c r="A663" s="12">
        <f>CMP!AB665</f>
        <v>2757.99</v>
      </c>
      <c r="B663" s="12">
        <f>CMP!AD665</f>
        <v>2878.7</v>
      </c>
    </row>
    <row r="664">
      <c r="A664" s="12">
        <f>CMP!AB666</f>
        <v>2912.01</v>
      </c>
      <c r="B664" s="12">
        <f>CMP!AD666</f>
        <v>2890.3</v>
      </c>
    </row>
    <row r="665">
      <c r="A665" s="12">
        <f>CMP!AB667</f>
        <v>2934.97</v>
      </c>
      <c r="B665" s="12">
        <f>CMP!AD667</f>
        <v>3057.04</v>
      </c>
    </row>
    <row r="666">
      <c r="A666" s="12">
        <f>CMP!AB668</f>
        <v>3058.55</v>
      </c>
      <c r="B666" s="12">
        <f>CMP!AD668</f>
        <v>3000.12</v>
      </c>
    </row>
    <row r="667">
      <c r="A667" s="12">
        <f>CMP!AB669</f>
        <v>3022.61</v>
      </c>
      <c r="B667" s="12">
        <f>CMP!AD669</f>
        <v>3081.11</v>
      </c>
    </row>
    <row r="668">
      <c r="A668" s="12">
        <f>CMP!AB670</f>
        <v>3115.99</v>
      </c>
      <c r="B668" s="12">
        <f>CMP!AD670</f>
        <v>3182.63</v>
      </c>
    </row>
    <row r="669">
      <c r="A669" s="12">
        <f>CMP!AB671</f>
        <v>3191.76</v>
      </c>
      <c r="B669" s="12">
        <f>CMP!AD671</f>
        <v>3200</v>
      </c>
    </row>
    <row r="670">
      <c r="A670" s="12">
        <f>CMP!AB672</f>
        <v>3251.06</v>
      </c>
      <c r="B670" s="12">
        <f>CMP!AD672</f>
        <v>3104</v>
      </c>
    </row>
    <row r="671">
      <c r="A671" s="12">
        <f>CMP!AB673</f>
        <v>3089</v>
      </c>
      <c r="B671" s="12">
        <f>CMP!AD673</f>
        <v>3084</v>
      </c>
    </row>
    <row r="672">
      <c r="A672" s="12">
        <f>CMP!AB674</f>
        <v>3080.23</v>
      </c>
      <c r="B672" s="12">
        <f>CMP!AD674</f>
        <v>3008.87</v>
      </c>
    </row>
    <row r="673">
      <c r="A673" s="12">
        <f>CMP!AB675</f>
        <v>2971.06</v>
      </c>
      <c r="B673" s="12">
        <f>CMP!AD675</f>
        <v>2999.9</v>
      </c>
    </row>
    <row r="674">
      <c r="A674" s="12">
        <f>CMP!AB676</f>
        <v>3009</v>
      </c>
      <c r="B674" s="12">
        <f>CMP!AD676</f>
        <v>2961.97</v>
      </c>
    </row>
    <row r="675">
      <c r="A675" s="12">
        <f>CMP!AB677</f>
        <v>3000.2</v>
      </c>
      <c r="B675" s="12">
        <f>CMP!AD677</f>
        <v>3196.84</v>
      </c>
    </row>
    <row r="676">
      <c r="A676" s="12">
        <f>CMP!AB678</f>
        <v>3232.49</v>
      </c>
      <c r="B676" s="12">
        <f>CMP!AD678</f>
        <v>3138.29</v>
      </c>
    </row>
    <row r="677">
      <c r="A677" s="12">
        <f>CMP!AB679</f>
        <v>3125</v>
      </c>
      <c r="B677" s="12">
        <f>CMP!AD679</f>
        <v>3099.91</v>
      </c>
    </row>
    <row r="678">
      <c r="A678" s="12">
        <f>CMP!AB680</f>
        <v>3098.27</v>
      </c>
      <c r="B678" s="12">
        <f>CMP!AD680</f>
        <v>2986.55</v>
      </c>
    </row>
    <row r="679">
      <c r="A679" s="12">
        <f>CMP!AB681</f>
        <v>2930</v>
      </c>
      <c r="B679" s="12">
        <f>CMP!AD681</f>
        <v>3008.91</v>
      </c>
    </row>
    <row r="680">
      <c r="A680" s="12">
        <f>CMP!AB682</f>
        <v>3062</v>
      </c>
      <c r="B680" s="12">
        <f>CMP!AD682</f>
        <v>3055.21</v>
      </c>
    </row>
    <row r="681">
      <c r="A681" s="12">
        <f>CMP!AB683</f>
        <v>3054.27</v>
      </c>
      <c r="B681" s="12">
        <f>CMP!AD683</f>
        <v>3000.33</v>
      </c>
    </row>
    <row r="682">
      <c r="A682" s="12">
        <f>CMP!AB684</f>
        <v>3030.99</v>
      </c>
      <c r="B682" s="12">
        <f>CMP!AD684</f>
        <v>3033.53</v>
      </c>
    </row>
    <row r="683">
      <c r="A683" s="12">
        <f>CMP!AB685</f>
        <v>3014</v>
      </c>
      <c r="B683" s="12">
        <f>CMP!AD685</f>
        <v>3051.88</v>
      </c>
    </row>
    <row r="684">
      <c r="A684" s="12">
        <f>CMP!AB686</f>
        <v>3244</v>
      </c>
      <c r="B684" s="12">
        <f>CMP!AD686</f>
        <v>3164.68</v>
      </c>
    </row>
    <row r="685">
      <c r="A685" s="12">
        <f>CMP!AB687</f>
        <v>3180.51</v>
      </c>
      <c r="B685" s="12">
        <f>CMP!AD687</f>
        <v>3111.89</v>
      </c>
    </row>
    <row r="686">
      <c r="A686" s="12">
        <f>CMP!AB688</f>
        <v>3101.21</v>
      </c>
      <c r="B686" s="12">
        <f>CMP!AD688</f>
        <v>3138.83</v>
      </c>
    </row>
    <row r="687">
      <c r="A687" s="12">
        <f>CMP!AB689</f>
        <v>3143.77</v>
      </c>
      <c r="B687" s="12">
        <f>CMP!AD689</f>
        <v>3205.03</v>
      </c>
    </row>
    <row r="688">
      <c r="A688" s="12">
        <f>CMP!AB690</f>
        <v>3194.36</v>
      </c>
      <c r="B688" s="12">
        <f>CMP!AD690</f>
        <v>3225</v>
      </c>
    </row>
    <row r="689">
      <c r="A689" s="12">
        <f>CMP!AB691</f>
        <v>3224.01</v>
      </c>
      <c r="B689" s="12">
        <f>CMP!AD691</f>
        <v>3167.46</v>
      </c>
    </row>
    <row r="690">
      <c r="A690" s="12">
        <f>CMP!AB692</f>
        <v>3170.31</v>
      </c>
      <c r="B690" s="12">
        <f>CMP!AD692</f>
        <v>3148.16</v>
      </c>
    </row>
    <row r="691">
      <c r="A691" s="12">
        <f>CMP!AB693</f>
        <v>3113.2</v>
      </c>
      <c r="B691" s="12">
        <f>CMP!AD693</f>
        <v>3080.67</v>
      </c>
    </row>
    <row r="692">
      <c r="A692" s="12">
        <f>CMP!AB694</f>
        <v>3108</v>
      </c>
      <c r="B692" s="12">
        <f>CMP!AD694</f>
        <v>3162.24</v>
      </c>
    </row>
    <row r="693">
      <c r="A693" s="12">
        <f>CMP!AB695</f>
        <v>3182.99</v>
      </c>
      <c r="B693" s="12">
        <f>CMP!AD695</f>
        <v>3161.02</v>
      </c>
    </row>
    <row r="694">
      <c r="A694" s="12">
        <f>CMP!AB696</f>
        <v>3178.18</v>
      </c>
      <c r="B694" s="12">
        <f>CMP!AD696</f>
        <v>3148.02</v>
      </c>
    </row>
    <row r="695">
      <c r="A695" s="12">
        <f>CMP!AB697</f>
        <v>3173.12</v>
      </c>
      <c r="B695" s="12">
        <f>CMP!AD697</f>
        <v>3182.41</v>
      </c>
    </row>
    <row r="696">
      <c r="A696" s="12">
        <f>CMP!AB698</f>
        <v>3212</v>
      </c>
      <c r="B696" s="12">
        <f>CMP!AD698</f>
        <v>3312.49</v>
      </c>
    </row>
    <row r="697">
      <c r="A697" s="12">
        <f>CMP!AB699</f>
        <v>3303.01</v>
      </c>
      <c r="B697" s="12">
        <f>CMP!AD699</f>
        <v>3260.48</v>
      </c>
    </row>
    <row r="698">
      <c r="A698" s="12">
        <f>CMP!AB700</f>
        <v>3252</v>
      </c>
      <c r="B698" s="12">
        <f>CMP!AD700</f>
        <v>3297.37</v>
      </c>
    </row>
    <row r="699">
      <c r="A699" s="12">
        <f>CMP!AB701</f>
        <v>3295</v>
      </c>
      <c r="B699" s="12">
        <f>CMP!AD701</f>
        <v>3284.72</v>
      </c>
    </row>
    <row r="700">
      <c r="A700" s="12">
        <f>CMP!AB702</f>
        <v>3310.15</v>
      </c>
      <c r="B700" s="12">
        <f>CMP!AD702</f>
        <v>3307.46</v>
      </c>
    </row>
    <row r="701">
      <c r="A701" s="12">
        <f>CMP!AB703</f>
        <v>3294.99</v>
      </c>
      <c r="B701" s="12">
        <f>CMP!AD703</f>
        <v>3346.49</v>
      </c>
    </row>
    <row r="702">
      <c r="A702" s="12">
        <f>CMP!AB704</f>
        <v>3351.11</v>
      </c>
      <c r="B702" s="12">
        <f>CMP!AD704</f>
        <v>3441.85</v>
      </c>
    </row>
    <row r="703">
      <c r="A703" s="12">
        <f>CMP!AB705</f>
        <v>3450.05</v>
      </c>
      <c r="B703" s="12">
        <f>CMP!AD705</f>
        <v>3400</v>
      </c>
    </row>
    <row r="704">
      <c r="A704" s="12">
        <f>CMP!AB706</f>
        <v>3423</v>
      </c>
      <c r="B704" s="12">
        <f>CMP!AD706</f>
        <v>3401.8</v>
      </c>
    </row>
    <row r="705">
      <c r="A705" s="12">
        <f>CMP!AB707</f>
        <v>3408.99</v>
      </c>
      <c r="B705" s="12">
        <f>CMP!AD707</f>
        <v>3450.96</v>
      </c>
    </row>
    <row r="706">
      <c r="A706" s="12">
        <f>CMP!AB708</f>
        <v>3489.58</v>
      </c>
      <c r="B706" s="12">
        <f>CMP!AD708</f>
        <v>3499.12</v>
      </c>
    </row>
    <row r="707">
      <c r="A707" s="12">
        <f>CMP!AB709</f>
        <v>3547</v>
      </c>
      <c r="B707" s="12">
        <f>CMP!AD709</f>
        <v>3531.45</v>
      </c>
    </row>
    <row r="708">
      <c r="A708" s="12">
        <f>CMP!AB710</f>
        <v>3485</v>
      </c>
      <c r="B708" s="12">
        <f>CMP!AD710</f>
        <v>3368</v>
      </c>
    </row>
    <row r="709">
      <c r="A709" s="12">
        <f>CMP!AB711</f>
        <v>3318</v>
      </c>
      <c r="B709" s="12">
        <f>CMP!AD711</f>
        <v>3294.62</v>
      </c>
    </row>
    <row r="710">
      <c r="A710" s="12">
        <f>CMP!AB712</f>
        <v>3144</v>
      </c>
      <c r="B710" s="12">
        <f>CMP!AD712</f>
        <v>3149.84</v>
      </c>
    </row>
    <row r="711">
      <c r="A711" s="12">
        <f>CMP!AB713</f>
        <v>3202.99</v>
      </c>
      <c r="B711" s="12">
        <f>CMP!AD713</f>
        <v>3268.61</v>
      </c>
    </row>
    <row r="712">
      <c r="A712" s="12">
        <f>CMP!AB714</f>
        <v>3307.22</v>
      </c>
      <c r="B712" s="12">
        <f>CMP!AD714</f>
        <v>3175.11</v>
      </c>
    </row>
    <row r="713">
      <c r="A713" s="12">
        <f>CMP!AB715</f>
        <v>3208.69</v>
      </c>
      <c r="B713" s="12">
        <f>CMP!AD715</f>
        <v>3116.22</v>
      </c>
    </row>
    <row r="714">
      <c r="A714" s="12">
        <f>CMP!AB716</f>
        <v>3172.94</v>
      </c>
      <c r="B714" s="12">
        <f>CMP!AD716</f>
        <v>3102.97</v>
      </c>
    </row>
    <row r="715">
      <c r="A715" s="12">
        <f>CMP!AB717</f>
        <v>3136.16</v>
      </c>
      <c r="B715" s="12">
        <f>CMP!AD717</f>
        <v>3156.13</v>
      </c>
    </row>
    <row r="716">
      <c r="A716" s="12">
        <f>CMP!AB718</f>
        <v>3179.99</v>
      </c>
      <c r="B716" s="12">
        <f>CMP!AD718</f>
        <v>3078.1</v>
      </c>
    </row>
    <row r="717">
      <c r="A717" s="12">
        <f>CMP!AB719</f>
        <v>3009.25</v>
      </c>
      <c r="B717" s="12">
        <f>CMP!AD719</f>
        <v>3008.73</v>
      </c>
    </row>
    <row r="718">
      <c r="A718" s="12">
        <f>CMP!AB720</f>
        <v>3031.74</v>
      </c>
      <c r="B718" s="12">
        <f>CMP!AD720</f>
        <v>2954.91</v>
      </c>
    </row>
    <row r="719">
      <c r="A719" s="12">
        <f>CMP!AB721</f>
        <v>2906.5</v>
      </c>
      <c r="B719" s="12">
        <f>CMP!AD721</f>
        <v>2960.47</v>
      </c>
    </row>
    <row r="720">
      <c r="A720" s="12">
        <f>CMP!AB722</f>
        <v>3033.84</v>
      </c>
      <c r="B720" s="12">
        <f>CMP!AD722</f>
        <v>3128.99</v>
      </c>
    </row>
    <row r="721">
      <c r="A721" s="12">
        <f>CMP!AB723</f>
        <v>3120.43</v>
      </c>
      <c r="B721" s="12">
        <f>CMP!AD723</f>
        <v>2999.86</v>
      </c>
    </row>
    <row r="722">
      <c r="A722" s="12">
        <f>CMP!AB724</f>
        <v>2977.79</v>
      </c>
      <c r="B722" s="12">
        <f>CMP!AD724</f>
        <v>3019.79</v>
      </c>
    </row>
    <row r="723">
      <c r="A723" s="12">
        <f>CMP!AB725</f>
        <v>3054.86</v>
      </c>
      <c r="B723" s="12">
        <f>CMP!AD725</f>
        <v>3095.13</v>
      </c>
    </row>
    <row r="724">
      <c r="A724" s="12">
        <f>CMP!AB726</f>
        <v>3148.85</v>
      </c>
      <c r="B724" s="12">
        <f>CMP!AD726</f>
        <v>3174.05</v>
      </c>
    </row>
    <row r="725">
      <c r="A725" s="12">
        <f>CMP!AB727</f>
        <v>3175.39</v>
      </c>
      <c r="B725" s="12">
        <f>CMP!AD727</f>
        <v>3144.88</v>
      </c>
    </row>
    <row r="726">
      <c r="A726" s="12">
        <f>CMP!AB728</f>
        <v>3141.14</v>
      </c>
      <c r="B726" s="12">
        <f>CMP!AD728</f>
        <v>3148.73</v>
      </c>
    </row>
    <row r="727">
      <c r="A727" s="12">
        <f>CMP!AB729</f>
        <v>3208</v>
      </c>
      <c r="B727" s="12">
        <f>CMP!AD729</f>
        <v>3221.26</v>
      </c>
    </row>
    <row r="728">
      <c r="A728" s="12">
        <f>CMP!AB730</f>
        <v>3153.63</v>
      </c>
      <c r="B728" s="12">
        <f>CMP!AD730</f>
        <v>3125</v>
      </c>
    </row>
    <row r="729">
      <c r="A729" s="12">
        <f>CMP!AB731</f>
        <v>3145.84</v>
      </c>
      <c r="B729" s="12">
        <f>CMP!AD731</f>
        <v>3199.2</v>
      </c>
    </row>
    <row r="730">
      <c r="A730" s="12">
        <f>CMP!AB732</f>
        <v>3165</v>
      </c>
      <c r="B730" s="12">
        <f>CMP!AD732</f>
        <v>3099.96</v>
      </c>
    </row>
    <row r="731">
      <c r="A731" s="12">
        <f>CMP!AB733</f>
        <v>3135</v>
      </c>
      <c r="B731" s="12">
        <f>CMP!AD733</f>
        <v>3195.69</v>
      </c>
    </row>
    <row r="732">
      <c r="A732" s="12">
        <f>CMP!AB734</f>
        <v>3224.99</v>
      </c>
      <c r="B732" s="12">
        <f>CMP!AD734</f>
        <v>3190.55</v>
      </c>
    </row>
    <row r="733">
      <c r="A733" s="12">
        <f>CMP!AB735</f>
        <v>3210</v>
      </c>
      <c r="B733" s="12">
        <f>CMP!AD735</f>
        <v>3286.65</v>
      </c>
    </row>
    <row r="734">
      <c r="A734" s="12">
        <f>CMP!AB736</f>
        <v>3349.94</v>
      </c>
      <c r="B734" s="12">
        <f>CMP!AD736</f>
        <v>3442.93</v>
      </c>
    </row>
    <row r="735">
      <c r="A735" s="12">
        <f>CMP!AB737</f>
        <v>3467.99</v>
      </c>
      <c r="B735" s="12">
        <f>CMP!AD737</f>
        <v>3443.63</v>
      </c>
    </row>
    <row r="736">
      <c r="A736" s="12">
        <f>CMP!AB738</f>
        <v>3447</v>
      </c>
      <c r="B736" s="12">
        <f>CMP!AD738</f>
        <v>3363.71</v>
      </c>
    </row>
    <row r="737">
      <c r="A737" s="12">
        <f>CMP!AB739</f>
        <v>3292.01</v>
      </c>
      <c r="B737" s="12">
        <f>CMP!AD739</f>
        <v>3338.65</v>
      </c>
    </row>
    <row r="738">
      <c r="A738" s="12">
        <f>CMP!AB740</f>
        <v>3363.23</v>
      </c>
      <c r="B738" s="12">
        <f>CMP!AD740</f>
        <v>3272.71</v>
      </c>
    </row>
    <row r="739">
      <c r="A739" s="12">
        <f>CMP!AB741</f>
        <v>3299.61</v>
      </c>
      <c r="B739" s="12">
        <f>CMP!AD741</f>
        <v>3207.21</v>
      </c>
    </row>
    <row r="740">
      <c r="A740" s="12">
        <f>CMP!AB742</f>
        <v>3222.28</v>
      </c>
      <c r="B740" s="12">
        <f>CMP!AD742</f>
        <v>3217.01</v>
      </c>
    </row>
    <row r="741">
      <c r="A741" s="12">
        <f>CMP!AB743</f>
        <v>3212.5</v>
      </c>
      <c r="B741" s="12">
        <f>CMP!AD743</f>
        <v>3184.94</v>
      </c>
    </row>
    <row r="742">
      <c r="A742" s="12">
        <f>CMP!AB744</f>
        <v>3189.87</v>
      </c>
      <c r="B742" s="12">
        <f>CMP!AD744</f>
        <v>3176.4</v>
      </c>
    </row>
    <row r="743">
      <c r="A743" s="12">
        <f>CMP!AB745</f>
        <v>3191</v>
      </c>
      <c r="B743" s="12">
        <f>CMP!AD745</f>
        <v>3204.4</v>
      </c>
    </row>
    <row r="744">
      <c r="A744" s="12">
        <f>CMP!AB746</f>
        <v>3198.74</v>
      </c>
      <c r="B744" s="12">
        <f>CMP!AD746</f>
        <v>3207.04</v>
      </c>
    </row>
    <row r="745">
      <c r="A745" s="12">
        <f>CMP!AB747</f>
        <v>3224.94</v>
      </c>
      <c r="B745" s="12">
        <f>CMP!AD747</f>
        <v>3286.33</v>
      </c>
    </row>
    <row r="746">
      <c r="A746" s="12">
        <f>CMP!AB748</f>
        <v>3249.3</v>
      </c>
      <c r="B746" s="12">
        <f>CMP!AD748</f>
        <v>3162.78</v>
      </c>
    </row>
    <row r="747">
      <c r="A747" s="12">
        <f>CMP!AB749</f>
        <v>3201.27</v>
      </c>
      <c r="B747" s="12">
        <f>CMP!AD749</f>
        <v>3211.01</v>
      </c>
    </row>
    <row r="748">
      <c r="A748" s="12">
        <f>CMP!AB750</f>
        <v>3157.75</v>
      </c>
      <c r="B748" s="12">
        <f>CMP!AD750</f>
        <v>3036.15</v>
      </c>
    </row>
    <row r="749">
      <c r="A749" s="12">
        <f>CMP!AB751</f>
        <v>3061.74</v>
      </c>
      <c r="B749" s="12">
        <f>CMP!AD751</f>
        <v>3004.48</v>
      </c>
    </row>
    <row r="750">
      <c r="A750" s="12">
        <f>CMP!AB752</f>
        <v>3018.53</v>
      </c>
      <c r="B750" s="12">
        <f>CMP!AD752</f>
        <v>3048.41</v>
      </c>
    </row>
    <row r="751">
      <c r="A751" s="12">
        <f>CMP!AB753</f>
        <v>3159.99</v>
      </c>
      <c r="B751" s="12">
        <f>CMP!AD753</f>
        <v>3241.16</v>
      </c>
    </row>
    <row r="752">
      <c r="A752" s="12">
        <f>CMP!AB754</f>
        <v>3319.97</v>
      </c>
      <c r="B752" s="12">
        <f>CMP!AD754</f>
        <v>3322</v>
      </c>
    </row>
    <row r="753">
      <c r="A753" s="12">
        <f>CMP!AB755</f>
        <v>3304.64</v>
      </c>
      <c r="B753" s="12">
        <f>CMP!AD755</f>
        <v>3311.37</v>
      </c>
    </row>
    <row r="754">
      <c r="A754" s="12">
        <f>CMP!AB756</f>
        <v>3231.03</v>
      </c>
      <c r="B754" s="12">
        <f>CMP!AD756</f>
        <v>3143.74</v>
      </c>
    </row>
    <row r="755">
      <c r="A755" s="12">
        <f>CMP!AB757</f>
        <v>3095.02</v>
      </c>
      <c r="B755" s="12">
        <f>CMP!AD757</f>
        <v>3035.02</v>
      </c>
    </row>
    <row r="756">
      <c r="A756" s="12">
        <f>CMP!AB758</f>
        <v>3061.78</v>
      </c>
      <c r="B756" s="12">
        <f>CMP!AD758</f>
        <v>3137.39</v>
      </c>
    </row>
    <row r="757">
      <c r="A757" s="12">
        <f>CMP!AB759</f>
        <v>3159.95</v>
      </c>
      <c r="B757" s="12">
        <f>CMP!AD759</f>
        <v>3110.28</v>
      </c>
    </row>
    <row r="758">
      <c r="A758" s="12">
        <f>CMP!AB760</f>
        <v>3122</v>
      </c>
      <c r="B758" s="12">
        <f>CMP!AD760</f>
        <v>3128.81</v>
      </c>
    </row>
    <row r="759">
      <c r="A759" s="12">
        <f>CMP!AB761</f>
        <v>3093.2</v>
      </c>
      <c r="B759" s="12">
        <f>CMP!AD761</f>
        <v>3131.06</v>
      </c>
    </row>
    <row r="760">
      <c r="A760" s="12">
        <f>CMP!AB762</f>
        <v>3183.54</v>
      </c>
      <c r="B760" s="12">
        <f>CMP!AD762</f>
        <v>3135.66</v>
      </c>
    </row>
    <row r="761">
      <c r="A761" s="12">
        <f>CMP!AB763</f>
        <v>3134</v>
      </c>
      <c r="B761" s="12">
        <f>CMP!AD763</f>
        <v>3105.46</v>
      </c>
    </row>
    <row r="762">
      <c r="A762" s="12">
        <f>CMP!AB764</f>
        <v>3105.31</v>
      </c>
      <c r="B762" s="12">
        <f>CMP!AD764</f>
        <v>3117.02</v>
      </c>
    </row>
    <row r="763">
      <c r="A763" s="12">
        <f>CMP!AB765</f>
        <v>3117.02</v>
      </c>
      <c r="B763" s="12">
        <f>CMP!AD765</f>
        <v>3099.4</v>
      </c>
    </row>
    <row r="764">
      <c r="A764" s="12">
        <f>CMP!AB766</f>
        <v>3116.7</v>
      </c>
      <c r="B764" s="12">
        <f>CMP!AD766</f>
        <v>3098.39</v>
      </c>
    </row>
    <row r="765">
      <c r="A765" s="12">
        <f>CMP!AB767</f>
        <v>3100.5</v>
      </c>
      <c r="B765" s="12">
        <f>CMP!AD767</f>
        <v>3118.06</v>
      </c>
    </row>
    <row r="766">
      <c r="A766" s="12">
        <f>CMP!AB768</f>
        <v>3141.87</v>
      </c>
      <c r="B766" s="12">
        <f>CMP!AD768</f>
        <v>3185.07</v>
      </c>
    </row>
    <row r="767">
      <c r="A767" s="12">
        <f>CMP!AB769</f>
        <v>3211.26</v>
      </c>
      <c r="B767" s="12">
        <f>CMP!AD769</f>
        <v>3195.34</v>
      </c>
    </row>
    <row r="768">
      <c r="A768" s="12">
        <f>CMP!AB770</f>
        <v>3208.48</v>
      </c>
      <c r="B768" s="12">
        <f>CMP!AD770</f>
        <v>3168.04</v>
      </c>
    </row>
    <row r="769">
      <c r="A769" s="12">
        <f>CMP!AB771</f>
        <v>3188.5</v>
      </c>
      <c r="B769" s="12">
        <f>CMP!AD771</f>
        <v>3220.08</v>
      </c>
    </row>
    <row r="770">
      <c r="A770" s="12">
        <f>CMP!AB772</f>
        <v>3221.65</v>
      </c>
      <c r="B770" s="12">
        <f>CMP!AD772</f>
        <v>3203.53</v>
      </c>
    </row>
    <row r="771">
      <c r="A771" s="12">
        <f>CMP!AB773</f>
        <v>3205.46</v>
      </c>
      <c r="B771" s="12">
        <f>CMP!AD773</f>
        <v>3186.73</v>
      </c>
    </row>
    <row r="772">
      <c r="A772" s="12">
        <f>CMP!AB774</f>
        <v>3198.21</v>
      </c>
      <c r="B772" s="12">
        <f>CMP!AD774</f>
        <v>3162.58</v>
      </c>
    </row>
    <row r="773">
      <c r="A773" s="12">
        <f>CMP!AB775</f>
        <v>3156.48</v>
      </c>
      <c r="B773" s="12">
        <f>CMP!AD775</f>
        <v>3158</v>
      </c>
    </row>
    <row r="774">
      <c r="A774" s="12">
        <f>CMP!AB776</f>
        <v>3158.9</v>
      </c>
      <c r="B774" s="12">
        <f>CMP!AD776</f>
        <v>3177.29</v>
      </c>
    </row>
    <row r="775">
      <c r="A775" s="12">
        <f>CMP!AB777</f>
        <v>3167.89</v>
      </c>
      <c r="B775" s="12">
        <f>CMP!AD777</f>
        <v>3104.2</v>
      </c>
    </row>
    <row r="776">
      <c r="A776" s="12">
        <f>CMP!AB778</f>
        <v>3088.99</v>
      </c>
      <c r="B776" s="12">
        <f>CMP!AD778</f>
        <v>3101.49</v>
      </c>
    </row>
    <row r="777">
      <c r="A777" s="12">
        <f>CMP!AB779</f>
        <v>3096.66</v>
      </c>
      <c r="B777" s="12">
        <f>CMP!AD779</f>
        <v>3116.42</v>
      </c>
    </row>
    <row r="778">
      <c r="A778" s="12">
        <f>CMP!AB780</f>
        <v>3143</v>
      </c>
      <c r="B778" s="12">
        <f>CMP!AD780</f>
        <v>3156.97</v>
      </c>
    </row>
    <row r="779">
      <c r="A779" s="12">
        <f>CMP!AB781</f>
        <v>3181.01</v>
      </c>
      <c r="B779" s="12">
        <f>CMP!AD781</f>
        <v>3165.12</v>
      </c>
    </row>
    <row r="780">
      <c r="A780" s="12">
        <f>CMP!AB782</f>
        <v>3176.01</v>
      </c>
      <c r="B780" s="12">
        <f>CMP!AD782</f>
        <v>3240.96</v>
      </c>
    </row>
    <row r="781">
      <c r="A781" s="12">
        <f>CMP!AB783</f>
        <v>3250</v>
      </c>
      <c r="B781" s="12">
        <f>CMP!AD783</f>
        <v>3236.08</v>
      </c>
    </row>
    <row r="782">
      <c r="A782" s="12">
        <f>CMP!AB784</f>
        <v>3243.99</v>
      </c>
      <c r="B782" s="12">
        <f>CMP!AD784</f>
        <v>3201.65</v>
      </c>
    </row>
    <row r="783">
      <c r="A783" s="12">
        <f>CMP!AB785</f>
        <v>3200.01</v>
      </c>
      <c r="B783" s="12">
        <f>CMP!AD785</f>
        <v>3206.18</v>
      </c>
    </row>
    <row r="784">
      <c r="A784" s="12">
        <f>CMP!AB786</f>
        <v>3202.84</v>
      </c>
      <c r="B784" s="12">
        <f>CMP!AD786</f>
        <v>3206.52</v>
      </c>
    </row>
    <row r="785">
      <c r="A785" s="12">
        <f>CMP!AB787</f>
        <v>3205</v>
      </c>
      <c r="B785" s="12">
        <f>CMP!AD787</f>
        <v>3185.27</v>
      </c>
    </row>
    <row r="786">
      <c r="A786" s="12">
        <f>CMP!AB788</f>
        <v>3193.9</v>
      </c>
      <c r="B786" s="12">
        <f>CMP!AD788</f>
        <v>3172.69</v>
      </c>
    </row>
    <row r="787">
      <c r="A787" s="12">
        <f>CMP!AB789</f>
        <v>3194</v>
      </c>
      <c r="B787" s="12">
        <f>CMP!AD789</f>
        <v>3283.96</v>
      </c>
    </row>
    <row r="788">
      <c r="A788" s="12">
        <f>CMP!AB790</f>
        <v>3309.94</v>
      </c>
      <c r="B788" s="12">
        <f>CMP!AD790</f>
        <v>3322</v>
      </c>
    </row>
    <row r="789">
      <c r="A789" s="12">
        <f>CMP!AB791</f>
        <v>3341</v>
      </c>
      <c r="B789" s="12">
        <f>CMP!AD791</f>
        <v>3285.85</v>
      </c>
    </row>
    <row r="790">
      <c r="A790" s="12">
        <f>CMP!AB792</f>
        <v>3275</v>
      </c>
      <c r="B790" s="12">
        <f>CMP!AD792</f>
        <v>3256.93</v>
      </c>
    </row>
    <row r="791">
      <c r="A791" s="12">
        <f>CMP!AB793</f>
        <v>3270</v>
      </c>
      <c r="B791" s="12">
        <f>CMP!AD793</f>
        <v>3186.63</v>
      </c>
    </row>
    <row r="792">
      <c r="A792" s="12">
        <f>CMP!AB794</f>
        <v>3166.01</v>
      </c>
      <c r="B792" s="12">
        <f>CMP!AD794</f>
        <v>3218.51</v>
      </c>
    </row>
    <row r="793">
      <c r="A793" s="12">
        <f>CMP!AB795</f>
        <v>3146.48</v>
      </c>
      <c r="B793" s="12">
        <f>CMP!AD795</f>
        <v>3138.38</v>
      </c>
    </row>
    <row r="794">
      <c r="A794" s="12">
        <f>CMP!AB796</f>
        <v>3157</v>
      </c>
      <c r="B794" s="12">
        <f>CMP!AD796</f>
        <v>3162.16</v>
      </c>
    </row>
    <row r="795">
      <c r="A795" s="12">
        <f>CMP!AB797</f>
        <v>3180</v>
      </c>
      <c r="B795" s="12">
        <f>CMP!AD797</f>
        <v>3182.7</v>
      </c>
    </row>
    <row r="796">
      <c r="A796" s="12">
        <f>CMP!AB798</f>
        <v>3148.01</v>
      </c>
      <c r="B796" s="12">
        <f>CMP!AD798</f>
        <v>3114.21</v>
      </c>
    </row>
    <row r="797">
      <c r="A797" s="12">
        <f>CMP!AB799</f>
        <v>3120</v>
      </c>
      <c r="B797" s="12">
        <f>CMP!AD799</f>
        <v>3120.83</v>
      </c>
    </row>
    <row r="798">
      <c r="A798" s="12">
        <f>CMP!AB800</f>
        <v>3128.44</v>
      </c>
      <c r="B798" s="12">
        <f>CMP!AD800</f>
        <v>3165.89</v>
      </c>
    </row>
    <row r="799">
      <c r="A799" s="12">
        <f>CMP!AB801</f>
        <v>3167.52</v>
      </c>
      <c r="B799" s="12">
        <f>CMP!AD801</f>
        <v>3127.47</v>
      </c>
    </row>
    <row r="800">
      <c r="A800" s="12">
        <f>CMP!AB802</f>
        <v>3123.02</v>
      </c>
      <c r="B800" s="12">
        <f>CMP!AD802</f>
        <v>3104.25</v>
      </c>
    </row>
    <row r="801">
      <c r="A801" s="12">
        <f>CMP!AB803</f>
        <v>3107</v>
      </c>
      <c r="B801" s="12">
        <f>CMP!AD803</f>
        <v>3120.76</v>
      </c>
    </row>
    <row r="802">
      <c r="A802" s="12">
        <f>CMP!AB804</f>
        <v>3181.99</v>
      </c>
      <c r="B802" s="12">
        <f>CMP!AD804</f>
        <v>3263.38</v>
      </c>
    </row>
    <row r="803">
      <c r="A803" s="12">
        <f>CMP!AB805</f>
        <v>3293</v>
      </c>
      <c r="B803" s="12">
        <f>CMP!AD805</f>
        <v>3306.99</v>
      </c>
    </row>
    <row r="804">
      <c r="A804" s="12">
        <f>CMP!AB806</f>
        <v>3304.31</v>
      </c>
      <c r="B804" s="12">
        <f>CMP!AD806</f>
        <v>3292.23</v>
      </c>
    </row>
    <row r="805">
      <c r="A805" s="12">
        <f>CMP!AB807</f>
        <v>3328.5</v>
      </c>
      <c r="B805" s="12">
        <f>CMP!AD807</f>
        <v>3294</v>
      </c>
    </row>
    <row r="806">
      <c r="A806" s="12">
        <f>CMP!AB808</f>
        <v>3296.36</v>
      </c>
      <c r="B806" s="12">
        <f>CMP!AD808</f>
        <v>3326.13</v>
      </c>
    </row>
    <row r="807">
      <c r="A807" s="12">
        <f>CMP!AB809</f>
        <v>3341.49</v>
      </c>
      <c r="B807" s="12">
        <f>CMP!AD809</f>
        <v>3232.58</v>
      </c>
    </row>
    <row r="808">
      <c r="A808" s="12">
        <f>CMP!AB810</f>
        <v>3235.04</v>
      </c>
      <c r="B808" s="12">
        <f>CMP!AD810</f>
        <v>3237.62</v>
      </c>
    </row>
    <row r="809">
      <c r="A809" s="12">
        <f>CMP!AB811</f>
        <v>3230</v>
      </c>
      <c r="B809" s="12">
        <f>CMP!AD811</f>
        <v>3206.2</v>
      </c>
    </row>
    <row r="810">
      <c r="A810" s="12">
        <f>CMP!AB812</f>
        <v>3242.36</v>
      </c>
      <c r="B810" s="12">
        <f>CMP!AD812</f>
        <v>3342.88</v>
      </c>
    </row>
    <row r="811">
      <c r="A811" s="12">
        <f>CMP!AB813</f>
        <v>3380</v>
      </c>
      <c r="B811" s="12">
        <f>CMP!AD813</f>
        <v>3380</v>
      </c>
    </row>
    <row r="812">
      <c r="A812" s="12">
        <f>CMP!AB814</f>
        <v>3425.01</v>
      </c>
      <c r="B812" s="12">
        <f>CMP!AD814</f>
        <v>3312.53</v>
      </c>
    </row>
    <row r="813">
      <c r="A813" s="12">
        <f>CMP!AB815</f>
        <v>3330</v>
      </c>
      <c r="B813" s="12">
        <f>CMP!AD815</f>
        <v>3331</v>
      </c>
    </row>
    <row r="814">
      <c r="A814" s="12">
        <f>CMP!AB816</f>
        <v>3319</v>
      </c>
      <c r="B814" s="12">
        <f>CMP!AD816</f>
        <v>3352.15</v>
      </c>
    </row>
    <row r="815">
      <c r="A815" s="12">
        <f>CMP!AB817</f>
        <v>3358.5</v>
      </c>
      <c r="B815" s="12">
        <f>CMP!AD817</f>
        <v>3322.94</v>
      </c>
    </row>
    <row r="816">
      <c r="A816" s="12">
        <f>CMP!AB818</f>
        <v>3312.49</v>
      </c>
      <c r="B816" s="12">
        <f>CMP!AD818</f>
        <v>3305</v>
      </c>
    </row>
    <row r="817">
      <c r="A817" s="12">
        <f>CMP!AB819</f>
        <v>3314</v>
      </c>
      <c r="B817" s="12">
        <f>CMP!AD819</f>
        <v>3286.58</v>
      </c>
    </row>
    <row r="818">
      <c r="A818" s="12">
        <f>CMP!AB820</f>
        <v>3292</v>
      </c>
      <c r="B818" s="12">
        <f>CMP!AD820</f>
        <v>3262.13</v>
      </c>
    </row>
    <row r="819">
      <c r="A819" s="12">
        <f>CMP!AB821</f>
        <v>3250</v>
      </c>
      <c r="B819" s="12">
        <f>CMP!AD821</f>
        <v>3277.71</v>
      </c>
    </row>
    <row r="820">
      <c r="A820" s="12">
        <f>CMP!AB822</f>
        <v>3254.05</v>
      </c>
      <c r="B820" s="12">
        <f>CMP!AD822</f>
        <v>3268.95</v>
      </c>
    </row>
    <row r="821">
      <c r="A821" s="12">
        <f>CMP!AB823</f>
        <v>3263.6</v>
      </c>
      <c r="B821" s="12">
        <f>CMP!AD823</f>
        <v>3308.64</v>
      </c>
    </row>
    <row r="822">
      <c r="A822" s="12">
        <f>CMP!AB824</f>
        <v>3282.42</v>
      </c>
      <c r="B822" s="12">
        <f>CMP!AD824</f>
        <v>3328.23</v>
      </c>
    </row>
    <row r="823">
      <c r="A823" s="12">
        <f>CMP!AB825</f>
        <v>3328.23</v>
      </c>
      <c r="B823" s="12">
        <f>CMP!AD825</f>
        <v>3249.9</v>
      </c>
    </row>
    <row r="824">
      <c r="A824" s="12">
        <f>CMP!AB826</f>
        <v>3208.13</v>
      </c>
      <c r="B824" s="12">
        <f>CMP!AD826</f>
        <v>3180.74</v>
      </c>
    </row>
    <row r="825">
      <c r="A825" s="12">
        <f>CMP!AB827</f>
        <v>3127.03</v>
      </c>
      <c r="B825" s="12">
        <f>CMP!AD827</f>
        <v>3194.5</v>
      </c>
    </row>
    <row r="826">
      <c r="A826" s="12">
        <f>CMP!AB828</f>
        <v>3166.75</v>
      </c>
      <c r="B826" s="12">
        <f>CMP!AD828</f>
        <v>3159.53</v>
      </c>
    </row>
    <row r="827">
      <c r="A827" s="12">
        <f>CMP!AB829</f>
        <v>3136.74</v>
      </c>
      <c r="B827" s="12">
        <f>CMP!AD829</f>
        <v>3057.16</v>
      </c>
    </row>
    <row r="828">
      <c r="A828" s="12">
        <f>CMP!AB830</f>
        <v>3095.2</v>
      </c>
      <c r="B828" s="12">
        <f>CMP!AD830</f>
        <v>3092.93</v>
      </c>
    </row>
    <row r="829">
      <c r="A829" s="12">
        <f>CMP!AB831</f>
        <v>3127.89</v>
      </c>
      <c r="B829" s="12">
        <f>CMP!AD831</f>
        <v>3146.14</v>
      </c>
    </row>
    <row r="830">
      <c r="A830" s="12">
        <f>CMP!AB832</f>
        <v>3143.47</v>
      </c>
      <c r="B830" s="12">
        <f>CMP!AD832</f>
        <v>3094.53</v>
      </c>
    </row>
    <row r="831">
      <c r="A831" s="12">
        <f>CMP!AB833</f>
        <v>3081.18</v>
      </c>
      <c r="B831" s="12">
        <f>CMP!AD833</f>
        <v>3005</v>
      </c>
    </row>
    <row r="832">
      <c r="A832" s="12">
        <f>CMP!AB834</f>
        <v>3012</v>
      </c>
      <c r="B832" s="12">
        <f>CMP!AD834</f>
        <v>2977.57</v>
      </c>
    </row>
    <row r="833">
      <c r="A833" s="12">
        <f>CMP!AB835</f>
        <v>3005</v>
      </c>
      <c r="B833" s="12">
        <f>CMP!AD835</f>
        <v>3000.46</v>
      </c>
    </row>
    <row r="834">
      <c r="A834" s="12">
        <f>CMP!AB836</f>
        <v>3015</v>
      </c>
      <c r="B834" s="12">
        <f>CMP!AD836</f>
        <v>2951.95</v>
      </c>
    </row>
    <row r="835">
      <c r="A835" s="12">
        <f>CMP!AB837</f>
        <v>3017.99</v>
      </c>
      <c r="B835" s="12">
        <f>CMP!AD837</f>
        <v>3062.85</v>
      </c>
    </row>
    <row r="836">
      <c r="A836" s="12">
        <f>CMP!AB838</f>
        <v>3098.45</v>
      </c>
      <c r="B836" s="12">
        <f>CMP!AD838</f>
        <v>3057.64</v>
      </c>
    </row>
    <row r="837">
      <c r="A837" s="12">
        <f>CMP!AB839</f>
        <v>3104.01</v>
      </c>
      <c r="B837" s="12">
        <f>CMP!AD839</f>
        <v>3113.59</v>
      </c>
    </row>
    <row r="838">
      <c r="A838" s="12">
        <f>CMP!AB840</f>
        <v>3075</v>
      </c>
      <c r="B838" s="12">
        <f>CMP!AD840</f>
        <v>3089.49</v>
      </c>
    </row>
    <row r="839">
      <c r="A839" s="12">
        <f>CMP!AB841</f>
        <v>3074.57</v>
      </c>
      <c r="B839" s="12">
        <f>CMP!AD841</f>
        <v>3081.68</v>
      </c>
    </row>
    <row r="840">
      <c r="A840" s="12">
        <f>CMP!AB842</f>
        <v>3104.97</v>
      </c>
      <c r="B840" s="12">
        <f>CMP!AD842</f>
        <v>3091.86</v>
      </c>
    </row>
    <row r="841">
      <c r="A841" s="12">
        <f>CMP!AB843</f>
        <v>3073.22</v>
      </c>
      <c r="B841" s="12">
        <f>CMP!AD843</f>
        <v>3135.73</v>
      </c>
    </row>
    <row r="842">
      <c r="A842" s="12">
        <f>CMP!AB844</f>
        <v>3101</v>
      </c>
      <c r="B842" s="12">
        <f>CMP!AD844</f>
        <v>3027.99</v>
      </c>
    </row>
    <row r="843">
      <c r="A843" s="12">
        <f>CMP!AB845</f>
        <v>3029.23</v>
      </c>
      <c r="B843" s="12">
        <f>CMP!AD845</f>
        <v>3074.96</v>
      </c>
    </row>
    <row r="844">
      <c r="A844" s="12">
        <f>CMP!AB846</f>
        <v>3067.85</v>
      </c>
      <c r="B844" s="12">
        <f>CMP!AD846</f>
        <v>3110.87</v>
      </c>
    </row>
    <row r="845">
      <c r="A845" s="12">
        <f>CMP!AB847</f>
        <v>3127</v>
      </c>
      <c r="B845" s="12">
        <f>CMP!AD847</f>
        <v>3137.5</v>
      </c>
    </row>
    <row r="846">
      <c r="A846" s="12">
        <f>CMP!AB848</f>
        <v>3151.04</v>
      </c>
      <c r="B846" s="12">
        <f>CMP!AD848</f>
        <v>3087.07</v>
      </c>
    </row>
    <row r="847">
      <c r="A847" s="12">
        <f>CMP!AB849</f>
        <v>3072.99</v>
      </c>
      <c r="B847" s="12">
        <f>CMP!AD849</f>
        <v>3046.26</v>
      </c>
    </row>
    <row r="848">
      <c r="A848" s="12">
        <f>CMP!AB850</f>
        <v>3044.06</v>
      </c>
      <c r="B848" s="12">
        <f>CMP!AD850</f>
        <v>3052.03</v>
      </c>
    </row>
    <row r="849">
      <c r="A849" s="12">
        <f>CMP!AB851</f>
        <v>3055.44</v>
      </c>
      <c r="B849" s="12">
        <f>CMP!AD851</f>
        <v>3075.73</v>
      </c>
    </row>
    <row r="850">
      <c r="A850" s="12">
        <f>CMP!AB852</f>
        <v>3070.01</v>
      </c>
      <c r="B850" s="12">
        <f>CMP!AD852</f>
        <v>3055.29</v>
      </c>
    </row>
    <row r="851">
      <c r="A851" s="12">
        <f>CMP!AB853</f>
        <v>3064.06</v>
      </c>
      <c r="B851" s="12">
        <f>CMP!AD853</f>
        <v>3094.08</v>
      </c>
    </row>
    <row r="852">
      <c r="A852" s="12">
        <f>CMP!AB854</f>
        <v>3117.94</v>
      </c>
      <c r="B852" s="12">
        <f>CMP!AD854</f>
        <v>3161</v>
      </c>
    </row>
    <row r="853">
      <c r="A853" s="12">
        <f>CMP!AB855</f>
        <v>3173</v>
      </c>
      <c r="B853" s="12">
        <f>CMP!AD855</f>
        <v>3226.73</v>
      </c>
    </row>
    <row r="854">
      <c r="A854" s="12">
        <f>CMP!AB856</f>
        <v>3223.75</v>
      </c>
      <c r="B854" s="12">
        <f>CMP!AD856</f>
        <v>3223.82</v>
      </c>
    </row>
    <row r="855">
      <c r="A855" s="12">
        <f>CMP!AB857</f>
        <v>3233.8</v>
      </c>
      <c r="B855" s="12">
        <f>CMP!AD857</f>
        <v>3279.39</v>
      </c>
    </row>
    <row r="856">
      <c r="A856" s="12">
        <f>CMP!AB858</f>
        <v>3310.9</v>
      </c>
      <c r="B856" s="12">
        <f>CMP!AD858</f>
        <v>3299.3</v>
      </c>
    </row>
    <row r="857">
      <c r="A857" s="12">
        <f>CMP!AB859</f>
        <v>3304.7</v>
      </c>
      <c r="B857" s="12">
        <f>CMP!AD859</f>
        <v>3372.2</v>
      </c>
    </row>
    <row r="858">
      <c r="A858" s="12">
        <f>CMP!AB860</f>
        <v>3355.21</v>
      </c>
      <c r="B858" s="12">
        <f>CMP!AD860</f>
        <v>3379.39</v>
      </c>
    </row>
    <row r="859">
      <c r="A859" s="12">
        <f>CMP!AB861</f>
        <v>3400.85</v>
      </c>
      <c r="B859" s="12">
        <f>CMP!AD861</f>
        <v>3400</v>
      </c>
    </row>
    <row r="860">
      <c r="A860" s="12">
        <f>CMP!AB862</f>
        <v>3404.04</v>
      </c>
      <c r="B860" s="12">
        <f>CMP!AD862</f>
        <v>3333</v>
      </c>
    </row>
    <row r="861">
      <c r="A861" s="12">
        <f>CMP!AB863</f>
        <v>3371</v>
      </c>
      <c r="B861" s="12">
        <f>CMP!AD863</f>
        <v>3379.09</v>
      </c>
    </row>
    <row r="862">
      <c r="A862" s="12">
        <f>CMP!AB864</f>
        <v>3380</v>
      </c>
      <c r="B862" s="12">
        <f>CMP!AD864</f>
        <v>3399.44</v>
      </c>
    </row>
    <row r="863">
      <c r="A863" s="12">
        <f>CMP!AB865</f>
        <v>3390.33</v>
      </c>
      <c r="B863" s="12">
        <f>CMP!AD865</f>
        <v>3372.01</v>
      </c>
    </row>
    <row r="864">
      <c r="A864" s="12">
        <f>CMP!AB866</f>
        <v>3373.6</v>
      </c>
      <c r="B864" s="12">
        <f>CMP!AD866</f>
        <v>3334.69</v>
      </c>
    </row>
    <row r="865">
      <c r="A865" s="12">
        <f>CMP!AB867</f>
        <v>3316</v>
      </c>
      <c r="B865" s="12">
        <f>CMP!AD867</f>
        <v>3362.02</v>
      </c>
    </row>
    <row r="866">
      <c r="A866" s="12">
        <f>CMP!AB868</f>
        <v>3371.68</v>
      </c>
      <c r="B866" s="12">
        <f>CMP!AD868</f>
        <v>3309.04</v>
      </c>
    </row>
    <row r="867">
      <c r="A867" s="12">
        <f>CMP!AB869</f>
        <v>3319.1</v>
      </c>
      <c r="B867" s="12">
        <f>CMP!AD869</f>
        <v>3340.88</v>
      </c>
    </row>
    <row r="868">
      <c r="A868" s="12">
        <f>CMP!AB870</f>
        <v>3348</v>
      </c>
      <c r="B868" s="12">
        <f>CMP!AD870</f>
        <v>3409</v>
      </c>
    </row>
    <row r="869">
      <c r="A869" s="12">
        <f>CMP!AB871</f>
        <v>3443.47</v>
      </c>
      <c r="B869" s="12">
        <f>CMP!AD871</f>
        <v>3417.43</v>
      </c>
    </row>
    <row r="870">
      <c r="A870" s="12">
        <f>CMP!AB872</f>
        <v>3434.8</v>
      </c>
      <c r="B870" s="12">
        <f>CMP!AD872</f>
        <v>3458.5</v>
      </c>
    </row>
    <row r="871">
      <c r="A871" s="12">
        <f>CMP!AB873</f>
        <v>3505.1</v>
      </c>
      <c r="B871" s="12">
        <f>CMP!AD873</f>
        <v>3471.31</v>
      </c>
    </row>
    <row r="872">
      <c r="A872" s="12">
        <f>CMP!AB874</f>
        <v>3525.12</v>
      </c>
      <c r="B872" s="12">
        <f>CMP!AD874</f>
        <v>3467.42</v>
      </c>
    </row>
    <row r="873">
      <c r="A873" s="12">
        <f>CMP!AB875</f>
        <v>3484.73</v>
      </c>
      <c r="B873" s="12">
        <f>CMP!AD875</f>
        <v>3386.49</v>
      </c>
    </row>
    <row r="874">
      <c r="A874" s="12">
        <f>CMP!AB876</f>
        <v>3356.19</v>
      </c>
      <c r="B874" s="12">
        <f>CMP!AD876</f>
        <v>3311.87</v>
      </c>
    </row>
    <row r="875">
      <c r="A875" s="12">
        <f>CMP!AB877</f>
        <v>3338.86</v>
      </c>
      <c r="B875" s="12">
        <f>CMP!AD877</f>
        <v>3270.54</v>
      </c>
    </row>
    <row r="876">
      <c r="A876" s="12">
        <f>CMP!AB878</f>
        <v>3270</v>
      </c>
      <c r="B876" s="12">
        <f>CMP!AD878</f>
        <v>3306.37</v>
      </c>
    </row>
    <row r="877">
      <c r="A877" s="12">
        <f>CMP!AB879</f>
        <v>3319.09</v>
      </c>
      <c r="B877" s="12">
        <f>CMP!AD879</f>
        <v>3291.61</v>
      </c>
    </row>
    <row r="878">
      <c r="A878" s="12">
        <f>CMP!AB880</f>
        <v>3282.32</v>
      </c>
      <c r="B878" s="12">
        <f>CMP!AD880</f>
        <v>3190.49</v>
      </c>
    </row>
    <row r="879">
      <c r="A879" s="12">
        <f>CMP!AB881</f>
        <v>3136.28</v>
      </c>
      <c r="B879" s="12">
        <f>CMP!AD881</f>
        <v>3223.91</v>
      </c>
    </row>
    <row r="880">
      <c r="A880" s="12">
        <f>CMP!AB882</f>
        <v>3185</v>
      </c>
      <c r="B880" s="12">
        <f>CMP!AD882</f>
        <v>3151.94</v>
      </c>
    </row>
    <row r="881">
      <c r="A881" s="12">
        <f>CMP!AB883</f>
        <v>3185.47</v>
      </c>
      <c r="B881" s="12">
        <f>CMP!AD883</f>
        <v>3161.47</v>
      </c>
    </row>
    <row r="882">
      <c r="A882" s="12">
        <f>CMP!AB884</f>
        <v>3185.56</v>
      </c>
      <c r="B882" s="12">
        <f>CMP!AD884</f>
        <v>3222.9</v>
      </c>
    </row>
    <row r="883">
      <c r="A883" s="12">
        <f>CMP!AB885</f>
        <v>3245.93</v>
      </c>
      <c r="B883" s="12">
        <f>CMP!AD885</f>
        <v>3270.39</v>
      </c>
    </row>
    <row r="884">
      <c r="A884" s="12">
        <f>CMP!AB886</f>
        <v>3292.58</v>
      </c>
      <c r="B884" s="12">
        <f>CMP!AD886</f>
        <v>3232.28</v>
      </c>
    </row>
    <row r="885">
      <c r="A885" s="12">
        <f>CMP!AB887</f>
        <v>3195</v>
      </c>
      <c r="B885" s="12">
        <f>CMP!AD887</f>
        <v>3231.8</v>
      </c>
    </row>
    <row r="886">
      <c r="A886" s="12">
        <f>CMP!AB888</f>
        <v>3244.4</v>
      </c>
      <c r="B886" s="12">
        <f>CMP!AD888</f>
        <v>3247.68</v>
      </c>
    </row>
    <row r="887">
      <c r="A887" s="12">
        <f>CMP!AB889</f>
        <v>3250</v>
      </c>
      <c r="B887" s="12">
        <f>CMP!AD889</f>
        <v>3203.08</v>
      </c>
    </row>
    <row r="888">
      <c r="A888" s="12">
        <f>CMP!AB890</f>
        <v>3215.5</v>
      </c>
      <c r="B888" s="12">
        <f>CMP!AD890</f>
        <v>3244.99</v>
      </c>
    </row>
    <row r="889">
      <c r="A889" s="12">
        <f>CMP!AB891</f>
        <v>3266.67</v>
      </c>
      <c r="B889" s="12">
        <f>CMP!AD891</f>
        <v>3259.05</v>
      </c>
    </row>
    <row r="890">
      <c r="A890" s="12">
        <f>CMP!AB892</f>
        <v>3274.59</v>
      </c>
      <c r="B890" s="12">
        <f>CMP!AD892</f>
        <v>3265.16</v>
      </c>
    </row>
    <row r="891">
      <c r="A891" s="12">
        <f>CMP!AB893</f>
        <v>3256</v>
      </c>
      <c r="B891" s="12">
        <f>CMP!AD893</f>
        <v>3230.11</v>
      </c>
    </row>
    <row r="892">
      <c r="A892" s="12">
        <f>CMP!AB894</f>
        <v>3242</v>
      </c>
      <c r="B892" s="12">
        <f>CMP!AD894</f>
        <v>3223.07</v>
      </c>
    </row>
    <row r="893">
      <c r="A893" s="12">
        <f>CMP!AB895</f>
        <v>3243.5</v>
      </c>
      <c r="B893" s="12">
        <f>CMP!AD895</f>
        <v>3218.65</v>
      </c>
    </row>
    <row r="894">
      <c r="A894" s="12">
        <f>CMP!AB896</f>
        <v>3223.1</v>
      </c>
      <c r="B894" s="12">
        <f>CMP!AD896</f>
        <v>3233.99</v>
      </c>
    </row>
    <row r="895">
      <c r="A895" s="12">
        <f>CMP!AB897</f>
        <v>3204.23</v>
      </c>
      <c r="B895" s="12">
        <f>CMP!AD897</f>
        <v>3187.01</v>
      </c>
    </row>
    <row r="896">
      <c r="A896" s="12">
        <f>CMP!AB898</f>
        <v>3212</v>
      </c>
      <c r="B896" s="12">
        <f>CMP!AD898</f>
        <v>3206.22</v>
      </c>
    </row>
    <row r="897">
      <c r="A897" s="12">
        <f>CMP!AB899</f>
        <v>3197.33</v>
      </c>
      <c r="B897" s="12">
        <f>CMP!AD899</f>
        <v>3198.01</v>
      </c>
    </row>
    <row r="898">
      <c r="A898" s="12">
        <f>CMP!AB900</f>
        <v>3222.61</v>
      </c>
      <c r="B898" s="12">
        <f>CMP!AD900</f>
        <v>3264.11</v>
      </c>
    </row>
    <row r="899">
      <c r="A899" s="12">
        <f>CMP!AB901</f>
        <v>3272.87</v>
      </c>
      <c r="B899" s="12">
        <f>CMP!AD901</f>
        <v>3281.15</v>
      </c>
    </row>
    <row r="900">
      <c r="A900" s="12">
        <f>CMP!AB902</f>
        <v>3282.01</v>
      </c>
      <c r="B900" s="12">
        <f>CMP!AD902</f>
        <v>3349.65</v>
      </c>
    </row>
    <row r="901">
      <c r="A901" s="12">
        <f>CMP!AB903</f>
        <v>3349.65</v>
      </c>
      <c r="B901" s="12">
        <f>CMP!AD903</f>
        <v>3346.83</v>
      </c>
    </row>
    <row r="902">
      <c r="A902" s="12">
        <f>CMP!AB904</f>
        <v>3346.83</v>
      </c>
      <c r="B902" s="12">
        <f>CMP!AD904</f>
        <v>3383.87</v>
      </c>
    </row>
    <row r="903">
      <c r="A903" s="12">
        <f>CMP!AB905</f>
        <v>3384</v>
      </c>
      <c r="B903" s="12">
        <f>CMP!AD905</f>
        <v>3383.13</v>
      </c>
    </row>
    <row r="904">
      <c r="A904" s="12">
        <f>CMP!AB906</f>
        <v>3392</v>
      </c>
      <c r="B904" s="12">
        <f>CMP!AD906</f>
        <v>3415.25</v>
      </c>
    </row>
    <row r="905">
      <c r="A905" s="12">
        <f>CMP!AB907</f>
        <v>3403.18</v>
      </c>
      <c r="B905" s="12">
        <f>CMP!AD907</f>
        <v>3489.24</v>
      </c>
    </row>
    <row r="906">
      <c r="A906" s="12">
        <f>CMP!AB908</f>
        <v>3479.99</v>
      </c>
      <c r="B906" s="12">
        <f>CMP!AD908</f>
        <v>3486.9</v>
      </c>
    </row>
    <row r="907">
      <c r="A907" s="12">
        <f>CMP!AB909</f>
        <v>3476.42</v>
      </c>
      <c r="B907" s="12">
        <f>CMP!AD909</f>
        <v>3453.96</v>
      </c>
    </row>
    <row r="908">
      <c r="A908" s="12">
        <f>CMP!AB910</f>
        <v>3458.06</v>
      </c>
      <c r="B908" s="12">
        <f>CMP!AD910</f>
        <v>3505.44</v>
      </c>
    </row>
    <row r="909">
      <c r="A909" s="12">
        <f>CMP!AB911</f>
        <v>3505</v>
      </c>
      <c r="B909" s="12">
        <f>CMP!AD911</f>
        <v>3503.82</v>
      </c>
    </row>
    <row r="910">
      <c r="A910" s="12">
        <f>CMP!AB912</f>
        <v>3507.64</v>
      </c>
      <c r="B910" s="12">
        <f>CMP!AD912</f>
        <v>3449.08</v>
      </c>
    </row>
    <row r="911">
      <c r="A911" s="12">
        <f>CMP!AB913</f>
        <v>3464</v>
      </c>
      <c r="B911" s="12">
        <f>CMP!AD913</f>
        <v>3401.46</v>
      </c>
    </row>
    <row r="912">
      <c r="A912" s="12">
        <f>CMP!AB914</f>
        <v>3416</v>
      </c>
      <c r="B912" s="12">
        <f>CMP!AD914</f>
        <v>3443.89</v>
      </c>
    </row>
    <row r="913">
      <c r="A913" s="12">
        <f>CMP!AB915</f>
        <v>3438.82</v>
      </c>
      <c r="B913" s="12">
        <f>CMP!AD915</f>
        <v>3448.14</v>
      </c>
    </row>
    <row r="914">
      <c r="A914" s="12">
        <f>CMP!AB916</f>
        <v>3441.06</v>
      </c>
      <c r="B914" s="12">
        <f>CMP!AD916</f>
        <v>3440.16</v>
      </c>
    </row>
    <row r="915">
      <c r="A915" s="12">
        <f>CMP!AB917</f>
        <v>3434.61</v>
      </c>
      <c r="B915" s="12">
        <f>CMP!AD917</f>
        <v>3432.97</v>
      </c>
    </row>
    <row r="916">
      <c r="A916" s="12">
        <f>CMP!AB918</f>
        <v>3451.64</v>
      </c>
      <c r="B916" s="12">
        <f>CMP!AD918</f>
        <v>3510.98</v>
      </c>
    </row>
    <row r="917">
      <c r="A917" s="12">
        <f>CMP!AB919</f>
        <v>3530.11</v>
      </c>
      <c r="B917" s="12">
        <f>CMP!AD919</f>
        <v>3675.74</v>
      </c>
    </row>
    <row r="918">
      <c r="A918" s="12">
        <f>CMP!AB920</f>
        <v>3717.38</v>
      </c>
      <c r="B918" s="12">
        <f>CMP!AD920</f>
        <v>3696.58</v>
      </c>
    </row>
    <row r="919">
      <c r="A919" s="12">
        <f>CMP!AB921</f>
        <v>3643.56</v>
      </c>
      <c r="B919" s="12">
        <f>CMP!AD921</f>
        <v>3731.41</v>
      </c>
    </row>
    <row r="920">
      <c r="A920" s="12">
        <f>CMP!AB922</f>
        <v>3722.52</v>
      </c>
      <c r="B920" s="12">
        <f>CMP!AD922</f>
        <v>3719.34</v>
      </c>
    </row>
    <row r="921">
      <c r="A921" s="12">
        <f>CMP!AB923</f>
        <v>3744</v>
      </c>
      <c r="B921" s="12">
        <f>CMP!AD923</f>
        <v>3718.55</v>
      </c>
    </row>
    <row r="922">
      <c r="A922" s="12">
        <f>CMP!AB924</f>
        <v>3702.1</v>
      </c>
      <c r="B922" s="12">
        <f>CMP!AD924</f>
        <v>3677.36</v>
      </c>
    </row>
    <row r="923">
      <c r="A923" s="12">
        <f>CMP!AB925</f>
        <v>3708.85</v>
      </c>
      <c r="B923" s="12">
        <f>CMP!AD925</f>
        <v>3681.68</v>
      </c>
    </row>
    <row r="924">
      <c r="A924" s="12">
        <f>CMP!AB926</f>
        <v>3694.2</v>
      </c>
      <c r="B924" s="12">
        <f>CMP!AD926</f>
        <v>3631.2</v>
      </c>
    </row>
    <row r="925">
      <c r="A925" s="12">
        <f>CMP!AB927</f>
        <v>3633.31</v>
      </c>
      <c r="B925" s="12">
        <f>CMP!AD927</f>
        <v>3573.63</v>
      </c>
    </row>
    <row r="926">
      <c r="A926" s="12">
        <f>CMP!AB928</f>
        <v>3532.58</v>
      </c>
      <c r="B926" s="12">
        <f>CMP!AD928</f>
        <v>3549.59</v>
      </c>
    </row>
    <row r="927">
      <c r="A927" s="12">
        <f>CMP!AB929</f>
        <v>3567.32</v>
      </c>
      <c r="B927" s="12">
        <f>CMP!AD929</f>
        <v>3573.19</v>
      </c>
    </row>
    <row r="928">
      <c r="A928" s="12">
        <f>CMP!AB930</f>
        <v>3576.38</v>
      </c>
      <c r="B928" s="12">
        <f>CMP!AD930</f>
        <v>3585.2</v>
      </c>
    </row>
    <row r="929">
      <c r="A929" s="12">
        <f>CMP!AB931</f>
        <v>3587.23</v>
      </c>
      <c r="B929" s="12">
        <f>CMP!AD931</f>
        <v>3638.03</v>
      </c>
    </row>
    <row r="930">
      <c r="A930" s="12">
        <f>CMP!AB932</f>
        <v>3640</v>
      </c>
      <c r="B930" s="12">
        <f>CMP!AD932</f>
        <v>3656.64</v>
      </c>
    </row>
    <row r="931">
      <c r="A931" s="12">
        <f>CMP!AB933</f>
        <v>3673.17</v>
      </c>
      <c r="B931" s="12">
        <f>CMP!AD933</f>
        <v>3699.82</v>
      </c>
    </row>
    <row r="932">
      <c r="A932" s="12">
        <f>CMP!AB934</f>
        <v>3698.5</v>
      </c>
      <c r="B932" s="12">
        <f>CMP!AD934</f>
        <v>3626.39</v>
      </c>
    </row>
    <row r="933">
      <c r="A933" s="12">
        <f>CMP!AB935</f>
        <v>3633.78</v>
      </c>
      <c r="B933" s="12">
        <f>CMP!AD935</f>
        <v>3630.32</v>
      </c>
    </row>
    <row r="934">
      <c r="A934" s="12">
        <f>CMP!AB936</f>
        <v>3627.75</v>
      </c>
      <c r="B934" s="12">
        <f>CMP!AD936</f>
        <v>3599.92</v>
      </c>
    </row>
    <row r="935">
      <c r="A935" s="12">
        <f>CMP!AB937</f>
        <v>3347.95</v>
      </c>
      <c r="B935" s="12">
        <f>CMP!AD937</f>
        <v>3327.59</v>
      </c>
    </row>
    <row r="936">
      <c r="A936" s="12">
        <f>CMP!AB938</f>
        <v>3353.1</v>
      </c>
      <c r="B936" s="12">
        <f>CMP!AD938</f>
        <v>3331.48</v>
      </c>
    </row>
    <row r="937">
      <c r="A937" s="12">
        <f>CMP!AB939</f>
        <v>3340.72</v>
      </c>
      <c r="B937" s="12">
        <f>CMP!AD939</f>
        <v>3366.24</v>
      </c>
    </row>
    <row r="938">
      <c r="A938" s="12">
        <f>CMP!AB940</f>
        <v>3379.35</v>
      </c>
      <c r="B938" s="12">
        <f>CMP!AD940</f>
        <v>3354.72</v>
      </c>
    </row>
    <row r="939">
      <c r="A939" s="12">
        <f>CMP!AB941</f>
        <v>3356.22</v>
      </c>
      <c r="B939" s="12">
        <f>CMP!AD941</f>
        <v>3375.99</v>
      </c>
    </row>
    <row r="940">
      <c r="A940" s="12">
        <f>CMP!AB942</f>
        <v>3375</v>
      </c>
      <c r="B940" s="12">
        <f>CMP!AD942</f>
        <v>3344.94</v>
      </c>
    </row>
    <row r="941">
      <c r="A941" s="12">
        <f>CMP!AB943</f>
        <v>3343.61</v>
      </c>
      <c r="B941" s="12">
        <f>CMP!AD943</f>
        <v>3341.87</v>
      </c>
    </row>
    <row r="942">
      <c r="A942" s="12">
        <f>CMP!AB944</f>
        <v>3345.01</v>
      </c>
      <c r="B942" s="12">
        <f>CMP!AD944</f>
        <v>3320.68</v>
      </c>
    </row>
    <row r="943">
      <c r="A943" s="12">
        <f>CMP!AB945</f>
        <v>3331.45</v>
      </c>
      <c r="B943" s="12">
        <f>CMP!AD945</f>
        <v>3292.11</v>
      </c>
    </row>
    <row r="944">
      <c r="A944" s="12">
        <f>CMP!AB946</f>
        <v>3290</v>
      </c>
      <c r="B944" s="12">
        <f>CMP!AD946</f>
        <v>3303.5</v>
      </c>
    </row>
    <row r="945">
      <c r="A945" s="12">
        <f>CMP!AB947</f>
        <v>3305.67</v>
      </c>
      <c r="B945" s="12">
        <f>CMP!AD947</f>
        <v>3293.97</v>
      </c>
    </row>
    <row r="946">
      <c r="A946" s="12">
        <f>CMP!AB948</f>
        <v>3283</v>
      </c>
      <c r="B946" s="12">
        <f>CMP!AD948</f>
        <v>3298.99</v>
      </c>
    </row>
    <row r="947">
      <c r="A947" s="12">
        <f>CMP!AB949</f>
        <v>3277.5</v>
      </c>
      <c r="B947" s="12">
        <f>CMP!AD949</f>
        <v>3241.96</v>
      </c>
    </row>
    <row r="948">
      <c r="A948" s="12">
        <f>CMP!AB950</f>
        <v>3241.99</v>
      </c>
      <c r="B948" s="12">
        <f>CMP!AD950</f>
        <v>3201.22</v>
      </c>
    </row>
    <row r="949">
      <c r="A949" s="12">
        <f>CMP!AB951</f>
        <v>3194.02</v>
      </c>
      <c r="B949" s="12">
        <f>CMP!AD951</f>
        <v>3187.75</v>
      </c>
    </row>
    <row r="950">
      <c r="A950" s="12">
        <f>CMP!AB952</f>
        <v>3203.87</v>
      </c>
      <c r="B950" s="12">
        <f>CMP!AD952</f>
        <v>3199.95</v>
      </c>
    </row>
    <row r="951">
      <c r="A951" s="12">
        <f>CMP!AB953</f>
        <v>3211.9</v>
      </c>
      <c r="B951" s="12">
        <f>CMP!AD953</f>
        <v>3265.87</v>
      </c>
    </row>
    <row r="952">
      <c r="A952" s="12">
        <f>CMP!AB954</f>
        <v>3280</v>
      </c>
      <c r="B952" s="12">
        <f>CMP!AD954</f>
        <v>3305.78</v>
      </c>
    </row>
    <row r="953">
      <c r="A953" s="12">
        <f>CMP!AB955</f>
        <v>3309.87</v>
      </c>
      <c r="B953" s="12">
        <f>CMP!AD955</f>
        <v>3299.18</v>
      </c>
    </row>
    <row r="954">
      <c r="A954" s="12">
        <f>CMP!AB956</f>
        <v>3299</v>
      </c>
      <c r="B954" s="12">
        <f>CMP!AD956</f>
        <v>3316</v>
      </c>
    </row>
    <row r="955">
      <c r="A955" s="12">
        <f>CMP!AB957</f>
        <v>3333.23</v>
      </c>
      <c r="B955" s="12">
        <f>CMP!AD957</f>
        <v>3349.63</v>
      </c>
    </row>
    <row r="956">
      <c r="A956" s="12">
        <f>CMP!AB958</f>
        <v>3357.43</v>
      </c>
      <c r="B956" s="12">
        <f>CMP!AD958</f>
        <v>3421.57</v>
      </c>
    </row>
    <row r="957">
      <c r="A957" s="12">
        <f>CMP!AB959</f>
        <v>3424.8</v>
      </c>
      <c r="B957" s="12">
        <f>CMP!AD959</f>
        <v>3470.79</v>
      </c>
    </row>
    <row r="958">
      <c r="A958" s="12">
        <f>CMP!AB960</f>
        <v>3496.4</v>
      </c>
      <c r="B958" s="12">
        <f>CMP!AD960</f>
        <v>3479</v>
      </c>
    </row>
    <row r="959">
      <c r="A959" s="12">
        <f>CMP!AB961</f>
        <v>3494.76</v>
      </c>
      <c r="B959" s="12">
        <f>CMP!AD961</f>
        <v>3463.12</v>
      </c>
    </row>
    <row r="960">
      <c r="A960" s="12">
        <f>CMP!AB962</f>
        <v>3452</v>
      </c>
      <c r="B960" s="12">
        <f>CMP!AD962</f>
        <v>3478.05</v>
      </c>
    </row>
    <row r="961">
      <c r="A961" s="12">
        <f>CMP!AB963</f>
        <v>3478</v>
      </c>
      <c r="B961" s="12">
        <f>CMP!AD963</f>
        <v>3509.29</v>
      </c>
    </row>
    <row r="962">
      <c r="A962" s="12">
        <f>CMP!AB964</f>
        <v>3511.65</v>
      </c>
      <c r="B962" s="12">
        <f>CMP!AD964</f>
        <v>3525.5</v>
      </c>
    </row>
    <row r="963">
      <c r="A963" s="12">
        <f>CMP!AB965</f>
        <v>3526.02</v>
      </c>
      <c r="B963" s="12">
        <f>CMP!AD965</f>
        <v>3484.16</v>
      </c>
    </row>
    <row r="964">
      <c r="A964" s="12">
        <f>CMP!AB966</f>
        <v>3501.83</v>
      </c>
      <c r="B964" s="12">
        <f>CMP!AD966</f>
        <v>3469.15</v>
      </c>
    </row>
    <row r="965">
      <c r="A965" s="12">
        <f>CMP!AB967</f>
        <v>3482.8</v>
      </c>
      <c r="B965" s="12">
        <f>CMP!AD967</f>
        <v>3457.17</v>
      </c>
    </row>
    <row r="966">
      <c r="A966" s="12">
        <f>CMP!AB968</f>
        <v>3475.55</v>
      </c>
      <c r="B966" s="12">
        <f>CMP!AD968</f>
        <v>3450</v>
      </c>
    </row>
    <row r="967">
      <c r="A967" s="12">
        <f>CMP!AB969</f>
        <v>3442.52</v>
      </c>
      <c r="B967" s="12">
        <f>CMP!AD969</f>
        <v>3475.79</v>
      </c>
    </row>
    <row r="968">
      <c r="A968" s="12">
        <f>CMP!AB970</f>
        <v>3459.96</v>
      </c>
      <c r="B968" s="12">
        <f>CMP!AD970</f>
        <v>3488.24</v>
      </c>
    </row>
    <row r="969">
      <c r="A969" s="12">
        <f>CMP!AB971</f>
        <v>3488.41</v>
      </c>
      <c r="B969" s="12">
        <f>CMP!AD971</f>
        <v>3462.52</v>
      </c>
    </row>
    <row r="970">
      <c r="A970" s="12">
        <f>CMP!AB972</f>
        <v>3396</v>
      </c>
      <c r="B970" s="12">
        <f>CMP!AD972</f>
        <v>3355.73</v>
      </c>
    </row>
    <row r="971">
      <c r="A971" s="12">
        <f>CMP!AB973</f>
        <v>3375</v>
      </c>
      <c r="B971" s="12">
        <f>CMP!AD973</f>
        <v>3343.63</v>
      </c>
    </row>
    <row r="972">
      <c r="A972" s="12">
        <f>CMP!AB974</f>
        <v>3351</v>
      </c>
      <c r="B972" s="12">
        <f>CMP!AD974</f>
        <v>3380.05</v>
      </c>
    </row>
    <row r="973">
      <c r="A973" s="12">
        <f>CMP!AB975</f>
        <v>3380.05</v>
      </c>
      <c r="B973" s="12">
        <f>CMP!AD975</f>
        <v>3416</v>
      </c>
    </row>
    <row r="974">
      <c r="A974" s="12">
        <f>CMP!AB976</f>
        <v>3402.01</v>
      </c>
      <c r="B974" s="12">
        <f>CMP!AD976</f>
        <v>3425.52</v>
      </c>
    </row>
    <row r="975">
      <c r="A975" s="12">
        <f>CMP!AB977</f>
        <v>3371.5</v>
      </c>
      <c r="B975" s="12">
        <f>CMP!AD977</f>
        <v>3405.8</v>
      </c>
    </row>
    <row r="976">
      <c r="A976" s="12">
        <f>CMP!AB978</f>
        <v>3357.71</v>
      </c>
      <c r="B976" s="12">
        <f>CMP!AD978</f>
        <v>3315.96</v>
      </c>
    </row>
    <row r="977">
      <c r="A977" s="12">
        <f>CMP!AB979</f>
        <v>3322.11</v>
      </c>
      <c r="B977" s="12">
        <f>CMP!AD979</f>
        <v>3301.12</v>
      </c>
    </row>
    <row r="978">
      <c r="A978" s="12">
        <f>CMP!AB980</f>
        <v>3316</v>
      </c>
      <c r="B978" s="12">
        <f>CMP!AD980</f>
        <v>3285.04</v>
      </c>
    </row>
    <row r="979">
      <c r="A979" s="12">
        <f>CMP!AB981</f>
        <v>3289.01</v>
      </c>
      <c r="B979" s="12">
        <f>CMP!AD981</f>
        <v>3283.26</v>
      </c>
    </row>
    <row r="980">
      <c r="A980" s="12">
        <f>CMP!AB982</f>
        <v>3279.39</v>
      </c>
      <c r="B980" s="12">
        <f>CMP!AD982</f>
        <v>3189.78</v>
      </c>
    </row>
    <row r="981">
      <c r="A981" s="12">
        <f>CMP!AB983</f>
        <v>3204.5</v>
      </c>
      <c r="B981" s="12">
        <f>CMP!AD983</f>
        <v>3221</v>
      </c>
    </row>
    <row r="982">
      <c r="A982" s="12">
        <f>CMP!AB984</f>
        <v>3213.53</v>
      </c>
      <c r="B982" s="12">
        <f>CMP!AD984</f>
        <v>3262.01</v>
      </c>
    </row>
    <row r="983">
      <c r="A983" s="12">
        <f>CMP!AB985</f>
        <v>3291.54</v>
      </c>
      <c r="B983" s="12">
        <f>CMP!AD985</f>
        <v>3302.43</v>
      </c>
    </row>
    <row r="984">
      <c r="A984" s="12">
        <f>CMP!AB986</f>
        <v>3317</v>
      </c>
      <c r="B984" s="12">
        <f>CMP!AD986</f>
        <v>3288.62</v>
      </c>
    </row>
    <row r="985">
      <c r="A985" s="12">
        <f>CMP!AB987</f>
        <v>3275</v>
      </c>
      <c r="B985" s="12">
        <f>CMP!AD987</f>
        <v>3246.3</v>
      </c>
    </row>
    <row r="986">
      <c r="A986" s="12">
        <f>CMP!AB988</f>
        <v>3257</v>
      </c>
      <c r="B986" s="12">
        <f>CMP!AD988</f>
        <v>3247.33</v>
      </c>
    </row>
    <row r="987">
      <c r="A987" s="12">
        <f>CMP!AB989</f>
        <v>3269.71</v>
      </c>
      <c r="B987" s="12">
        <f>CMP!AD989</f>
        <v>3284.28</v>
      </c>
    </row>
    <row r="988">
      <c r="A988" s="12">
        <f>CMP!AB990</f>
        <v>3302.45</v>
      </c>
      <c r="B988" s="12">
        <f>CMP!AD990</f>
        <v>3299.86</v>
      </c>
    </row>
    <row r="989">
      <c r="A989" s="12">
        <f>CMP!AB991</f>
        <v>3311.42</v>
      </c>
      <c r="B989" s="12">
        <f>CMP!AD991</f>
        <v>3409.02</v>
      </c>
    </row>
    <row r="990">
      <c r="A990" s="12">
        <f>CMP!AB992</f>
        <v>3388.36</v>
      </c>
      <c r="B990" s="12">
        <f>CMP!AD992</f>
        <v>3446.74</v>
      </c>
    </row>
    <row r="991">
      <c r="A991" s="12">
        <f>CMP!AB993</f>
        <v>3434.29</v>
      </c>
      <c r="B991" s="12">
        <f>CMP!AD993</f>
        <v>3444.15</v>
      </c>
    </row>
    <row r="992">
      <c r="A992" s="12">
        <f>CMP!AB994</f>
        <v>3452.66</v>
      </c>
      <c r="B992" s="12">
        <f>CMP!AD994</f>
        <v>3415.06</v>
      </c>
    </row>
    <row r="993">
      <c r="A993" s="12">
        <f>CMP!AB995</f>
        <v>3414.25</v>
      </c>
      <c r="B993" s="12">
        <f>CMP!AD995</f>
        <v>3435.01</v>
      </c>
    </row>
    <row r="994">
      <c r="A994" s="12">
        <f>CMP!AB996</f>
        <v>3421</v>
      </c>
      <c r="B994" s="12">
        <f>CMP!AD996</f>
        <v>3335.55</v>
      </c>
    </row>
    <row r="995">
      <c r="A995" s="12">
        <f>CMP!AB997</f>
        <v>3335</v>
      </c>
      <c r="B995" s="12">
        <f>CMP!AD997</f>
        <v>3320.37</v>
      </c>
    </row>
    <row r="996">
      <c r="A996" s="12">
        <f>CMP!AB998</f>
        <v>3349.51</v>
      </c>
      <c r="B996" s="12">
        <f>CMP!AD998</f>
        <v>3376.07</v>
      </c>
    </row>
    <row r="997">
      <c r="A997" s="12">
        <f>CMP!AB999</f>
        <v>3388</v>
      </c>
      <c r="B997" s="12">
        <f>CMP!AD999</f>
        <v>3392.49</v>
      </c>
    </row>
    <row r="998">
      <c r="A998" s="12">
        <f>CMP!AB1000</f>
        <v>3402.1</v>
      </c>
      <c r="B998" s="12">
        <f>CMP!AD1000</f>
        <v>3446.57</v>
      </c>
    </row>
    <row r="999">
      <c r="A999" s="12">
        <f>CMP!AB1001</f>
        <v>3300.02</v>
      </c>
      <c r="B999" s="12">
        <f>CMP!AD1001</f>
        <v>3372.43</v>
      </c>
    </row>
    <row r="1000">
      <c r="A1000" s="12">
        <f>CMP!AB1002</f>
        <v>3361.8</v>
      </c>
      <c r="B1000" s="12">
        <f>CMP!AD1002</f>
        <v>3318.11</v>
      </c>
    </row>
    <row r="1001">
      <c r="A1001" s="12">
        <f>CMP!AB1003</f>
        <v>3315.01</v>
      </c>
      <c r="B1001" s="12">
        <f>CMP!AD1003</f>
        <v>3312.75</v>
      </c>
    </row>
    <row r="1002">
      <c r="A1002" s="12">
        <f>CMP!AB1004</f>
        <v>3309</v>
      </c>
      <c r="B1002" s="12">
        <f>CMP!AD1004</f>
        <v>3384</v>
      </c>
    </row>
    <row r="1003">
      <c r="A1003" s="12">
        <f>CMP!AB1005</f>
        <v>3370</v>
      </c>
      <c r="B1003" s="12">
        <f>CMP!AD1005</f>
        <v>3477</v>
      </c>
    </row>
    <row r="1004">
      <c r="A1004" s="12">
        <f>CMP!AB1006</f>
        <v>3477</v>
      </c>
      <c r="B1004" s="12">
        <f>CMP!AD1006</f>
        <v>3518.99</v>
      </c>
    </row>
    <row r="1005">
      <c r="A1005" s="12">
        <f>CMP!AB1007</f>
        <v>3523.24</v>
      </c>
      <c r="B1005" s="12">
        <f>CMP!AD1007</f>
        <v>3488.98</v>
      </c>
    </row>
    <row r="1006">
      <c r="A1006" s="12">
        <f>CMP!AB1008</f>
        <v>3515.25</v>
      </c>
      <c r="B1006" s="12">
        <f>CMP!AD1008</f>
        <v>3576.23</v>
      </c>
    </row>
    <row r="1007">
      <c r="A1007" s="12">
        <f>CMP!AB1009</f>
        <v>3563.87</v>
      </c>
      <c r="B1007" s="12">
        <f>CMP!AD1009</f>
        <v>3482.05</v>
      </c>
    </row>
    <row r="1008">
      <c r="A1008" s="12">
        <f>CMP!AB1010</f>
        <v>3513</v>
      </c>
      <c r="B1008" s="12">
        <f>CMP!AD1010</f>
        <v>3472.5</v>
      </c>
    </row>
    <row r="1009">
      <c r="A1009" s="12">
        <f>CMP!AB1011</f>
        <v>3485</v>
      </c>
      <c r="B1009" s="12">
        <f>CMP!AD1011</f>
        <v>3525.15</v>
      </c>
    </row>
    <row r="1010">
      <c r="A1010" s="12">
        <f>CMP!AB1012</f>
        <v>3537</v>
      </c>
      <c r="B1010" s="12">
        <f>CMP!AD1012</f>
        <v>3545.68</v>
      </c>
    </row>
    <row r="1011">
      <c r="A1011" s="12">
        <f>CMP!AB1013</f>
        <v>3539</v>
      </c>
      <c r="B1011" s="12">
        <f>CMP!AD1013</f>
        <v>3540.7</v>
      </c>
    </row>
    <row r="1012">
      <c r="A1012" s="12">
        <f>CMP!AB1014</f>
        <v>3564.72</v>
      </c>
      <c r="B1012" s="12">
        <f>CMP!AD1014</f>
        <v>3549</v>
      </c>
    </row>
    <row r="1013">
      <c r="A1013" s="12">
        <f>CMP!AB1015</f>
        <v>3566.35</v>
      </c>
      <c r="B1013" s="12">
        <f>CMP!AD1015</f>
        <v>3696.06</v>
      </c>
    </row>
    <row r="1014">
      <c r="A1014" s="12">
        <f>CMP!AB1016</f>
        <v>3712.69</v>
      </c>
      <c r="B1014" s="12">
        <f>CMP!AD1016</f>
        <v>3676.57</v>
      </c>
    </row>
    <row r="1015">
      <c r="A1015" s="12">
        <f>CMP!AB1017</f>
        <v>3676.38</v>
      </c>
      <c r="B1015" s="12">
        <f>CMP!AD1017</f>
        <v>3572.57</v>
      </c>
    </row>
    <row r="1016">
      <c r="A1016" s="12">
        <f>CMP!AB1018</f>
        <v>3585.04</v>
      </c>
      <c r="B1016" s="12">
        <f>CMP!AD1018</f>
        <v>3580.04</v>
      </c>
    </row>
    <row r="1017">
      <c r="A1017" s="12">
        <f>CMP!AB1019</f>
        <v>3562.67</v>
      </c>
      <c r="B1017" s="12">
        <f>CMP!AD1019</f>
        <v>3580.41</v>
      </c>
    </row>
    <row r="1018">
      <c r="A1018" s="12">
        <f>CMP!AB1020</f>
        <v>3602.1</v>
      </c>
      <c r="B1018" s="12">
        <f>CMP!AD1020</f>
        <v>3504.56</v>
      </c>
    </row>
    <row r="1019">
      <c r="A1019" s="12">
        <f>CMP!AB1021</f>
        <v>3547.64</v>
      </c>
      <c r="B1019" s="12">
        <f>CMP!AD1021</f>
        <v>3561.57</v>
      </c>
    </row>
    <row r="1020">
      <c r="A1020" s="12">
        <f>CMP!AB1022</f>
        <v>3563.5</v>
      </c>
      <c r="B1020" s="12">
        <f>CMP!AD1022</f>
        <v>3507.07</v>
      </c>
    </row>
    <row r="1021">
      <c r="A1021" s="12">
        <f>CMP!AB1023</f>
        <v>3545</v>
      </c>
      <c r="B1021" s="12">
        <f>CMP!AD1023</f>
        <v>3443.72</v>
      </c>
    </row>
    <row r="1022">
      <c r="A1022" s="12">
        <f>CMP!AB1024</f>
        <v>3460</v>
      </c>
      <c r="B1022" s="12">
        <f>CMP!AD1024</f>
        <v>3437.36</v>
      </c>
    </row>
    <row r="1023">
      <c r="A1023" s="12">
        <f>CMP!AB1025</f>
        <v>3455</v>
      </c>
      <c r="B1023" s="12">
        <f>CMP!AD1025</f>
        <v>3389.79</v>
      </c>
    </row>
    <row r="1024">
      <c r="A1024" s="12">
        <f>CMP!AB1026</f>
        <v>3393</v>
      </c>
      <c r="B1024" s="12">
        <f>CMP!AD1026</f>
        <v>3427.37</v>
      </c>
    </row>
    <row r="1025">
      <c r="A1025" s="12">
        <f>CMP!AB1027</f>
        <v>3492</v>
      </c>
      <c r="B1025" s="12">
        <f>CMP!AD1027</f>
        <v>3523.29</v>
      </c>
    </row>
    <row r="1026">
      <c r="A1026" s="12">
        <f>CMP!AB1028</f>
        <v>3523.01</v>
      </c>
      <c r="B1026" s="12">
        <f>CMP!AD1028</f>
        <v>3523.16</v>
      </c>
    </row>
    <row r="1027">
      <c r="A1027" s="12">
        <f>CMP!AB1029</f>
        <v>3515</v>
      </c>
      <c r="B1027" s="12">
        <f>CMP!AD1029</f>
        <v>3483.42</v>
      </c>
    </row>
    <row r="1028">
      <c r="A1028" s="12">
        <f>CMP!AB1030</f>
        <v>3508.34</v>
      </c>
      <c r="B1028" s="12">
        <f>CMP!AD1030</f>
        <v>3444.24</v>
      </c>
    </row>
    <row r="1029">
      <c r="A1029" s="12">
        <f>CMP!AB1031</f>
        <v>3440</v>
      </c>
      <c r="B1029" s="12">
        <f>CMP!AD1031</f>
        <v>3391.35</v>
      </c>
    </row>
    <row r="1030">
      <c r="A1030" s="12">
        <f>CMP!AB1032</f>
        <v>3351</v>
      </c>
      <c r="B1030" s="12">
        <f>CMP!AD1032</f>
        <v>3381.83</v>
      </c>
    </row>
    <row r="1031">
      <c r="A1031" s="12">
        <f>CMP!AB1033</f>
        <v>3371.96</v>
      </c>
      <c r="B1031" s="12">
        <f>CMP!AD1033</f>
        <v>3466.3</v>
      </c>
    </row>
    <row r="1032">
      <c r="A1032" s="12">
        <f>CMP!AB1034</f>
        <v>3467.37</v>
      </c>
      <c r="B1032" s="12">
        <f>CMP!AD1034</f>
        <v>3377.42</v>
      </c>
    </row>
    <row r="1033">
      <c r="A1033" s="12">
        <f>CMP!AB1035</f>
        <v>3354.21</v>
      </c>
      <c r="B1033" s="12">
        <f>CMP!AD1035</f>
        <v>3400.35</v>
      </c>
    </row>
    <row r="1034">
      <c r="A1034" s="12" t="str">
        <f>CMP!AB1036</f>
        <v/>
      </c>
      <c r="B1034" s="12" t="str">
        <f>CMP!AD1036</f>
        <v/>
      </c>
    </row>
    <row r="1035">
      <c r="A1035" s="12" t="str">
        <f>CMP!AB1037</f>
        <v/>
      </c>
    </row>
    <row r="1036">
      <c r="A1036" s="12" t="str">
        <f>CMP!M1038</f>
        <v/>
      </c>
    </row>
    <row r="1037">
      <c r="A1037" s="12" t="str">
        <f>CMP!M1039</f>
        <v/>
      </c>
    </row>
    <row r="1038">
      <c r="A1038" s="12" t="str">
        <f>CMP!M1040</f>
        <v/>
      </c>
    </row>
    <row r="1039">
      <c r="A1039" s="12" t="str">
        <f>CMP!M1041</f>
        <v/>
      </c>
    </row>
    <row r="1040">
      <c r="A1040" s="12" t="str">
        <f>CMP!M1042</f>
        <v/>
      </c>
    </row>
    <row r="1041">
      <c r="A1041" s="12" t="str">
        <f>CMP!M1043</f>
        <v/>
      </c>
    </row>
    <row r="1042">
      <c r="A1042" s="12" t="str">
        <f>CMP!M1044</f>
        <v/>
      </c>
    </row>
    <row r="1043">
      <c r="A1043" s="12" t="str">
        <f>CMP!M1045</f>
        <v/>
      </c>
    </row>
    <row r="1044">
      <c r="A1044" s="12" t="str">
        <f>CMP!M1046</f>
        <v/>
      </c>
    </row>
    <row r="1045">
      <c r="A1045" s="12" t="str">
        <f>CMP!M1047</f>
        <v/>
      </c>
    </row>
    <row r="1046">
      <c r="A1046" s="12" t="str">
        <f>CMP!M1048</f>
        <v/>
      </c>
    </row>
    <row r="1047">
      <c r="A1047" s="12" t="str">
        <f>CMP!M1049</f>
        <v/>
      </c>
    </row>
    <row r="1048">
      <c r="A1048" s="12" t="str">
        <f>CMP!M1050</f>
        <v/>
      </c>
    </row>
    <row r="1049">
      <c r="A1049" s="12" t="str">
        <f>CMP!M1051</f>
        <v/>
      </c>
    </row>
    <row r="1050">
      <c r="A1050" s="12" t="str">
        <f>CMP!M1052</f>
        <v/>
      </c>
    </row>
    <row r="1051">
      <c r="A1051" s="12" t="str">
        <f>CMP!M1053</f>
        <v/>
      </c>
    </row>
    <row r="1052">
      <c r="A1052" s="12" t="str">
        <f>CMP!M1054</f>
        <v/>
      </c>
    </row>
    <row r="1053">
      <c r="A1053" s="12" t="str">
        <f>CMP!M1055</f>
        <v/>
      </c>
    </row>
    <row r="1054">
      <c r="A1054" s="12" t="str">
        <f>CMP!M1056</f>
        <v/>
      </c>
    </row>
    <row r="1055">
      <c r="A1055" s="12" t="str">
        <f>CMP!M1057</f>
        <v/>
      </c>
    </row>
    <row r="1056">
      <c r="A1056" s="12" t="str">
        <f>CMP!M1058</f>
        <v/>
      </c>
    </row>
    <row r="1057">
      <c r="A1057" s="12" t="str">
        <f>CMP!M1059</f>
        <v/>
      </c>
    </row>
    <row r="1058">
      <c r="A1058" s="12" t="str">
        <f>CMP!M1060</f>
        <v/>
      </c>
    </row>
    <row r="1059">
      <c r="A1059" s="12" t="str">
        <f>CMP!M1061</f>
        <v/>
      </c>
    </row>
    <row r="1060">
      <c r="A1060" s="12" t="str">
        <f>CMP!M1062</f>
        <v/>
      </c>
    </row>
    <row r="1061">
      <c r="A1061" s="12" t="str">
        <f>CMP!M1063</f>
        <v/>
      </c>
    </row>
    <row r="1062">
      <c r="A1062" s="12" t="str">
        <f>CMP!M1064</f>
        <v/>
      </c>
    </row>
    <row r="1063">
      <c r="A1063" s="12" t="str">
        <f>CMP!M1065</f>
        <v/>
      </c>
    </row>
    <row r="1064">
      <c r="A1064" s="12" t="str">
        <f>CMP!M1066</f>
        <v/>
      </c>
    </row>
    <row r="1065">
      <c r="A1065" s="12" t="str">
        <f>CMP!M1067</f>
        <v/>
      </c>
    </row>
    <row r="1066">
      <c r="A1066" s="12" t="str">
        <f>CMP!M1068</f>
        <v/>
      </c>
    </row>
    <row r="1067">
      <c r="A1067" s="12" t="str">
        <f>CMP!M1069</f>
        <v/>
      </c>
    </row>
    <row r="1068">
      <c r="A1068" s="12" t="str">
        <f>CMP!M1070</f>
        <v/>
      </c>
    </row>
    <row r="1069">
      <c r="A1069" s="12" t="str">
        <f>CMP!M1071</f>
        <v/>
      </c>
    </row>
    <row r="1070">
      <c r="A1070" s="12" t="str">
        <f>CMP!M1072</f>
        <v/>
      </c>
    </row>
    <row r="1071">
      <c r="A1071" s="12" t="str">
        <f>CMP!M1073</f>
        <v/>
      </c>
    </row>
    <row r="1072">
      <c r="A1072" s="12" t="str">
        <f>CMP!M1074</f>
        <v/>
      </c>
    </row>
    <row r="1073">
      <c r="A1073" s="12" t="str">
        <f>CMP!M1075</f>
        <v/>
      </c>
    </row>
    <row r="1074">
      <c r="A1074" s="12" t="str">
        <f>CMP!M1076</f>
        <v/>
      </c>
    </row>
    <row r="1075">
      <c r="A1075" s="12" t="str">
        <f>CMP!M1077</f>
        <v/>
      </c>
    </row>
    <row r="1076">
      <c r="A1076" s="12" t="str">
        <f>CMP!M1078</f>
        <v/>
      </c>
    </row>
    <row r="1077">
      <c r="A1077" s="12" t="str">
        <f>CMP!M1079</f>
        <v/>
      </c>
    </row>
    <row r="1078">
      <c r="A1078" s="12" t="str">
        <f>CMP!M1080</f>
        <v/>
      </c>
    </row>
    <row r="1079">
      <c r="A1079" s="12" t="str">
        <f>CMP!M1081</f>
        <v/>
      </c>
    </row>
    <row r="1080">
      <c r="A1080" s="12" t="str">
        <f>CMP!M1082</f>
        <v/>
      </c>
    </row>
    <row r="1081">
      <c r="A1081" s="12" t="str">
        <f>CMP!M1083</f>
        <v/>
      </c>
    </row>
    <row r="1082">
      <c r="A1082" s="12" t="str">
        <f>CMP!M1084</f>
        <v/>
      </c>
    </row>
  </sheetData>
  <drawing r:id="rId1"/>
</worksheet>
</file>