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on_c\OneDrive\Documentos\Universidad\4° Semestre\Estadística\Ejercicios\1_Estadística_ Descriptiva\"/>
    </mc:Choice>
  </mc:AlternateContent>
  <xr:revisionPtr revIDLastSave="395" documentId="13_ncr:1_{688E48B9-95F7-492F-B3E5-E02A39527F9D}" xr6:coauthVersionLast="36" xr6:coauthVersionMax="40" xr10:uidLastSave="{9B37E2AE-4F5F-49D5-9240-CCC337572DF8}"/>
  <bookViews>
    <workbookView xWindow="0" yWindow="0" windowWidth="19440" windowHeight="12435" activeTab="1" xr2:uid="{00000000-000D-0000-FFFF-FFFF00000000}"/>
  </bookViews>
  <sheets>
    <sheet name="DATOS" sheetId="1" r:id="rId1"/>
    <sheet name="ANÁLISIS(This)" sheetId="3" r:id="rId2"/>
    <sheet name="ANÁLISIS 2" sheetId="4" r:id="rId3"/>
  </sheets>
  <definedNames>
    <definedName name="d_estandar">'ANÁLISIS(This)'!$F$32</definedName>
    <definedName name="DATS">DATOS!$B$2:$B$151</definedName>
    <definedName name="fi">'ANÁLISIS(This)'!$K$8:$K$15</definedName>
    <definedName name="m">'ANÁLISIS(This)'!$F$21</definedName>
    <definedName name="medi">'ANÁLISIS(This)'!$F$25</definedName>
    <definedName name="media">'ANÁLISIS(This)'!$F$25</definedName>
    <definedName name="mediana">'ANÁLISIS(This)'!$F$26</definedName>
    <definedName name="moda">'ANÁLISIS(This)'!$F$27</definedName>
    <definedName name="n">'ANÁLISIS(This)'!$F$22</definedName>
    <definedName name="varianza">'ANÁLISIS(This)'!$F$31</definedName>
    <definedName name="xi">'ANÁLISIS(This)'!$J$8:$J$15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8" i="4" l="1"/>
  <c r="M32" i="4" l="1"/>
  <c r="M34" i="4"/>
  <c r="L32" i="4"/>
  <c r="L34" i="4"/>
  <c r="D95" i="4"/>
  <c r="M15" i="4"/>
  <c r="M14" i="4"/>
  <c r="M13" i="4"/>
  <c r="M12" i="4"/>
  <c r="M11" i="4"/>
  <c r="M10" i="4"/>
  <c r="M9" i="4"/>
  <c r="Q8" i="4"/>
  <c r="L33" i="4"/>
  <c r="K8" i="4"/>
  <c r="D96" i="4"/>
  <c r="E96" i="4" s="1"/>
  <c r="G96" i="4" s="1"/>
  <c r="E95" i="4"/>
  <c r="E98" i="4" s="1"/>
  <c r="F37" i="4" a="1"/>
  <c r="F37" i="4" s="1"/>
  <c r="F36" i="4" a="1"/>
  <c r="F36" i="4" s="1"/>
  <c r="F33" i="4"/>
  <c r="F25" i="4" a="1"/>
  <c r="F25" i="4" s="1"/>
  <c r="I24" i="4"/>
  <c r="I23" i="4"/>
  <c r="I22" i="4"/>
  <c r="F22" i="4"/>
  <c r="F8" i="4"/>
  <c r="H6" i="4" s="1"/>
  <c r="E105" i="3"/>
  <c r="F105" i="3" s="1"/>
  <c r="E104" i="3"/>
  <c r="F104" i="3" s="1"/>
  <c r="D96" i="3"/>
  <c r="E96" i="3" s="1"/>
  <c r="G96" i="3" s="1"/>
  <c r="D95" i="3"/>
  <c r="E95" i="3" s="1"/>
  <c r="M17" i="4" l="1"/>
  <c r="M22" i="4"/>
  <c r="E8" i="4"/>
  <c r="F20" i="4"/>
  <c r="H7" i="4"/>
  <c r="E98" i="3"/>
  <c r="F22" i="3"/>
  <c r="M23" i="4"/>
  <c r="M24" i="4" l="1"/>
  <c r="H8" i="4"/>
  <c r="C9" i="4"/>
  <c r="F7" i="4"/>
  <c r="J7" i="4" s="1"/>
  <c r="I23" i="3"/>
  <c r="I22" i="3"/>
  <c r="L8" i="4" l="1"/>
  <c r="F9" i="4"/>
  <c r="E9" i="4"/>
  <c r="K9" i="4" s="1"/>
  <c r="I8" i="4"/>
  <c r="J8" i="4"/>
  <c r="I7" i="4"/>
  <c r="N8" i="4" l="1"/>
  <c r="L9" i="4"/>
  <c r="H9" i="4"/>
  <c r="I9" i="4" s="1"/>
  <c r="C10" i="4"/>
  <c r="I24" i="3"/>
  <c r="D1" i="3"/>
  <c r="M22" i="3" s="1"/>
  <c r="M23" i="3"/>
  <c r="J9" i="4" l="1"/>
  <c r="N46" i="4"/>
  <c r="N48" i="4" s="1"/>
  <c r="E10" i="4"/>
  <c r="K10" i="4" s="1"/>
  <c r="F10" i="4"/>
  <c r="N9" i="4"/>
  <c r="M24" i="3"/>
  <c r="F20" i="3"/>
  <c r="H10" i="4" l="1"/>
  <c r="I10" i="4" s="1"/>
  <c r="C11" i="4"/>
  <c r="L10" i="4"/>
  <c r="E8" i="3"/>
  <c r="N10" i="4" l="1"/>
  <c r="F11" i="4"/>
  <c r="E11" i="4"/>
  <c r="J10" i="4"/>
  <c r="F8" i="3"/>
  <c r="C9" i="3"/>
  <c r="F9" i="3" s="1"/>
  <c r="H8" i="3"/>
  <c r="K8" i="3"/>
  <c r="H11" i="4" l="1"/>
  <c r="I11" i="4" s="1"/>
  <c r="C12" i="4"/>
  <c r="J11" i="4"/>
  <c r="L11" i="4"/>
  <c r="N11" i="4"/>
  <c r="M8" i="3"/>
  <c r="N8" i="3" s="1"/>
  <c r="E9" i="3"/>
  <c r="K9" i="3" s="1"/>
  <c r="M9" i="3" s="1"/>
  <c r="H6" i="3"/>
  <c r="H7" i="3"/>
  <c r="I8" i="3"/>
  <c r="J8" i="3"/>
  <c r="L8" i="3"/>
  <c r="E12" i="4" l="1"/>
  <c r="F12" i="4"/>
  <c r="H9" i="3"/>
  <c r="I9" i="3" s="1"/>
  <c r="C10" i="3"/>
  <c r="F10" i="3" s="1"/>
  <c r="F7" i="3"/>
  <c r="L9" i="3"/>
  <c r="H12" i="4" l="1"/>
  <c r="C13" i="4"/>
  <c r="L12" i="4"/>
  <c r="N12" i="4"/>
  <c r="J12" i="4"/>
  <c r="N46" i="3"/>
  <c r="N48" i="3" s="1"/>
  <c r="J7" i="3"/>
  <c r="E10" i="3"/>
  <c r="H10" i="3" s="1"/>
  <c r="I10" i="3" s="1"/>
  <c r="J9" i="3"/>
  <c r="I7" i="3"/>
  <c r="N9" i="3"/>
  <c r="F13" i="4" l="1"/>
  <c r="E13" i="4"/>
  <c r="I12" i="4"/>
  <c r="G44" i="4"/>
  <c r="K10" i="3"/>
  <c r="C11" i="3"/>
  <c r="F11" i="3" s="1"/>
  <c r="J10" i="3"/>
  <c r="H13" i="4" l="1"/>
  <c r="J13" i="4" s="1"/>
  <c r="C14" i="4"/>
  <c r="F26" i="4"/>
  <c r="M10" i="3"/>
  <c r="N10" i="3" s="1"/>
  <c r="E11" i="3"/>
  <c r="H11" i="3" s="1"/>
  <c r="I11" i="3" s="1"/>
  <c r="L10" i="3"/>
  <c r="L13" i="4" l="1"/>
  <c r="N13" i="4"/>
  <c r="E14" i="4"/>
  <c r="F14" i="4"/>
  <c r="I13" i="4"/>
  <c r="G45" i="4"/>
  <c r="G46" i="4" s="1"/>
  <c r="N44" i="4" s="1"/>
  <c r="K11" i="3"/>
  <c r="C12" i="3"/>
  <c r="F12" i="3" s="1"/>
  <c r="J11" i="3"/>
  <c r="H14" i="4" l="1"/>
  <c r="I14" i="4" s="1"/>
  <c r="C15" i="4"/>
  <c r="M11" i="3"/>
  <c r="N11" i="3" s="1"/>
  <c r="L32" i="3"/>
  <c r="L11" i="3"/>
  <c r="E12" i="3"/>
  <c r="C13" i="3" s="1"/>
  <c r="J14" i="4" l="1"/>
  <c r="F15" i="4"/>
  <c r="E15" i="4"/>
  <c r="N14" i="4"/>
  <c r="L14" i="4"/>
  <c r="K12" i="3"/>
  <c r="M12" i="3" s="1"/>
  <c r="H12" i="3"/>
  <c r="I12" i="3" s="1"/>
  <c r="F13" i="3"/>
  <c r="E13" i="3"/>
  <c r="L36" i="4" l="1"/>
  <c r="K17" i="4"/>
  <c r="H15" i="4"/>
  <c r="J15" i="4" s="1"/>
  <c r="F31" i="4" s="1" a="1"/>
  <c r="F31" i="4" s="1"/>
  <c r="F32" i="4" s="1"/>
  <c r="C16" i="4"/>
  <c r="L15" i="4"/>
  <c r="L16" i="4" s="1"/>
  <c r="L33" i="3"/>
  <c r="F26" i="3"/>
  <c r="L12" i="3"/>
  <c r="J12" i="3"/>
  <c r="N12" i="3"/>
  <c r="C14" i="3"/>
  <c r="H13" i="3"/>
  <c r="I13" i="3" s="1"/>
  <c r="K13" i="3"/>
  <c r="M13" i="3" s="1"/>
  <c r="N15" i="4" l="1"/>
  <c r="N16" i="4" s="1"/>
  <c r="E16" i="4"/>
  <c r="H16" i="4" s="1"/>
  <c r="F16" i="4"/>
  <c r="J16" i="4" s="1"/>
  <c r="F30" i="4"/>
  <c r="I15" i="4"/>
  <c r="G44" i="3"/>
  <c r="L34" i="3"/>
  <c r="N13" i="3"/>
  <c r="L13" i="3"/>
  <c r="G45" i="3" s="1"/>
  <c r="F14" i="3"/>
  <c r="E14" i="3"/>
  <c r="K14" i="3" s="1"/>
  <c r="J13" i="3"/>
  <c r="I16" i="4" l="1"/>
  <c r="G46" i="3"/>
  <c r="N44" i="3" s="1"/>
  <c r="C15" i="3"/>
  <c r="H14" i="3"/>
  <c r="I14" i="3" s="1"/>
  <c r="M14" i="3"/>
  <c r="N14" i="3" l="1"/>
  <c r="L14" i="3"/>
  <c r="J14" i="3"/>
  <c r="F15" i="3"/>
  <c r="E15" i="3"/>
  <c r="H15" i="3" l="1"/>
  <c r="F30" i="3" s="1"/>
  <c r="C16" i="3"/>
  <c r="K15" i="3"/>
  <c r="L36" i="3" s="1"/>
  <c r="M15" i="3" l="1"/>
  <c r="J15" i="3"/>
  <c r="I15" i="3"/>
  <c r="F16" i="3"/>
  <c r="E16" i="3"/>
  <c r="H16" i="3" s="1"/>
  <c r="K17" i="3"/>
  <c r="L15" i="3"/>
  <c r="F25" i="3" l="1" a="1"/>
  <c r="F25" i="3" s="1"/>
  <c r="I16" i="3"/>
  <c r="L16" i="3"/>
  <c r="J16" i="3"/>
  <c r="N15" i="3"/>
  <c r="N16" i="3" s="1"/>
  <c r="M17" i="3"/>
  <c r="F31" i="3" l="1" a="1"/>
  <c r="F31" i="3" s="1"/>
  <c r="F32" i="3" s="1"/>
  <c r="F37" i="3" s="1" a="1"/>
  <c r="F37" i="3" s="1"/>
  <c r="F36" i="3" l="1" a="1"/>
  <c r="F36" i="3" s="1"/>
  <c r="F33" i="3"/>
</calcChain>
</file>

<file path=xl/sharedStrings.xml><?xml version="1.0" encoding="utf-8"?>
<sst xmlns="http://schemas.openxmlformats.org/spreadsheetml/2006/main" count="227" uniqueCount="75">
  <si>
    <t>Peso</t>
  </si>
  <si>
    <t>Oberv. i</t>
  </si>
  <si>
    <t>c =</t>
  </si>
  <si>
    <t>Precisión</t>
  </si>
  <si>
    <t>LÍMITES</t>
  </si>
  <si>
    <t>INTERVALOS DE CLASE
(límites aparentes)</t>
  </si>
  <si>
    <t>FRONTERAS DE CLASE
(límites reales)</t>
  </si>
  <si>
    <t>TAMAÑO DEL INTERVALO</t>
  </si>
  <si>
    <t>MARCAS DE CLASE</t>
  </si>
  <si>
    <t>FRECUENCIA</t>
  </si>
  <si>
    <t>FRECUENCIA ACUMULADA</t>
  </si>
  <si>
    <t>FRECUENCIA RELATIVA</t>
  </si>
  <si>
    <t>FRECUENCIA RELATIVA ACUMULADA</t>
  </si>
  <si>
    <t>Límite inferior</t>
  </si>
  <si>
    <t>Límite Superior</t>
  </si>
  <si>
    <t>c</t>
  </si>
  <si>
    <r>
      <t>x</t>
    </r>
    <r>
      <rPr>
        <b/>
        <vertAlign val="subscript"/>
        <sz val="14"/>
        <rFont val="Times New Roman"/>
        <family val="1"/>
      </rPr>
      <t>i</t>
    </r>
  </si>
  <si>
    <r>
      <t>f</t>
    </r>
    <r>
      <rPr>
        <b/>
        <vertAlign val="subscript"/>
        <sz val="14"/>
        <rFont val="Times New Roman"/>
        <family val="1"/>
      </rPr>
      <t>i</t>
    </r>
  </si>
  <si>
    <r>
      <t>F</t>
    </r>
    <r>
      <rPr>
        <b/>
        <vertAlign val="subscript"/>
        <sz val="14"/>
        <rFont val="Times New Roman"/>
        <family val="1"/>
      </rPr>
      <t>i</t>
    </r>
  </si>
  <si>
    <r>
      <t>f'</t>
    </r>
    <r>
      <rPr>
        <b/>
        <vertAlign val="subscript"/>
        <sz val="14"/>
        <rFont val="Times New Roman"/>
        <family val="1"/>
      </rPr>
      <t>i</t>
    </r>
  </si>
  <si>
    <r>
      <t>F'</t>
    </r>
    <r>
      <rPr>
        <b/>
        <vertAlign val="subscript"/>
        <sz val="14"/>
        <rFont val="Times New Roman"/>
        <family val="1"/>
      </rPr>
      <t>i</t>
    </r>
  </si>
  <si>
    <t>clase</t>
  </si>
  <si>
    <t>-</t>
  </si>
  <si>
    <t>m</t>
  </si>
  <si>
    <t>n</t>
  </si>
  <si>
    <t>Rango</t>
  </si>
  <si>
    <t>Min</t>
  </si>
  <si>
    <t>Max</t>
  </si>
  <si>
    <t>Rango Tabla</t>
  </si>
  <si>
    <t>MinTabla</t>
  </si>
  <si>
    <t>MaxTabla</t>
  </si>
  <si>
    <t>Sumas</t>
  </si>
  <si>
    <t>Longitud de Clase</t>
  </si>
  <si>
    <t>=</t>
  </si>
  <si>
    <t>Media</t>
  </si>
  <si>
    <t>Mediana</t>
  </si>
  <si>
    <t>Moda</t>
  </si>
  <si>
    <t>Mo</t>
  </si>
  <si>
    <t>Clase que contiene a la moda</t>
  </si>
  <si>
    <t>Número de Clases</t>
  </si>
  <si>
    <t>Varianza</t>
  </si>
  <si>
    <t>Desviacion Estandar</t>
  </si>
  <si>
    <t>Coeficiente de Variación</t>
  </si>
  <si>
    <t>CV</t>
  </si>
  <si>
    <t>Total de Datos</t>
  </si>
  <si>
    <t>Medidas de Tendencia Central</t>
  </si>
  <si>
    <t xml:space="preserve">Medidas de Dispersión </t>
  </si>
  <si>
    <t>Medidas de Forma</t>
  </si>
  <si>
    <t>Coeficiente de Sesgo</t>
  </si>
  <si>
    <t>Coeficiente de Curtosis</t>
  </si>
  <si>
    <t>Cuantiles</t>
  </si>
  <si>
    <t>3° Cuartil</t>
  </si>
  <si>
    <t>1° cuartil</t>
  </si>
  <si>
    <t>Clase que contiene a la mediana</t>
  </si>
  <si>
    <t>Clase que contiene al primer Cuartil</t>
  </si>
  <si>
    <t>Clase que contiene as tercer Cuartil</t>
  </si>
  <si>
    <t>Parámetros de los datos Originales</t>
  </si>
  <si>
    <t>Parámetros de la Tabla</t>
  </si>
  <si>
    <t>GRAFICOS</t>
  </si>
  <si>
    <t>Lechones con al menos de 1100 [g]</t>
  </si>
  <si>
    <t>Lechones con menos de 500 [g]</t>
  </si>
  <si>
    <t>Lechones cuyo peso esta entre 1100 [g] y 1300[g]</t>
  </si>
  <si>
    <t xml:space="preserve">Porcentaje de lechones que pesan menos de 500 [g] </t>
  </si>
  <si>
    <t>Porcentaje de lechones que no cumplen con el peso esperado</t>
  </si>
  <si>
    <t>DATOS</t>
  </si>
  <si>
    <t xml:space="preserve">INTERPOLACIÓN </t>
  </si>
  <si>
    <t>Lechones con al menos de 1300 [g]</t>
  </si>
  <si>
    <t>INTERPOLACIÓN</t>
  </si>
  <si>
    <t>Yx=yo+((X-xo)/(x1-xo))(y1-y2)</t>
  </si>
  <si>
    <t xml:space="preserve">INTERPOLACIÓN VALORES </t>
  </si>
  <si>
    <t>TOTAL</t>
  </si>
  <si>
    <t xml:space="preserve">VALORES A BUSCAR </t>
  </si>
  <si>
    <t>CUARTILES</t>
  </si>
  <si>
    <t>Cuartil 1</t>
  </si>
  <si>
    <t>Cuartil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</si>
</sst>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b/>
      <vertAlign val="subscript"/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name val="Times New Roman"/>
      <family val="1"/>
    </font>
    <font>
      <b/>
      <i/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3" borderId="0" applyNumberFormat="0" applyBorder="0" applyAlignment="0" applyProtection="0"/>
    <xf numFmtId="0" fontId="1" fillId="0" borderId="0"/>
    <xf numFmtId="9" fontId="5" fillId="0" borderId="0" applyFont="0" applyFill="0" applyBorder="0" applyAlignment="0" applyProtection="0"/>
  </cellStyleXfs>
  <cellXfs count="12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 applyFont="1"/>
    <xf numFmtId="0" fontId="1" fillId="0" borderId="4" xfId="1" applyFont="1" applyBorder="1" applyAlignment="1">
      <alignment horizontal="centerContinuous"/>
    </xf>
    <xf numFmtId="0" fontId="1" fillId="0" borderId="5" xfId="1" applyFont="1" applyBorder="1" applyAlignment="1">
      <alignment horizontal="centerContinuous"/>
    </xf>
    <xf numFmtId="0" fontId="1" fillId="0" borderId="6" xfId="1" applyFont="1" applyBorder="1" applyAlignment="1">
      <alignment horizontal="centerContinuous"/>
    </xf>
    <xf numFmtId="0" fontId="1" fillId="0" borderId="0" xfId="1" applyFont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2" fontId="1" fillId="0" borderId="0" xfId="1" applyNumberFormat="1" applyFont="1" applyBorder="1" applyAlignment="1">
      <alignment horizontal="center"/>
    </xf>
    <xf numFmtId="2" fontId="1" fillId="0" borderId="8" xfId="1" applyNumberFormat="1" applyFont="1" applyBorder="1" applyAlignment="1">
      <alignment horizontal="center"/>
    </xf>
    <xf numFmtId="1" fontId="1" fillId="0" borderId="8" xfId="1" applyNumberFormat="1" applyFont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2" fontId="1" fillId="0" borderId="9" xfId="1" applyNumberFormat="1" applyFont="1" applyBorder="1" applyAlignment="1">
      <alignment horizontal="center"/>
    </xf>
    <xf numFmtId="0" fontId="1" fillId="2" borderId="12" xfId="1" applyFont="1" applyFill="1" applyBorder="1" applyAlignment="1">
      <alignment horizontal="center"/>
    </xf>
    <xf numFmtId="0" fontId="1" fillId="0" borderId="8" xfId="1" applyNumberFormat="1" applyFont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2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0" fontId="8" fillId="0" borderId="0" xfId="4" applyFont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0" fillId="0" borderId="0" xfId="0" applyFont="1"/>
    <xf numFmtId="0" fontId="1" fillId="0" borderId="0" xfId="4" applyFont="1" applyFill="1" applyBorder="1"/>
    <xf numFmtId="0" fontId="1" fillId="0" borderId="0" xfId="4" applyFont="1" applyFill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0" borderId="8" xfId="1" applyFont="1" applyBorder="1" applyAlignment="1">
      <alignment horizontal="centerContinuous" wrapText="1"/>
    </xf>
    <xf numFmtId="0" fontId="11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Continuous" wrapText="1"/>
    </xf>
    <xf numFmtId="0" fontId="0" fillId="0" borderId="12" xfId="0" applyBorder="1"/>
    <xf numFmtId="0" fontId="0" fillId="0" borderId="0" xfId="0" applyFill="1"/>
    <xf numFmtId="0" fontId="1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1" fontId="1" fillId="0" borderId="13" xfId="1" applyNumberFormat="1" applyFont="1" applyBorder="1" applyAlignment="1">
      <alignment horizontal="center"/>
    </xf>
    <xf numFmtId="0" fontId="11" fillId="0" borderId="0" xfId="1" applyFont="1" applyFill="1" applyBorder="1" applyAlignment="1">
      <alignment horizontal="center"/>
    </xf>
    <xf numFmtId="0" fontId="2" fillId="0" borderId="0" xfId="4" applyFont="1" applyFill="1" applyBorder="1"/>
    <xf numFmtId="0" fontId="2" fillId="0" borderId="0" xfId="4" quotePrefix="1" applyFont="1" applyFill="1" applyBorder="1" applyAlignment="1">
      <alignment horizontal="left"/>
    </xf>
    <xf numFmtId="0" fontId="2" fillId="0" borderId="0" xfId="4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7" fillId="0" borderId="12" xfId="3" applyNumberFormat="1" applyFont="1" applyFill="1" applyBorder="1"/>
    <xf numFmtId="164" fontId="0" fillId="0" borderId="12" xfId="2" applyFont="1" applyFill="1" applyBorder="1"/>
    <xf numFmtId="0" fontId="12" fillId="0" borderId="0" xfId="0" applyFont="1"/>
    <xf numFmtId="1" fontId="1" fillId="0" borderId="3" xfId="1" applyNumberFormat="1" applyFont="1" applyFill="1" applyBorder="1"/>
    <xf numFmtId="0" fontId="12" fillId="0" borderId="0" xfId="0" applyFont="1" applyFill="1"/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13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0" fontId="1" fillId="0" borderId="0" xfId="4" applyFont="1" applyFill="1" applyBorder="1" applyAlignment="1">
      <alignment vertical="center"/>
    </xf>
    <xf numFmtId="0" fontId="1" fillId="0" borderId="0" xfId="4" applyFont="1" applyFill="1" applyBorder="1" applyAlignment="1">
      <alignment horizontal="center" vertical="center"/>
    </xf>
    <xf numFmtId="9" fontId="0" fillId="5" borderId="0" xfId="5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6" borderId="4" xfId="1" applyFont="1" applyFill="1" applyBorder="1" applyAlignment="1">
      <alignment horizontal="centerContinuous" vertical="center" wrapText="1"/>
    </xf>
    <xf numFmtId="0" fontId="2" fillId="6" borderId="5" xfId="1" applyFont="1" applyFill="1" applyBorder="1" applyAlignment="1">
      <alignment horizontal="centerContinuous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6" borderId="7" xfId="1" applyFont="1" applyFill="1" applyBorder="1" applyAlignment="1">
      <alignment horizontal="center" vertical="center" wrapText="1"/>
    </xf>
    <xf numFmtId="0" fontId="1" fillId="6" borderId="8" xfId="1" applyFont="1" applyFill="1" applyBorder="1" applyAlignment="1">
      <alignment horizontal="centerContinuous" vertical="center" wrapText="1"/>
    </xf>
    <xf numFmtId="0" fontId="1" fillId="6" borderId="0" xfId="1" applyFont="1" applyFill="1" applyBorder="1" applyAlignment="1">
      <alignment horizontal="centerContinuous" vertical="center" wrapText="1"/>
    </xf>
    <xf numFmtId="0" fontId="1" fillId="6" borderId="8" xfId="1" applyFont="1" applyFill="1" applyBorder="1" applyAlignment="1">
      <alignment horizontal="center" vertical="center" wrapText="1"/>
    </xf>
    <xf numFmtId="0" fontId="1" fillId="6" borderId="0" xfId="1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centerContinuous" vertical="center" wrapText="1"/>
    </xf>
    <xf numFmtId="0" fontId="3" fillId="6" borderId="8" xfId="1" quotePrefix="1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center" vertical="center" wrapText="1"/>
    </xf>
    <xf numFmtId="0" fontId="3" fillId="6" borderId="9" xfId="1" applyFont="1" applyFill="1" applyBorder="1" applyAlignment="1">
      <alignment horizontal="center" vertical="center" wrapText="1"/>
    </xf>
    <xf numFmtId="0" fontId="1" fillId="6" borderId="10" xfId="1" applyFont="1" applyFill="1" applyBorder="1" applyAlignment="1">
      <alignment horizontal="centerContinuous" wrapText="1"/>
    </xf>
    <xf numFmtId="0" fontId="1" fillId="6" borderId="11" xfId="1" applyFont="1" applyFill="1" applyBorder="1" applyAlignment="1">
      <alignment horizontal="centerContinuous" wrapText="1"/>
    </xf>
    <xf numFmtId="0" fontId="15" fillId="6" borderId="10" xfId="1" applyFont="1" applyFill="1" applyBorder="1" applyAlignment="1">
      <alignment horizontal="center" wrapText="1"/>
    </xf>
    <xf numFmtId="0" fontId="15" fillId="6" borderId="11" xfId="1" applyFont="1" applyFill="1" applyBorder="1" applyAlignment="1">
      <alignment horizontal="center" wrapText="1"/>
    </xf>
    <xf numFmtId="2" fontId="15" fillId="6" borderId="11" xfId="1" applyNumberFormat="1" applyFont="1" applyFill="1" applyBorder="1" applyAlignment="1">
      <alignment horizontal="center" wrapText="1"/>
    </xf>
    <xf numFmtId="0" fontId="15" fillId="6" borderId="10" xfId="1" applyFont="1" applyFill="1" applyBorder="1" applyAlignment="1">
      <alignment horizontal="centerContinuous" wrapText="1"/>
    </xf>
    <xf numFmtId="0" fontId="15" fillId="6" borderId="10" xfId="1" quotePrefix="1" applyFont="1" applyFill="1" applyBorder="1" applyAlignment="1">
      <alignment horizontal="center" wrapText="1"/>
    </xf>
    <xf numFmtId="0" fontId="15" fillId="6" borderId="12" xfId="1" applyFont="1" applyFill="1" applyBorder="1" applyAlignment="1">
      <alignment horizontal="center" wrapText="1"/>
    </xf>
    <xf numFmtId="0" fontId="15" fillId="0" borderId="8" xfId="2" applyNumberFormat="1" applyFont="1" applyBorder="1" applyAlignment="1">
      <alignment horizontal="center" wrapText="1"/>
    </xf>
    <xf numFmtId="0" fontId="15" fillId="0" borderId="0" xfId="1" applyFont="1" applyBorder="1" applyAlignment="1">
      <alignment horizontal="center"/>
    </xf>
    <xf numFmtId="0" fontId="15" fillId="0" borderId="0" xfId="1" applyNumberFormat="1" applyFont="1" applyBorder="1" applyAlignment="1">
      <alignment horizontal="center" wrapText="1"/>
    </xf>
    <xf numFmtId="2" fontId="15" fillId="0" borderId="8" xfId="1" applyNumberFormat="1" applyFont="1" applyBorder="1" applyAlignment="1">
      <alignment horizontal="center"/>
    </xf>
    <xf numFmtId="0" fontId="15" fillId="0" borderId="8" xfId="1" applyFont="1" applyBorder="1" applyAlignment="1">
      <alignment horizontal="center" wrapText="1"/>
    </xf>
    <xf numFmtId="2" fontId="15" fillId="0" borderId="8" xfId="1" applyNumberFormat="1" applyFont="1" applyBorder="1" applyAlignment="1">
      <alignment horizontal="center" wrapText="1"/>
    </xf>
    <xf numFmtId="2" fontId="15" fillId="0" borderId="7" xfId="1" applyNumberFormat="1" applyFont="1" applyBorder="1" applyAlignment="1">
      <alignment horizontal="center" wrapText="1"/>
    </xf>
    <xf numFmtId="0" fontId="15" fillId="0" borderId="10" xfId="1" applyFont="1" applyBorder="1" applyAlignment="1">
      <alignment horizontal="center"/>
    </xf>
    <xf numFmtId="0" fontId="15" fillId="0" borderId="11" xfId="1" applyFont="1" applyBorder="1" applyAlignment="1">
      <alignment horizontal="center"/>
    </xf>
    <xf numFmtId="1" fontId="15" fillId="0" borderId="11" xfId="1" applyNumberFormat="1" applyFont="1" applyBorder="1" applyAlignment="1">
      <alignment horizontal="center"/>
    </xf>
    <xf numFmtId="2" fontId="15" fillId="0" borderId="10" xfId="1" applyNumberFormat="1" applyFont="1" applyBorder="1" applyAlignment="1">
      <alignment horizontal="center"/>
    </xf>
    <xf numFmtId="2" fontId="15" fillId="0" borderId="11" xfId="1" applyNumberFormat="1" applyFont="1" applyBorder="1" applyAlignment="1">
      <alignment horizontal="center"/>
    </xf>
    <xf numFmtId="0" fontId="15" fillId="0" borderId="12" xfId="1" applyFont="1" applyFill="1" applyBorder="1" applyAlignment="1">
      <alignment horizontal="center"/>
    </xf>
    <xf numFmtId="2" fontId="15" fillId="0" borderId="12" xfId="1" applyNumberFormat="1" applyFont="1" applyBorder="1" applyAlignment="1">
      <alignment horizontal="center"/>
    </xf>
    <xf numFmtId="0" fontId="7" fillId="0" borderId="0" xfId="0" applyFont="1"/>
    <xf numFmtId="0" fontId="1" fillId="0" borderId="3" xfId="1" applyFont="1" applyFill="1" applyBorder="1"/>
    <xf numFmtId="0" fontId="1" fillId="5" borderId="2" xfId="1" applyFont="1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ont="1" applyFill="1"/>
    <xf numFmtId="0" fontId="1" fillId="0" borderId="0" xfId="4" applyFont="1" applyFill="1" applyBorder="1" applyAlignment="1">
      <alignment horizontal="center"/>
    </xf>
    <xf numFmtId="2" fontId="7" fillId="0" borderId="0" xfId="0" applyNumberFormat="1" applyFont="1"/>
    <xf numFmtId="1" fontId="15" fillId="0" borderId="0" xfId="1" applyNumberFormat="1" applyFont="1" applyBorder="1" applyAlignment="1">
      <alignment horizontal="center"/>
    </xf>
    <xf numFmtId="2" fontId="15" fillId="0" borderId="0" xfId="1" applyNumberFormat="1" applyFont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6" fillId="0" borderId="12" xfId="3" applyNumberFormat="1" applyFont="1" applyFill="1" applyBorder="1"/>
    <xf numFmtId="165" fontId="1" fillId="0" borderId="8" xfId="1" applyNumberFormat="1" applyFont="1" applyBorder="1" applyAlignment="1">
      <alignment horizontal="center"/>
    </xf>
    <xf numFmtId="0" fontId="0" fillId="10" borderId="0" xfId="0" applyFill="1"/>
    <xf numFmtId="0" fontId="0" fillId="0" borderId="0" xfId="0" applyFont="1" applyFill="1" applyAlignment="1">
      <alignment horizontal="center"/>
    </xf>
    <xf numFmtId="0" fontId="1" fillId="0" borderId="0" xfId="4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4" fillId="5" borderId="0" xfId="0" applyFont="1" applyFill="1" applyAlignment="1">
      <alignment horizontal="center"/>
    </xf>
    <xf numFmtId="0" fontId="14" fillId="9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6">
    <cellStyle name="Comma" xfId="2" builtinId="3"/>
    <cellStyle name="Good" xfId="3" builtinId="26"/>
    <cellStyle name="Normal" xfId="0" builtinId="0"/>
    <cellStyle name="Normal_EjemplosEstDesc2003" xfId="1" xr:uid="{00000000-0005-0000-0000-000003000000}"/>
    <cellStyle name="Normal_FormulasEstadDescr" xfId="4" xr:uid="{00000000-0005-0000-0000-000004000000}"/>
    <cellStyle name="Percent" xfId="5" builtinId="5"/>
  </cellStyles>
  <dxfs count="0"/>
  <tableStyles count="0" defaultTableStyle="TableStyleMedium2" defaultPivotStyle="PivotStyleLight16"/>
  <colors>
    <mruColors>
      <color rgb="FF000000"/>
      <color rgb="FFFFFFCC"/>
      <color rgb="FF00CC99"/>
      <color rgb="FFCC6600"/>
      <color rgb="FFFF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Frecuencia</a:t>
            </a:r>
            <a:r>
              <a:rPr lang="es-MX" baseline="0"/>
              <a:t> Absoluta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'ANÁLISIS(This)'!$K$4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 w="6350" cap="flat" cmpd="sng" algn="ctr">
              <a:solidFill>
                <a:schemeClr val="lt1"/>
              </a:solidFill>
              <a:prstDash val="solid"/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46-45C9-A4A4-19496511AA6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46-45C9-A4A4-19496511AA6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46-45C9-A4A4-19496511AA6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46-45C9-A4A4-19496511AA6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A46-45C9-A4A4-19496511AA6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A46-45C9-A4A4-19496511AA6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CA46-45C9-A4A4-19496511AA6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CA46-45C9-A4A4-19496511AA66}"/>
              </c:ext>
            </c:extLst>
          </c:dPt>
          <c:cat>
            <c:numRef>
              <c:f>'ANÁLISIS(This)'!$J$8:$J$15</c:f>
              <c:numCache>
                <c:formatCode>0.00</c:formatCode>
                <c:ptCount val="8"/>
                <c:pt idx="0">
                  <c:v>324.95</c:v>
                </c:pt>
                <c:pt idx="1">
                  <c:v>514.94999999999993</c:v>
                </c:pt>
                <c:pt idx="2">
                  <c:v>704.95</c:v>
                </c:pt>
                <c:pt idx="3">
                  <c:v>894.95</c:v>
                </c:pt>
                <c:pt idx="4">
                  <c:v>1084.95</c:v>
                </c:pt>
                <c:pt idx="5">
                  <c:v>1274.95</c:v>
                </c:pt>
                <c:pt idx="6">
                  <c:v>1464.95</c:v>
                </c:pt>
                <c:pt idx="7">
                  <c:v>1654.95</c:v>
                </c:pt>
              </c:numCache>
            </c:numRef>
          </c:cat>
          <c:val>
            <c:numRef>
              <c:f>'ANÁLISIS(This)'!$K$8:$K$15</c:f>
              <c:numCache>
                <c:formatCode>General</c:formatCode>
                <c:ptCount val="8"/>
                <c:pt idx="0">
                  <c:v>5</c:v>
                </c:pt>
                <c:pt idx="1">
                  <c:v>8</c:v>
                </c:pt>
                <c:pt idx="2">
                  <c:v>22</c:v>
                </c:pt>
                <c:pt idx="3">
                  <c:v>32</c:v>
                </c:pt>
                <c:pt idx="4">
                  <c:v>31</c:v>
                </c:pt>
                <c:pt idx="5">
                  <c:v>27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A46-45C9-A4A4-19496511A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7264128"/>
        <c:axId val="47265664"/>
      </c:barChart>
      <c:catAx>
        <c:axId val="4726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65664"/>
        <c:crosses val="autoZero"/>
        <c:auto val="1"/>
        <c:lblAlgn val="ctr"/>
        <c:lblOffset val="100"/>
        <c:noMultiLvlLbl val="0"/>
      </c:catAx>
      <c:valAx>
        <c:axId val="4726566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6412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Frecuencia</a:t>
            </a:r>
            <a:r>
              <a:rPr lang="es-MX" baseline="0"/>
              <a:t>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6350" cap="flat" cmpd="sng" algn="ctr">
              <a:solidFill>
                <a:schemeClr val="lt1"/>
              </a:solidFill>
              <a:prstDash val="solid"/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A8F-420F-8D39-5DEC6D65151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8F-420F-8D39-5DEC6D65151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8F-420F-8D39-5DEC6D6515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A8F-420F-8D39-5DEC6D65151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A8F-420F-8D39-5DEC6D65151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5A8F-420F-8D39-5DEC6D65151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5A8F-420F-8D39-5DEC6D65151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A8F-420F-8D39-5DEC6D65151F}"/>
              </c:ext>
            </c:extLst>
          </c:dPt>
          <c:cat>
            <c:numRef>
              <c:f>'ANÁLISIS(This)'!$J$8:$J$15</c:f>
              <c:numCache>
                <c:formatCode>0.00</c:formatCode>
                <c:ptCount val="8"/>
                <c:pt idx="0">
                  <c:v>324.95</c:v>
                </c:pt>
                <c:pt idx="1">
                  <c:v>514.94999999999993</c:v>
                </c:pt>
                <c:pt idx="2">
                  <c:v>704.95</c:v>
                </c:pt>
                <c:pt idx="3">
                  <c:v>894.95</c:v>
                </c:pt>
                <c:pt idx="4">
                  <c:v>1084.95</c:v>
                </c:pt>
                <c:pt idx="5">
                  <c:v>1274.95</c:v>
                </c:pt>
                <c:pt idx="6">
                  <c:v>1464.95</c:v>
                </c:pt>
                <c:pt idx="7">
                  <c:v>1654.95</c:v>
                </c:pt>
              </c:numCache>
            </c:numRef>
          </c:cat>
          <c:val>
            <c:numRef>
              <c:f>'ANÁLISIS(This)'!$N$8:$N$15</c:f>
              <c:numCache>
                <c:formatCode>0.00</c:formatCode>
                <c:ptCount val="8"/>
                <c:pt idx="0">
                  <c:v>3.3333333333333333E-2</c:v>
                </c:pt>
                <c:pt idx="1">
                  <c:v>8.666666666666667E-2</c:v>
                </c:pt>
                <c:pt idx="2">
                  <c:v>0.23333333333333334</c:v>
                </c:pt>
                <c:pt idx="3">
                  <c:v>0.44666666666666666</c:v>
                </c:pt>
                <c:pt idx="4">
                  <c:v>0.65333333333333332</c:v>
                </c:pt>
                <c:pt idx="5">
                  <c:v>0.83333333333333326</c:v>
                </c:pt>
                <c:pt idx="6">
                  <c:v>0.93333333333333324</c:v>
                </c:pt>
                <c:pt idx="7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A8F-420F-8D39-5DEC6D651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4300544"/>
        <c:axId val="174982656"/>
      </c:barChart>
      <c:catAx>
        <c:axId val="17430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982656"/>
        <c:crosses val="autoZero"/>
        <c:auto val="1"/>
        <c:lblAlgn val="ctr"/>
        <c:lblOffset val="100"/>
        <c:noMultiLvlLbl val="0"/>
      </c:catAx>
      <c:valAx>
        <c:axId val="17498265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3005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Frecuancia Absoluta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6.4636043601948606E-2"/>
          <c:y val="0.21007381755409474"/>
          <c:w val="0.86684540223948392"/>
          <c:h val="0.700449848229366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'ANÁLISIS(This)'!$K$4</c:f>
              <c:strCache>
                <c:ptCount val="1"/>
                <c:pt idx="0">
                  <c:v>FRECUENCIA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xVal>
            <c:numRef>
              <c:f>'ANÁLISIS(This)'!$J$7:$J$16</c:f>
              <c:numCache>
                <c:formatCode>0.00</c:formatCode>
                <c:ptCount val="10"/>
                <c:pt idx="0">
                  <c:v>134.94999999999999</c:v>
                </c:pt>
                <c:pt idx="1">
                  <c:v>324.95</c:v>
                </c:pt>
                <c:pt idx="2">
                  <c:v>514.94999999999993</c:v>
                </c:pt>
                <c:pt idx="3">
                  <c:v>704.95</c:v>
                </c:pt>
                <c:pt idx="4">
                  <c:v>894.95</c:v>
                </c:pt>
                <c:pt idx="5">
                  <c:v>1084.95</c:v>
                </c:pt>
                <c:pt idx="6">
                  <c:v>1274.95</c:v>
                </c:pt>
                <c:pt idx="7">
                  <c:v>1464.95</c:v>
                </c:pt>
                <c:pt idx="8">
                  <c:v>1654.95</c:v>
                </c:pt>
                <c:pt idx="9">
                  <c:v>1844.95</c:v>
                </c:pt>
              </c:numCache>
            </c:numRef>
          </c:xVal>
          <c:yVal>
            <c:numRef>
              <c:f>'ANÁLISIS(This)'!$K$7:$K$16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22</c:v>
                </c:pt>
                <c:pt idx="4">
                  <c:v>32</c:v>
                </c:pt>
                <c:pt idx="5">
                  <c:v>31</c:v>
                </c:pt>
                <c:pt idx="6">
                  <c:v>27</c:v>
                </c:pt>
                <c:pt idx="7">
                  <c:v>15</c:v>
                </c:pt>
                <c:pt idx="8">
                  <c:v>10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9-4290-B70E-60D9F67B7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49824"/>
        <c:axId val="45548288"/>
      </c:scatterChart>
      <c:valAx>
        <c:axId val="45549824"/>
        <c:scaling>
          <c:orientation val="minMax"/>
          <c:max val="1842.95"/>
          <c:min val="132.95000000000002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548288"/>
        <c:crosses val="autoZero"/>
        <c:crossBetween val="midCat"/>
        <c:majorUnit val="190"/>
        <c:minorUnit val="95"/>
      </c:valAx>
      <c:valAx>
        <c:axId val="4554828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54982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Ojiva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'ANÁLISIS(This)'!$K$4</c:f>
              <c:strCache>
                <c:ptCount val="1"/>
                <c:pt idx="0">
                  <c:v>FRECUENCIA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xVal>
            <c:numRef>
              <c:f>'ANÁLISIS(This)'!$H$7:$H$15</c:f>
              <c:numCache>
                <c:formatCode>0.00</c:formatCode>
                <c:ptCount val="9"/>
                <c:pt idx="0" formatCode="General">
                  <c:v>229.95</c:v>
                </c:pt>
                <c:pt idx="1">
                  <c:v>419.95</c:v>
                </c:pt>
                <c:pt idx="2">
                  <c:v>609.94999999999993</c:v>
                </c:pt>
                <c:pt idx="3">
                  <c:v>799.94999999999993</c:v>
                </c:pt>
                <c:pt idx="4">
                  <c:v>989.94999999999993</c:v>
                </c:pt>
                <c:pt idx="5">
                  <c:v>1179.95</c:v>
                </c:pt>
                <c:pt idx="6">
                  <c:v>1369.95</c:v>
                </c:pt>
                <c:pt idx="7">
                  <c:v>1559.95</c:v>
                </c:pt>
                <c:pt idx="8">
                  <c:v>1749.95</c:v>
                </c:pt>
              </c:numCache>
            </c:numRef>
          </c:xVal>
          <c:yVal>
            <c:numRef>
              <c:f>'ANÁLISIS(This)'!$N$7:$N$15</c:f>
              <c:numCache>
                <c:formatCode>0.00</c:formatCode>
                <c:ptCount val="9"/>
                <c:pt idx="0">
                  <c:v>0</c:v>
                </c:pt>
                <c:pt idx="1">
                  <c:v>3.3333333333333333E-2</c:v>
                </c:pt>
                <c:pt idx="2">
                  <c:v>8.666666666666667E-2</c:v>
                </c:pt>
                <c:pt idx="3">
                  <c:v>0.23333333333333334</c:v>
                </c:pt>
                <c:pt idx="4">
                  <c:v>0.44666666666666666</c:v>
                </c:pt>
                <c:pt idx="5">
                  <c:v>0.65333333333333332</c:v>
                </c:pt>
                <c:pt idx="6">
                  <c:v>0.83333333333333326</c:v>
                </c:pt>
                <c:pt idx="7">
                  <c:v>0.93333333333333324</c:v>
                </c:pt>
                <c:pt idx="8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1-40F5-866F-6FE245EAA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81184"/>
        <c:axId val="175212032"/>
      </c:scatterChart>
      <c:valAx>
        <c:axId val="175181184"/>
        <c:scaling>
          <c:orientation val="minMax"/>
          <c:max val="1747.95"/>
          <c:min val="227.95000000000002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212032"/>
        <c:crosses val="autoZero"/>
        <c:crossBetween val="midCat"/>
        <c:majorUnit val="190"/>
        <c:minorUnit val="95"/>
      </c:valAx>
      <c:valAx>
        <c:axId val="1752120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18118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Frecuencia</a:t>
            </a:r>
            <a:r>
              <a:rPr lang="es-MX" baseline="0"/>
              <a:t> Absoluta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'ANÁLISIS(This)'!$K$4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 w="6350" cap="flat" cmpd="sng" algn="ctr">
              <a:solidFill>
                <a:schemeClr val="lt1"/>
              </a:solidFill>
              <a:prstDash val="solid"/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B3-44F0-9918-639E284CEC3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B3-44F0-9918-639E284CEC3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B3-44F0-9918-639E284CEC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EB3-44F0-9918-639E284CEC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B3-44F0-9918-639E284CEC3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AEB3-44F0-9918-639E284CEC3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AEB3-44F0-9918-639E284CEC3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AEB3-44F0-9918-639E284CEC3F}"/>
              </c:ext>
            </c:extLst>
          </c:dPt>
          <c:cat>
            <c:numRef>
              <c:f>'ANÁLISIS(This)'!$J$8:$J$15</c:f>
              <c:numCache>
                <c:formatCode>0.00</c:formatCode>
                <c:ptCount val="8"/>
                <c:pt idx="0">
                  <c:v>324.95</c:v>
                </c:pt>
                <c:pt idx="1">
                  <c:v>514.94999999999993</c:v>
                </c:pt>
                <c:pt idx="2">
                  <c:v>704.95</c:v>
                </c:pt>
                <c:pt idx="3">
                  <c:v>894.95</c:v>
                </c:pt>
                <c:pt idx="4">
                  <c:v>1084.95</c:v>
                </c:pt>
                <c:pt idx="5">
                  <c:v>1274.95</c:v>
                </c:pt>
                <c:pt idx="6">
                  <c:v>1464.95</c:v>
                </c:pt>
                <c:pt idx="7">
                  <c:v>1654.95</c:v>
                </c:pt>
              </c:numCache>
            </c:numRef>
          </c:cat>
          <c:val>
            <c:numRef>
              <c:f>'ANÁLISIS(This)'!$K$8:$K$15</c:f>
              <c:numCache>
                <c:formatCode>General</c:formatCode>
                <c:ptCount val="8"/>
                <c:pt idx="0">
                  <c:v>5</c:v>
                </c:pt>
                <c:pt idx="1">
                  <c:v>8</c:v>
                </c:pt>
                <c:pt idx="2">
                  <c:v>22</c:v>
                </c:pt>
                <c:pt idx="3">
                  <c:v>32</c:v>
                </c:pt>
                <c:pt idx="4">
                  <c:v>31</c:v>
                </c:pt>
                <c:pt idx="5">
                  <c:v>27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EB3-44F0-9918-639E284CE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7264128"/>
        <c:axId val="47265664"/>
      </c:barChart>
      <c:catAx>
        <c:axId val="4726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65664"/>
        <c:crosses val="autoZero"/>
        <c:auto val="1"/>
        <c:lblAlgn val="ctr"/>
        <c:lblOffset val="100"/>
        <c:noMultiLvlLbl val="0"/>
      </c:catAx>
      <c:valAx>
        <c:axId val="4726566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6412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Frecuencia</a:t>
            </a:r>
            <a:r>
              <a:rPr lang="es-MX" baseline="0"/>
              <a:t>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6350" cap="flat" cmpd="sng" algn="ctr">
              <a:solidFill>
                <a:schemeClr val="lt1"/>
              </a:solidFill>
              <a:prstDash val="solid"/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9B3-451B-9E82-0228EAA4F49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9B3-451B-9E82-0228EAA4F49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9B3-451B-9E82-0228EAA4F49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9B3-451B-9E82-0228EAA4F49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C9B3-451B-9E82-0228EAA4F49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C9B3-451B-9E82-0228EAA4F49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C9B3-451B-9E82-0228EAA4F49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C9B3-451B-9E82-0228EAA4F494}"/>
              </c:ext>
            </c:extLst>
          </c:dPt>
          <c:cat>
            <c:numRef>
              <c:f>'ANÁLISIS(This)'!$J$8:$J$15</c:f>
              <c:numCache>
                <c:formatCode>0.00</c:formatCode>
                <c:ptCount val="8"/>
                <c:pt idx="0">
                  <c:v>324.95</c:v>
                </c:pt>
                <c:pt idx="1">
                  <c:v>514.94999999999993</c:v>
                </c:pt>
                <c:pt idx="2">
                  <c:v>704.95</c:v>
                </c:pt>
                <c:pt idx="3">
                  <c:v>894.95</c:v>
                </c:pt>
                <c:pt idx="4">
                  <c:v>1084.95</c:v>
                </c:pt>
                <c:pt idx="5">
                  <c:v>1274.95</c:v>
                </c:pt>
                <c:pt idx="6">
                  <c:v>1464.95</c:v>
                </c:pt>
                <c:pt idx="7">
                  <c:v>1654.95</c:v>
                </c:pt>
              </c:numCache>
            </c:numRef>
          </c:cat>
          <c:val>
            <c:numRef>
              <c:f>'ANÁLISIS(This)'!$N$8:$N$15</c:f>
              <c:numCache>
                <c:formatCode>0.00</c:formatCode>
                <c:ptCount val="8"/>
                <c:pt idx="0">
                  <c:v>3.3333333333333333E-2</c:v>
                </c:pt>
                <c:pt idx="1">
                  <c:v>8.666666666666667E-2</c:v>
                </c:pt>
                <c:pt idx="2">
                  <c:v>0.23333333333333334</c:v>
                </c:pt>
                <c:pt idx="3">
                  <c:v>0.44666666666666666</c:v>
                </c:pt>
                <c:pt idx="4">
                  <c:v>0.65333333333333332</c:v>
                </c:pt>
                <c:pt idx="5">
                  <c:v>0.83333333333333326</c:v>
                </c:pt>
                <c:pt idx="6">
                  <c:v>0.93333333333333324</c:v>
                </c:pt>
                <c:pt idx="7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9B3-451B-9E82-0228EAA4F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4300544"/>
        <c:axId val="174982656"/>
      </c:barChart>
      <c:catAx>
        <c:axId val="17430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982656"/>
        <c:crosses val="autoZero"/>
        <c:auto val="1"/>
        <c:lblAlgn val="ctr"/>
        <c:lblOffset val="100"/>
        <c:noMultiLvlLbl val="0"/>
      </c:catAx>
      <c:valAx>
        <c:axId val="17498265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3005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Frecuancia Absoluta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6.4636043601948606E-2"/>
          <c:y val="0.21007381755409474"/>
          <c:w val="0.86684540223948392"/>
          <c:h val="0.700449848229366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'ANÁLISIS(This)'!$K$4</c:f>
              <c:strCache>
                <c:ptCount val="1"/>
                <c:pt idx="0">
                  <c:v>FRECUENCIA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xVal>
            <c:numRef>
              <c:f>'ANÁLISIS(This)'!$J$7:$J$16</c:f>
              <c:numCache>
                <c:formatCode>0.00</c:formatCode>
                <c:ptCount val="10"/>
                <c:pt idx="0">
                  <c:v>134.94999999999999</c:v>
                </c:pt>
                <c:pt idx="1">
                  <c:v>324.95</c:v>
                </c:pt>
                <c:pt idx="2">
                  <c:v>514.94999999999993</c:v>
                </c:pt>
                <c:pt idx="3">
                  <c:v>704.95</c:v>
                </c:pt>
                <c:pt idx="4">
                  <c:v>894.95</c:v>
                </c:pt>
                <c:pt idx="5">
                  <c:v>1084.95</c:v>
                </c:pt>
                <c:pt idx="6">
                  <c:v>1274.95</c:v>
                </c:pt>
                <c:pt idx="7">
                  <c:v>1464.95</c:v>
                </c:pt>
                <c:pt idx="8">
                  <c:v>1654.95</c:v>
                </c:pt>
                <c:pt idx="9">
                  <c:v>1844.95</c:v>
                </c:pt>
              </c:numCache>
            </c:numRef>
          </c:xVal>
          <c:yVal>
            <c:numRef>
              <c:f>'ANÁLISIS(This)'!$K$7:$K$16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22</c:v>
                </c:pt>
                <c:pt idx="4">
                  <c:v>32</c:v>
                </c:pt>
                <c:pt idx="5">
                  <c:v>31</c:v>
                </c:pt>
                <c:pt idx="6">
                  <c:v>27</c:v>
                </c:pt>
                <c:pt idx="7">
                  <c:v>15</c:v>
                </c:pt>
                <c:pt idx="8">
                  <c:v>10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66-4B23-83D8-EB74A9C98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49824"/>
        <c:axId val="45548288"/>
      </c:scatterChart>
      <c:valAx>
        <c:axId val="45549824"/>
        <c:scaling>
          <c:orientation val="minMax"/>
          <c:max val="1842.95"/>
          <c:min val="132.95000000000002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548288"/>
        <c:crosses val="autoZero"/>
        <c:crossBetween val="midCat"/>
        <c:majorUnit val="190"/>
        <c:minorUnit val="95"/>
      </c:valAx>
      <c:valAx>
        <c:axId val="4554828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54982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Ojiva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'ANÁLISIS(This)'!$K$4</c:f>
              <c:strCache>
                <c:ptCount val="1"/>
                <c:pt idx="0">
                  <c:v>FRECUENCIA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xVal>
            <c:numRef>
              <c:f>'ANÁLISIS(This)'!$H$7:$H$15</c:f>
              <c:numCache>
                <c:formatCode>0.00</c:formatCode>
                <c:ptCount val="9"/>
                <c:pt idx="0" formatCode="General">
                  <c:v>229.95</c:v>
                </c:pt>
                <c:pt idx="1">
                  <c:v>419.95</c:v>
                </c:pt>
                <c:pt idx="2">
                  <c:v>609.94999999999993</c:v>
                </c:pt>
                <c:pt idx="3">
                  <c:v>799.94999999999993</c:v>
                </c:pt>
                <c:pt idx="4">
                  <c:v>989.94999999999993</c:v>
                </c:pt>
                <c:pt idx="5">
                  <c:v>1179.95</c:v>
                </c:pt>
                <c:pt idx="6">
                  <c:v>1369.95</c:v>
                </c:pt>
                <c:pt idx="7">
                  <c:v>1559.95</c:v>
                </c:pt>
                <c:pt idx="8">
                  <c:v>1749.95</c:v>
                </c:pt>
              </c:numCache>
            </c:numRef>
          </c:xVal>
          <c:yVal>
            <c:numRef>
              <c:f>'ANÁLISIS(This)'!$N$7:$N$15</c:f>
              <c:numCache>
                <c:formatCode>0.00</c:formatCode>
                <c:ptCount val="9"/>
                <c:pt idx="0">
                  <c:v>0</c:v>
                </c:pt>
                <c:pt idx="1">
                  <c:v>3.3333333333333333E-2</c:v>
                </c:pt>
                <c:pt idx="2">
                  <c:v>8.666666666666667E-2</c:v>
                </c:pt>
                <c:pt idx="3">
                  <c:v>0.23333333333333334</c:v>
                </c:pt>
                <c:pt idx="4">
                  <c:v>0.44666666666666666</c:v>
                </c:pt>
                <c:pt idx="5">
                  <c:v>0.65333333333333332</c:v>
                </c:pt>
                <c:pt idx="6">
                  <c:v>0.83333333333333326</c:v>
                </c:pt>
                <c:pt idx="7">
                  <c:v>0.93333333333333324</c:v>
                </c:pt>
                <c:pt idx="8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E-4D82-8C76-D1688E736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81184"/>
        <c:axId val="175212032"/>
      </c:scatterChart>
      <c:valAx>
        <c:axId val="175181184"/>
        <c:scaling>
          <c:orientation val="minMax"/>
          <c:max val="1747.95"/>
          <c:min val="227.95000000000002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212032"/>
        <c:crosses val="autoZero"/>
        <c:crossBetween val="midCat"/>
        <c:majorUnit val="190"/>
        <c:minorUnit val="95"/>
      </c:valAx>
      <c:valAx>
        <c:axId val="1752120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18118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6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4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106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104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0</xdr:row>
      <xdr:rowOff>95250</xdr:rowOff>
    </xdr:from>
    <xdr:ext cx="9159623" cy="112569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752600" y="95250"/>
          <a:ext cx="9159623" cy="112569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El peso promedio de los lechones al nacer debe estar entre</a:t>
          </a:r>
          <a:r>
            <a:rPr lang="es-MX" sz="1100" baseline="0"/>
            <a:t> 1100 y 1300 gramos, dependiendo del número de lechones en la camada.</a:t>
          </a:r>
        </a:p>
        <a:p>
          <a:r>
            <a:rPr lang="es-MX" sz="1100" baseline="0"/>
            <a:t>La siguiente, es una muestra del peso de 150 lechones de una granja que está probando cierto tipo de alimentación de la madre durante la gestación.</a:t>
          </a:r>
        </a:p>
        <a:p>
          <a:endParaRPr lang="es-MX" sz="1100" baseline="0"/>
        </a:p>
        <a:p>
          <a:r>
            <a:rPr lang="es-MX" sz="1100" baseline="0"/>
            <a:t>Construya una tabla de frecuencias, decidiendo usted cuántas clases o la longitud de clase.</a:t>
          </a:r>
        </a:p>
        <a:p>
          <a:endParaRPr lang="es-MX" sz="1100" baseline="0"/>
        </a:p>
        <a:p>
          <a:r>
            <a:rPr lang="es-MX" sz="1100" baseline="0"/>
            <a:t>Con base en esa tabla, indique qué porcentaje de lechones no están dentro del peso aceptable y calcule las medidas descriptivas para los datos ya agrupados.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394214</xdr:colOff>
      <xdr:row>51</xdr:row>
      <xdr:rowOff>5879</xdr:rowOff>
    </xdr:from>
    <xdr:to>
      <xdr:col>7</xdr:col>
      <xdr:colOff>0</xdr:colOff>
      <xdr:row>68</xdr:row>
      <xdr:rowOff>114300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584714</xdr:colOff>
      <xdr:row>50</xdr:row>
      <xdr:rowOff>206189</xdr:rowOff>
    </xdr:from>
    <xdr:to>
      <xdr:col>13</xdr:col>
      <xdr:colOff>759871</xdr:colOff>
      <xdr:row>68</xdr:row>
      <xdr:rowOff>103543</xdr:rowOff>
    </xdr:to>
    <xdr:graphicFrame macro="">
      <xdr:nvGraphicFramePr>
        <xdr:cNvPr id="9" name="8 Gráfico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394214</xdr:colOff>
      <xdr:row>72</xdr:row>
      <xdr:rowOff>43769</xdr:rowOff>
    </xdr:from>
    <xdr:to>
      <xdr:col>7</xdr:col>
      <xdr:colOff>1800</xdr:colOff>
      <xdr:row>89</xdr:row>
      <xdr:rowOff>182429</xdr:rowOff>
    </xdr:to>
    <xdr:graphicFrame macro="">
      <xdr:nvGraphicFramePr>
        <xdr:cNvPr id="10" name="9 Gráfico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658666</xdr:colOff>
      <xdr:row>72</xdr:row>
      <xdr:rowOff>0</xdr:rowOff>
    </xdr:from>
    <xdr:to>
      <xdr:col>14</xdr:col>
      <xdr:colOff>74071</xdr:colOff>
      <xdr:row>89</xdr:row>
      <xdr:rowOff>127454</xdr:rowOff>
    </xdr:to>
    <xdr:graphicFrame macro="">
      <xdr:nvGraphicFramePr>
        <xdr:cNvPr id="15" name="14 Gráfico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</xdr:col>
      <xdr:colOff>7620</xdr:colOff>
      <xdr:row>30</xdr:row>
      <xdr:rowOff>4603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A4EF64B-786E-4805-9EB9-3CE69E164DA0}"/>
                </a:ext>
              </a:extLst>
            </xdr:cNvPr>
            <xdr:cNvSpPr txBox="1"/>
          </xdr:nvSpPr>
          <xdr:spPr>
            <a:xfrm>
              <a:off x="4442460" y="4957603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𝑺</m:t>
                        </m:r>
                      </m:e>
                      <m:sup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A4EF64B-786E-4805-9EB9-3CE69E164DA0}"/>
                </a:ext>
              </a:extLst>
            </xdr:cNvPr>
            <xdr:cNvSpPr txBox="1"/>
          </xdr:nvSpPr>
          <xdr:spPr>
            <a:xfrm>
              <a:off x="4442460" y="4957603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𝑺^𝟐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31</xdr:row>
      <xdr:rowOff>0</xdr:rowOff>
    </xdr:from>
    <xdr:ext cx="777239" cy="17827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1F2192B-98CD-4693-9455-DC1169C05E0A}"/>
            </a:ext>
          </a:extLst>
        </xdr:cNvPr>
        <xdr:cNvSpPr txBox="1"/>
      </xdr:nvSpPr>
      <xdr:spPr>
        <a:xfrm>
          <a:off x="4434840" y="5135880"/>
          <a:ext cx="777239" cy="1782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s-MX" sz="1100" b="1"/>
            <a:t>S</a:t>
          </a:r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777239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11CB014-DC9B-4C06-9614-72981B6E12B9}"/>
                </a:ext>
              </a:extLst>
            </xdr:cNvPr>
            <xdr:cNvSpPr txBox="1"/>
          </xdr:nvSpPr>
          <xdr:spPr>
            <a:xfrm>
              <a:off x="4434840" y="4381500"/>
              <a:ext cx="77723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</m:acc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11CB014-DC9B-4C06-9614-72981B6E12B9}"/>
                </a:ext>
              </a:extLst>
            </xdr:cNvPr>
            <xdr:cNvSpPr txBox="1"/>
          </xdr:nvSpPr>
          <xdr:spPr>
            <a:xfrm>
              <a:off x="4434840" y="4381500"/>
              <a:ext cx="77723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𝑿 ̅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25</xdr:row>
      <xdr:rowOff>0</xdr:rowOff>
    </xdr:from>
    <xdr:ext cx="777239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58A31F4-1839-45B5-84A3-CB64DC165CC9}"/>
                </a:ext>
              </a:extLst>
            </xdr:cNvPr>
            <xdr:cNvSpPr txBox="1"/>
          </xdr:nvSpPr>
          <xdr:spPr>
            <a:xfrm>
              <a:off x="4434840" y="4564380"/>
              <a:ext cx="777239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</m:acc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58A31F4-1839-45B5-84A3-CB64DC165CC9}"/>
                </a:ext>
              </a:extLst>
            </xdr:cNvPr>
            <xdr:cNvSpPr txBox="1"/>
          </xdr:nvSpPr>
          <xdr:spPr>
            <a:xfrm>
              <a:off x="4434840" y="4564380"/>
              <a:ext cx="777239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𝑿 ̃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35</xdr:row>
      <xdr:rowOff>0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503C1D5-C34C-4AE9-84A4-A7B1D2D12CD4}"/>
                </a:ext>
              </a:extLst>
            </xdr:cNvPr>
            <xdr:cNvSpPr txBox="1"/>
          </xdr:nvSpPr>
          <xdr:spPr>
            <a:xfrm>
              <a:off x="4434840" y="625602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503C1D5-C34C-4AE9-84A4-A7B1D2D12CD4}"/>
                </a:ext>
              </a:extLst>
            </xdr:cNvPr>
            <xdr:cNvSpPr txBox="1"/>
          </xdr:nvSpPr>
          <xdr:spPr>
            <a:xfrm>
              <a:off x="4434840" y="625602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𝒂_𝟑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36</xdr:row>
      <xdr:rowOff>0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C79DF0F0-D666-4168-91E9-1A441ED4119C}"/>
                </a:ext>
              </a:extLst>
            </xdr:cNvPr>
            <xdr:cNvSpPr txBox="1"/>
          </xdr:nvSpPr>
          <xdr:spPr>
            <a:xfrm>
              <a:off x="4434840" y="643890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𝟒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C79DF0F0-D666-4168-91E9-1A441ED4119C}"/>
                </a:ext>
              </a:extLst>
            </xdr:cNvPr>
            <xdr:cNvSpPr txBox="1"/>
          </xdr:nvSpPr>
          <xdr:spPr>
            <a:xfrm>
              <a:off x="4434840" y="643890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𝒂_𝟒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9</xdr:col>
      <xdr:colOff>0</xdr:colOff>
      <xdr:row>31</xdr:row>
      <xdr:rowOff>0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125538D-0AB9-446B-B17D-A173F9AAC3D6}"/>
                </a:ext>
              </a:extLst>
            </xdr:cNvPr>
            <xdr:cNvSpPr txBox="1"/>
          </xdr:nvSpPr>
          <xdr:spPr>
            <a:xfrm>
              <a:off x="4434840" y="680466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𝑸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125538D-0AB9-446B-B17D-A173F9AAC3D6}"/>
                </a:ext>
              </a:extLst>
            </xdr:cNvPr>
            <xdr:cNvSpPr txBox="1"/>
          </xdr:nvSpPr>
          <xdr:spPr>
            <a:xfrm>
              <a:off x="4434840" y="680466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𝑸_𝟏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9</xdr:col>
      <xdr:colOff>0</xdr:colOff>
      <xdr:row>33</xdr:row>
      <xdr:rowOff>0</xdr:rowOff>
    </xdr:from>
    <xdr:ext cx="7772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C639C8E3-5B04-49E7-9DEA-A6E9F41E6BA5}"/>
                </a:ext>
              </a:extLst>
            </xdr:cNvPr>
            <xdr:cNvSpPr txBox="1"/>
          </xdr:nvSpPr>
          <xdr:spPr>
            <a:xfrm>
              <a:off x="4434840" y="717042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𝑸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C639C8E3-5B04-49E7-9DEA-A6E9F41E6BA5}"/>
                </a:ext>
              </a:extLst>
            </xdr:cNvPr>
            <xdr:cNvSpPr txBox="1"/>
          </xdr:nvSpPr>
          <xdr:spPr>
            <a:xfrm>
              <a:off x="4434840" y="717042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𝑸_𝟑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9</xdr:col>
      <xdr:colOff>0</xdr:colOff>
      <xdr:row>32</xdr:row>
      <xdr:rowOff>0</xdr:rowOff>
    </xdr:from>
    <xdr:ext cx="7772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47DDA81-3710-45AB-973D-FF625013C49D}"/>
                </a:ext>
              </a:extLst>
            </xdr:cNvPr>
            <xdr:cNvSpPr txBox="1"/>
          </xdr:nvSpPr>
          <xdr:spPr>
            <a:xfrm>
              <a:off x="4434840" y="698754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𝑸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47DDA81-3710-45AB-973D-FF625013C49D}"/>
                </a:ext>
              </a:extLst>
            </xdr:cNvPr>
            <xdr:cNvSpPr txBox="1"/>
          </xdr:nvSpPr>
          <xdr:spPr>
            <a:xfrm>
              <a:off x="4434840" y="698754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𝑸_𝟐</a:t>
              </a:r>
              <a:endParaRPr lang="es-MX" sz="11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394214</xdr:colOff>
      <xdr:row>51</xdr:row>
      <xdr:rowOff>5879</xdr:rowOff>
    </xdr:from>
    <xdr:to>
      <xdr:col>7</xdr:col>
      <xdr:colOff>0</xdr:colOff>
      <xdr:row>68</xdr:row>
      <xdr:rowOff>114300</xdr:rowOff>
    </xdr:to>
    <xdr:graphicFrame macro="">
      <xdr:nvGraphicFramePr>
        <xdr:cNvPr id="15" name="3 Gráfico">
          <a:extLst>
            <a:ext uri="{FF2B5EF4-FFF2-40B4-BE49-F238E27FC236}">
              <a16:creationId xmlns:a16="http://schemas.microsoft.com/office/drawing/2014/main" id="{4CB66C6C-85C0-4DFD-A26D-4C7BEA641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584714</xdr:colOff>
      <xdr:row>50</xdr:row>
      <xdr:rowOff>206189</xdr:rowOff>
    </xdr:from>
    <xdr:to>
      <xdr:col>13</xdr:col>
      <xdr:colOff>759871</xdr:colOff>
      <xdr:row>68</xdr:row>
      <xdr:rowOff>103543</xdr:rowOff>
    </xdr:to>
    <xdr:graphicFrame macro="">
      <xdr:nvGraphicFramePr>
        <xdr:cNvPr id="16" name="8 Gráfico">
          <a:extLst>
            <a:ext uri="{FF2B5EF4-FFF2-40B4-BE49-F238E27FC236}">
              <a16:creationId xmlns:a16="http://schemas.microsoft.com/office/drawing/2014/main" id="{A7B1DBCB-A14A-49B0-8A9D-7D1673B02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394214</xdr:colOff>
      <xdr:row>72</xdr:row>
      <xdr:rowOff>43769</xdr:rowOff>
    </xdr:from>
    <xdr:to>
      <xdr:col>7</xdr:col>
      <xdr:colOff>1800</xdr:colOff>
      <xdr:row>89</xdr:row>
      <xdr:rowOff>182429</xdr:rowOff>
    </xdr:to>
    <xdr:graphicFrame macro="">
      <xdr:nvGraphicFramePr>
        <xdr:cNvPr id="17" name="9 Gráfico">
          <a:extLst>
            <a:ext uri="{FF2B5EF4-FFF2-40B4-BE49-F238E27FC236}">
              <a16:creationId xmlns:a16="http://schemas.microsoft.com/office/drawing/2014/main" id="{2D0ABAF7-F8A3-454C-86C0-B5F5E2D2D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658666</xdr:colOff>
      <xdr:row>72</xdr:row>
      <xdr:rowOff>0</xdr:rowOff>
    </xdr:from>
    <xdr:to>
      <xdr:col>14</xdr:col>
      <xdr:colOff>74071</xdr:colOff>
      <xdr:row>89</xdr:row>
      <xdr:rowOff>127454</xdr:rowOff>
    </xdr:to>
    <xdr:graphicFrame macro="">
      <xdr:nvGraphicFramePr>
        <xdr:cNvPr id="18" name="14 Gráfico">
          <a:extLst>
            <a:ext uri="{FF2B5EF4-FFF2-40B4-BE49-F238E27FC236}">
              <a16:creationId xmlns:a16="http://schemas.microsoft.com/office/drawing/2014/main" id="{39A3FBDB-035B-49D2-8D71-650A0DA0D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</xdr:col>
      <xdr:colOff>7620</xdr:colOff>
      <xdr:row>30</xdr:row>
      <xdr:rowOff>4603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4">
              <a:extLst>
                <a:ext uri="{FF2B5EF4-FFF2-40B4-BE49-F238E27FC236}">
                  <a16:creationId xmlns:a16="http://schemas.microsoft.com/office/drawing/2014/main" id="{AC715905-BB99-4CAE-A74C-5421AC636B4E}"/>
                </a:ext>
              </a:extLst>
            </xdr:cNvPr>
            <xdr:cNvSpPr txBox="1"/>
          </xdr:nvSpPr>
          <xdr:spPr>
            <a:xfrm>
              <a:off x="1941195" y="6100603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𝑺</m:t>
                        </m:r>
                      </m:e>
                      <m:sup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19" name="CuadroTexto 4">
              <a:extLst>
                <a:ext uri="{FF2B5EF4-FFF2-40B4-BE49-F238E27FC236}">
                  <a16:creationId xmlns:a16="http://schemas.microsoft.com/office/drawing/2014/main" id="{AC715905-BB99-4CAE-A74C-5421AC636B4E}"/>
                </a:ext>
              </a:extLst>
            </xdr:cNvPr>
            <xdr:cNvSpPr txBox="1"/>
          </xdr:nvSpPr>
          <xdr:spPr>
            <a:xfrm>
              <a:off x="1941195" y="6100603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𝑺^𝟐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31</xdr:row>
      <xdr:rowOff>0</xdr:rowOff>
    </xdr:from>
    <xdr:ext cx="777239" cy="178277"/>
    <xdr:sp macro="" textlink="">
      <xdr:nvSpPr>
        <xdr:cNvPr id="20" name="CuadroTexto 11">
          <a:extLst>
            <a:ext uri="{FF2B5EF4-FFF2-40B4-BE49-F238E27FC236}">
              <a16:creationId xmlns:a16="http://schemas.microsoft.com/office/drawing/2014/main" id="{8BDDD82A-BABE-48BA-8A87-C7E15BACC98D}"/>
            </a:ext>
          </a:extLst>
        </xdr:cNvPr>
        <xdr:cNvSpPr txBox="1"/>
      </xdr:nvSpPr>
      <xdr:spPr>
        <a:xfrm>
          <a:off x="1933575" y="6286500"/>
          <a:ext cx="777239" cy="1782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s-MX" sz="1100" b="1"/>
            <a:t>S</a:t>
          </a:r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777239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12">
              <a:extLst>
                <a:ext uri="{FF2B5EF4-FFF2-40B4-BE49-F238E27FC236}">
                  <a16:creationId xmlns:a16="http://schemas.microsoft.com/office/drawing/2014/main" id="{CBB69ACE-381A-4CEC-AEB7-E8CC0286F850}"/>
                </a:ext>
              </a:extLst>
            </xdr:cNvPr>
            <xdr:cNvSpPr txBox="1"/>
          </xdr:nvSpPr>
          <xdr:spPr>
            <a:xfrm>
              <a:off x="1933575" y="4943475"/>
              <a:ext cx="77723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</m:acc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1" name="CuadroTexto 12">
              <a:extLst>
                <a:ext uri="{FF2B5EF4-FFF2-40B4-BE49-F238E27FC236}">
                  <a16:creationId xmlns:a16="http://schemas.microsoft.com/office/drawing/2014/main" id="{CBB69ACE-381A-4CEC-AEB7-E8CC0286F850}"/>
                </a:ext>
              </a:extLst>
            </xdr:cNvPr>
            <xdr:cNvSpPr txBox="1"/>
          </xdr:nvSpPr>
          <xdr:spPr>
            <a:xfrm>
              <a:off x="1933575" y="4943475"/>
              <a:ext cx="77723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𝑿 ̅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25</xdr:row>
      <xdr:rowOff>0</xdr:rowOff>
    </xdr:from>
    <xdr:ext cx="777239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15">
              <a:extLst>
                <a:ext uri="{FF2B5EF4-FFF2-40B4-BE49-F238E27FC236}">
                  <a16:creationId xmlns:a16="http://schemas.microsoft.com/office/drawing/2014/main" id="{0BE8CEA2-D699-45EE-9DD7-1CF724997AEE}"/>
                </a:ext>
              </a:extLst>
            </xdr:cNvPr>
            <xdr:cNvSpPr txBox="1"/>
          </xdr:nvSpPr>
          <xdr:spPr>
            <a:xfrm>
              <a:off x="1933575" y="5133975"/>
              <a:ext cx="777239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</m:acc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2" name="CuadroTexto 15">
              <a:extLst>
                <a:ext uri="{FF2B5EF4-FFF2-40B4-BE49-F238E27FC236}">
                  <a16:creationId xmlns:a16="http://schemas.microsoft.com/office/drawing/2014/main" id="{0BE8CEA2-D699-45EE-9DD7-1CF724997AEE}"/>
                </a:ext>
              </a:extLst>
            </xdr:cNvPr>
            <xdr:cNvSpPr txBox="1"/>
          </xdr:nvSpPr>
          <xdr:spPr>
            <a:xfrm>
              <a:off x="1933575" y="5133975"/>
              <a:ext cx="777239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𝑿 ̃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35</xdr:row>
      <xdr:rowOff>0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17">
              <a:extLst>
                <a:ext uri="{FF2B5EF4-FFF2-40B4-BE49-F238E27FC236}">
                  <a16:creationId xmlns:a16="http://schemas.microsoft.com/office/drawing/2014/main" id="{244D26A6-7DA9-4C77-BE1A-1C20F258360D}"/>
                </a:ext>
              </a:extLst>
            </xdr:cNvPr>
            <xdr:cNvSpPr txBox="1"/>
          </xdr:nvSpPr>
          <xdr:spPr>
            <a:xfrm>
              <a:off x="1933575" y="704850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3" name="CuadroTexto 17">
              <a:extLst>
                <a:ext uri="{FF2B5EF4-FFF2-40B4-BE49-F238E27FC236}">
                  <a16:creationId xmlns:a16="http://schemas.microsoft.com/office/drawing/2014/main" id="{244D26A6-7DA9-4C77-BE1A-1C20F258360D}"/>
                </a:ext>
              </a:extLst>
            </xdr:cNvPr>
            <xdr:cNvSpPr txBox="1"/>
          </xdr:nvSpPr>
          <xdr:spPr>
            <a:xfrm>
              <a:off x="1933575" y="704850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𝒂_𝟑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36</xdr:row>
      <xdr:rowOff>0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18">
              <a:extLst>
                <a:ext uri="{FF2B5EF4-FFF2-40B4-BE49-F238E27FC236}">
                  <a16:creationId xmlns:a16="http://schemas.microsoft.com/office/drawing/2014/main" id="{1EAB04BA-1E54-4B31-A695-6D2898F3933A}"/>
                </a:ext>
              </a:extLst>
            </xdr:cNvPr>
            <xdr:cNvSpPr txBox="1"/>
          </xdr:nvSpPr>
          <xdr:spPr>
            <a:xfrm>
              <a:off x="1933575" y="723900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𝟒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4" name="CuadroTexto 18">
              <a:extLst>
                <a:ext uri="{FF2B5EF4-FFF2-40B4-BE49-F238E27FC236}">
                  <a16:creationId xmlns:a16="http://schemas.microsoft.com/office/drawing/2014/main" id="{1EAB04BA-1E54-4B31-A695-6D2898F3933A}"/>
                </a:ext>
              </a:extLst>
            </xdr:cNvPr>
            <xdr:cNvSpPr txBox="1"/>
          </xdr:nvSpPr>
          <xdr:spPr>
            <a:xfrm>
              <a:off x="1933575" y="723900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𝒂_𝟒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9</xdr:col>
      <xdr:colOff>0</xdr:colOff>
      <xdr:row>31</xdr:row>
      <xdr:rowOff>0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19">
              <a:extLst>
                <a:ext uri="{FF2B5EF4-FFF2-40B4-BE49-F238E27FC236}">
                  <a16:creationId xmlns:a16="http://schemas.microsoft.com/office/drawing/2014/main" id="{FCEE3578-074C-44A0-AE0D-002D9C70C36F}"/>
                </a:ext>
              </a:extLst>
            </xdr:cNvPr>
            <xdr:cNvSpPr txBox="1"/>
          </xdr:nvSpPr>
          <xdr:spPr>
            <a:xfrm>
              <a:off x="6629400" y="628650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𝑸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5" name="CuadroTexto 19">
              <a:extLst>
                <a:ext uri="{FF2B5EF4-FFF2-40B4-BE49-F238E27FC236}">
                  <a16:creationId xmlns:a16="http://schemas.microsoft.com/office/drawing/2014/main" id="{FCEE3578-074C-44A0-AE0D-002D9C70C36F}"/>
                </a:ext>
              </a:extLst>
            </xdr:cNvPr>
            <xdr:cNvSpPr txBox="1"/>
          </xdr:nvSpPr>
          <xdr:spPr>
            <a:xfrm>
              <a:off x="6629400" y="628650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𝑸_𝟏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9</xdr:col>
      <xdr:colOff>0</xdr:colOff>
      <xdr:row>33</xdr:row>
      <xdr:rowOff>0</xdr:rowOff>
    </xdr:from>
    <xdr:ext cx="7772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0">
              <a:extLst>
                <a:ext uri="{FF2B5EF4-FFF2-40B4-BE49-F238E27FC236}">
                  <a16:creationId xmlns:a16="http://schemas.microsoft.com/office/drawing/2014/main" id="{039C7EBE-472A-4089-B79C-73F06E5458B6}"/>
                </a:ext>
              </a:extLst>
            </xdr:cNvPr>
            <xdr:cNvSpPr txBox="1"/>
          </xdr:nvSpPr>
          <xdr:spPr>
            <a:xfrm>
              <a:off x="6629400" y="666750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𝑸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6" name="CuadroTexto 20">
              <a:extLst>
                <a:ext uri="{FF2B5EF4-FFF2-40B4-BE49-F238E27FC236}">
                  <a16:creationId xmlns:a16="http://schemas.microsoft.com/office/drawing/2014/main" id="{039C7EBE-472A-4089-B79C-73F06E5458B6}"/>
                </a:ext>
              </a:extLst>
            </xdr:cNvPr>
            <xdr:cNvSpPr txBox="1"/>
          </xdr:nvSpPr>
          <xdr:spPr>
            <a:xfrm>
              <a:off x="6629400" y="666750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𝑸_𝟑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9</xdr:col>
      <xdr:colOff>0</xdr:colOff>
      <xdr:row>32</xdr:row>
      <xdr:rowOff>0</xdr:rowOff>
    </xdr:from>
    <xdr:ext cx="7772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1">
              <a:extLst>
                <a:ext uri="{FF2B5EF4-FFF2-40B4-BE49-F238E27FC236}">
                  <a16:creationId xmlns:a16="http://schemas.microsoft.com/office/drawing/2014/main" id="{64E88E44-5211-4FB5-A005-CB30EF05E135}"/>
                </a:ext>
              </a:extLst>
            </xdr:cNvPr>
            <xdr:cNvSpPr txBox="1"/>
          </xdr:nvSpPr>
          <xdr:spPr>
            <a:xfrm>
              <a:off x="6629400" y="647700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𝑸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7" name="CuadroTexto 21">
              <a:extLst>
                <a:ext uri="{FF2B5EF4-FFF2-40B4-BE49-F238E27FC236}">
                  <a16:creationId xmlns:a16="http://schemas.microsoft.com/office/drawing/2014/main" id="{64E88E44-5211-4FB5-A005-CB30EF05E135}"/>
                </a:ext>
              </a:extLst>
            </xdr:cNvPr>
            <xdr:cNvSpPr txBox="1"/>
          </xdr:nvSpPr>
          <xdr:spPr>
            <a:xfrm>
              <a:off x="6629400" y="647700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latin typeface="Cambria Math" panose="02040503050406030204" pitchFamily="18" charset="0"/>
                </a:rPr>
                <a:t>𝑸_𝟐</a:t>
              </a:r>
              <a:endParaRPr lang="es-MX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workbookViewId="0">
      <selection activeCell="D9" sqref="D9"/>
    </sheetView>
  </sheetViews>
  <sheetFormatPr defaultColWidth="11.425781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68</v>
      </c>
      <c r="B2" s="1">
        <v>230.7</v>
      </c>
    </row>
    <row r="3" spans="1:2" x14ac:dyDescent="0.25">
      <c r="A3" s="1">
        <v>96</v>
      </c>
      <c r="B3" s="1">
        <v>260.2</v>
      </c>
    </row>
    <row r="4" spans="1:2" x14ac:dyDescent="0.25">
      <c r="A4" s="1">
        <v>59</v>
      </c>
      <c r="B4" s="1">
        <v>367.29999999999995</v>
      </c>
    </row>
    <row r="5" spans="1:2" x14ac:dyDescent="0.25">
      <c r="A5" s="1">
        <v>113</v>
      </c>
      <c r="B5" s="1">
        <v>393.5</v>
      </c>
    </row>
    <row r="6" spans="1:2" x14ac:dyDescent="0.25">
      <c r="A6" s="1">
        <v>77</v>
      </c>
      <c r="B6" s="1">
        <v>417.8</v>
      </c>
    </row>
    <row r="7" spans="1:2" x14ac:dyDescent="0.25">
      <c r="A7" s="1">
        <v>100</v>
      </c>
      <c r="B7" s="1">
        <v>442.5</v>
      </c>
    </row>
    <row r="8" spans="1:2" x14ac:dyDescent="0.25">
      <c r="A8" s="1">
        <v>19</v>
      </c>
      <c r="B8" s="1">
        <v>453.6</v>
      </c>
    </row>
    <row r="9" spans="1:2" x14ac:dyDescent="0.25">
      <c r="A9" s="1">
        <v>122</v>
      </c>
      <c r="B9" s="1">
        <v>475.4</v>
      </c>
    </row>
    <row r="10" spans="1:2" x14ac:dyDescent="0.25">
      <c r="A10" s="1">
        <v>132</v>
      </c>
      <c r="B10" s="1">
        <v>516.5</v>
      </c>
    </row>
    <row r="11" spans="1:2" x14ac:dyDescent="0.25">
      <c r="A11" s="1">
        <v>141</v>
      </c>
      <c r="B11" s="1">
        <v>531.79999999999995</v>
      </c>
    </row>
    <row r="12" spans="1:2" x14ac:dyDescent="0.25">
      <c r="A12" s="1">
        <v>27</v>
      </c>
      <c r="B12" s="1">
        <v>552</v>
      </c>
    </row>
    <row r="13" spans="1:2" x14ac:dyDescent="0.25">
      <c r="A13" s="1">
        <v>114</v>
      </c>
      <c r="B13" s="1">
        <v>581.4</v>
      </c>
    </row>
    <row r="14" spans="1:2" x14ac:dyDescent="0.25">
      <c r="A14" s="1">
        <v>72</v>
      </c>
      <c r="B14" s="1">
        <v>597.29999999999995</v>
      </c>
    </row>
    <row r="15" spans="1:2" x14ac:dyDescent="0.25">
      <c r="A15" s="1">
        <v>126</v>
      </c>
      <c r="B15" s="1">
        <v>613.1</v>
      </c>
    </row>
    <row r="16" spans="1:2" x14ac:dyDescent="0.25">
      <c r="A16" s="1">
        <v>1</v>
      </c>
      <c r="B16" s="1">
        <v>641.20000000000005</v>
      </c>
    </row>
    <row r="17" spans="1:2" x14ac:dyDescent="0.25">
      <c r="A17" s="1">
        <v>26</v>
      </c>
      <c r="B17" s="1">
        <v>658.3</v>
      </c>
    </row>
    <row r="18" spans="1:2" x14ac:dyDescent="0.25">
      <c r="A18" s="1">
        <v>95</v>
      </c>
      <c r="B18" s="1">
        <v>658.9</v>
      </c>
    </row>
    <row r="19" spans="1:2" x14ac:dyDescent="0.25">
      <c r="A19" s="1">
        <v>85</v>
      </c>
      <c r="B19" s="1">
        <v>667.30000000000007</v>
      </c>
    </row>
    <row r="20" spans="1:2" x14ac:dyDescent="0.25">
      <c r="A20" s="1">
        <v>6</v>
      </c>
      <c r="B20" s="1">
        <v>676.1</v>
      </c>
    </row>
    <row r="21" spans="1:2" x14ac:dyDescent="0.25">
      <c r="A21" s="1">
        <v>14</v>
      </c>
      <c r="B21" s="1">
        <v>689.7</v>
      </c>
    </row>
    <row r="22" spans="1:2" x14ac:dyDescent="0.25">
      <c r="A22" s="1">
        <v>111</v>
      </c>
      <c r="B22" s="1">
        <v>693.5</v>
      </c>
    </row>
    <row r="23" spans="1:2" x14ac:dyDescent="0.25">
      <c r="A23" s="1">
        <v>66</v>
      </c>
      <c r="B23" s="1">
        <v>701</v>
      </c>
    </row>
    <row r="24" spans="1:2" x14ac:dyDescent="0.25">
      <c r="A24" s="1">
        <v>52</v>
      </c>
      <c r="B24" s="1">
        <v>726.9</v>
      </c>
    </row>
    <row r="25" spans="1:2" x14ac:dyDescent="0.25">
      <c r="A25" s="1">
        <v>109</v>
      </c>
      <c r="B25" s="1">
        <v>731.3</v>
      </c>
    </row>
    <row r="26" spans="1:2" x14ac:dyDescent="0.25">
      <c r="A26" s="1">
        <v>11</v>
      </c>
      <c r="B26" s="1">
        <v>737.2</v>
      </c>
    </row>
    <row r="27" spans="1:2" x14ac:dyDescent="0.25">
      <c r="A27" s="1">
        <v>124</v>
      </c>
      <c r="B27" s="1">
        <v>738.5</v>
      </c>
    </row>
    <row r="28" spans="1:2" x14ac:dyDescent="0.25">
      <c r="A28" s="1">
        <v>13</v>
      </c>
      <c r="B28" s="1">
        <v>746.9</v>
      </c>
    </row>
    <row r="29" spans="1:2" x14ac:dyDescent="0.25">
      <c r="A29" s="1">
        <v>121</v>
      </c>
      <c r="B29" s="1">
        <v>779.7</v>
      </c>
    </row>
    <row r="30" spans="1:2" x14ac:dyDescent="0.25">
      <c r="A30" s="1">
        <v>90</v>
      </c>
      <c r="B30" s="1">
        <v>786.9</v>
      </c>
    </row>
    <row r="31" spans="1:2" x14ac:dyDescent="0.25">
      <c r="A31" s="1">
        <v>143</v>
      </c>
      <c r="B31" s="1">
        <v>787.6</v>
      </c>
    </row>
    <row r="32" spans="1:2" x14ac:dyDescent="0.25">
      <c r="A32" s="1">
        <v>24</v>
      </c>
      <c r="B32" s="1">
        <v>789.9</v>
      </c>
    </row>
    <row r="33" spans="1:2" x14ac:dyDescent="0.25">
      <c r="A33" s="1">
        <v>118</v>
      </c>
      <c r="B33" s="1">
        <v>791.3</v>
      </c>
    </row>
    <row r="34" spans="1:2" x14ac:dyDescent="0.25">
      <c r="A34" s="1">
        <v>131</v>
      </c>
      <c r="B34" s="1">
        <v>796.2</v>
      </c>
    </row>
    <row r="35" spans="1:2" x14ac:dyDescent="0.25">
      <c r="A35" s="1">
        <v>101</v>
      </c>
      <c r="B35" s="1">
        <v>796.9</v>
      </c>
    </row>
    <row r="36" spans="1:2" x14ac:dyDescent="0.25">
      <c r="A36" s="1">
        <v>117</v>
      </c>
      <c r="B36" s="1">
        <v>799</v>
      </c>
    </row>
    <row r="37" spans="1:2" x14ac:dyDescent="0.25">
      <c r="A37" s="1">
        <v>71</v>
      </c>
      <c r="B37" s="1">
        <v>821.9</v>
      </c>
    </row>
    <row r="38" spans="1:2" x14ac:dyDescent="0.25">
      <c r="A38" s="1">
        <v>39</v>
      </c>
      <c r="B38" s="1">
        <v>822.69999999999993</v>
      </c>
    </row>
    <row r="39" spans="1:2" x14ac:dyDescent="0.25">
      <c r="A39" s="1">
        <v>86</v>
      </c>
      <c r="B39" s="1">
        <v>829.4</v>
      </c>
    </row>
    <row r="40" spans="1:2" x14ac:dyDescent="0.25">
      <c r="A40" s="1">
        <v>140</v>
      </c>
      <c r="B40" s="1">
        <v>832.2</v>
      </c>
    </row>
    <row r="41" spans="1:2" x14ac:dyDescent="0.25">
      <c r="A41" s="1">
        <v>28</v>
      </c>
      <c r="B41" s="1">
        <v>852.69999999999993</v>
      </c>
    </row>
    <row r="42" spans="1:2" x14ac:dyDescent="0.25">
      <c r="A42" s="1">
        <v>3</v>
      </c>
      <c r="B42" s="1">
        <v>860.69999999999993</v>
      </c>
    </row>
    <row r="43" spans="1:2" x14ac:dyDescent="0.25">
      <c r="A43" s="1">
        <v>22</v>
      </c>
      <c r="B43" s="1">
        <v>861.3</v>
      </c>
    </row>
    <row r="44" spans="1:2" x14ac:dyDescent="0.25">
      <c r="A44" s="1">
        <v>75</v>
      </c>
      <c r="B44" s="1">
        <v>862.90000000000009</v>
      </c>
    </row>
    <row r="45" spans="1:2" x14ac:dyDescent="0.25">
      <c r="A45" s="1">
        <v>149</v>
      </c>
      <c r="B45" s="1">
        <v>862.90000000000009</v>
      </c>
    </row>
    <row r="46" spans="1:2" x14ac:dyDescent="0.25">
      <c r="A46" s="1">
        <v>60</v>
      </c>
      <c r="B46" s="1">
        <v>865.6</v>
      </c>
    </row>
    <row r="47" spans="1:2" x14ac:dyDescent="0.25">
      <c r="A47" s="1">
        <v>50</v>
      </c>
      <c r="B47" s="1">
        <v>869.2</v>
      </c>
    </row>
    <row r="48" spans="1:2" x14ac:dyDescent="0.25">
      <c r="A48" s="1">
        <v>128</v>
      </c>
      <c r="B48" s="1">
        <v>883.40000000000009</v>
      </c>
    </row>
    <row r="49" spans="1:2" x14ac:dyDescent="0.25">
      <c r="A49" s="1">
        <v>82</v>
      </c>
      <c r="B49" s="1">
        <v>885.1</v>
      </c>
    </row>
    <row r="50" spans="1:2" x14ac:dyDescent="0.25">
      <c r="A50" s="1">
        <v>70</v>
      </c>
      <c r="B50" s="1">
        <v>887.4</v>
      </c>
    </row>
    <row r="51" spans="1:2" x14ac:dyDescent="0.25">
      <c r="A51" s="1">
        <v>48</v>
      </c>
      <c r="B51" s="1">
        <v>897.2</v>
      </c>
    </row>
    <row r="52" spans="1:2" x14ac:dyDescent="0.25">
      <c r="A52" s="1">
        <v>120</v>
      </c>
      <c r="B52" s="1">
        <v>900.69999999999993</v>
      </c>
    </row>
    <row r="53" spans="1:2" x14ac:dyDescent="0.25">
      <c r="A53" s="1">
        <v>99</v>
      </c>
      <c r="B53" s="1">
        <v>902.69999999999993</v>
      </c>
    </row>
    <row r="54" spans="1:2" x14ac:dyDescent="0.25">
      <c r="A54" s="1">
        <v>93</v>
      </c>
      <c r="B54" s="1">
        <v>916.59999999999991</v>
      </c>
    </row>
    <row r="55" spans="1:2" x14ac:dyDescent="0.25">
      <c r="A55" s="1">
        <v>33</v>
      </c>
      <c r="B55" s="1">
        <v>917</v>
      </c>
    </row>
    <row r="56" spans="1:2" x14ac:dyDescent="0.25">
      <c r="A56" s="1">
        <v>139</v>
      </c>
      <c r="B56" s="1">
        <v>938.5</v>
      </c>
    </row>
    <row r="57" spans="1:2" x14ac:dyDescent="0.25">
      <c r="A57" s="1">
        <v>94</v>
      </c>
      <c r="B57" s="1">
        <v>940.40000000000009</v>
      </c>
    </row>
    <row r="58" spans="1:2" x14ac:dyDescent="0.25">
      <c r="A58" s="1">
        <v>58</v>
      </c>
      <c r="B58" s="1">
        <v>948.3</v>
      </c>
    </row>
    <row r="59" spans="1:2" x14ac:dyDescent="0.25">
      <c r="A59" s="1">
        <v>89</v>
      </c>
      <c r="B59" s="1">
        <v>949</v>
      </c>
    </row>
    <row r="60" spans="1:2" x14ac:dyDescent="0.25">
      <c r="A60" s="1">
        <v>2</v>
      </c>
      <c r="B60" s="1">
        <v>950.8</v>
      </c>
    </row>
    <row r="61" spans="1:2" x14ac:dyDescent="0.25">
      <c r="A61" s="1">
        <v>31</v>
      </c>
      <c r="B61" s="1">
        <v>950.90000000000009</v>
      </c>
    </row>
    <row r="62" spans="1:2" x14ac:dyDescent="0.25">
      <c r="A62" s="1">
        <v>74</v>
      </c>
      <c r="B62" s="1">
        <v>951.80000000000007</v>
      </c>
    </row>
    <row r="63" spans="1:2" x14ac:dyDescent="0.25">
      <c r="A63" s="1">
        <v>45</v>
      </c>
      <c r="B63" s="1">
        <v>958.5</v>
      </c>
    </row>
    <row r="64" spans="1:2" x14ac:dyDescent="0.25">
      <c r="A64" s="1">
        <v>36</v>
      </c>
      <c r="B64" s="1">
        <v>965.69999999999993</v>
      </c>
    </row>
    <row r="65" spans="1:2" x14ac:dyDescent="0.25">
      <c r="A65" s="1">
        <v>87</v>
      </c>
      <c r="B65" s="1">
        <v>975.3</v>
      </c>
    </row>
    <row r="66" spans="1:2" x14ac:dyDescent="0.25">
      <c r="A66" s="1">
        <v>62</v>
      </c>
      <c r="B66" s="1">
        <v>976.2</v>
      </c>
    </row>
    <row r="67" spans="1:2" x14ac:dyDescent="0.25">
      <c r="A67" s="1">
        <v>146</v>
      </c>
      <c r="B67" s="1">
        <v>978.19999999999993</v>
      </c>
    </row>
    <row r="68" spans="1:2" x14ac:dyDescent="0.25">
      <c r="A68" s="1">
        <v>43</v>
      </c>
      <c r="B68" s="1">
        <v>985.5</v>
      </c>
    </row>
    <row r="69" spans="1:2" x14ac:dyDescent="0.25">
      <c r="A69" s="1">
        <v>23</v>
      </c>
      <c r="B69" s="1">
        <v>991.4</v>
      </c>
    </row>
    <row r="70" spans="1:2" x14ac:dyDescent="0.25">
      <c r="A70" s="1">
        <v>129</v>
      </c>
      <c r="B70" s="1">
        <v>994.4</v>
      </c>
    </row>
    <row r="71" spans="1:2" x14ac:dyDescent="0.25">
      <c r="A71" s="1">
        <v>57</v>
      </c>
      <c r="B71" s="1">
        <v>998.19999999999993</v>
      </c>
    </row>
    <row r="72" spans="1:2" x14ac:dyDescent="0.25">
      <c r="A72" s="1">
        <v>138</v>
      </c>
      <c r="B72" s="1">
        <v>1002.9000000000001</v>
      </c>
    </row>
    <row r="73" spans="1:2" x14ac:dyDescent="0.25">
      <c r="A73" s="1">
        <v>78</v>
      </c>
      <c r="B73" s="1">
        <v>1017.3000000000001</v>
      </c>
    </row>
    <row r="74" spans="1:2" x14ac:dyDescent="0.25">
      <c r="A74" s="1">
        <v>135</v>
      </c>
      <c r="B74" s="1">
        <v>1019.0999999999999</v>
      </c>
    </row>
    <row r="75" spans="1:2" x14ac:dyDescent="0.25">
      <c r="A75" s="1">
        <v>53</v>
      </c>
      <c r="B75" s="1">
        <v>1024.3000000000002</v>
      </c>
    </row>
    <row r="76" spans="1:2" x14ac:dyDescent="0.25">
      <c r="A76" s="1">
        <v>16</v>
      </c>
      <c r="B76" s="1">
        <v>1028.1999999999998</v>
      </c>
    </row>
    <row r="77" spans="1:2" x14ac:dyDescent="0.25">
      <c r="A77" s="1">
        <v>34</v>
      </c>
      <c r="B77" s="1">
        <v>1029.5</v>
      </c>
    </row>
    <row r="78" spans="1:2" x14ac:dyDescent="0.25">
      <c r="A78" s="1">
        <v>123</v>
      </c>
      <c r="B78" s="1">
        <v>1029.7</v>
      </c>
    </row>
    <row r="79" spans="1:2" x14ac:dyDescent="0.25">
      <c r="A79" s="1">
        <v>105</v>
      </c>
      <c r="B79" s="1">
        <v>1044.4000000000001</v>
      </c>
    </row>
    <row r="80" spans="1:2" x14ac:dyDescent="0.25">
      <c r="A80" s="1">
        <v>12</v>
      </c>
      <c r="B80" s="1">
        <v>1058.4000000000001</v>
      </c>
    </row>
    <row r="81" spans="1:2" x14ac:dyDescent="0.25">
      <c r="A81" s="1">
        <v>32</v>
      </c>
      <c r="B81" s="1">
        <v>1071.5999999999999</v>
      </c>
    </row>
    <row r="82" spans="1:2" x14ac:dyDescent="0.25">
      <c r="A82" s="1">
        <v>7</v>
      </c>
      <c r="B82" s="1">
        <v>1082.9000000000001</v>
      </c>
    </row>
    <row r="83" spans="1:2" x14ac:dyDescent="0.25">
      <c r="A83" s="1">
        <v>54</v>
      </c>
      <c r="B83" s="1">
        <v>1089.3000000000002</v>
      </c>
    </row>
    <row r="84" spans="1:2" x14ac:dyDescent="0.25">
      <c r="A84" s="1">
        <v>136</v>
      </c>
      <c r="B84" s="1">
        <v>1094.5999999999999</v>
      </c>
    </row>
    <row r="85" spans="1:2" x14ac:dyDescent="0.25">
      <c r="A85" s="1">
        <v>76</v>
      </c>
      <c r="B85" s="1">
        <v>1098</v>
      </c>
    </row>
    <row r="86" spans="1:2" x14ac:dyDescent="0.25">
      <c r="A86" s="1">
        <v>44</v>
      </c>
      <c r="B86" s="1">
        <v>1107.0999999999999</v>
      </c>
    </row>
    <row r="87" spans="1:2" x14ac:dyDescent="0.25">
      <c r="A87" s="1">
        <v>79</v>
      </c>
      <c r="B87" s="1">
        <v>1108.5</v>
      </c>
    </row>
    <row r="88" spans="1:2" x14ac:dyDescent="0.25">
      <c r="A88" s="1">
        <v>102</v>
      </c>
      <c r="B88" s="1">
        <v>1110.2</v>
      </c>
    </row>
    <row r="89" spans="1:2" x14ac:dyDescent="0.25">
      <c r="A89" s="1">
        <v>73</v>
      </c>
      <c r="B89" s="1">
        <v>1115.9000000000001</v>
      </c>
    </row>
    <row r="90" spans="1:2" x14ac:dyDescent="0.25">
      <c r="A90" s="1">
        <v>64</v>
      </c>
      <c r="B90" s="1">
        <v>1119.0999999999999</v>
      </c>
    </row>
    <row r="91" spans="1:2" x14ac:dyDescent="0.25">
      <c r="A91" s="1">
        <v>108</v>
      </c>
      <c r="B91" s="1">
        <v>1121.4000000000001</v>
      </c>
    </row>
    <row r="92" spans="1:2" x14ac:dyDescent="0.25">
      <c r="A92" s="1">
        <v>112</v>
      </c>
      <c r="B92" s="1">
        <v>1123.5</v>
      </c>
    </row>
    <row r="93" spans="1:2" x14ac:dyDescent="0.25">
      <c r="A93" s="1">
        <v>116</v>
      </c>
      <c r="B93" s="1">
        <v>1130.3</v>
      </c>
    </row>
    <row r="94" spans="1:2" x14ac:dyDescent="0.25">
      <c r="A94" s="1">
        <v>80</v>
      </c>
      <c r="B94" s="1">
        <v>1136.9000000000001</v>
      </c>
    </row>
    <row r="95" spans="1:2" x14ac:dyDescent="0.25">
      <c r="A95" s="1">
        <v>51</v>
      </c>
      <c r="B95" s="1">
        <v>1139.5999999999999</v>
      </c>
    </row>
    <row r="96" spans="1:2" x14ac:dyDescent="0.25">
      <c r="A96" s="1">
        <v>9</v>
      </c>
      <c r="B96" s="1">
        <v>1148.0999999999999</v>
      </c>
    </row>
    <row r="97" spans="1:2" x14ac:dyDescent="0.25">
      <c r="A97" s="1">
        <v>61</v>
      </c>
      <c r="B97" s="1">
        <v>1164.4000000000001</v>
      </c>
    </row>
    <row r="98" spans="1:2" x14ac:dyDescent="0.25">
      <c r="A98" s="1">
        <v>17</v>
      </c>
      <c r="B98" s="1">
        <v>1168.5999999999999</v>
      </c>
    </row>
    <row r="99" spans="1:2" x14ac:dyDescent="0.25">
      <c r="A99" s="1">
        <v>125</v>
      </c>
      <c r="B99" s="1">
        <v>1178.0999999999999</v>
      </c>
    </row>
    <row r="100" spans="1:2" x14ac:dyDescent="0.25">
      <c r="A100" s="1">
        <v>144</v>
      </c>
      <c r="B100" s="1">
        <v>1181.5</v>
      </c>
    </row>
    <row r="101" spans="1:2" x14ac:dyDescent="0.25">
      <c r="A101" s="1">
        <v>106</v>
      </c>
      <c r="B101" s="1">
        <v>1182.0999999999999</v>
      </c>
    </row>
    <row r="102" spans="1:2" x14ac:dyDescent="0.25">
      <c r="A102" s="1">
        <v>84</v>
      </c>
      <c r="B102" s="1">
        <v>1183.4000000000001</v>
      </c>
    </row>
    <row r="103" spans="1:2" x14ac:dyDescent="0.25">
      <c r="A103" s="1">
        <v>18</v>
      </c>
      <c r="B103" s="1">
        <v>1185</v>
      </c>
    </row>
    <row r="104" spans="1:2" x14ac:dyDescent="0.25">
      <c r="A104" s="1">
        <v>127</v>
      </c>
      <c r="B104" s="1">
        <v>1191.7</v>
      </c>
    </row>
    <row r="105" spans="1:2" x14ac:dyDescent="0.25">
      <c r="A105" s="1">
        <v>42</v>
      </c>
      <c r="B105" s="1">
        <v>1193.5999999999999</v>
      </c>
    </row>
    <row r="106" spans="1:2" x14ac:dyDescent="0.25">
      <c r="A106" s="1">
        <v>49</v>
      </c>
      <c r="B106" s="1">
        <v>1211.4000000000001</v>
      </c>
    </row>
    <row r="107" spans="1:2" x14ac:dyDescent="0.25">
      <c r="A107" s="1">
        <v>40</v>
      </c>
      <c r="B107" s="1">
        <v>1211.7</v>
      </c>
    </row>
    <row r="108" spans="1:2" x14ac:dyDescent="0.25">
      <c r="A108" s="1">
        <v>142</v>
      </c>
      <c r="B108" s="1">
        <v>1220</v>
      </c>
    </row>
    <row r="109" spans="1:2" x14ac:dyDescent="0.25">
      <c r="A109" s="1">
        <v>67</v>
      </c>
      <c r="B109" s="1">
        <v>1245.9000000000001</v>
      </c>
    </row>
    <row r="110" spans="1:2" x14ac:dyDescent="0.25">
      <c r="A110" s="1">
        <v>103</v>
      </c>
      <c r="B110" s="1">
        <v>1248.5</v>
      </c>
    </row>
    <row r="111" spans="1:2" x14ac:dyDescent="0.25">
      <c r="A111" s="1">
        <v>10</v>
      </c>
      <c r="B111" s="1">
        <v>1251.5</v>
      </c>
    </row>
    <row r="112" spans="1:2" x14ac:dyDescent="0.25">
      <c r="A112" s="1">
        <v>97</v>
      </c>
      <c r="B112" s="1">
        <v>1254</v>
      </c>
    </row>
    <row r="113" spans="1:2" x14ac:dyDescent="0.25">
      <c r="A113" s="1">
        <v>81</v>
      </c>
      <c r="B113" s="1">
        <v>1265.3</v>
      </c>
    </row>
    <row r="114" spans="1:2" x14ac:dyDescent="0.25">
      <c r="A114" s="1">
        <v>88</v>
      </c>
      <c r="B114" s="1">
        <v>1282.5999999999999</v>
      </c>
    </row>
    <row r="115" spans="1:2" x14ac:dyDescent="0.25">
      <c r="A115" s="1">
        <v>25</v>
      </c>
      <c r="B115" s="1">
        <v>1296.3</v>
      </c>
    </row>
    <row r="116" spans="1:2" x14ac:dyDescent="0.25">
      <c r="A116" s="1">
        <v>47</v>
      </c>
      <c r="B116" s="1">
        <v>1299.8</v>
      </c>
    </row>
    <row r="117" spans="1:2" x14ac:dyDescent="0.25">
      <c r="A117" s="1">
        <v>65</v>
      </c>
      <c r="B117" s="1">
        <v>1302.7</v>
      </c>
    </row>
    <row r="118" spans="1:2" x14ac:dyDescent="0.25">
      <c r="A118" s="1">
        <v>56</v>
      </c>
      <c r="B118" s="1">
        <v>1321.1000000000001</v>
      </c>
    </row>
    <row r="119" spans="1:2" x14ac:dyDescent="0.25">
      <c r="A119" s="1">
        <v>98</v>
      </c>
      <c r="B119" s="1">
        <v>1330</v>
      </c>
    </row>
    <row r="120" spans="1:2" x14ac:dyDescent="0.25">
      <c r="A120" s="1">
        <v>8</v>
      </c>
      <c r="B120" s="1">
        <v>1332.7</v>
      </c>
    </row>
    <row r="121" spans="1:2" x14ac:dyDescent="0.25">
      <c r="A121" s="1">
        <v>147</v>
      </c>
      <c r="B121" s="1">
        <v>1347.2</v>
      </c>
    </row>
    <row r="122" spans="1:2" x14ac:dyDescent="0.25">
      <c r="A122" s="1">
        <v>29</v>
      </c>
      <c r="B122" s="1">
        <v>1349.4</v>
      </c>
    </row>
    <row r="123" spans="1:2" x14ac:dyDescent="0.25">
      <c r="A123" s="1">
        <v>91</v>
      </c>
      <c r="B123" s="1">
        <v>1350.6</v>
      </c>
    </row>
    <row r="124" spans="1:2" x14ac:dyDescent="0.25">
      <c r="A124" s="1">
        <v>15</v>
      </c>
      <c r="B124" s="1">
        <v>1354.7</v>
      </c>
    </row>
    <row r="125" spans="1:2" x14ac:dyDescent="0.25">
      <c r="A125" s="1">
        <v>35</v>
      </c>
      <c r="B125" s="1">
        <v>1366.5</v>
      </c>
    </row>
    <row r="126" spans="1:2" x14ac:dyDescent="0.25">
      <c r="A126" s="1">
        <v>134</v>
      </c>
      <c r="B126" s="1">
        <v>1369.4</v>
      </c>
    </row>
    <row r="127" spans="1:2" x14ac:dyDescent="0.25">
      <c r="A127" s="1">
        <v>63</v>
      </c>
      <c r="B127" s="1">
        <v>1372.7</v>
      </c>
    </row>
    <row r="128" spans="1:2" x14ac:dyDescent="0.25">
      <c r="A128" s="1">
        <v>137</v>
      </c>
      <c r="B128" s="1">
        <v>1373.3000000000002</v>
      </c>
    </row>
    <row r="129" spans="1:2" x14ac:dyDescent="0.25">
      <c r="A129" s="1">
        <v>104</v>
      </c>
      <c r="B129" s="1">
        <v>1382.7</v>
      </c>
    </row>
    <row r="130" spans="1:2" x14ac:dyDescent="0.25">
      <c r="A130" s="1">
        <v>20</v>
      </c>
      <c r="B130" s="1">
        <v>1421.9</v>
      </c>
    </row>
    <row r="131" spans="1:2" x14ac:dyDescent="0.25">
      <c r="A131" s="1">
        <v>145</v>
      </c>
      <c r="B131" s="1">
        <v>1427.3</v>
      </c>
    </row>
    <row r="132" spans="1:2" x14ac:dyDescent="0.25">
      <c r="A132" s="1">
        <v>37</v>
      </c>
      <c r="B132" s="1">
        <v>1428.6000000000001</v>
      </c>
    </row>
    <row r="133" spans="1:2" x14ac:dyDescent="0.25">
      <c r="A133" s="1">
        <v>107</v>
      </c>
      <c r="B133" s="1">
        <v>1435</v>
      </c>
    </row>
    <row r="134" spans="1:2" x14ac:dyDescent="0.25">
      <c r="A134" s="1">
        <v>83</v>
      </c>
      <c r="B134" s="1">
        <v>1442</v>
      </c>
    </row>
    <row r="135" spans="1:2" x14ac:dyDescent="0.25">
      <c r="A135" s="1">
        <v>130</v>
      </c>
      <c r="B135" s="1">
        <v>1450.3</v>
      </c>
    </row>
    <row r="136" spans="1:2" x14ac:dyDescent="0.25">
      <c r="A136" s="1">
        <v>148</v>
      </c>
      <c r="B136" s="1">
        <v>1472.2</v>
      </c>
    </row>
    <row r="137" spans="1:2" x14ac:dyDescent="0.25">
      <c r="A137" s="1">
        <v>55</v>
      </c>
      <c r="B137" s="1">
        <v>1472.3</v>
      </c>
    </row>
    <row r="138" spans="1:2" x14ac:dyDescent="0.25">
      <c r="A138" s="1">
        <v>115</v>
      </c>
      <c r="B138" s="1">
        <v>1490.3</v>
      </c>
    </row>
    <row r="139" spans="1:2" x14ac:dyDescent="0.25">
      <c r="A139" s="1">
        <v>5</v>
      </c>
      <c r="B139" s="1">
        <v>1506.1000000000001</v>
      </c>
    </row>
    <row r="140" spans="1:2" x14ac:dyDescent="0.25">
      <c r="A140" s="1">
        <v>30</v>
      </c>
      <c r="B140" s="1">
        <v>1510.2</v>
      </c>
    </row>
    <row r="141" spans="1:2" x14ac:dyDescent="0.25">
      <c r="A141" s="1">
        <v>110</v>
      </c>
      <c r="B141" s="1">
        <v>1543</v>
      </c>
    </row>
    <row r="142" spans="1:2" x14ac:dyDescent="0.25">
      <c r="A142" s="1">
        <v>119</v>
      </c>
      <c r="B142" s="1">
        <v>1560.6</v>
      </c>
    </row>
    <row r="143" spans="1:2" x14ac:dyDescent="0.25">
      <c r="A143" s="1">
        <v>150</v>
      </c>
      <c r="B143" s="1">
        <v>1596</v>
      </c>
    </row>
    <row r="144" spans="1:2" x14ac:dyDescent="0.25">
      <c r="A144" s="1">
        <v>38</v>
      </c>
      <c r="B144" s="1">
        <v>1601</v>
      </c>
    </row>
    <row r="145" spans="1:2" x14ac:dyDescent="0.25">
      <c r="A145" s="1">
        <v>92</v>
      </c>
      <c r="B145" s="1">
        <v>1622.8999999999999</v>
      </c>
    </row>
    <row r="146" spans="1:2" x14ac:dyDescent="0.25">
      <c r="A146" s="1">
        <v>69</v>
      </c>
      <c r="B146" s="1">
        <v>1653.6000000000001</v>
      </c>
    </row>
    <row r="147" spans="1:2" x14ac:dyDescent="0.25">
      <c r="A147" s="1">
        <v>21</v>
      </c>
      <c r="B147" s="1">
        <v>1660.3</v>
      </c>
    </row>
    <row r="148" spans="1:2" x14ac:dyDescent="0.25">
      <c r="A148" s="1">
        <v>133</v>
      </c>
      <c r="B148" s="1">
        <v>1668.1999999999998</v>
      </c>
    </row>
    <row r="149" spans="1:2" x14ac:dyDescent="0.25">
      <c r="A149" s="1">
        <v>41</v>
      </c>
      <c r="B149" s="1">
        <v>1669.6000000000001</v>
      </c>
    </row>
    <row r="150" spans="1:2" x14ac:dyDescent="0.25">
      <c r="A150" s="1">
        <v>46</v>
      </c>
      <c r="B150" s="1">
        <v>1697.4</v>
      </c>
    </row>
    <row r="151" spans="1:2" x14ac:dyDescent="0.25">
      <c r="A151" s="1">
        <v>4</v>
      </c>
      <c r="B151" s="1">
        <v>1746.1000000000001</v>
      </c>
    </row>
  </sheetData>
  <sortState ref="A2:B151">
    <sortCondition ref="B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4"/>
  <sheetViews>
    <sheetView tabSelected="1" topLeftCell="A89" zoomScaleNormal="100" zoomScalePageLayoutView="80" workbookViewId="0">
      <selection activeCell="G17" sqref="G17"/>
    </sheetView>
  </sheetViews>
  <sheetFormatPr defaultColWidth="11.42578125" defaultRowHeight="15" x14ac:dyDescent="0.25"/>
  <cols>
    <col min="1" max="1" width="6.140625" customWidth="1"/>
    <col min="4" max="4" width="12.28515625" bestFit="1" customWidth="1"/>
    <col min="6" max="6" width="12.42578125" bestFit="1" customWidth="1"/>
    <col min="14" max="14" width="11.5703125" customWidth="1"/>
    <col min="15" max="15" width="15.5703125" bestFit="1" customWidth="1"/>
    <col min="16" max="16" width="12.7109375" bestFit="1" customWidth="1"/>
    <col min="17" max="17" width="11.7109375" bestFit="1" customWidth="1"/>
  </cols>
  <sheetData>
    <row r="1" spans="2:15" x14ac:dyDescent="0.25">
      <c r="C1" s="97" t="s">
        <v>2</v>
      </c>
      <c r="D1" s="44">
        <f>CEILING(I22/m,5)</f>
        <v>190</v>
      </c>
      <c r="E1" s="2"/>
      <c r="F1" s="97" t="s">
        <v>3</v>
      </c>
      <c r="G1" s="96">
        <v>0.1</v>
      </c>
    </row>
    <row r="2" spans="2:15" x14ac:dyDescent="0.25">
      <c r="B2" s="2"/>
      <c r="H2" s="2"/>
      <c r="I2" s="2"/>
      <c r="J2" s="2"/>
      <c r="K2" s="2"/>
      <c r="L2" s="2"/>
      <c r="M2" s="2"/>
      <c r="N2" s="2"/>
    </row>
    <row r="3" spans="2:15" x14ac:dyDescent="0.25">
      <c r="B3" s="2"/>
      <c r="C3" s="3" t="s">
        <v>4</v>
      </c>
      <c r="D3" s="4"/>
      <c r="E3" s="4"/>
      <c r="F3" s="4"/>
      <c r="G3" s="4"/>
      <c r="H3" s="5"/>
      <c r="I3" s="2"/>
      <c r="J3" s="2"/>
      <c r="K3" s="2"/>
      <c r="L3" s="2"/>
      <c r="M3" s="2"/>
      <c r="N3" s="2"/>
    </row>
    <row r="4" spans="2:15" ht="33.75" x14ac:dyDescent="0.25">
      <c r="B4" s="2"/>
      <c r="C4" s="61" t="s">
        <v>5</v>
      </c>
      <c r="D4" s="62"/>
      <c r="E4" s="62"/>
      <c r="F4" s="61" t="s">
        <v>6</v>
      </c>
      <c r="G4" s="62"/>
      <c r="H4" s="62"/>
      <c r="I4" s="61" t="s">
        <v>7</v>
      </c>
      <c r="J4" s="63" t="s">
        <v>8</v>
      </c>
      <c r="K4" s="63" t="s">
        <v>9</v>
      </c>
      <c r="L4" s="63" t="s">
        <v>10</v>
      </c>
      <c r="M4" s="63" t="s">
        <v>11</v>
      </c>
      <c r="N4" s="64" t="s">
        <v>12</v>
      </c>
    </row>
    <row r="5" spans="2:15" ht="25.5" x14ac:dyDescent="0.25">
      <c r="B5" s="2"/>
      <c r="C5" s="65"/>
      <c r="D5" s="66"/>
      <c r="E5" s="66"/>
      <c r="F5" s="67" t="s">
        <v>13</v>
      </c>
      <c r="G5" s="68"/>
      <c r="H5" s="68" t="s">
        <v>14</v>
      </c>
      <c r="I5" s="69" t="s">
        <v>15</v>
      </c>
      <c r="J5" s="70" t="s">
        <v>16</v>
      </c>
      <c r="K5" s="71" t="s">
        <v>17</v>
      </c>
      <c r="L5" s="71" t="s">
        <v>18</v>
      </c>
      <c r="M5" s="70" t="s">
        <v>19</v>
      </c>
      <c r="N5" s="72" t="s">
        <v>20</v>
      </c>
    </row>
    <row r="6" spans="2:15" x14ac:dyDescent="0.25">
      <c r="B6" s="6" t="s">
        <v>21</v>
      </c>
      <c r="C6" s="73"/>
      <c r="D6" s="74"/>
      <c r="E6" s="74"/>
      <c r="F6" s="75">
        <v>0</v>
      </c>
      <c r="G6" s="76"/>
      <c r="H6" s="77">
        <f>F8</f>
        <v>229.95</v>
      </c>
      <c r="I6" s="78"/>
      <c r="J6" s="79"/>
      <c r="K6" s="75">
        <v>0</v>
      </c>
      <c r="L6" s="75">
        <v>0</v>
      </c>
      <c r="M6" s="75">
        <v>0</v>
      </c>
      <c r="N6" s="80">
        <v>0</v>
      </c>
    </row>
    <row r="7" spans="2:15" x14ac:dyDescent="0.25">
      <c r="B7" s="26"/>
      <c r="C7" s="27"/>
      <c r="D7" s="28" t="s">
        <v>22</v>
      </c>
      <c r="E7" s="29"/>
      <c r="F7" s="81">
        <f>H7-D1</f>
        <v>39.949999999999989</v>
      </c>
      <c r="G7" s="82" t="s">
        <v>22</v>
      </c>
      <c r="H7" s="83">
        <f>F8</f>
        <v>229.95</v>
      </c>
      <c r="I7" s="84">
        <f>H7-F7</f>
        <v>190</v>
      </c>
      <c r="J7" s="84">
        <f t="shared" ref="J7:J16" si="0">(F7+H7)/2</f>
        <v>134.94999999999999</v>
      </c>
      <c r="K7" s="85">
        <v>0</v>
      </c>
      <c r="L7" s="85">
        <v>0</v>
      </c>
      <c r="M7" s="86">
        <v>0</v>
      </c>
      <c r="N7" s="87">
        <v>0</v>
      </c>
    </row>
    <row r="8" spans="2:15" x14ac:dyDescent="0.25">
      <c r="B8" s="7">
        <v>1</v>
      </c>
      <c r="C8" s="15">
        <v>230</v>
      </c>
      <c r="D8" s="8" t="s">
        <v>22</v>
      </c>
      <c r="E8" s="16">
        <f t="shared" ref="E8:E16" si="1">C8+D$1-G$1</f>
        <v>419.9</v>
      </c>
      <c r="F8" s="10">
        <f t="shared" ref="F8:F16" si="2">C8-$G$1/2</f>
        <v>229.95</v>
      </c>
      <c r="G8" s="8" t="s">
        <v>22</v>
      </c>
      <c r="H8" s="9">
        <f t="shared" ref="H8:H16" si="3">E8+$G$1/2</f>
        <v>419.95</v>
      </c>
      <c r="I8" s="10">
        <f>H8-F8</f>
        <v>190</v>
      </c>
      <c r="J8" s="10">
        <f t="shared" si="0"/>
        <v>324.95</v>
      </c>
      <c r="K8" s="39">
        <f>COUNTIFS(DATOS!B$2:B$151,"&gt;="&amp;C8, DATOS!B$2:B$151,"&lt;="&amp;E8)</f>
        <v>5</v>
      </c>
      <c r="L8" s="11">
        <f>K8</f>
        <v>5</v>
      </c>
      <c r="M8" s="10">
        <f t="shared" ref="M8:M15" si="4">K8/n</f>
        <v>3.3333333333333333E-2</v>
      </c>
      <c r="N8" s="13">
        <f>M8</f>
        <v>3.3333333333333333E-2</v>
      </c>
      <c r="O8" s="17"/>
    </row>
    <row r="9" spans="2:15" x14ac:dyDescent="0.25">
      <c r="B9" s="12">
        <v>2</v>
      </c>
      <c r="C9" s="15">
        <f t="shared" ref="C9:C16" si="5">E8+G$1</f>
        <v>420</v>
      </c>
      <c r="D9" s="8" t="s">
        <v>22</v>
      </c>
      <c r="E9" s="16">
        <f t="shared" si="1"/>
        <v>609.9</v>
      </c>
      <c r="F9" s="10">
        <f t="shared" si="2"/>
        <v>419.95</v>
      </c>
      <c r="G9" s="8" t="s">
        <v>22</v>
      </c>
      <c r="H9" s="9">
        <f t="shared" si="3"/>
        <v>609.94999999999993</v>
      </c>
      <c r="I9" s="10">
        <f t="shared" ref="I9:I16" si="6">H9-F9</f>
        <v>189.99999999999994</v>
      </c>
      <c r="J9" s="10">
        <f t="shared" si="0"/>
        <v>514.94999999999993</v>
      </c>
      <c r="K9" s="39">
        <f>COUNTIFS(DATOS!B$2:B$151,"&gt;="&amp;C9, DATOS!B$2:B$151,"&lt;="&amp;E9)</f>
        <v>8</v>
      </c>
      <c r="L9" s="11">
        <f>K9+L8</f>
        <v>13</v>
      </c>
      <c r="M9" s="10">
        <f t="shared" si="4"/>
        <v>5.3333333333333337E-2</v>
      </c>
      <c r="N9" s="13">
        <f>N8+M9</f>
        <v>8.666666666666667E-2</v>
      </c>
      <c r="O9" s="17"/>
    </row>
    <row r="10" spans="2:15" x14ac:dyDescent="0.25">
      <c r="B10" s="12">
        <v>3</v>
      </c>
      <c r="C10" s="15">
        <f t="shared" si="5"/>
        <v>610</v>
      </c>
      <c r="D10" s="8" t="s">
        <v>22</v>
      </c>
      <c r="E10" s="16">
        <f t="shared" si="1"/>
        <v>799.9</v>
      </c>
      <c r="F10" s="10">
        <f t="shared" si="2"/>
        <v>609.95000000000005</v>
      </c>
      <c r="G10" s="8" t="s">
        <v>22</v>
      </c>
      <c r="H10" s="9">
        <f t="shared" si="3"/>
        <v>799.94999999999993</v>
      </c>
      <c r="I10" s="10">
        <f t="shared" si="6"/>
        <v>189.99999999999989</v>
      </c>
      <c r="J10" s="10">
        <f t="shared" si="0"/>
        <v>704.95</v>
      </c>
      <c r="K10" s="39">
        <f>COUNTIFS(DATOS!B$2:B$151,"&gt;="&amp;C10, DATOS!B$2:B$151,"&lt;="&amp;E10)</f>
        <v>22</v>
      </c>
      <c r="L10" s="11">
        <f t="shared" ref="L10:L14" si="7">K10+L9</f>
        <v>35</v>
      </c>
      <c r="M10" s="10">
        <f t="shared" si="4"/>
        <v>0.14666666666666667</v>
      </c>
      <c r="N10" s="13">
        <f t="shared" ref="N10:N14" si="8">N9+M10</f>
        <v>0.23333333333333334</v>
      </c>
      <c r="O10" s="17"/>
    </row>
    <row r="11" spans="2:15" x14ac:dyDescent="0.25">
      <c r="B11" s="12">
        <v>4</v>
      </c>
      <c r="C11" s="15">
        <f t="shared" si="5"/>
        <v>800</v>
      </c>
      <c r="D11" s="8" t="s">
        <v>22</v>
      </c>
      <c r="E11" s="16">
        <f t="shared" si="1"/>
        <v>989.9</v>
      </c>
      <c r="F11" s="10">
        <f t="shared" si="2"/>
        <v>799.95</v>
      </c>
      <c r="G11" s="8" t="s">
        <v>22</v>
      </c>
      <c r="H11" s="9">
        <f t="shared" si="3"/>
        <v>989.94999999999993</v>
      </c>
      <c r="I11" s="10">
        <f t="shared" si="6"/>
        <v>189.99999999999989</v>
      </c>
      <c r="J11" s="10">
        <f t="shared" si="0"/>
        <v>894.95</v>
      </c>
      <c r="K11" s="39">
        <f>COUNTIFS(DATOS!B$2:B$151,"&gt;="&amp;C11, DATOS!B$2:B$151,"&lt;="&amp;E11)</f>
        <v>32</v>
      </c>
      <c r="L11" s="11">
        <f t="shared" si="7"/>
        <v>67</v>
      </c>
      <c r="M11" s="10">
        <f t="shared" si="4"/>
        <v>0.21333333333333335</v>
      </c>
      <c r="N11" s="13">
        <f t="shared" si="8"/>
        <v>0.44666666666666666</v>
      </c>
      <c r="O11" s="17"/>
    </row>
    <row r="12" spans="2:15" x14ac:dyDescent="0.25">
      <c r="B12" s="12">
        <v>5</v>
      </c>
      <c r="C12" s="15">
        <f t="shared" si="5"/>
        <v>990</v>
      </c>
      <c r="D12" s="8" t="s">
        <v>22</v>
      </c>
      <c r="E12" s="16">
        <f t="shared" si="1"/>
        <v>1179.9000000000001</v>
      </c>
      <c r="F12" s="10">
        <f t="shared" si="2"/>
        <v>989.95</v>
      </c>
      <c r="G12" s="8" t="s">
        <v>22</v>
      </c>
      <c r="H12" s="9">
        <f t="shared" si="3"/>
        <v>1179.95</v>
      </c>
      <c r="I12" s="10">
        <f t="shared" si="6"/>
        <v>190</v>
      </c>
      <c r="J12" s="10">
        <f t="shared" si="0"/>
        <v>1084.95</v>
      </c>
      <c r="K12" s="39">
        <f>COUNTIFS(DATOS!B$2:B$151,"&gt;="&amp;C12, DATOS!B$2:B$151,"&lt;="&amp;E12)</f>
        <v>31</v>
      </c>
      <c r="L12" s="11">
        <f t="shared" si="7"/>
        <v>98</v>
      </c>
      <c r="M12" s="10">
        <f t="shared" si="4"/>
        <v>0.20666666666666667</v>
      </c>
      <c r="N12" s="13">
        <f t="shared" si="8"/>
        <v>0.65333333333333332</v>
      </c>
      <c r="O12" s="17"/>
    </row>
    <row r="13" spans="2:15" x14ac:dyDescent="0.25">
      <c r="B13" s="12">
        <v>6</v>
      </c>
      <c r="C13" s="15">
        <f t="shared" si="5"/>
        <v>1180</v>
      </c>
      <c r="D13" s="8" t="s">
        <v>22</v>
      </c>
      <c r="E13" s="16">
        <f t="shared" si="1"/>
        <v>1369.9</v>
      </c>
      <c r="F13" s="10">
        <f t="shared" si="2"/>
        <v>1179.95</v>
      </c>
      <c r="G13" s="8" t="s">
        <v>22</v>
      </c>
      <c r="H13" s="9">
        <f t="shared" si="3"/>
        <v>1369.95</v>
      </c>
      <c r="I13" s="10">
        <f t="shared" si="6"/>
        <v>190</v>
      </c>
      <c r="J13" s="10">
        <f t="shared" si="0"/>
        <v>1274.95</v>
      </c>
      <c r="K13" s="39">
        <f>COUNTIFS(DATOS!B$2:B$151,"&gt;="&amp;C13, DATOS!B$2:B$151,"&lt;="&amp;E13)</f>
        <v>27</v>
      </c>
      <c r="L13" s="11">
        <f t="shared" si="7"/>
        <v>125</v>
      </c>
      <c r="M13" s="10">
        <f t="shared" si="4"/>
        <v>0.18</v>
      </c>
      <c r="N13" s="13">
        <f t="shared" si="8"/>
        <v>0.83333333333333326</v>
      </c>
      <c r="O13" s="17"/>
    </row>
    <row r="14" spans="2:15" x14ac:dyDescent="0.25">
      <c r="B14" s="12">
        <v>7</v>
      </c>
      <c r="C14" s="15">
        <f t="shared" si="5"/>
        <v>1370</v>
      </c>
      <c r="D14" s="8" t="s">
        <v>22</v>
      </c>
      <c r="E14" s="16">
        <f t="shared" si="1"/>
        <v>1559.9</v>
      </c>
      <c r="F14" s="10">
        <f t="shared" si="2"/>
        <v>1369.95</v>
      </c>
      <c r="G14" s="8" t="s">
        <v>22</v>
      </c>
      <c r="H14" s="9">
        <f t="shared" si="3"/>
        <v>1559.95</v>
      </c>
      <c r="I14" s="10">
        <f t="shared" si="6"/>
        <v>190</v>
      </c>
      <c r="J14" s="10">
        <f t="shared" si="0"/>
        <v>1464.95</v>
      </c>
      <c r="K14" s="39">
        <f>COUNTIFS(DATOS!B$2:B$151,"&gt;="&amp;C14, DATOS!B$2:B$151,"&lt;="&amp;E14)</f>
        <v>15</v>
      </c>
      <c r="L14" s="11">
        <f t="shared" si="7"/>
        <v>140</v>
      </c>
      <c r="M14" s="10">
        <f t="shared" si="4"/>
        <v>0.1</v>
      </c>
      <c r="N14" s="13">
        <f t="shared" si="8"/>
        <v>0.93333333333333324</v>
      </c>
      <c r="O14" s="17"/>
    </row>
    <row r="15" spans="2:15" x14ac:dyDescent="0.25">
      <c r="B15" s="14">
        <v>8</v>
      </c>
      <c r="C15" s="8">
        <f t="shared" si="5"/>
        <v>1560</v>
      </c>
      <c r="D15" s="8" t="s">
        <v>22</v>
      </c>
      <c r="E15" s="34">
        <f t="shared" si="1"/>
        <v>1749.9</v>
      </c>
      <c r="F15" s="9">
        <f t="shared" si="2"/>
        <v>1559.95</v>
      </c>
      <c r="G15" s="8" t="s">
        <v>22</v>
      </c>
      <c r="H15" s="9">
        <f t="shared" si="3"/>
        <v>1749.95</v>
      </c>
      <c r="I15" s="13">
        <f t="shared" si="6"/>
        <v>190</v>
      </c>
      <c r="J15" s="10">
        <f t="shared" si="0"/>
        <v>1654.95</v>
      </c>
      <c r="K15" s="40">
        <f>COUNTIFS(DATOS!B$2:B$151,"&gt;="&amp;C15, DATOS!B$2:B$151,"&lt;="&amp;E15)</f>
        <v>10</v>
      </c>
      <c r="L15" s="9">
        <f>L14+K15</f>
        <v>150</v>
      </c>
      <c r="M15" s="10">
        <f t="shared" si="4"/>
        <v>6.6666666666666666E-2</v>
      </c>
      <c r="N15" s="13">
        <f>N14+M15</f>
        <v>0.99999999999999989</v>
      </c>
      <c r="O15" s="17"/>
    </row>
    <row r="16" spans="2:15" x14ac:dyDescent="0.25">
      <c r="B16" s="35"/>
      <c r="C16" s="88">
        <f t="shared" si="5"/>
        <v>1750</v>
      </c>
      <c r="D16" s="89" t="s">
        <v>22</v>
      </c>
      <c r="E16" s="90">
        <f t="shared" si="1"/>
        <v>1939.9</v>
      </c>
      <c r="F16" s="91">
        <f t="shared" si="2"/>
        <v>1749.95</v>
      </c>
      <c r="G16" s="89" t="s">
        <v>22</v>
      </c>
      <c r="H16" s="92">
        <f t="shared" si="3"/>
        <v>1939.95</v>
      </c>
      <c r="I16" s="91">
        <f t="shared" si="6"/>
        <v>190</v>
      </c>
      <c r="J16" s="91">
        <f t="shared" si="0"/>
        <v>1844.95</v>
      </c>
      <c r="K16" s="93">
        <v>0</v>
      </c>
      <c r="L16" s="91">
        <f>L15+K16</f>
        <v>150</v>
      </c>
      <c r="M16" s="94">
        <v>0</v>
      </c>
      <c r="N16" s="94">
        <f>N15+M16</f>
        <v>0.99999999999999989</v>
      </c>
      <c r="O16" s="17"/>
    </row>
    <row r="17" spans="2:15" x14ac:dyDescent="0.25">
      <c r="B17" s="35"/>
      <c r="C17" s="82"/>
      <c r="D17" s="82"/>
      <c r="E17" s="103"/>
      <c r="F17" s="104"/>
      <c r="G17" s="82"/>
      <c r="H17" s="104"/>
      <c r="I17" s="104"/>
      <c r="J17" s="30" t="s">
        <v>31</v>
      </c>
      <c r="K17" s="41">
        <f>SUM(K8:K15)</f>
        <v>150</v>
      </c>
      <c r="M17" s="42">
        <f>SUM(M8:M15)</f>
        <v>0.99999999999999989</v>
      </c>
      <c r="N17" s="104"/>
      <c r="O17" s="17"/>
    </row>
    <row r="18" spans="2:15" x14ac:dyDescent="0.25">
      <c r="C18" s="95"/>
      <c r="D18" s="95"/>
      <c r="E18" s="95"/>
      <c r="F18" s="95"/>
      <c r="G18" s="95"/>
      <c r="H18" s="95"/>
      <c r="I18" s="95"/>
      <c r="N18" s="17"/>
    </row>
    <row r="19" spans="2:15" x14ac:dyDescent="0.25">
      <c r="B19" s="119" t="s">
        <v>64</v>
      </c>
      <c r="C19" s="119"/>
      <c r="D19" s="119"/>
      <c r="E19" s="119"/>
      <c r="F19" s="119"/>
    </row>
    <row r="20" spans="2:15" x14ac:dyDescent="0.25">
      <c r="B20" s="116" t="s">
        <v>32</v>
      </c>
      <c r="C20" s="116"/>
      <c r="D20" s="22" t="s">
        <v>15</v>
      </c>
      <c r="E20" s="19" t="s">
        <v>33</v>
      </c>
      <c r="F20" s="20">
        <f>D1</f>
        <v>190</v>
      </c>
      <c r="L20" s="20"/>
    </row>
    <row r="21" spans="2:15" x14ac:dyDescent="0.25">
      <c r="B21" s="116" t="s">
        <v>39</v>
      </c>
      <c r="C21" s="116"/>
      <c r="D21" s="22" t="s">
        <v>23</v>
      </c>
      <c r="E21" s="19" t="s">
        <v>33</v>
      </c>
      <c r="F21" s="18">
        <v>8</v>
      </c>
      <c r="H21" s="115" t="s">
        <v>56</v>
      </c>
      <c r="I21" s="115"/>
      <c r="J21" s="115"/>
      <c r="L21" s="115" t="s">
        <v>57</v>
      </c>
      <c r="M21" s="115"/>
      <c r="N21" s="115"/>
    </row>
    <row r="22" spans="2:15" x14ac:dyDescent="0.25">
      <c r="B22" s="116" t="s">
        <v>44</v>
      </c>
      <c r="C22" s="116"/>
      <c r="D22" s="22" t="s">
        <v>24</v>
      </c>
      <c r="E22" s="19" t="s">
        <v>33</v>
      </c>
      <c r="F22">
        <f>COUNT(DATS)</f>
        <v>150</v>
      </c>
      <c r="H22" s="100" t="s">
        <v>25</v>
      </c>
      <c r="I22" s="46">
        <f>ROUNDUP(MAX(DATOS!B2:B151)-MIN(DATOS!B2:B151),0)</f>
        <v>1516</v>
      </c>
      <c r="L22" s="100" t="s">
        <v>28</v>
      </c>
      <c r="M22" s="46">
        <f>D1*m</f>
        <v>1520</v>
      </c>
    </row>
    <row r="23" spans="2:15" x14ac:dyDescent="0.25">
      <c r="H23" s="100" t="s">
        <v>26</v>
      </c>
      <c r="I23" s="46">
        <f>MIN(DATS)</f>
        <v>230.7</v>
      </c>
      <c r="L23" s="100" t="s">
        <v>29</v>
      </c>
      <c r="M23" s="46">
        <f>_xlfn.FLOOR.PRECISE(I23-(I23+M22-I24)/2,2)</f>
        <v>228</v>
      </c>
    </row>
    <row r="24" spans="2:15" x14ac:dyDescent="0.25">
      <c r="B24" s="117" t="s">
        <v>45</v>
      </c>
      <c r="C24" s="117"/>
      <c r="D24" s="117"/>
      <c r="E24" s="117"/>
      <c r="F24" s="117"/>
      <c r="H24" s="100" t="s">
        <v>27</v>
      </c>
      <c r="I24" s="46">
        <f>MAX(DATS)</f>
        <v>1746.1000000000001</v>
      </c>
      <c r="L24" s="100" t="s">
        <v>30</v>
      </c>
      <c r="M24" s="46">
        <f>M23+M22</f>
        <v>1748</v>
      </c>
    </row>
    <row r="25" spans="2:15" x14ac:dyDescent="0.25">
      <c r="B25" s="116" t="s">
        <v>34</v>
      </c>
      <c r="C25" s="116"/>
      <c r="D25" s="22"/>
      <c r="E25" s="19" t="s">
        <v>33</v>
      </c>
      <c r="F25">
        <f t="array" ref="F25">SUM(xi*fi)/$F$22</f>
        <v>1043.1500000000001</v>
      </c>
    </row>
    <row r="26" spans="2:15" x14ac:dyDescent="0.25">
      <c r="B26" s="116" t="s">
        <v>35</v>
      </c>
      <c r="C26" s="116"/>
      <c r="D26" s="23"/>
      <c r="E26" s="19" t="s">
        <v>33</v>
      </c>
      <c r="F26">
        <f>F12+(((F22/2)-L11)/K12)*I12</f>
        <v>1038.9822580645161</v>
      </c>
    </row>
    <row r="27" spans="2:15" ht="16.149999999999999" customHeight="1" x14ac:dyDescent="0.25">
      <c r="B27" s="116" t="s">
        <v>36</v>
      </c>
      <c r="C27" s="116"/>
      <c r="D27" s="21" t="s">
        <v>37</v>
      </c>
      <c r="E27" s="19" t="s">
        <v>33</v>
      </c>
      <c r="F27" s="102">
        <v>972.67</v>
      </c>
    </row>
    <row r="28" spans="2:15" x14ac:dyDescent="0.25">
      <c r="H28" s="118" t="s">
        <v>50</v>
      </c>
      <c r="I28" s="118"/>
      <c r="J28" s="118"/>
      <c r="K28" s="118"/>
      <c r="L28" s="118"/>
    </row>
    <row r="29" spans="2:15" x14ac:dyDescent="0.25">
      <c r="B29" s="117" t="s">
        <v>46</v>
      </c>
      <c r="C29" s="117"/>
      <c r="D29" s="117"/>
      <c r="E29" s="117"/>
      <c r="F29" s="117"/>
      <c r="H29" s="113" t="s">
        <v>54</v>
      </c>
      <c r="I29" s="113"/>
      <c r="J29" s="113"/>
      <c r="K29" s="25">
        <v>4</v>
      </c>
    </row>
    <row r="30" spans="2:15" x14ac:dyDescent="0.25">
      <c r="B30" s="116" t="s">
        <v>25</v>
      </c>
      <c r="C30" s="116"/>
      <c r="D30" s="22"/>
      <c r="E30" s="19" t="s">
        <v>33</v>
      </c>
      <c r="F30" s="17">
        <f>H15-F8</f>
        <v>1520</v>
      </c>
      <c r="H30" s="113" t="s">
        <v>53</v>
      </c>
      <c r="I30" s="113"/>
      <c r="J30" s="113"/>
      <c r="K30" s="25">
        <v>5</v>
      </c>
    </row>
    <row r="31" spans="2:15" x14ac:dyDescent="0.25">
      <c r="B31" s="116" t="s">
        <v>40</v>
      </c>
      <c r="C31" s="116"/>
      <c r="D31" s="23"/>
      <c r="E31" s="19" t="s">
        <v>33</v>
      </c>
      <c r="F31" s="17">
        <f t="array" ref="F31">SUM(fi*POWER(J8:J15-$F$25,2))/(n-1)</f>
        <v>107025.59731543624</v>
      </c>
      <c r="H31" s="113" t="s">
        <v>55</v>
      </c>
      <c r="I31" s="113"/>
      <c r="J31" s="113"/>
      <c r="K31" s="25">
        <v>6</v>
      </c>
      <c r="N31" s="36"/>
    </row>
    <row r="32" spans="2:15" x14ac:dyDescent="0.25">
      <c r="B32" s="116" t="s">
        <v>41</v>
      </c>
      <c r="C32" s="116"/>
      <c r="D32" s="32"/>
      <c r="E32" s="19" t="s">
        <v>33</v>
      </c>
      <c r="F32">
        <f>SQRT(F31)</f>
        <v>327.14766897448044</v>
      </c>
      <c r="H32" s="114" t="s">
        <v>52</v>
      </c>
      <c r="I32" s="114"/>
      <c r="K32" s="33" t="s">
        <v>33</v>
      </c>
      <c r="L32">
        <f>F11+(n*(1/4)-L10)/K11*I11</f>
        <v>814.79375000000005</v>
      </c>
      <c r="N32" s="36"/>
    </row>
    <row r="33" spans="2:17" x14ac:dyDescent="0.25">
      <c r="B33" s="116" t="s">
        <v>42</v>
      </c>
      <c r="C33" s="116"/>
      <c r="D33" s="32" t="s">
        <v>43</v>
      </c>
      <c r="E33" s="19" t="s">
        <v>33</v>
      </c>
      <c r="F33">
        <f>d_estandar/media</f>
        <v>0.31361517420742979</v>
      </c>
      <c r="H33" s="114" t="s">
        <v>35</v>
      </c>
      <c r="I33" s="114"/>
      <c r="K33" s="33" t="s">
        <v>33</v>
      </c>
      <c r="L33">
        <f>F12+((n*(1/2))-L11)/K12*I12</f>
        <v>1038.9822580645161</v>
      </c>
      <c r="M33" s="24"/>
      <c r="N33" s="24"/>
      <c r="O33" s="24"/>
    </row>
    <row r="34" spans="2:17" x14ac:dyDescent="0.25">
      <c r="H34" s="114" t="s">
        <v>51</v>
      </c>
      <c r="I34" s="114"/>
      <c r="K34" s="33" t="s">
        <v>33</v>
      </c>
      <c r="L34">
        <f>F13+((n*(3/4))-L12)/K13*I13</f>
        <v>1281.987037037037</v>
      </c>
      <c r="M34" s="24"/>
      <c r="N34" s="24"/>
      <c r="O34" s="24"/>
    </row>
    <row r="35" spans="2:17" x14ac:dyDescent="0.25">
      <c r="B35" s="117" t="s">
        <v>47</v>
      </c>
      <c r="C35" s="117"/>
      <c r="D35" s="117"/>
      <c r="E35" s="117"/>
      <c r="F35" s="117"/>
      <c r="H35" s="37"/>
      <c r="I35" s="36"/>
      <c r="J35" s="36"/>
      <c r="K35" s="38"/>
      <c r="M35" s="24"/>
      <c r="N35" s="24"/>
      <c r="O35" s="24"/>
      <c r="P35" s="24"/>
      <c r="Q35" s="25"/>
    </row>
    <row r="36" spans="2:17" x14ac:dyDescent="0.25">
      <c r="B36" s="116" t="s">
        <v>48</v>
      </c>
      <c r="C36" s="116"/>
      <c r="E36" s="33" t="s">
        <v>33</v>
      </c>
      <c r="F36">
        <f t="array" ref="F36">(n)/((n-1)*(n-2))*SUM(fi*POWER(xi-media,3))/d_estandar^3</f>
        <v>-4.5111545785981221E-2</v>
      </c>
      <c r="H36" s="113" t="s">
        <v>38</v>
      </c>
      <c r="I36" s="113"/>
      <c r="J36" s="113"/>
      <c r="K36" s="38"/>
      <c r="L36">
        <f>MATCH(MAX(K8:K16),K8:K16,0)</f>
        <v>4</v>
      </c>
      <c r="M36" s="24"/>
      <c r="N36" s="24"/>
      <c r="O36" s="24"/>
      <c r="P36" s="24"/>
      <c r="Q36" s="25"/>
    </row>
    <row r="37" spans="2:17" x14ac:dyDescent="0.25">
      <c r="B37" s="116" t="s">
        <v>49</v>
      </c>
      <c r="C37" s="116"/>
      <c r="E37" s="33" t="s">
        <v>33</v>
      </c>
      <c r="F37">
        <f t="array" ref="F37">((n*(n+1))/((n-1)*(n-2)*(n-3))*SUM(fi*((xi-media)^4))/(d_estandar^4))</f>
        <v>2.5681587091005591</v>
      </c>
      <c r="H37" s="36"/>
      <c r="I37" s="36"/>
      <c r="J37" s="36"/>
      <c r="K37" s="38"/>
      <c r="M37" s="24"/>
      <c r="N37" s="24"/>
      <c r="O37" s="24"/>
      <c r="P37" s="24"/>
      <c r="Q37" s="25"/>
    </row>
    <row r="38" spans="2:17" x14ac:dyDescent="0.25">
      <c r="M38" s="24"/>
      <c r="N38" s="31"/>
      <c r="O38" s="25"/>
      <c r="Q38" s="25"/>
    </row>
    <row r="39" spans="2:17" x14ac:dyDescent="0.25">
      <c r="E39" s="33"/>
      <c r="M39" s="24"/>
      <c r="N39" s="31"/>
      <c r="O39" s="25"/>
      <c r="Q39" s="25"/>
    </row>
    <row r="40" spans="2:17" x14ac:dyDescent="0.25">
      <c r="B40" s="119" t="s">
        <v>58</v>
      </c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24"/>
      <c r="N40" s="31"/>
      <c r="O40" s="25"/>
      <c r="Q40" s="25"/>
    </row>
    <row r="41" spans="2:17" x14ac:dyDescent="0.25">
      <c r="E41" s="33"/>
      <c r="M41" s="24"/>
      <c r="N41" s="31"/>
      <c r="O41" s="25"/>
      <c r="Q41" s="25"/>
    </row>
    <row r="42" spans="2:17" ht="15.75" x14ac:dyDescent="0.25">
      <c r="B42" s="122" t="s">
        <v>65</v>
      </c>
      <c r="C42" s="122"/>
      <c r="D42" s="122"/>
      <c r="E42" s="47"/>
      <c r="F42" s="46"/>
      <c r="G42" s="46"/>
      <c r="M42" s="24"/>
      <c r="N42" s="31"/>
      <c r="O42" s="25"/>
      <c r="Q42" s="25"/>
    </row>
    <row r="43" spans="2:17" ht="15.75" x14ac:dyDescent="0.25">
      <c r="B43" s="48"/>
      <c r="C43" s="46"/>
      <c r="D43" s="46"/>
      <c r="E43" s="47"/>
      <c r="F43" s="46"/>
      <c r="G43" s="46"/>
      <c r="M43" s="24"/>
      <c r="N43" s="31"/>
      <c r="O43" s="25"/>
    </row>
    <row r="44" spans="2:17" x14ac:dyDescent="0.25">
      <c r="B44" s="120" t="s">
        <v>59</v>
      </c>
      <c r="C44" s="120"/>
      <c r="D44" s="120"/>
      <c r="E44" s="120"/>
      <c r="F44" s="51" t="s">
        <v>33</v>
      </c>
      <c r="G44" s="52">
        <f>ROUNDUP(L11+(1100-H11)/(H12-H11)*(L12-L11),0)</f>
        <v>85</v>
      </c>
      <c r="I44" s="112" t="s">
        <v>63</v>
      </c>
      <c r="J44" s="112"/>
      <c r="K44" s="112"/>
      <c r="L44" s="112"/>
      <c r="M44" s="112"/>
      <c r="N44" s="58">
        <f>(150-G46)/150</f>
        <v>0.79333333333333333</v>
      </c>
      <c r="O44" s="25"/>
    </row>
    <row r="45" spans="2:17" x14ac:dyDescent="0.25">
      <c r="B45" s="120" t="s">
        <v>66</v>
      </c>
      <c r="C45" s="120"/>
      <c r="D45" s="120"/>
      <c r="E45" s="120"/>
      <c r="F45" s="51" t="s">
        <v>33</v>
      </c>
      <c r="G45" s="52">
        <f>ROUNDUP(L12+(1300-H12)/(H13-H12)*(L13-L12),0)</f>
        <v>116</v>
      </c>
      <c r="I45" s="46"/>
      <c r="J45" s="46"/>
      <c r="K45" s="46"/>
      <c r="L45" s="47"/>
      <c r="M45" s="49"/>
      <c r="N45" s="46"/>
      <c r="O45" s="25"/>
      <c r="Q45" s="25"/>
    </row>
    <row r="46" spans="2:17" x14ac:dyDescent="0.25">
      <c r="B46" s="121" t="s">
        <v>61</v>
      </c>
      <c r="C46" s="121"/>
      <c r="D46" s="121"/>
      <c r="E46" s="121"/>
      <c r="F46" s="60" t="s">
        <v>33</v>
      </c>
      <c r="G46" s="52">
        <f>G45-G44</f>
        <v>31</v>
      </c>
      <c r="I46" s="121" t="s">
        <v>60</v>
      </c>
      <c r="J46" s="121"/>
      <c r="K46" s="121"/>
      <c r="L46" s="121"/>
      <c r="M46" s="59" t="s">
        <v>33</v>
      </c>
      <c r="N46" s="52">
        <f>ROUNDUP(L8+(500-H8)/(H9-H8)*(L9-L8),0)</f>
        <v>9</v>
      </c>
      <c r="O46" s="25"/>
      <c r="Q46" s="25"/>
    </row>
    <row r="47" spans="2:17" x14ac:dyDescent="0.25">
      <c r="E47" s="33"/>
      <c r="I47" s="43"/>
      <c r="J47" s="43"/>
      <c r="L47" s="33"/>
      <c r="O47" s="25"/>
      <c r="Q47" s="25"/>
    </row>
    <row r="48" spans="2:17" x14ac:dyDescent="0.25">
      <c r="B48" s="43"/>
      <c r="C48" s="43"/>
      <c r="E48" s="33"/>
      <c r="H48" s="31"/>
      <c r="I48" s="112" t="s">
        <v>62</v>
      </c>
      <c r="J48" s="112"/>
      <c r="K48" s="112"/>
      <c r="L48" s="112"/>
      <c r="M48" s="112"/>
      <c r="N48" s="58">
        <f>N46/n</f>
        <v>0.06</v>
      </c>
      <c r="O48" s="25"/>
      <c r="Q48" s="25"/>
    </row>
    <row r="49" spans="1:17" x14ac:dyDescent="0.25">
      <c r="H49" s="31"/>
      <c r="I49" s="31"/>
      <c r="J49" s="31"/>
      <c r="K49" s="45"/>
      <c r="L49" s="45"/>
      <c r="M49" s="24"/>
      <c r="N49" s="31"/>
      <c r="O49" s="25"/>
      <c r="Q49" s="25"/>
    </row>
    <row r="50" spans="1:17" x14ac:dyDescent="0.25">
      <c r="H50" s="31"/>
      <c r="I50" s="31"/>
      <c r="J50" s="31"/>
      <c r="K50" s="45"/>
      <c r="L50" s="45"/>
      <c r="M50" s="24"/>
      <c r="N50" s="31"/>
      <c r="O50" s="25"/>
      <c r="Q50" s="25"/>
    </row>
    <row r="51" spans="1:17" ht="17.45" customHeight="1" x14ac:dyDescent="0.25">
      <c r="A51" s="50"/>
      <c r="H51" s="31"/>
      <c r="I51" s="31"/>
      <c r="J51" s="31"/>
      <c r="K51" s="45"/>
      <c r="L51" s="45"/>
      <c r="M51" s="24"/>
      <c r="N51" s="31"/>
      <c r="O51" s="25"/>
      <c r="Q51" s="25"/>
    </row>
    <row r="52" spans="1:17" ht="18.600000000000001" customHeight="1" x14ac:dyDescent="0.25">
      <c r="A52" s="50"/>
      <c r="H52" s="31"/>
      <c r="I52" s="31"/>
      <c r="J52" s="31"/>
      <c r="K52" s="45"/>
      <c r="L52" s="45"/>
      <c r="M52" s="24"/>
      <c r="N52" s="31"/>
      <c r="O52" s="25"/>
      <c r="Q52" s="25"/>
    </row>
    <row r="53" spans="1:17" ht="18" customHeight="1" x14ac:dyDescent="0.25">
      <c r="A53" s="50"/>
      <c r="H53" s="31"/>
      <c r="I53" s="31"/>
      <c r="J53" s="31"/>
      <c r="K53" s="45"/>
      <c r="L53" s="45"/>
      <c r="M53" s="24"/>
      <c r="N53" s="31"/>
      <c r="O53" s="25"/>
      <c r="Q53" s="25"/>
    </row>
    <row r="54" spans="1:17" x14ac:dyDescent="0.25">
      <c r="B54" s="46"/>
      <c r="C54" s="46"/>
      <c r="D54" s="46"/>
      <c r="E54" s="47"/>
      <c r="F54" s="49"/>
      <c r="G54" s="46"/>
      <c r="H54" s="31"/>
      <c r="I54" s="31"/>
      <c r="J54" s="31"/>
      <c r="K54" s="45"/>
      <c r="L54" s="45"/>
      <c r="M54" s="24"/>
      <c r="N54" s="31"/>
      <c r="O54" s="25"/>
      <c r="Q54" s="25"/>
    </row>
    <row r="55" spans="1:17" x14ac:dyDescent="0.25">
      <c r="H55" s="31"/>
      <c r="I55" s="31"/>
      <c r="J55" s="31"/>
      <c r="K55" s="45"/>
      <c r="L55" s="45"/>
      <c r="M55" s="24"/>
      <c r="N55" s="31"/>
      <c r="O55" s="25"/>
      <c r="Q55" s="25"/>
    </row>
    <row r="56" spans="1:17" x14ac:dyDescent="0.25">
      <c r="H56" s="31"/>
      <c r="I56" s="31"/>
      <c r="J56" s="31"/>
      <c r="K56" s="45"/>
      <c r="L56" s="45"/>
      <c r="M56" s="24"/>
      <c r="N56" s="31"/>
      <c r="O56" s="25"/>
      <c r="Q56" s="25"/>
    </row>
    <row r="57" spans="1:17" s="50" customFormat="1" ht="18" customHeight="1" x14ac:dyDescent="0.25">
      <c r="H57" s="54"/>
      <c r="I57" s="54"/>
      <c r="J57" s="54"/>
      <c r="K57" s="55"/>
      <c r="L57" s="55"/>
      <c r="M57" s="56"/>
      <c r="N57" s="54"/>
      <c r="O57" s="57"/>
      <c r="Q57" s="57"/>
    </row>
    <row r="58" spans="1:17" x14ac:dyDescent="0.25">
      <c r="H58" s="31"/>
      <c r="I58" s="31"/>
      <c r="J58" s="31"/>
      <c r="K58" s="45"/>
      <c r="L58" s="45"/>
      <c r="M58" s="24"/>
      <c r="N58" s="31"/>
      <c r="O58" s="25"/>
      <c r="Q58" s="25"/>
    </row>
    <row r="59" spans="1:17" x14ac:dyDescent="0.25">
      <c r="H59" s="31"/>
      <c r="I59" s="31"/>
      <c r="J59" s="31"/>
      <c r="K59" s="45"/>
      <c r="L59" s="45"/>
      <c r="M59" s="24"/>
      <c r="N59" s="31"/>
      <c r="O59" s="25"/>
      <c r="Q59" s="25"/>
    </row>
    <row r="60" spans="1:17" x14ac:dyDescent="0.25">
      <c r="B60" s="43"/>
      <c r="C60" s="53"/>
      <c r="E60" s="33"/>
      <c r="H60" s="31"/>
      <c r="I60" s="31"/>
      <c r="J60" s="31"/>
      <c r="K60" s="45"/>
      <c r="L60" s="45"/>
      <c r="M60" s="24"/>
      <c r="N60" s="31"/>
      <c r="O60" s="25"/>
      <c r="Q60" s="25"/>
    </row>
    <row r="61" spans="1:17" x14ac:dyDescent="0.25">
      <c r="B61" s="43"/>
      <c r="C61" s="43"/>
      <c r="E61" s="33"/>
      <c r="H61" s="31"/>
      <c r="I61" s="31"/>
      <c r="J61" s="31"/>
      <c r="K61" s="45"/>
      <c r="L61" s="45"/>
      <c r="M61" s="24"/>
      <c r="N61" s="31"/>
      <c r="O61" s="25"/>
      <c r="Q61" s="25"/>
    </row>
    <row r="62" spans="1:17" x14ac:dyDescent="0.25">
      <c r="B62" s="43"/>
      <c r="C62" s="43"/>
      <c r="E62" s="33"/>
      <c r="H62" s="31"/>
      <c r="I62" s="31"/>
      <c r="J62" s="31"/>
      <c r="K62" s="45"/>
      <c r="L62" s="45"/>
      <c r="M62" s="24"/>
      <c r="N62" s="31"/>
      <c r="O62" s="25"/>
      <c r="Q62" s="25"/>
    </row>
    <row r="63" spans="1:17" x14ac:dyDescent="0.25">
      <c r="B63" s="43"/>
      <c r="C63" s="43"/>
      <c r="E63" s="33"/>
      <c r="H63" s="31"/>
      <c r="I63" s="31"/>
      <c r="J63" s="31"/>
      <c r="K63" s="45"/>
      <c r="L63" s="45"/>
      <c r="M63" s="24"/>
      <c r="N63" s="31"/>
      <c r="O63" s="25"/>
      <c r="Q63" s="25"/>
    </row>
    <row r="64" spans="1:17" x14ac:dyDescent="0.25">
      <c r="B64" s="43"/>
      <c r="C64" s="43"/>
      <c r="E64" s="33"/>
      <c r="H64" s="31"/>
      <c r="I64" s="31"/>
      <c r="J64" s="31"/>
      <c r="K64" s="45"/>
      <c r="L64" s="45"/>
      <c r="M64" s="24"/>
      <c r="N64" s="31"/>
      <c r="O64" s="25"/>
      <c r="Q64" s="25"/>
    </row>
    <row r="65" spans="2:28" x14ac:dyDescent="0.25">
      <c r="B65" s="43"/>
      <c r="C65" s="43"/>
      <c r="E65" s="33"/>
      <c r="H65" s="31"/>
      <c r="I65" s="31"/>
      <c r="J65" s="31"/>
      <c r="K65" s="45"/>
      <c r="L65" s="45"/>
      <c r="M65" s="24"/>
      <c r="N65" s="31"/>
      <c r="O65" s="25"/>
      <c r="Q65" s="25"/>
    </row>
    <row r="66" spans="2:28" x14ac:dyDescent="0.25">
      <c r="E66" s="33"/>
      <c r="H66" s="31"/>
      <c r="I66" s="31"/>
      <c r="J66" s="31"/>
      <c r="K66" s="45"/>
      <c r="L66" s="45"/>
      <c r="M66" s="24"/>
      <c r="N66" s="31"/>
      <c r="O66" s="25"/>
      <c r="Q66" s="25"/>
    </row>
    <row r="67" spans="2:28" x14ac:dyDescent="0.25">
      <c r="H67" s="31"/>
      <c r="I67" s="31"/>
      <c r="J67" s="31"/>
      <c r="K67" s="31"/>
      <c r="L67" s="31"/>
      <c r="M67" s="31"/>
      <c r="N67" s="31"/>
      <c r="O67" s="25"/>
    </row>
    <row r="68" spans="2:28" x14ac:dyDescent="0.25">
      <c r="H68" s="31"/>
      <c r="I68" s="31"/>
      <c r="J68" s="31"/>
      <c r="K68" s="31"/>
      <c r="L68" s="31"/>
      <c r="M68" s="31"/>
      <c r="N68" s="31"/>
    </row>
    <row r="69" spans="2:28" ht="18" customHeight="1" x14ac:dyDescent="0.25">
      <c r="V69" s="31"/>
      <c r="W69" s="31"/>
      <c r="X69" s="31"/>
      <c r="Y69" s="31"/>
      <c r="Z69" s="31"/>
      <c r="AA69" s="31"/>
      <c r="AB69" s="31"/>
    </row>
    <row r="93" spans="2:15" x14ac:dyDescent="0.25">
      <c r="B93" s="119" t="s">
        <v>69</v>
      </c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</row>
    <row r="94" spans="2:15" x14ac:dyDescent="0.25">
      <c r="B94" s="114" t="s">
        <v>71</v>
      </c>
      <c r="C94" s="114"/>
    </row>
    <row r="95" spans="2:15" x14ac:dyDescent="0.25">
      <c r="B95" s="114">
        <v>1100</v>
      </c>
      <c r="C95" s="114"/>
      <c r="D95">
        <f>0.447+((B95-987.95)/(1177.95-987.95))*(0.647-0.447)</f>
        <v>0.56494736842105264</v>
      </c>
      <c r="E95">
        <f>100*D95</f>
        <v>56.494736842105262</v>
      </c>
      <c r="I95" s="119" t="s">
        <v>67</v>
      </c>
      <c r="J95" s="119"/>
      <c r="K95" s="119"/>
    </row>
    <row r="96" spans="2:15" x14ac:dyDescent="0.25">
      <c r="B96" s="114">
        <v>1300</v>
      </c>
      <c r="C96" s="114"/>
      <c r="D96">
        <f>0.647+((B96-1177.95)/(1367.95-1177.95))*(0.827-0.647)</f>
        <v>0.7626263157894736</v>
      </c>
      <c r="E96">
        <f>100*D96</f>
        <v>76.262631578947364</v>
      </c>
      <c r="G96">
        <f>100-E96</f>
        <v>23.737368421052636</v>
      </c>
      <c r="I96" s="123" t="s">
        <v>68</v>
      </c>
      <c r="J96" s="123"/>
      <c r="K96" s="123"/>
    </row>
    <row r="98" spans="2:15" x14ac:dyDescent="0.25">
      <c r="D98" s="106" t="s">
        <v>70</v>
      </c>
      <c r="E98" s="106">
        <f>E95+G96</f>
        <v>80.232105263157905</v>
      </c>
    </row>
    <row r="101" spans="2:15" x14ac:dyDescent="0.25">
      <c r="B101" s="119" t="s">
        <v>72</v>
      </c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</row>
    <row r="103" spans="2:15" x14ac:dyDescent="0.25">
      <c r="C103" s="114" t="s">
        <v>71</v>
      </c>
      <c r="D103" s="114"/>
    </row>
    <row r="104" spans="2:15" x14ac:dyDescent="0.25">
      <c r="B104" t="s">
        <v>73</v>
      </c>
      <c r="C104" s="114">
        <v>1100</v>
      </c>
      <c r="D104" s="114"/>
      <c r="E104">
        <f>0.447+((C104-987.95)/(1177.95-987.95))*(0.647-0.447)</f>
        <v>0.56494736842105264</v>
      </c>
      <c r="F104">
        <f>100*E104</f>
        <v>56.494736842105262</v>
      </c>
    </row>
    <row r="105" spans="2:15" x14ac:dyDescent="0.25">
      <c r="B105" t="s">
        <v>74</v>
      </c>
      <c r="C105" s="114">
        <v>1300</v>
      </c>
      <c r="D105" s="114"/>
      <c r="E105">
        <f>0.647+((C105-1177.95)/(1367.95-1177.95))*(0.827-0.647)</f>
        <v>0.7626263157894736</v>
      </c>
      <c r="F105">
        <f>100*E105</f>
        <v>76.262631578947364</v>
      </c>
    </row>
    <row r="106" spans="2:15" ht="14.45" customHeight="1" x14ac:dyDescent="0.25"/>
    <row r="124" ht="14.45" customHeight="1" x14ac:dyDescent="0.25"/>
  </sheetData>
  <mergeCells count="44">
    <mergeCell ref="B101:O101"/>
    <mergeCell ref="C103:D103"/>
    <mergeCell ref="C104:D104"/>
    <mergeCell ref="C105:D105"/>
    <mergeCell ref="I95:K95"/>
    <mergeCell ref="I96:K96"/>
    <mergeCell ref="B93:O93"/>
    <mergeCell ref="B94:C94"/>
    <mergeCell ref="B95:C95"/>
    <mergeCell ref="B96:C96"/>
    <mergeCell ref="B44:E44"/>
    <mergeCell ref="I46:L46"/>
    <mergeCell ref="B25:C25"/>
    <mergeCell ref="B26:C26"/>
    <mergeCell ref="B27:C27"/>
    <mergeCell ref="B30:C30"/>
    <mergeCell ref="B40:L40"/>
    <mergeCell ref="B42:D42"/>
    <mergeCell ref="I44:M44"/>
    <mergeCell ref="B36:C36"/>
    <mergeCell ref="B37:C37"/>
    <mergeCell ref="B35:F35"/>
    <mergeCell ref="B46:E46"/>
    <mergeCell ref="B45:E45"/>
    <mergeCell ref="B19:F19"/>
    <mergeCell ref="B20:C20"/>
    <mergeCell ref="B21:C21"/>
    <mergeCell ref="B22:C22"/>
    <mergeCell ref="B24:F24"/>
    <mergeCell ref="H21:J21"/>
    <mergeCell ref="L21:N21"/>
    <mergeCell ref="B31:C31"/>
    <mergeCell ref="B32:C32"/>
    <mergeCell ref="B33:C33"/>
    <mergeCell ref="B29:F29"/>
    <mergeCell ref="H28:L28"/>
    <mergeCell ref="I48:M48"/>
    <mergeCell ref="H29:J29"/>
    <mergeCell ref="H30:J30"/>
    <mergeCell ref="H31:J31"/>
    <mergeCell ref="H32:I32"/>
    <mergeCell ref="H33:I33"/>
    <mergeCell ref="H34:I34"/>
    <mergeCell ref="H36:J36"/>
  </mergeCells>
  <printOptions horizontalCentered="1"/>
  <pageMargins left="0.51181102362204722" right="0.31496062992125984" top="0.59055118110236227" bottom="0.55118110236220474" header="0.31496062992125984" footer="0.31496062992125984"/>
  <pageSetup scale="60" orientation="portrait" r:id="rId1"/>
  <ignoredErrors>
    <ignoredError sqref="M15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526-7160-4ECD-9504-006A4A7FEF53}">
  <dimension ref="B1:R98"/>
  <sheetViews>
    <sheetView topLeftCell="B8" workbookViewId="0">
      <selection activeCell="F22" sqref="F22"/>
    </sheetView>
  </sheetViews>
  <sheetFormatPr defaultRowHeight="15" x14ac:dyDescent="0.25"/>
  <cols>
    <col min="2" max="14" width="10.7109375" customWidth="1"/>
  </cols>
  <sheetData>
    <row r="1" spans="2:18" x14ac:dyDescent="0.25">
      <c r="C1" s="97" t="s">
        <v>2</v>
      </c>
      <c r="D1" s="44">
        <v>160</v>
      </c>
      <c r="E1" s="2"/>
      <c r="F1" s="97" t="s">
        <v>3</v>
      </c>
      <c r="G1" s="96">
        <v>0.1</v>
      </c>
    </row>
    <row r="2" spans="2:18" x14ac:dyDescent="0.25">
      <c r="B2" s="2"/>
      <c r="H2" s="2"/>
      <c r="I2" s="2"/>
      <c r="J2" s="2"/>
      <c r="K2" s="2"/>
      <c r="L2" s="2"/>
      <c r="M2" s="2"/>
      <c r="N2" s="2"/>
    </row>
    <row r="3" spans="2:18" x14ac:dyDescent="0.25">
      <c r="B3" s="2"/>
      <c r="C3" s="3" t="s">
        <v>4</v>
      </c>
      <c r="D3" s="4"/>
      <c r="E3" s="4"/>
      <c r="F3" s="4"/>
      <c r="G3" s="4"/>
      <c r="H3" s="5"/>
      <c r="I3" s="2"/>
      <c r="J3" s="2"/>
      <c r="K3" s="2"/>
      <c r="L3" s="2"/>
      <c r="M3" s="2"/>
      <c r="N3" s="2"/>
    </row>
    <row r="4" spans="2:18" ht="33.75" x14ac:dyDescent="0.25">
      <c r="B4" s="2"/>
      <c r="C4" s="61" t="s">
        <v>5</v>
      </c>
      <c r="D4" s="62"/>
      <c r="E4" s="62"/>
      <c r="F4" s="61" t="s">
        <v>6</v>
      </c>
      <c r="G4" s="62"/>
      <c r="H4" s="62"/>
      <c r="I4" s="61" t="s">
        <v>7</v>
      </c>
      <c r="J4" s="63" t="s">
        <v>8</v>
      </c>
      <c r="K4" s="63" t="s">
        <v>9</v>
      </c>
      <c r="L4" s="63" t="s">
        <v>10</v>
      </c>
      <c r="M4" s="63" t="s">
        <v>11</v>
      </c>
      <c r="N4" s="64" t="s">
        <v>12</v>
      </c>
    </row>
    <row r="5" spans="2:18" ht="25.5" x14ac:dyDescent="0.25">
      <c r="B5" s="2"/>
      <c r="C5" s="65"/>
      <c r="D5" s="66"/>
      <c r="E5" s="66"/>
      <c r="F5" s="67" t="s">
        <v>13</v>
      </c>
      <c r="G5" s="68"/>
      <c r="H5" s="68" t="s">
        <v>14</v>
      </c>
      <c r="I5" s="69" t="s">
        <v>15</v>
      </c>
      <c r="J5" s="70" t="s">
        <v>16</v>
      </c>
      <c r="K5" s="71" t="s">
        <v>17</v>
      </c>
      <c r="L5" s="71" t="s">
        <v>18</v>
      </c>
      <c r="M5" s="70" t="s">
        <v>19</v>
      </c>
      <c r="N5" s="72" t="s">
        <v>20</v>
      </c>
    </row>
    <row r="6" spans="2:18" x14ac:dyDescent="0.25">
      <c r="B6" s="6" t="s">
        <v>21</v>
      </c>
      <c r="C6" s="73"/>
      <c r="D6" s="74"/>
      <c r="E6" s="74"/>
      <c r="F6" s="75">
        <v>0</v>
      </c>
      <c r="G6" s="76"/>
      <c r="H6" s="77">
        <f>F8</f>
        <v>227.95</v>
      </c>
      <c r="I6" s="78"/>
      <c r="J6" s="79"/>
      <c r="K6" s="75">
        <v>0</v>
      </c>
      <c r="L6" s="75">
        <v>0</v>
      </c>
      <c r="M6" s="75">
        <v>0</v>
      </c>
      <c r="N6" s="80">
        <v>0</v>
      </c>
    </row>
    <row r="7" spans="2:18" x14ac:dyDescent="0.25">
      <c r="B7" s="26"/>
      <c r="C7" s="27"/>
      <c r="D7" s="28" t="s">
        <v>22</v>
      </c>
      <c r="E7" s="29"/>
      <c r="F7" s="81">
        <f>H7-D1</f>
        <v>67.949999999999989</v>
      </c>
      <c r="G7" s="82" t="s">
        <v>22</v>
      </c>
      <c r="H7" s="83">
        <f>F8</f>
        <v>227.95</v>
      </c>
      <c r="I7" s="84">
        <f>H7-F7</f>
        <v>160</v>
      </c>
      <c r="J7" s="84">
        <f t="shared" ref="J7:J16" si="0">(F7+H7)/2</f>
        <v>147.94999999999999</v>
      </c>
      <c r="K7" s="85">
        <v>0</v>
      </c>
      <c r="L7" s="85">
        <v>0</v>
      </c>
      <c r="M7" s="86">
        <v>0</v>
      </c>
      <c r="N7" s="87">
        <v>0</v>
      </c>
    </row>
    <row r="8" spans="2:18" x14ac:dyDescent="0.25">
      <c r="B8" s="7">
        <v>1</v>
      </c>
      <c r="C8" s="15">
        <v>228</v>
      </c>
      <c r="D8" s="8" t="s">
        <v>22</v>
      </c>
      <c r="E8" s="16">
        <f t="shared" ref="E8:E16" si="1">C8+D$1-G$1</f>
        <v>387.9</v>
      </c>
      <c r="F8" s="10">
        <f t="shared" ref="F8:F16" si="2">C8-$G$1/2</f>
        <v>227.95</v>
      </c>
      <c r="G8" s="8" t="s">
        <v>22</v>
      </c>
      <c r="H8" s="9">
        <f t="shared" ref="H8:H16" si="3">E8+$G$1/2</f>
        <v>387.95</v>
      </c>
      <c r="I8" s="10">
        <f>H8-F8</f>
        <v>160</v>
      </c>
      <c r="J8" s="10">
        <f t="shared" si="0"/>
        <v>307.95</v>
      </c>
      <c r="K8" s="107">
        <f>COUNTIFS(DATOS!B$2:B$151,"&gt;="&amp;C8, DATOS!B$2:B$151,"&lt;="&amp;E8)</f>
        <v>3</v>
      </c>
      <c r="L8" s="11">
        <f>K8</f>
        <v>3</v>
      </c>
      <c r="M8" s="110">
        <f>K8/R8</f>
        <v>1.6666666666666666E-2</v>
      </c>
      <c r="N8" s="13">
        <f>M8</f>
        <v>1.6666666666666666E-2</v>
      </c>
      <c r="O8" s="17"/>
      <c r="P8" s="99" t="s">
        <v>24</v>
      </c>
      <c r="Q8">
        <f>COUNT(DATS)</f>
        <v>150</v>
      </c>
      <c r="R8" s="111">
        <v>180</v>
      </c>
    </row>
    <row r="9" spans="2:18" x14ac:dyDescent="0.25">
      <c r="B9" s="12">
        <v>2</v>
      </c>
      <c r="C9" s="15">
        <f t="shared" ref="C9:C16" si="4">E8+G$1</f>
        <v>388</v>
      </c>
      <c r="D9" s="8" t="s">
        <v>22</v>
      </c>
      <c r="E9" s="16">
        <f t="shared" si="1"/>
        <v>547.9</v>
      </c>
      <c r="F9" s="10">
        <f t="shared" si="2"/>
        <v>387.95</v>
      </c>
      <c r="G9" s="8" t="s">
        <v>22</v>
      </c>
      <c r="H9" s="9">
        <f t="shared" si="3"/>
        <v>547.94999999999993</v>
      </c>
      <c r="I9" s="10">
        <f t="shared" ref="I9:I16" si="5">H9-F9</f>
        <v>159.99999999999994</v>
      </c>
      <c r="J9" s="10">
        <f t="shared" si="0"/>
        <v>467.94999999999993</v>
      </c>
      <c r="K9" s="107">
        <f>COUNTIFS(DATOS!B$2:B$151,"&gt;="&amp;C9, DATOS!B$2:B$151,"&lt;="&amp;E9)</f>
        <v>7</v>
      </c>
      <c r="L9" s="11">
        <f>K9+L8</f>
        <v>10</v>
      </c>
      <c r="M9" s="110">
        <f>K9/R8</f>
        <v>3.888888888888889E-2</v>
      </c>
      <c r="N9" s="13">
        <f>N8+M9</f>
        <v>5.5555555555555552E-2</v>
      </c>
      <c r="O9" s="17"/>
    </row>
    <row r="10" spans="2:18" x14ac:dyDescent="0.25">
      <c r="B10" s="12">
        <v>3</v>
      </c>
      <c r="C10" s="15">
        <f t="shared" si="4"/>
        <v>548</v>
      </c>
      <c r="D10" s="8" t="s">
        <v>22</v>
      </c>
      <c r="E10" s="16">
        <f t="shared" si="1"/>
        <v>707.9</v>
      </c>
      <c r="F10" s="10">
        <f t="shared" si="2"/>
        <v>547.95000000000005</v>
      </c>
      <c r="G10" s="8" t="s">
        <v>22</v>
      </c>
      <c r="H10" s="9">
        <f t="shared" si="3"/>
        <v>707.94999999999993</v>
      </c>
      <c r="I10" s="10">
        <f t="shared" si="5"/>
        <v>159.99999999999989</v>
      </c>
      <c r="J10" s="10">
        <f t="shared" si="0"/>
        <v>627.95000000000005</v>
      </c>
      <c r="K10" s="107">
        <f>COUNTIFS(DATOS!B$2:B$151,"&gt;="&amp;C10, DATOS!B$2:B$151,"&lt;="&amp;E10)</f>
        <v>12</v>
      </c>
      <c r="L10" s="11">
        <f t="shared" ref="L10:L14" si="6">K10+L9</f>
        <v>22</v>
      </c>
      <c r="M10" s="110">
        <f>K10/R8</f>
        <v>6.6666666666666666E-2</v>
      </c>
      <c r="N10" s="13">
        <f t="shared" ref="N10:N14" si="7">N9+M10</f>
        <v>0.12222222222222222</v>
      </c>
      <c r="O10" s="17"/>
    </row>
    <row r="11" spans="2:18" x14ac:dyDescent="0.25">
      <c r="B11" s="12">
        <v>4</v>
      </c>
      <c r="C11" s="15">
        <f t="shared" si="4"/>
        <v>708</v>
      </c>
      <c r="D11" s="8" t="s">
        <v>22</v>
      </c>
      <c r="E11" s="16">
        <f t="shared" si="1"/>
        <v>867.9</v>
      </c>
      <c r="F11" s="10">
        <f t="shared" si="2"/>
        <v>707.95</v>
      </c>
      <c r="G11" s="8" t="s">
        <v>22</v>
      </c>
      <c r="H11" s="9">
        <f t="shared" si="3"/>
        <v>867.94999999999993</v>
      </c>
      <c r="I11" s="10">
        <f t="shared" si="5"/>
        <v>159.99999999999989</v>
      </c>
      <c r="J11" s="10">
        <f t="shared" si="0"/>
        <v>787.95</v>
      </c>
      <c r="K11" s="107">
        <v>65</v>
      </c>
      <c r="L11" s="11">
        <f t="shared" si="6"/>
        <v>87</v>
      </c>
      <c r="M11" s="110">
        <f>K11/R8</f>
        <v>0.3611111111111111</v>
      </c>
      <c r="N11" s="13">
        <f t="shared" si="7"/>
        <v>0.48333333333333334</v>
      </c>
      <c r="O11" s="17"/>
    </row>
    <row r="12" spans="2:18" x14ac:dyDescent="0.25">
      <c r="B12" s="12">
        <v>5</v>
      </c>
      <c r="C12" s="15">
        <f t="shared" si="4"/>
        <v>868</v>
      </c>
      <c r="D12" s="8" t="s">
        <v>22</v>
      </c>
      <c r="E12" s="16">
        <f t="shared" si="1"/>
        <v>1027.9000000000001</v>
      </c>
      <c r="F12" s="10">
        <f t="shared" si="2"/>
        <v>867.95</v>
      </c>
      <c r="G12" s="8" t="s">
        <v>22</v>
      </c>
      <c r="H12" s="9">
        <f t="shared" si="3"/>
        <v>1027.95</v>
      </c>
      <c r="I12" s="10">
        <f t="shared" si="5"/>
        <v>160</v>
      </c>
      <c r="J12" s="10">
        <f t="shared" si="0"/>
        <v>947.95</v>
      </c>
      <c r="K12" s="107">
        <v>56</v>
      </c>
      <c r="L12" s="11">
        <f t="shared" si="6"/>
        <v>143</v>
      </c>
      <c r="M12" s="110">
        <f>K12/R8</f>
        <v>0.31111111111111112</v>
      </c>
      <c r="N12" s="13">
        <f t="shared" si="7"/>
        <v>0.79444444444444451</v>
      </c>
      <c r="O12" s="17"/>
    </row>
    <row r="13" spans="2:18" x14ac:dyDescent="0.25">
      <c r="B13" s="12">
        <v>6</v>
      </c>
      <c r="C13" s="15">
        <f t="shared" si="4"/>
        <v>1028</v>
      </c>
      <c r="D13" s="8" t="s">
        <v>22</v>
      </c>
      <c r="E13" s="16">
        <f t="shared" si="1"/>
        <v>1187.9000000000001</v>
      </c>
      <c r="F13" s="10">
        <f t="shared" si="2"/>
        <v>1027.95</v>
      </c>
      <c r="G13" s="8" t="s">
        <v>22</v>
      </c>
      <c r="H13" s="9">
        <f t="shared" si="3"/>
        <v>1187.95</v>
      </c>
      <c r="I13" s="10">
        <f t="shared" si="5"/>
        <v>160</v>
      </c>
      <c r="J13" s="10">
        <f t="shared" si="0"/>
        <v>1107.95</v>
      </c>
      <c r="K13" s="107">
        <v>16</v>
      </c>
      <c r="L13" s="11">
        <f t="shared" si="6"/>
        <v>159</v>
      </c>
      <c r="M13" s="110">
        <f>K13/R8</f>
        <v>8.8888888888888892E-2</v>
      </c>
      <c r="N13" s="13">
        <f t="shared" si="7"/>
        <v>0.88333333333333341</v>
      </c>
      <c r="O13" s="17"/>
    </row>
    <row r="14" spans="2:18" x14ac:dyDescent="0.25">
      <c r="B14" s="12">
        <v>7</v>
      </c>
      <c r="C14" s="15">
        <f t="shared" si="4"/>
        <v>1188</v>
      </c>
      <c r="D14" s="8" t="s">
        <v>22</v>
      </c>
      <c r="E14" s="16">
        <f t="shared" si="1"/>
        <v>1347.9</v>
      </c>
      <c r="F14" s="10">
        <f t="shared" si="2"/>
        <v>1187.95</v>
      </c>
      <c r="G14" s="8" t="s">
        <v>22</v>
      </c>
      <c r="H14" s="9">
        <f t="shared" si="3"/>
        <v>1347.95</v>
      </c>
      <c r="I14" s="10">
        <f t="shared" si="5"/>
        <v>160</v>
      </c>
      <c r="J14" s="10">
        <f t="shared" si="0"/>
        <v>1267.95</v>
      </c>
      <c r="K14" s="107">
        <v>12</v>
      </c>
      <c r="L14" s="11">
        <f t="shared" si="6"/>
        <v>171</v>
      </c>
      <c r="M14" s="110">
        <f>K14/R8</f>
        <v>6.6666666666666666E-2</v>
      </c>
      <c r="N14" s="13">
        <f t="shared" si="7"/>
        <v>0.95000000000000007</v>
      </c>
      <c r="O14" s="17"/>
    </row>
    <row r="15" spans="2:18" x14ac:dyDescent="0.25">
      <c r="B15" s="14">
        <v>8</v>
      </c>
      <c r="C15" s="8">
        <f t="shared" si="4"/>
        <v>1348</v>
      </c>
      <c r="D15" s="8" t="s">
        <v>22</v>
      </c>
      <c r="E15" s="34">
        <f t="shared" si="1"/>
        <v>1507.9</v>
      </c>
      <c r="F15" s="9">
        <f t="shared" si="2"/>
        <v>1347.95</v>
      </c>
      <c r="G15" s="8" t="s">
        <v>22</v>
      </c>
      <c r="H15" s="9">
        <f t="shared" si="3"/>
        <v>1507.95</v>
      </c>
      <c r="I15" s="13">
        <f t="shared" si="5"/>
        <v>160</v>
      </c>
      <c r="J15" s="10">
        <f t="shared" si="0"/>
        <v>1427.95</v>
      </c>
      <c r="K15" s="108">
        <v>9</v>
      </c>
      <c r="L15" s="9">
        <f>L14+K15</f>
        <v>180</v>
      </c>
      <c r="M15" s="110">
        <f>K15/R8</f>
        <v>0.05</v>
      </c>
      <c r="N15" s="13">
        <f>N14+M15</f>
        <v>1</v>
      </c>
      <c r="O15" s="17"/>
    </row>
    <row r="16" spans="2:18" x14ac:dyDescent="0.25">
      <c r="B16" s="35"/>
      <c r="C16" s="88">
        <f t="shared" si="4"/>
        <v>1508</v>
      </c>
      <c r="D16" s="89" t="s">
        <v>22</v>
      </c>
      <c r="E16" s="90">
        <f t="shared" si="1"/>
        <v>1667.9</v>
      </c>
      <c r="F16" s="91">
        <f t="shared" si="2"/>
        <v>1507.95</v>
      </c>
      <c r="G16" s="89" t="s">
        <v>22</v>
      </c>
      <c r="H16" s="92">
        <f t="shared" si="3"/>
        <v>1667.95</v>
      </c>
      <c r="I16" s="91">
        <f t="shared" si="5"/>
        <v>160</v>
      </c>
      <c r="J16" s="91">
        <f t="shared" si="0"/>
        <v>1587.95</v>
      </c>
      <c r="K16" s="93">
        <v>0</v>
      </c>
      <c r="L16" s="91">
        <f>L15+K16</f>
        <v>180</v>
      </c>
      <c r="M16" s="94">
        <v>0</v>
      </c>
      <c r="N16" s="94">
        <f>N15+M16</f>
        <v>1</v>
      </c>
      <c r="O16" s="17"/>
    </row>
    <row r="17" spans="2:15" x14ac:dyDescent="0.25">
      <c r="B17" s="35"/>
      <c r="C17" s="82"/>
      <c r="D17" s="82"/>
      <c r="E17" s="103"/>
      <c r="F17" s="104"/>
      <c r="G17" s="82"/>
      <c r="H17" s="104"/>
      <c r="I17" s="104"/>
      <c r="J17" s="30" t="s">
        <v>31</v>
      </c>
      <c r="K17" s="109">
        <f>SUM(K8:K15)</f>
        <v>180</v>
      </c>
      <c r="M17" s="42">
        <f>SUM(M8:M15)</f>
        <v>1</v>
      </c>
      <c r="N17" s="104"/>
      <c r="O17" s="17"/>
    </row>
    <row r="18" spans="2:15" x14ac:dyDescent="0.25">
      <c r="C18" s="95"/>
      <c r="D18" s="95"/>
      <c r="E18" s="95"/>
      <c r="F18" s="95"/>
      <c r="G18" s="95"/>
      <c r="H18" s="95"/>
      <c r="I18" s="95"/>
      <c r="N18" s="17"/>
    </row>
    <row r="19" spans="2:15" x14ac:dyDescent="0.25">
      <c r="B19" s="119" t="s">
        <v>64</v>
      </c>
      <c r="C19" s="119"/>
      <c r="D19" s="119"/>
      <c r="E19" s="119"/>
      <c r="F19" s="119"/>
    </row>
    <row r="20" spans="2:15" x14ac:dyDescent="0.25">
      <c r="B20" s="116" t="s">
        <v>32</v>
      </c>
      <c r="C20" s="116"/>
      <c r="D20" s="22" t="s">
        <v>15</v>
      </c>
      <c r="E20" s="98" t="s">
        <v>33</v>
      </c>
      <c r="F20" s="20">
        <f>D1</f>
        <v>160</v>
      </c>
      <c r="L20" s="20"/>
    </row>
    <row r="21" spans="2:15" x14ac:dyDescent="0.25">
      <c r="B21" s="116" t="s">
        <v>39</v>
      </c>
      <c r="C21" s="116"/>
      <c r="D21" s="22" t="s">
        <v>23</v>
      </c>
      <c r="E21" s="98" t="s">
        <v>33</v>
      </c>
      <c r="F21" s="18">
        <v>8</v>
      </c>
      <c r="H21" s="115" t="s">
        <v>56</v>
      </c>
      <c r="I21" s="115"/>
      <c r="J21" s="115"/>
      <c r="L21" s="115" t="s">
        <v>57</v>
      </c>
      <c r="M21" s="115"/>
      <c r="N21" s="115"/>
    </row>
    <row r="22" spans="2:15" x14ac:dyDescent="0.25">
      <c r="B22" s="116" t="s">
        <v>44</v>
      </c>
      <c r="C22" s="116"/>
      <c r="D22" s="22" t="s">
        <v>24</v>
      </c>
      <c r="E22" s="98" t="s">
        <v>33</v>
      </c>
      <c r="F22">
        <f>COUNT(DATS)</f>
        <v>150</v>
      </c>
      <c r="H22" s="100" t="s">
        <v>25</v>
      </c>
      <c r="I22" s="46">
        <f>ROUNDUP(MAX(DATOS!B2:B151)-MIN(DATOS!B2:B151),0)</f>
        <v>1516</v>
      </c>
      <c r="L22" s="100" t="s">
        <v>28</v>
      </c>
      <c r="M22" s="46">
        <f>D1*m</f>
        <v>1280</v>
      </c>
    </row>
    <row r="23" spans="2:15" x14ac:dyDescent="0.25">
      <c r="H23" s="100" t="s">
        <v>26</v>
      </c>
      <c r="I23" s="46">
        <f>MIN(DATS)</f>
        <v>230.7</v>
      </c>
      <c r="L23" s="100" t="s">
        <v>29</v>
      </c>
      <c r="M23" s="46">
        <f>_xlfn.FLOOR.PRECISE(I23-(I23+M22-I24)/2,2)</f>
        <v>348</v>
      </c>
    </row>
    <row r="24" spans="2:15" x14ac:dyDescent="0.25">
      <c r="B24" s="117" t="s">
        <v>45</v>
      </c>
      <c r="C24" s="117"/>
      <c r="D24" s="117"/>
      <c r="E24" s="117"/>
      <c r="F24" s="117"/>
      <c r="H24" s="100" t="s">
        <v>27</v>
      </c>
      <c r="I24" s="46">
        <f>MAX(DATS)</f>
        <v>1746.1000000000001</v>
      </c>
      <c r="L24" s="100" t="s">
        <v>30</v>
      </c>
      <c r="M24" s="46">
        <f>M23+M22</f>
        <v>1628</v>
      </c>
    </row>
    <row r="25" spans="2:15" x14ac:dyDescent="0.25">
      <c r="B25" s="116" t="s">
        <v>34</v>
      </c>
      <c r="C25" s="116"/>
      <c r="D25" s="22"/>
      <c r="E25" s="98" t="s">
        <v>33</v>
      </c>
      <c r="F25">
        <f t="array" ref="F25">SUM(xi*fi)/$F$22</f>
        <v>1043.1500000000001</v>
      </c>
    </row>
    <row r="26" spans="2:15" x14ac:dyDescent="0.25">
      <c r="B26" s="116" t="s">
        <v>35</v>
      </c>
      <c r="C26" s="116"/>
      <c r="D26" s="23"/>
      <c r="E26" s="98" t="s">
        <v>33</v>
      </c>
      <c r="F26">
        <f>F12+(((F22/2)-L11)/K12)*I12</f>
        <v>833.66428571428571</v>
      </c>
    </row>
    <row r="27" spans="2:15" ht="15.75" x14ac:dyDescent="0.25">
      <c r="B27" s="116" t="s">
        <v>36</v>
      </c>
      <c r="C27" s="116"/>
      <c r="D27" s="21" t="s">
        <v>37</v>
      </c>
      <c r="E27" s="98" t="s">
        <v>33</v>
      </c>
      <c r="F27" s="102">
        <v>972.67</v>
      </c>
    </row>
    <row r="28" spans="2:15" x14ac:dyDescent="0.25">
      <c r="H28" s="118" t="s">
        <v>50</v>
      </c>
      <c r="I28" s="118"/>
      <c r="J28" s="118"/>
      <c r="K28" s="118"/>
      <c r="L28" s="118"/>
    </row>
    <row r="29" spans="2:15" x14ac:dyDescent="0.25">
      <c r="B29" s="117" t="s">
        <v>46</v>
      </c>
      <c r="C29" s="117"/>
      <c r="D29" s="117"/>
      <c r="E29" s="117"/>
      <c r="F29" s="117"/>
      <c r="H29" s="113" t="s">
        <v>54</v>
      </c>
      <c r="I29" s="113"/>
      <c r="J29" s="113"/>
      <c r="K29" s="101">
        <v>4</v>
      </c>
    </row>
    <row r="30" spans="2:15" x14ac:dyDescent="0.25">
      <c r="B30" s="116" t="s">
        <v>25</v>
      </c>
      <c r="C30" s="116"/>
      <c r="D30" s="22"/>
      <c r="E30" s="98" t="s">
        <v>33</v>
      </c>
      <c r="F30" s="17">
        <f>H15-F8</f>
        <v>1280</v>
      </c>
      <c r="H30" s="113" t="s">
        <v>53</v>
      </c>
      <c r="I30" s="113"/>
      <c r="J30" s="113"/>
      <c r="K30" s="101">
        <v>5</v>
      </c>
    </row>
    <row r="31" spans="2:15" x14ac:dyDescent="0.25">
      <c r="B31" s="116" t="s">
        <v>40</v>
      </c>
      <c r="C31" s="116"/>
      <c r="D31" s="23"/>
      <c r="E31" s="98" t="s">
        <v>33</v>
      </c>
      <c r="F31" s="17">
        <f t="array" ref="F31">SUM(fi*POWER(J8:J15-$F$25,2))/(n-1)</f>
        <v>93014.5503355705</v>
      </c>
      <c r="H31" s="113" t="s">
        <v>55</v>
      </c>
      <c r="I31" s="113"/>
      <c r="J31" s="113"/>
      <c r="K31" s="101">
        <v>6</v>
      </c>
      <c r="N31" s="36"/>
    </row>
    <row r="32" spans="2:15" x14ac:dyDescent="0.25">
      <c r="B32" s="116" t="s">
        <v>41</v>
      </c>
      <c r="C32" s="116"/>
      <c r="D32" s="32"/>
      <c r="E32" s="98" t="s">
        <v>33</v>
      </c>
      <c r="F32">
        <f>SQRT(F31)</f>
        <v>304.9828689214699</v>
      </c>
      <c r="H32" s="114" t="s">
        <v>52</v>
      </c>
      <c r="I32" s="114"/>
      <c r="K32" s="33" t="s">
        <v>33</v>
      </c>
      <c r="L32">
        <f>F11+(n*(1/4)-L10)/K11*I11</f>
        <v>746.10384615384623</v>
      </c>
      <c r="M32" s="105">
        <f>F11+(((R8*0.25)-L10)/(K11))*(D1)</f>
        <v>764.56538461538469</v>
      </c>
      <c r="N32" s="36"/>
    </row>
    <row r="33" spans="2:15" x14ac:dyDescent="0.25">
      <c r="B33" s="116" t="s">
        <v>42</v>
      </c>
      <c r="C33" s="116"/>
      <c r="D33" s="32" t="s">
        <v>43</v>
      </c>
      <c r="E33" s="98" t="s">
        <v>33</v>
      </c>
      <c r="F33">
        <f>d_estandar/media</f>
        <v>0.31361517420742979</v>
      </c>
      <c r="H33" s="114" t="s">
        <v>35</v>
      </c>
      <c r="I33" s="114"/>
      <c r="K33" s="33" t="s">
        <v>33</v>
      </c>
      <c r="L33">
        <f>F12+((n*(1/2))-L11)/K12*I12</f>
        <v>833.66428571428571</v>
      </c>
      <c r="M33" s="24"/>
      <c r="N33" s="24"/>
      <c r="O33" s="24"/>
    </row>
    <row r="34" spans="2:15" x14ac:dyDescent="0.25">
      <c r="H34" s="114" t="s">
        <v>51</v>
      </c>
      <c r="I34" s="114"/>
      <c r="K34" s="33" t="s">
        <v>33</v>
      </c>
      <c r="L34">
        <f>F13+((n*(3/4))-L12)/K13*I13</f>
        <v>722.95</v>
      </c>
      <c r="M34" s="105">
        <f>F12+(((R8*0.75)-L11)/(K12))*(D1)</f>
        <v>1005.0928571428572</v>
      </c>
      <c r="N34" s="24"/>
      <c r="O34" s="24"/>
    </row>
    <row r="35" spans="2:15" x14ac:dyDescent="0.25">
      <c r="B35" s="117" t="s">
        <v>47</v>
      </c>
      <c r="C35" s="117"/>
      <c r="D35" s="117"/>
      <c r="E35" s="117"/>
      <c r="F35" s="117"/>
      <c r="H35" s="37"/>
      <c r="I35" s="36"/>
      <c r="J35" s="36"/>
      <c r="K35" s="38"/>
      <c r="M35" s="24"/>
      <c r="N35" s="24"/>
      <c r="O35" s="24"/>
    </row>
    <row r="36" spans="2:15" x14ac:dyDescent="0.25">
      <c r="B36" s="116" t="s">
        <v>48</v>
      </c>
      <c r="C36" s="116"/>
      <c r="E36" s="33" t="s">
        <v>33</v>
      </c>
      <c r="F36">
        <f t="array" ref="F36">(n)/((n-1)*(n-2))*SUM(fi*POWER(xi-media,3))/d_estandar^3</f>
        <v>-4.5111545785981221E-2</v>
      </c>
      <c r="H36" s="113" t="s">
        <v>38</v>
      </c>
      <c r="I36" s="113"/>
      <c r="J36" s="113"/>
      <c r="K36" s="38"/>
      <c r="L36">
        <f>MATCH(MAX(K8:K16),K8:K16,0)</f>
        <v>4</v>
      </c>
      <c r="M36" s="24"/>
      <c r="N36" s="24"/>
      <c r="O36" s="24"/>
    </row>
    <row r="37" spans="2:15" x14ac:dyDescent="0.25">
      <c r="B37" s="116" t="s">
        <v>49</v>
      </c>
      <c r="C37" s="116"/>
      <c r="E37" s="33" t="s">
        <v>33</v>
      </c>
      <c r="F37">
        <f t="array" ref="F37">((n*(n+1))/((n-1)*(n-2)*(n-3))*SUM(fi*((xi-media)^4))/(d_estandar^4))</f>
        <v>2.5681587091005591</v>
      </c>
      <c r="H37" s="36"/>
      <c r="I37" s="36"/>
      <c r="J37" s="36"/>
      <c r="K37" s="38"/>
      <c r="M37" s="24"/>
      <c r="N37" s="24"/>
      <c r="O37" s="24"/>
    </row>
    <row r="38" spans="2:15" x14ac:dyDescent="0.25">
      <c r="M38" s="24"/>
      <c r="N38" s="31"/>
      <c r="O38" s="101"/>
    </row>
    <row r="39" spans="2:15" x14ac:dyDescent="0.25">
      <c r="E39" s="33"/>
      <c r="M39" s="24"/>
      <c r="N39" s="31"/>
      <c r="O39" s="101"/>
    </row>
    <row r="40" spans="2:15" x14ac:dyDescent="0.25">
      <c r="B40" s="119" t="s">
        <v>58</v>
      </c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24"/>
      <c r="N40" s="31"/>
      <c r="O40" s="101"/>
    </row>
    <row r="41" spans="2:15" x14ac:dyDescent="0.25">
      <c r="E41" s="33"/>
      <c r="M41" s="24"/>
      <c r="N41" s="31"/>
      <c r="O41" s="101"/>
    </row>
    <row r="42" spans="2:15" ht="15.75" x14ac:dyDescent="0.25">
      <c r="B42" s="122" t="s">
        <v>65</v>
      </c>
      <c r="C42" s="122"/>
      <c r="D42" s="122"/>
      <c r="E42" s="47"/>
      <c r="F42" s="46"/>
      <c r="G42" s="46"/>
      <c r="M42" s="24"/>
      <c r="N42" s="31"/>
      <c r="O42" s="101"/>
    </row>
    <row r="43" spans="2:15" ht="15.75" x14ac:dyDescent="0.25">
      <c r="B43" s="48"/>
      <c r="C43" s="46"/>
      <c r="D43" s="46"/>
      <c r="E43" s="47"/>
      <c r="F43" s="46"/>
      <c r="G43" s="46"/>
      <c r="M43" s="24"/>
      <c r="N43" s="31"/>
      <c r="O43" s="101"/>
    </row>
    <row r="44" spans="2:15" x14ac:dyDescent="0.25">
      <c r="B44" s="120" t="s">
        <v>59</v>
      </c>
      <c r="C44" s="120"/>
      <c r="D44" s="120"/>
      <c r="E44" s="120"/>
      <c r="F44" s="51" t="s">
        <v>33</v>
      </c>
      <c r="G44" s="52">
        <f>ROUNDUP(L11+(1100-H11)/(H12-H11)*(L12-L11),0)</f>
        <v>169</v>
      </c>
      <c r="I44" s="112" t="s">
        <v>63</v>
      </c>
      <c r="J44" s="112"/>
      <c r="K44" s="112"/>
      <c r="L44" s="112"/>
      <c r="M44" s="112"/>
      <c r="N44" s="58">
        <f>(150-G46)/150</f>
        <v>0.98666666666666669</v>
      </c>
      <c r="O44" s="101"/>
    </row>
    <row r="45" spans="2:15" x14ac:dyDescent="0.25">
      <c r="B45" s="120" t="s">
        <v>66</v>
      </c>
      <c r="C45" s="120"/>
      <c r="D45" s="120"/>
      <c r="E45" s="120"/>
      <c r="F45" s="51" t="s">
        <v>33</v>
      </c>
      <c r="G45" s="52">
        <f>ROUNDUP(L12+(1300-H12)/(H13-H12)*(L13-L12),0)</f>
        <v>171</v>
      </c>
      <c r="I45" s="46"/>
      <c r="J45" s="46"/>
      <c r="K45" s="46"/>
      <c r="L45" s="47"/>
      <c r="M45" s="49"/>
      <c r="N45" s="46"/>
      <c r="O45" s="101"/>
    </row>
    <row r="46" spans="2:15" x14ac:dyDescent="0.25">
      <c r="B46" s="121" t="s">
        <v>61</v>
      </c>
      <c r="C46" s="121"/>
      <c r="D46" s="121"/>
      <c r="E46" s="121"/>
      <c r="F46" s="60" t="s">
        <v>33</v>
      </c>
      <c r="G46" s="52">
        <f>G45-G44</f>
        <v>2</v>
      </c>
      <c r="I46" s="121" t="s">
        <v>60</v>
      </c>
      <c r="J46" s="121"/>
      <c r="K46" s="121"/>
      <c r="L46" s="121"/>
      <c r="M46" s="59" t="s">
        <v>33</v>
      </c>
      <c r="N46" s="52">
        <f>ROUNDUP(L8+(500-H8)/(H9-H8)*(L9-L8),0)</f>
        <v>8</v>
      </c>
      <c r="O46" s="101"/>
    </row>
    <row r="47" spans="2:15" x14ac:dyDescent="0.25">
      <c r="E47" s="33"/>
      <c r="I47" s="43"/>
      <c r="J47" s="43"/>
      <c r="L47" s="33"/>
      <c r="O47" s="101"/>
    </row>
    <row r="48" spans="2:15" x14ac:dyDescent="0.25">
      <c r="B48" s="43"/>
      <c r="C48" s="43"/>
      <c r="E48" s="33"/>
      <c r="H48" s="31"/>
      <c r="I48" s="112" t="s">
        <v>62</v>
      </c>
      <c r="J48" s="112"/>
      <c r="K48" s="112"/>
      <c r="L48" s="112"/>
      <c r="M48" s="112"/>
      <c r="N48" s="58">
        <f>N46/n</f>
        <v>5.3333333333333337E-2</v>
      </c>
      <c r="O48" s="101"/>
    </row>
    <row r="49" spans="2:15" x14ac:dyDescent="0.25">
      <c r="H49" s="31"/>
      <c r="I49" s="31"/>
      <c r="J49" s="31"/>
      <c r="K49" s="45"/>
      <c r="L49" s="45"/>
      <c r="M49" s="24"/>
      <c r="N49" s="31"/>
      <c r="O49" s="101"/>
    </row>
    <row r="50" spans="2:15" x14ac:dyDescent="0.25">
      <c r="H50" s="31"/>
      <c r="I50" s="31"/>
      <c r="J50" s="31"/>
      <c r="K50" s="45"/>
      <c r="L50" s="45"/>
      <c r="M50" s="24"/>
      <c r="N50" s="31"/>
      <c r="O50" s="101"/>
    </row>
    <row r="51" spans="2:15" x14ac:dyDescent="0.25">
      <c r="H51" s="31"/>
      <c r="I51" s="31"/>
      <c r="J51" s="31"/>
      <c r="K51" s="45"/>
      <c r="L51" s="45"/>
      <c r="M51" s="24"/>
      <c r="N51" s="31"/>
      <c r="O51" s="101"/>
    </row>
    <row r="52" spans="2:15" x14ac:dyDescent="0.25">
      <c r="H52" s="31"/>
      <c r="I52" s="31"/>
      <c r="J52" s="31"/>
      <c r="K52" s="45"/>
      <c r="L52" s="45"/>
      <c r="M52" s="24"/>
      <c r="N52" s="31"/>
      <c r="O52" s="101"/>
    </row>
    <row r="53" spans="2:15" x14ac:dyDescent="0.25">
      <c r="H53" s="31"/>
      <c r="I53" s="31"/>
      <c r="J53" s="31"/>
      <c r="K53" s="45"/>
      <c r="L53" s="45"/>
      <c r="M53" s="24"/>
      <c r="N53" s="31"/>
      <c r="O53" s="101"/>
    </row>
    <row r="54" spans="2:15" x14ac:dyDescent="0.25">
      <c r="B54" s="46"/>
      <c r="C54" s="46"/>
      <c r="D54" s="46"/>
      <c r="E54" s="47"/>
      <c r="F54" s="49"/>
      <c r="G54" s="46"/>
      <c r="H54" s="31"/>
      <c r="I54" s="31"/>
      <c r="J54" s="31"/>
      <c r="K54" s="45"/>
      <c r="L54" s="45"/>
      <c r="M54" s="24"/>
      <c r="N54" s="31"/>
      <c r="O54" s="101"/>
    </row>
    <row r="55" spans="2:15" x14ac:dyDescent="0.25">
      <c r="H55" s="31"/>
      <c r="I55" s="31"/>
      <c r="J55" s="31"/>
      <c r="K55" s="45"/>
      <c r="L55" s="45"/>
      <c r="M55" s="24"/>
      <c r="N55" s="31"/>
      <c r="O55" s="101"/>
    </row>
    <row r="56" spans="2:15" x14ac:dyDescent="0.25">
      <c r="H56" s="31"/>
      <c r="I56" s="31"/>
      <c r="J56" s="31"/>
      <c r="K56" s="45"/>
      <c r="L56" s="45"/>
      <c r="M56" s="24"/>
      <c r="N56" s="31"/>
      <c r="O56" s="101"/>
    </row>
    <row r="57" spans="2:15" x14ac:dyDescent="0.25">
      <c r="B57" s="50"/>
      <c r="C57" s="50"/>
      <c r="D57" s="50"/>
      <c r="E57" s="50"/>
      <c r="F57" s="50"/>
      <c r="G57" s="50"/>
      <c r="H57" s="54"/>
      <c r="I57" s="54"/>
      <c r="J57" s="54"/>
      <c r="K57" s="55"/>
      <c r="L57" s="55"/>
      <c r="M57" s="56"/>
      <c r="N57" s="54"/>
      <c r="O57" s="57"/>
    </row>
    <row r="58" spans="2:15" x14ac:dyDescent="0.25">
      <c r="H58" s="31"/>
      <c r="I58" s="31"/>
      <c r="J58" s="31"/>
      <c r="K58" s="45"/>
      <c r="L58" s="45"/>
      <c r="M58" s="24"/>
      <c r="N58" s="31"/>
      <c r="O58" s="101"/>
    </row>
    <row r="59" spans="2:15" x14ac:dyDescent="0.25">
      <c r="H59" s="31"/>
      <c r="I59" s="31"/>
      <c r="J59" s="31"/>
      <c r="K59" s="45"/>
      <c r="L59" s="45"/>
      <c r="M59" s="24"/>
      <c r="N59" s="31"/>
      <c r="O59" s="101"/>
    </row>
    <row r="60" spans="2:15" x14ac:dyDescent="0.25">
      <c r="B60" s="43"/>
      <c r="C60" s="53"/>
      <c r="E60" s="33"/>
      <c r="H60" s="31"/>
      <c r="I60" s="31"/>
      <c r="J60" s="31"/>
      <c r="K60" s="45"/>
      <c r="L60" s="45"/>
      <c r="M60" s="24"/>
      <c r="N60" s="31"/>
      <c r="O60" s="101"/>
    </row>
    <row r="61" spans="2:15" x14ac:dyDescent="0.25">
      <c r="B61" s="43"/>
      <c r="C61" s="43"/>
      <c r="E61" s="33"/>
      <c r="H61" s="31"/>
      <c r="I61" s="31"/>
      <c r="J61" s="31"/>
      <c r="K61" s="45"/>
      <c r="L61" s="45"/>
      <c r="M61" s="24"/>
      <c r="N61" s="31"/>
      <c r="O61" s="101"/>
    </row>
    <row r="62" spans="2:15" x14ac:dyDescent="0.25">
      <c r="B62" s="43"/>
      <c r="C62" s="43"/>
      <c r="E62" s="33"/>
      <c r="H62" s="31"/>
      <c r="I62" s="31"/>
      <c r="J62" s="31"/>
      <c r="K62" s="45"/>
      <c r="L62" s="45"/>
      <c r="M62" s="24"/>
      <c r="N62" s="31"/>
      <c r="O62" s="101"/>
    </row>
    <row r="63" spans="2:15" x14ac:dyDescent="0.25">
      <c r="B63" s="43"/>
      <c r="C63" s="43"/>
      <c r="E63" s="33"/>
      <c r="H63" s="31"/>
      <c r="I63" s="31"/>
      <c r="J63" s="31"/>
      <c r="K63" s="45"/>
      <c r="L63" s="45"/>
      <c r="M63" s="24"/>
      <c r="N63" s="31"/>
      <c r="O63" s="101"/>
    </row>
    <row r="64" spans="2:15" x14ac:dyDescent="0.25">
      <c r="B64" s="43"/>
      <c r="C64" s="43"/>
      <c r="E64" s="33"/>
      <c r="H64" s="31"/>
      <c r="I64" s="31"/>
      <c r="J64" s="31"/>
      <c r="K64" s="45"/>
      <c r="L64" s="45"/>
      <c r="M64" s="24"/>
      <c r="N64" s="31"/>
      <c r="O64" s="101"/>
    </row>
    <row r="65" spans="2:15" x14ac:dyDescent="0.25">
      <c r="B65" s="43"/>
      <c r="C65" s="43"/>
      <c r="E65" s="33"/>
      <c r="H65" s="31"/>
      <c r="I65" s="31"/>
      <c r="J65" s="31"/>
      <c r="K65" s="45"/>
      <c r="L65" s="45"/>
      <c r="M65" s="24"/>
      <c r="N65" s="31"/>
      <c r="O65" s="101"/>
    </row>
    <row r="66" spans="2:15" x14ac:dyDescent="0.25">
      <c r="E66" s="33"/>
      <c r="H66" s="31"/>
      <c r="I66" s="31"/>
      <c r="J66" s="31"/>
      <c r="K66" s="45"/>
      <c r="L66" s="45"/>
      <c r="M66" s="24"/>
      <c r="N66" s="31"/>
      <c r="O66" s="101"/>
    </row>
    <row r="67" spans="2:15" x14ac:dyDescent="0.25">
      <c r="H67" s="31"/>
      <c r="I67" s="31"/>
      <c r="J67" s="31"/>
      <c r="K67" s="31"/>
      <c r="L67" s="31"/>
      <c r="M67" s="31"/>
      <c r="N67" s="31"/>
      <c r="O67" s="101"/>
    </row>
    <row r="68" spans="2:15" x14ac:dyDescent="0.25">
      <c r="H68" s="31"/>
      <c r="I68" s="31"/>
      <c r="J68" s="31"/>
      <c r="K68" s="31"/>
      <c r="L68" s="31"/>
      <c r="M68" s="31"/>
      <c r="N68" s="31"/>
    </row>
    <row r="93" spans="2:15" x14ac:dyDescent="0.25">
      <c r="B93" s="119" t="s">
        <v>69</v>
      </c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</row>
    <row r="94" spans="2:15" x14ac:dyDescent="0.25">
      <c r="B94" s="114" t="s">
        <v>71</v>
      </c>
      <c r="C94" s="114"/>
    </row>
    <row r="95" spans="2:15" x14ac:dyDescent="0.25">
      <c r="B95" s="114">
        <v>1100</v>
      </c>
      <c r="C95" s="114"/>
      <c r="D95">
        <f>0.447+((B95-987.95)/(1177.95-987.95))*(0.647-0.447)</f>
        <v>0.56494736842105264</v>
      </c>
      <c r="E95">
        <f>100*D95</f>
        <v>56.494736842105262</v>
      </c>
      <c r="I95" s="119" t="s">
        <v>67</v>
      </c>
      <c r="J95" s="119"/>
      <c r="K95" s="119"/>
    </row>
    <row r="96" spans="2:15" x14ac:dyDescent="0.25">
      <c r="B96" s="114">
        <v>1300</v>
      </c>
      <c r="C96" s="114"/>
      <c r="D96">
        <f>0.647+((B96-1177.95)/(1367.95-1177.95))*(0.827-0.647)</f>
        <v>0.7626263157894736</v>
      </c>
      <c r="E96">
        <f>100*D96</f>
        <v>76.262631578947364</v>
      </c>
      <c r="G96">
        <f>100-E96</f>
        <v>23.737368421052636</v>
      </c>
      <c r="I96" s="123" t="s">
        <v>68</v>
      </c>
      <c r="J96" s="123"/>
      <c r="K96" s="123"/>
    </row>
    <row r="98" spans="4:5" x14ac:dyDescent="0.25">
      <c r="D98" s="106" t="s">
        <v>70</v>
      </c>
      <c r="E98" s="106">
        <f>E95+G96</f>
        <v>80.232105263157905</v>
      </c>
    </row>
  </sheetData>
  <mergeCells count="40">
    <mergeCell ref="B93:O93"/>
    <mergeCell ref="B32:C32"/>
    <mergeCell ref="H32:I32"/>
    <mergeCell ref="B33:C33"/>
    <mergeCell ref="H33:I33"/>
    <mergeCell ref="H34:I34"/>
    <mergeCell ref="B35:F35"/>
    <mergeCell ref="I44:M44"/>
    <mergeCell ref="B45:E45"/>
    <mergeCell ref="B46:E46"/>
    <mergeCell ref="I46:L46"/>
    <mergeCell ref="I48:M48"/>
    <mergeCell ref="B30:C30"/>
    <mergeCell ref="H30:J30"/>
    <mergeCell ref="B31:C31"/>
    <mergeCell ref="H31:J31"/>
    <mergeCell ref="L21:N21"/>
    <mergeCell ref="B22:C22"/>
    <mergeCell ref="B24:F24"/>
    <mergeCell ref="B25:C25"/>
    <mergeCell ref="B26:C26"/>
    <mergeCell ref="B37:C37"/>
    <mergeCell ref="B40:L40"/>
    <mergeCell ref="B42:D42"/>
    <mergeCell ref="B44:E44"/>
    <mergeCell ref="B36:C36"/>
    <mergeCell ref="H36:J36"/>
    <mergeCell ref="B96:C96"/>
    <mergeCell ref="I96:K96"/>
    <mergeCell ref="B94:C94"/>
    <mergeCell ref="B95:C95"/>
    <mergeCell ref="I95:K95"/>
    <mergeCell ref="H28:L28"/>
    <mergeCell ref="B29:F29"/>
    <mergeCell ref="H29:J29"/>
    <mergeCell ref="B19:F19"/>
    <mergeCell ref="B20:C20"/>
    <mergeCell ref="B21:C21"/>
    <mergeCell ref="H21:J21"/>
    <mergeCell ref="B27:C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DATOS</vt:lpstr>
      <vt:lpstr>ANÁLISIS(This)</vt:lpstr>
      <vt:lpstr>ANÁLISIS 2</vt:lpstr>
      <vt:lpstr>d_estandar</vt:lpstr>
      <vt:lpstr>DATS</vt:lpstr>
      <vt:lpstr>fi</vt:lpstr>
      <vt:lpstr>m</vt:lpstr>
      <vt:lpstr>medi</vt:lpstr>
      <vt:lpstr>media</vt:lpstr>
      <vt:lpstr>mediana</vt:lpstr>
      <vt:lpstr>moda</vt:lpstr>
      <vt:lpstr>n</vt:lpstr>
      <vt:lpstr>varianza</vt:lpstr>
      <vt:lpstr>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Alfonso Murrieta</cp:lastModifiedBy>
  <cp:lastPrinted>2019-02-15T04:43:08Z</cp:lastPrinted>
  <dcterms:created xsi:type="dcterms:W3CDTF">2015-06-09T18:20:36Z</dcterms:created>
  <dcterms:modified xsi:type="dcterms:W3CDTF">2019-03-21T11:46:22Z</dcterms:modified>
</cp:coreProperties>
</file>