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Ejercicios\1_Estadística_ Descriptiva\"/>
    </mc:Choice>
  </mc:AlternateContent>
  <xr:revisionPtr revIDLastSave="9" documentId="8_{2FDF3F13-0436-4D6A-9AE9-F321AA7C414E}" xr6:coauthVersionLast="36" xr6:coauthVersionMax="40" xr10:uidLastSave="{29AD2F28-9B48-492C-B2C2-BB7067A16E9E}"/>
  <bookViews>
    <workbookView xWindow="30360" yWindow="510" windowWidth="23955" windowHeight="14460" xr2:uid="{4C026079-70AE-4F4B-A1F0-0C794C0C7906}"/>
  </bookViews>
  <sheets>
    <sheet name="6_Clases" sheetId="5" r:id="rId1"/>
    <sheet name="7_Clases" sheetId="2" r:id="rId2"/>
    <sheet name="8_Clases" sheetId="1" r:id="rId3"/>
    <sheet name="9_Clases" sheetId="3" r:id="rId4"/>
    <sheet name="10_Clases" sheetId="4" r:id="rId5"/>
  </sheets>
  <definedNames>
    <definedName name="borrame" localSheetId="4">#REF!</definedName>
    <definedName name="borrame" localSheetId="0">#REF!</definedName>
    <definedName name="borrame" localSheetId="1">#REF!</definedName>
    <definedName name="borrame" localSheetId="2">#REF!</definedName>
    <definedName name="borrame" localSheetId="3">#REF!</definedName>
    <definedName name="_xlnm.Database" localSheetId="4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Print_Area" localSheetId="4">'10_Clases'!$B$1:$Q$43</definedName>
    <definedName name="_xlnm.Print_Area" localSheetId="0">'6_Clases'!$B$1:$Q$39</definedName>
    <definedName name="_xlnm.Print_Area" localSheetId="1">'7_Clases'!$B$1:$Q$40</definedName>
    <definedName name="_xlnm.Print_Area" localSheetId="2">'8_Clases'!$B$1:$Q$41</definedName>
    <definedName name="_xlnm.Print_Area" localSheetId="3">'9_Clases'!$B$1:$Q$42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3" i="1" l="1"/>
  <c r="Y34" i="1"/>
  <c r="Y31" i="5" l="1"/>
  <c r="X28" i="5"/>
  <c r="X27" i="5"/>
  <c r="X26" i="5"/>
  <c r="X25" i="5"/>
  <c r="X24" i="5"/>
  <c r="X23" i="5"/>
  <c r="X22" i="5"/>
  <c r="H22" i="5"/>
  <c r="X21" i="5"/>
  <c r="X20" i="5"/>
  <c r="I16" i="5"/>
  <c r="K15" i="5" s="1"/>
  <c r="B11" i="5"/>
  <c r="J10" i="5"/>
  <c r="J11" i="5" s="1"/>
  <c r="J12" i="5" s="1"/>
  <c r="J13" i="5" s="1"/>
  <c r="J14" i="5" s="1"/>
  <c r="J15" i="5" s="1"/>
  <c r="D10" i="5"/>
  <c r="D11" i="5" s="1"/>
  <c r="D12" i="5" s="1"/>
  <c r="D13" i="5" s="1"/>
  <c r="D14" i="5" s="1"/>
  <c r="D15" i="5" s="1"/>
  <c r="B9" i="5"/>
  <c r="J18" i="4"/>
  <c r="J19" i="4" s="1"/>
  <c r="K18" i="4"/>
  <c r="Y35" i="4"/>
  <c r="X32" i="4"/>
  <c r="X31" i="4"/>
  <c r="X30" i="4"/>
  <c r="X29" i="4"/>
  <c r="X28" i="4"/>
  <c r="X27" i="4"/>
  <c r="X26" i="4"/>
  <c r="H26" i="4"/>
  <c r="X25" i="4"/>
  <c r="X24" i="4"/>
  <c r="I20" i="4"/>
  <c r="H28" i="4" s="1"/>
  <c r="K17" i="4"/>
  <c r="K16" i="4"/>
  <c r="K15" i="4"/>
  <c r="K14" i="4"/>
  <c r="D11" i="4"/>
  <c r="D12" i="4" s="1"/>
  <c r="D13" i="4" s="1"/>
  <c r="D14" i="4" s="1"/>
  <c r="D15" i="4" s="1"/>
  <c r="D16" i="4" s="1"/>
  <c r="D17" i="4" s="1"/>
  <c r="D18" i="4" s="1"/>
  <c r="D19" i="4" s="1"/>
  <c r="B11" i="4"/>
  <c r="B12" i="4" s="1"/>
  <c r="B13" i="4" s="1"/>
  <c r="B14" i="4" s="1"/>
  <c r="B15" i="4" s="1"/>
  <c r="B16" i="4" s="1"/>
  <c r="B17" i="4" s="1"/>
  <c r="B18" i="4" s="1"/>
  <c r="B19" i="4" s="1"/>
  <c r="K10" i="4"/>
  <c r="L10" i="4" s="1"/>
  <c r="J10" i="4"/>
  <c r="J11" i="4" s="1"/>
  <c r="J12" i="4" s="1"/>
  <c r="J13" i="4" s="1"/>
  <c r="J14" i="4" s="1"/>
  <c r="J15" i="4" s="1"/>
  <c r="J16" i="4" s="1"/>
  <c r="J17" i="4" s="1"/>
  <c r="D10" i="4"/>
  <c r="D9" i="4"/>
  <c r="B9" i="4"/>
  <c r="J17" i="3"/>
  <c r="J18" i="3" s="1"/>
  <c r="K17" i="3"/>
  <c r="Y34" i="3"/>
  <c r="X31" i="3"/>
  <c r="X30" i="3"/>
  <c r="X29" i="3"/>
  <c r="X28" i="3"/>
  <c r="X27" i="3"/>
  <c r="X26" i="3"/>
  <c r="X25" i="3"/>
  <c r="H25" i="3"/>
  <c r="X24" i="3"/>
  <c r="X23" i="3"/>
  <c r="I19" i="3"/>
  <c r="H27" i="3" s="1"/>
  <c r="K15" i="3"/>
  <c r="K14" i="3"/>
  <c r="K13" i="3"/>
  <c r="K12" i="3"/>
  <c r="B11" i="3"/>
  <c r="B12" i="3" s="1"/>
  <c r="B13" i="3" s="1"/>
  <c r="B14" i="3" s="1"/>
  <c r="B15" i="3" s="1"/>
  <c r="B16" i="3" s="1"/>
  <c r="B17" i="3" s="1"/>
  <c r="B18" i="3" s="1"/>
  <c r="K10" i="3"/>
  <c r="L10" i="3" s="1"/>
  <c r="J10" i="3"/>
  <c r="J11" i="3" s="1"/>
  <c r="J12" i="3" s="1"/>
  <c r="J13" i="3" s="1"/>
  <c r="J14" i="3" s="1"/>
  <c r="J15" i="3" s="1"/>
  <c r="J16" i="3" s="1"/>
  <c r="D10" i="3"/>
  <c r="D11" i="3" s="1"/>
  <c r="D12" i="3" s="1"/>
  <c r="D13" i="3" s="1"/>
  <c r="D14" i="3" s="1"/>
  <c r="D15" i="3" s="1"/>
  <c r="D16" i="3" s="1"/>
  <c r="D17" i="3" s="1"/>
  <c r="D18" i="3" s="1"/>
  <c r="B9" i="3"/>
  <c r="J16" i="2"/>
  <c r="Y32" i="2"/>
  <c r="X29" i="2"/>
  <c r="X28" i="2"/>
  <c r="X27" i="2"/>
  <c r="X26" i="2"/>
  <c r="X25" i="2"/>
  <c r="X24" i="2"/>
  <c r="X23" i="2"/>
  <c r="H23" i="2"/>
  <c r="X22" i="2"/>
  <c r="X21" i="2"/>
  <c r="I17" i="2"/>
  <c r="K13" i="2" s="1"/>
  <c r="B11" i="2"/>
  <c r="B12" i="2" s="1"/>
  <c r="B13" i="2" s="1"/>
  <c r="B14" i="2" s="1"/>
  <c r="B15" i="2" s="1"/>
  <c r="B16" i="2" s="1"/>
  <c r="J10" i="2"/>
  <c r="J11" i="2" s="1"/>
  <c r="J12" i="2" s="1"/>
  <c r="J13" i="2" s="1"/>
  <c r="J14" i="2" s="1"/>
  <c r="J15" i="2" s="1"/>
  <c r="D10" i="2"/>
  <c r="D11" i="2" s="1"/>
  <c r="D12" i="2" s="1"/>
  <c r="D13" i="2" s="1"/>
  <c r="D14" i="2" s="1"/>
  <c r="D15" i="2" s="1"/>
  <c r="D16" i="2" s="1"/>
  <c r="B9" i="2"/>
  <c r="X30" i="1"/>
  <c r="X29" i="1"/>
  <c r="X28" i="1"/>
  <c r="X27" i="1"/>
  <c r="X26" i="1"/>
  <c r="X25" i="1"/>
  <c r="X24" i="1"/>
  <c r="H24" i="1"/>
  <c r="X23" i="1"/>
  <c r="X22" i="1"/>
  <c r="I18" i="1"/>
  <c r="H26" i="1" s="1"/>
  <c r="K16" i="1"/>
  <c r="K14" i="1"/>
  <c r="K12" i="1"/>
  <c r="B11" i="1"/>
  <c r="G10" i="1" s="1"/>
  <c r="K10" i="1"/>
  <c r="L10" i="1" s="1"/>
  <c r="J10" i="1"/>
  <c r="J11" i="1" s="1"/>
  <c r="J12" i="1" s="1"/>
  <c r="J13" i="1" s="1"/>
  <c r="J14" i="1" s="1"/>
  <c r="J15" i="1" s="1"/>
  <c r="J16" i="1" s="1"/>
  <c r="J17" i="1" s="1"/>
  <c r="D10" i="1"/>
  <c r="D11" i="1" s="1"/>
  <c r="D12" i="1" s="1"/>
  <c r="D13" i="1" s="1"/>
  <c r="D14" i="1" s="1"/>
  <c r="D15" i="1" s="1"/>
  <c r="D16" i="1" s="1"/>
  <c r="D17" i="1" s="1"/>
  <c r="B9" i="1"/>
  <c r="Y35" i="1"/>
  <c r="G10" i="3" l="1"/>
  <c r="G11" i="3" s="1"/>
  <c r="G12" i="3" s="1"/>
  <c r="G13" i="3" s="1"/>
  <c r="G14" i="3" s="1"/>
  <c r="G15" i="3" s="1"/>
  <c r="G16" i="3" s="1"/>
  <c r="G17" i="3" s="1"/>
  <c r="G18" i="3" s="1"/>
  <c r="D9" i="1"/>
  <c r="B12" i="1"/>
  <c r="B13" i="1" s="1"/>
  <c r="B14" i="1" s="1"/>
  <c r="B15" i="1" s="1"/>
  <c r="B16" i="1" s="1"/>
  <c r="B17" i="1" s="1"/>
  <c r="D9" i="5"/>
  <c r="G10" i="5"/>
  <c r="G11" i="5" s="1"/>
  <c r="G12" i="5" s="1"/>
  <c r="G13" i="5" s="1"/>
  <c r="K10" i="5"/>
  <c r="K12" i="5"/>
  <c r="K14" i="5"/>
  <c r="B12" i="5"/>
  <c r="B13" i="5" s="1"/>
  <c r="B14" i="5" s="1"/>
  <c r="B15" i="5" s="1"/>
  <c r="H24" i="5"/>
  <c r="K11" i="5"/>
  <c r="K13" i="5"/>
  <c r="K11" i="4"/>
  <c r="K12" i="4"/>
  <c r="K20" i="4" s="1"/>
  <c r="K19" i="4"/>
  <c r="K13" i="4"/>
  <c r="G10" i="4"/>
  <c r="L11" i="4"/>
  <c r="K16" i="3"/>
  <c r="K18" i="3"/>
  <c r="K11" i="3"/>
  <c r="L11" i="3"/>
  <c r="L12" i="3" s="1"/>
  <c r="L13" i="3" s="1"/>
  <c r="K19" i="3"/>
  <c r="D9" i="3"/>
  <c r="K16" i="2"/>
  <c r="K10" i="2"/>
  <c r="L10" i="2" s="1"/>
  <c r="L11" i="2" s="1"/>
  <c r="L12" i="2" s="1"/>
  <c r="L13" i="2" s="1"/>
  <c r="AD23" i="2" s="1"/>
  <c r="K11" i="2"/>
  <c r="K12" i="2"/>
  <c r="G10" i="2"/>
  <c r="K15" i="2"/>
  <c r="D9" i="2"/>
  <c r="H25" i="2"/>
  <c r="K14" i="2"/>
  <c r="G11" i="1"/>
  <c r="G12" i="1" s="1"/>
  <c r="G13" i="1" s="1"/>
  <c r="E10" i="1"/>
  <c r="K13" i="1"/>
  <c r="K18" i="1" s="1"/>
  <c r="K11" i="1"/>
  <c r="L11" i="1" s="1"/>
  <c r="K15" i="1"/>
  <c r="K17" i="1"/>
  <c r="Y32" i="5"/>
  <c r="Y33" i="2"/>
  <c r="Y35" i="2"/>
  <c r="Y34" i="2"/>
  <c r="Y38" i="4"/>
  <c r="Y33" i="5"/>
  <c r="Y34" i="5"/>
  <c r="Y36" i="1"/>
  <c r="Y36" i="3"/>
  <c r="Y35" i="3"/>
  <c r="Y37" i="3"/>
  <c r="Y37" i="4"/>
  <c r="Y36" i="4"/>
  <c r="E10" i="5" l="1"/>
  <c r="E11" i="5" s="1"/>
  <c r="E10" i="3"/>
  <c r="L10" i="5"/>
  <c r="K16" i="5"/>
  <c r="G14" i="5"/>
  <c r="G15" i="5" s="1"/>
  <c r="L12" i="4"/>
  <c r="L13" i="4" s="1"/>
  <c r="L14" i="4" s="1"/>
  <c r="G11" i="4"/>
  <c r="G12" i="4" s="1"/>
  <c r="G13" i="4" s="1"/>
  <c r="G14" i="4" s="1"/>
  <c r="G15" i="4" s="1"/>
  <c r="G16" i="4" s="1"/>
  <c r="G17" i="4" s="1"/>
  <c r="E10" i="4"/>
  <c r="L15" i="4"/>
  <c r="AD29" i="4"/>
  <c r="AD30" i="4"/>
  <c r="AD25" i="4"/>
  <c r="AD27" i="4"/>
  <c r="AD28" i="4"/>
  <c r="AD26" i="4"/>
  <c r="AD24" i="4"/>
  <c r="AD26" i="3"/>
  <c r="AD29" i="3"/>
  <c r="L14" i="3"/>
  <c r="AD25" i="3" s="1"/>
  <c r="AD30" i="3"/>
  <c r="AD24" i="3"/>
  <c r="AD28" i="3"/>
  <c r="E11" i="3"/>
  <c r="E9" i="3"/>
  <c r="H10" i="3"/>
  <c r="G9" i="3"/>
  <c r="AD27" i="3"/>
  <c r="H35" i="3"/>
  <c r="AD25" i="2"/>
  <c r="L14" i="2"/>
  <c r="AD26" i="2"/>
  <c r="AD24" i="2"/>
  <c r="AD27" i="2"/>
  <c r="AD21" i="2"/>
  <c r="AD22" i="2"/>
  <c r="G11" i="2"/>
  <c r="G12" i="2" s="1"/>
  <c r="G13" i="2" s="1"/>
  <c r="G14" i="2" s="1"/>
  <c r="G15" i="2" s="1"/>
  <c r="E10" i="2"/>
  <c r="L15" i="2"/>
  <c r="L16" i="2" s="1"/>
  <c r="K17" i="2"/>
  <c r="L12" i="1"/>
  <c r="L13" i="1" s="1"/>
  <c r="E9" i="1"/>
  <c r="H10" i="1"/>
  <c r="E11" i="1"/>
  <c r="G9" i="1"/>
  <c r="G14" i="1"/>
  <c r="G15" i="1" s="1"/>
  <c r="G16" i="1" s="1"/>
  <c r="G17" i="1" s="1"/>
  <c r="H34" i="1" s="1"/>
  <c r="Y37" i="1"/>
  <c r="Y38" i="3"/>
  <c r="Y35" i="5"/>
  <c r="H32" i="1" l="1"/>
  <c r="G9" i="5"/>
  <c r="E9" i="5"/>
  <c r="H10" i="5"/>
  <c r="O10" i="5" s="1"/>
  <c r="H32" i="5"/>
  <c r="H36" i="4"/>
  <c r="G18" i="4"/>
  <c r="G19" i="4" s="1"/>
  <c r="G16" i="2"/>
  <c r="H33" i="2" s="1"/>
  <c r="E12" i="5"/>
  <c r="H11" i="5"/>
  <c r="L11" i="5"/>
  <c r="L12" i="5" s="1"/>
  <c r="L13" i="5" s="1"/>
  <c r="H10" i="4"/>
  <c r="G9" i="4"/>
  <c r="E9" i="4"/>
  <c r="E11" i="4"/>
  <c r="L16" i="4"/>
  <c r="AD23" i="3"/>
  <c r="O10" i="3"/>
  <c r="N10" i="3"/>
  <c r="H9" i="3"/>
  <c r="L15" i="3"/>
  <c r="E12" i="3"/>
  <c r="H11" i="3"/>
  <c r="AD28" i="2"/>
  <c r="G9" i="2"/>
  <c r="E11" i="2"/>
  <c r="E9" i="2"/>
  <c r="H10" i="2"/>
  <c r="AD29" i="2"/>
  <c r="H9" i="1"/>
  <c r="O10" i="1"/>
  <c r="N10" i="1"/>
  <c r="H11" i="1"/>
  <c r="E12" i="1"/>
  <c r="L14" i="1"/>
  <c r="AD24" i="1"/>
  <c r="AD25" i="1"/>
  <c r="AD23" i="1"/>
  <c r="AD26" i="1"/>
  <c r="AD27" i="1"/>
  <c r="AD28" i="1"/>
  <c r="AD22" i="1"/>
  <c r="AD29" i="1"/>
  <c r="Y38" i="1"/>
  <c r="Y36" i="5"/>
  <c r="Y39" i="3"/>
  <c r="Y36" i="2"/>
  <c r="Y39" i="4"/>
  <c r="H9" i="5" l="1"/>
  <c r="N10" i="5"/>
  <c r="H31" i="5"/>
  <c r="O11" i="5"/>
  <c r="N11" i="5"/>
  <c r="L14" i="5"/>
  <c r="AD26" i="5"/>
  <c r="AD25" i="5"/>
  <c r="AD23" i="5"/>
  <c r="AD24" i="5"/>
  <c r="AD20" i="5"/>
  <c r="AD21" i="5"/>
  <c r="AD22" i="5"/>
  <c r="H12" i="5"/>
  <c r="E13" i="5"/>
  <c r="E12" i="4"/>
  <c r="H11" i="4"/>
  <c r="O10" i="4"/>
  <c r="N10" i="4"/>
  <c r="H9" i="4"/>
  <c r="L17" i="4"/>
  <c r="H34" i="3"/>
  <c r="L16" i="3"/>
  <c r="O11" i="3"/>
  <c r="N11" i="3"/>
  <c r="E13" i="3"/>
  <c r="H12" i="3"/>
  <c r="O10" i="2"/>
  <c r="H9" i="2"/>
  <c r="N10" i="2"/>
  <c r="E12" i="2"/>
  <c r="H11" i="2"/>
  <c r="Y28" i="2"/>
  <c r="Y22" i="2"/>
  <c r="Y29" i="2"/>
  <c r="Y21" i="2"/>
  <c r="Y27" i="2"/>
  <c r="H33" i="1"/>
  <c r="O11" i="1"/>
  <c r="N11" i="1"/>
  <c r="E13" i="1"/>
  <c r="H12" i="1"/>
  <c r="L15" i="1"/>
  <c r="Y37" i="2"/>
  <c r="Y40" i="4"/>
  <c r="E14" i="5" l="1"/>
  <c r="H13" i="5"/>
  <c r="H20" i="5"/>
  <c r="H30" i="5" s="1"/>
  <c r="O12" i="5"/>
  <c r="N12" i="5"/>
  <c r="L15" i="5"/>
  <c r="L18" i="4"/>
  <c r="AD31" i="4"/>
  <c r="H35" i="4"/>
  <c r="O11" i="4"/>
  <c r="N11" i="4"/>
  <c r="H12" i="4"/>
  <c r="E13" i="4"/>
  <c r="AD31" i="3"/>
  <c r="L17" i="3"/>
  <c r="L18" i="3" s="1"/>
  <c r="O12" i="3"/>
  <c r="N12" i="3"/>
  <c r="E14" i="3"/>
  <c r="H13" i="3"/>
  <c r="H23" i="3"/>
  <c r="H33" i="3" s="1"/>
  <c r="Y29" i="3"/>
  <c r="H32" i="2"/>
  <c r="Y24" i="2"/>
  <c r="Y23" i="2"/>
  <c r="Y26" i="2"/>
  <c r="O11" i="2"/>
  <c r="N11" i="2"/>
  <c r="Y25" i="2"/>
  <c r="H12" i="2"/>
  <c r="E13" i="2"/>
  <c r="H13" i="1"/>
  <c r="E14" i="1"/>
  <c r="H22" i="1"/>
  <c r="L16" i="1"/>
  <c r="AD30" i="1"/>
  <c r="O12" i="1"/>
  <c r="N12" i="1"/>
  <c r="AB21" i="2"/>
  <c r="AA22" i="2"/>
  <c r="AA26" i="2"/>
  <c r="AA23" i="2"/>
  <c r="AA28" i="2"/>
  <c r="AA21" i="2"/>
  <c r="Z24" i="2"/>
  <c r="Z25" i="2"/>
  <c r="Z27" i="2"/>
  <c r="AB25" i="2"/>
  <c r="AA24" i="2"/>
  <c r="AA27" i="2"/>
  <c r="Z23" i="2"/>
  <c r="Z22" i="2"/>
  <c r="AB26" i="2"/>
  <c r="AA25" i="2"/>
  <c r="Z26" i="2"/>
  <c r="AB27" i="2"/>
  <c r="AB29" i="2"/>
  <c r="Z21" i="2"/>
  <c r="AB24" i="2"/>
  <c r="AB22" i="2"/>
  <c r="AB23" i="2"/>
  <c r="AB28" i="2"/>
  <c r="AA29" i="2"/>
  <c r="N13" i="5" l="1"/>
  <c r="O13" i="5"/>
  <c r="H14" i="5"/>
  <c r="E15" i="5"/>
  <c r="Y24" i="5"/>
  <c r="AD28" i="5"/>
  <c r="AD27" i="5"/>
  <c r="L19" i="4"/>
  <c r="AD32" i="4"/>
  <c r="Y32" i="4"/>
  <c r="Y30" i="4"/>
  <c r="Y25" i="4"/>
  <c r="E14" i="4"/>
  <c r="H13" i="4"/>
  <c r="H24" i="4"/>
  <c r="H34" i="4" s="1"/>
  <c r="N12" i="4"/>
  <c r="O12" i="4"/>
  <c r="Y26" i="3"/>
  <c r="Y28" i="3"/>
  <c r="Y24" i="3"/>
  <c r="Y27" i="3"/>
  <c r="O13" i="3"/>
  <c r="N13" i="3"/>
  <c r="E15" i="3"/>
  <c r="H14" i="3"/>
  <c r="Y23" i="3"/>
  <c r="Y31" i="3"/>
  <c r="Y25" i="3"/>
  <c r="Y30" i="3"/>
  <c r="N12" i="2"/>
  <c r="O12" i="2"/>
  <c r="E14" i="2"/>
  <c r="H13" i="2"/>
  <c r="H21" i="2"/>
  <c r="H31" i="2" s="1"/>
  <c r="AC21" i="2"/>
  <c r="N29" i="2" s="1"/>
  <c r="AC25" i="2"/>
  <c r="N33" i="2" s="1"/>
  <c r="AC23" i="2"/>
  <c r="N31" i="2" s="1"/>
  <c r="AC27" i="2"/>
  <c r="N35" i="2" s="1"/>
  <c r="AC24" i="2"/>
  <c r="N32" i="2" s="1"/>
  <c r="L17" i="1"/>
  <c r="Y27" i="1"/>
  <c r="Y22" i="1"/>
  <c r="Y30" i="1"/>
  <c r="Y25" i="1"/>
  <c r="Y24" i="1"/>
  <c r="Y23" i="1"/>
  <c r="Y26" i="1"/>
  <c r="Y28" i="1"/>
  <c r="Y29" i="1"/>
  <c r="E15" i="1"/>
  <c r="H14" i="1"/>
  <c r="O13" i="1"/>
  <c r="N13" i="1"/>
  <c r="AA32" i="4"/>
  <c r="Z29" i="3"/>
  <c r="AA29" i="3"/>
  <c r="Z28" i="2"/>
  <c r="Z25" i="4"/>
  <c r="AB29" i="3"/>
  <c r="AA25" i="4"/>
  <c r="AB32" i="4"/>
  <c r="Z30" i="4"/>
  <c r="AA30" i="4"/>
  <c r="AB25" i="4"/>
  <c r="AB30" i="4"/>
  <c r="AC28" i="2" l="1"/>
  <c r="N36" i="2" s="1"/>
  <c r="Y22" i="5"/>
  <c r="H15" i="5"/>
  <c r="Y20" i="5"/>
  <c r="O14" i="5"/>
  <c r="N14" i="5"/>
  <c r="Y26" i="5"/>
  <c r="Y27" i="5"/>
  <c r="Y28" i="5"/>
  <c r="Y21" i="5"/>
  <c r="Y25" i="5"/>
  <c r="Y23" i="5"/>
  <c r="AC25" i="4"/>
  <c r="N33" i="4" s="1"/>
  <c r="AC30" i="4"/>
  <c r="N38" i="4" s="1"/>
  <c r="Y27" i="4"/>
  <c r="Y28" i="4"/>
  <c r="Y29" i="4"/>
  <c r="Y26" i="4"/>
  <c r="Y24" i="4"/>
  <c r="Y31" i="4"/>
  <c r="H14" i="4"/>
  <c r="E15" i="4"/>
  <c r="N13" i="4"/>
  <c r="O13" i="4"/>
  <c r="AC29" i="3"/>
  <c r="N37" i="3" s="1"/>
  <c r="O14" i="3"/>
  <c r="N14" i="3"/>
  <c r="H15" i="3"/>
  <c r="E16" i="3"/>
  <c r="E17" i="3" s="1"/>
  <c r="AC22" i="2"/>
  <c r="N30" i="2" s="1"/>
  <c r="O13" i="2"/>
  <c r="N13" i="2"/>
  <c r="AC26" i="2"/>
  <c r="N34" i="2" s="1"/>
  <c r="E15" i="2"/>
  <c r="H14" i="2"/>
  <c r="O14" i="1"/>
  <c r="N14" i="1"/>
  <c r="H15" i="1"/>
  <c r="E16" i="1"/>
  <c r="AB24" i="4"/>
  <c r="AA28" i="1"/>
  <c r="Z28" i="3"/>
  <c r="AB22" i="1"/>
  <c r="Z31" i="3"/>
  <c r="Z25" i="1"/>
  <c r="AB24" i="3"/>
  <c r="Z26" i="3"/>
  <c r="AA27" i="3"/>
  <c r="Z24" i="5"/>
  <c r="AB24" i="1"/>
  <c r="Z31" i="4"/>
  <c r="AB30" i="3"/>
  <c r="AA31" i="3"/>
  <c r="AB26" i="3"/>
  <c r="AB28" i="3"/>
  <c r="AB25" i="3"/>
  <c r="AA25" i="3"/>
  <c r="Z23" i="1"/>
  <c r="AB31" i="4"/>
  <c r="AB26" i="1"/>
  <c r="Z28" i="4"/>
  <c r="AB26" i="4"/>
  <c r="AA27" i="1"/>
  <c r="Z27" i="1"/>
  <c r="AA30" i="1"/>
  <c r="AA23" i="1"/>
  <c r="AA27" i="4"/>
  <c r="AA31" i="4"/>
  <c r="Z24" i="4"/>
  <c r="AB29" i="4"/>
  <c r="AA22" i="1"/>
  <c r="AB28" i="4"/>
  <c r="Z22" i="1"/>
  <c r="AA24" i="3"/>
  <c r="Z26" i="4"/>
  <c r="AA28" i="3"/>
  <c r="AB23" i="3"/>
  <c r="AB29" i="1"/>
  <c r="AA25" i="1"/>
  <c r="AB23" i="1"/>
  <c r="Z30" i="3"/>
  <c r="Z28" i="1"/>
  <c r="AA26" i="4"/>
  <c r="Z29" i="1"/>
  <c r="AA24" i="5"/>
  <c r="AA24" i="4"/>
  <c r="Z24" i="3"/>
  <c r="AB31" i="3"/>
  <c r="Z24" i="1"/>
  <c r="AB27" i="1"/>
  <c r="AB28" i="1"/>
  <c r="AB25" i="1"/>
  <c r="AA26" i="1"/>
  <c r="AA30" i="3"/>
  <c r="AB30" i="1"/>
  <c r="AB27" i="4"/>
  <c r="AA29" i="4"/>
  <c r="Z27" i="3"/>
  <c r="Z30" i="1"/>
  <c r="Z23" i="3"/>
  <c r="AA28" i="4"/>
  <c r="AB24" i="5"/>
  <c r="Z29" i="2"/>
  <c r="AA24" i="1"/>
  <c r="AA23" i="3"/>
  <c r="AA26" i="3"/>
  <c r="AB27" i="3"/>
  <c r="Z25" i="3"/>
  <c r="AA29" i="1"/>
  <c r="Z27" i="4"/>
  <c r="Z29" i="4"/>
  <c r="Z26" i="1"/>
  <c r="H17" i="3" l="1"/>
  <c r="E18" i="3"/>
  <c r="H18" i="3" s="1"/>
  <c r="AC29" i="2"/>
  <c r="N37" i="2" s="1"/>
  <c r="H15" i="2"/>
  <c r="E16" i="2"/>
  <c r="H16" i="2" s="1"/>
  <c r="AC24" i="5"/>
  <c r="N32" i="5" s="1"/>
  <c r="N15" i="5"/>
  <c r="O15" i="5"/>
  <c r="O16" i="5" s="1"/>
  <c r="AC24" i="4"/>
  <c r="N32" i="4" s="1"/>
  <c r="AC26" i="4"/>
  <c r="N34" i="4" s="1"/>
  <c r="AC31" i="4"/>
  <c r="N39" i="4" s="1"/>
  <c r="AC29" i="4"/>
  <c r="N37" i="4" s="1"/>
  <c r="AC28" i="4"/>
  <c r="N36" i="4" s="1"/>
  <c r="AC27" i="4"/>
  <c r="N35" i="4" s="1"/>
  <c r="H32" i="4"/>
  <c r="E16" i="4"/>
  <c r="H15" i="4"/>
  <c r="N14" i="4"/>
  <c r="O14" i="4"/>
  <c r="AC23" i="3"/>
  <c r="N31" i="3" s="1"/>
  <c r="AC31" i="3"/>
  <c r="N39" i="3" s="1"/>
  <c r="AC25" i="3"/>
  <c r="N33" i="3" s="1"/>
  <c r="AC26" i="3"/>
  <c r="N34" i="3" s="1"/>
  <c r="AC30" i="3"/>
  <c r="N38" i="3" s="1"/>
  <c r="AC27" i="3"/>
  <c r="N35" i="3" s="1"/>
  <c r="AC28" i="3"/>
  <c r="N36" i="3" s="1"/>
  <c r="AC24" i="3"/>
  <c r="H16" i="3"/>
  <c r="H29" i="2"/>
  <c r="O15" i="3"/>
  <c r="N15" i="3"/>
  <c r="N14" i="2"/>
  <c r="O14" i="2"/>
  <c r="AC28" i="1"/>
  <c r="N36" i="1" s="1"/>
  <c r="AC24" i="1"/>
  <c r="N32" i="1" s="1"/>
  <c r="AC22" i="1"/>
  <c r="N30" i="1" s="1"/>
  <c r="AC29" i="1"/>
  <c r="N37" i="1" s="1"/>
  <c r="AC26" i="1"/>
  <c r="N34" i="1" s="1"/>
  <c r="AC23" i="1"/>
  <c r="AC25" i="1"/>
  <c r="N33" i="1" s="1"/>
  <c r="AC30" i="1"/>
  <c r="N38" i="1" s="1"/>
  <c r="AC27" i="1"/>
  <c r="N35" i="1" s="1"/>
  <c r="E17" i="1"/>
  <c r="H17" i="1" s="1"/>
  <c r="H16" i="1"/>
  <c r="O15" i="1"/>
  <c r="N15" i="1"/>
  <c r="AB27" i="5"/>
  <c r="Z20" i="5"/>
  <c r="Z28" i="5"/>
  <c r="AB22" i="5"/>
  <c r="AB21" i="5"/>
  <c r="Z21" i="5"/>
  <c r="AB25" i="5"/>
  <c r="AB20" i="5"/>
  <c r="AA26" i="5"/>
  <c r="AB23" i="5"/>
  <c r="AB28" i="5"/>
  <c r="Z27" i="5"/>
  <c r="AA22" i="5"/>
  <c r="AA25" i="5"/>
  <c r="Z23" i="5"/>
  <c r="Z26" i="5"/>
  <c r="Z25" i="5"/>
  <c r="AB26" i="5"/>
  <c r="AA23" i="5"/>
  <c r="AA28" i="5"/>
  <c r="Z22" i="5"/>
  <c r="AA21" i="5"/>
  <c r="AA27" i="5"/>
  <c r="AA20" i="5"/>
  <c r="N18" i="3" l="1"/>
  <c r="O18" i="3"/>
  <c r="N17" i="3"/>
  <c r="O17" i="3"/>
  <c r="O16" i="2"/>
  <c r="N16" i="2"/>
  <c r="O15" i="2"/>
  <c r="O17" i="2" s="1"/>
  <c r="N15" i="2"/>
  <c r="AC22" i="5"/>
  <c r="N30" i="5" s="1"/>
  <c r="AC25" i="5"/>
  <c r="N33" i="5" s="1"/>
  <c r="AC27" i="5"/>
  <c r="N35" i="5" s="1"/>
  <c r="AC28" i="5"/>
  <c r="N36" i="5" s="1"/>
  <c r="AC21" i="5"/>
  <c r="AC26" i="5"/>
  <c r="N34" i="5" s="1"/>
  <c r="AC20" i="5"/>
  <c r="N28" i="5" s="1"/>
  <c r="AC23" i="5"/>
  <c r="N31" i="5" s="1"/>
  <c r="N16" i="5"/>
  <c r="H26" i="5" s="1"/>
  <c r="E17" i="4"/>
  <c r="E18" i="4" s="1"/>
  <c r="H16" i="4"/>
  <c r="N15" i="4"/>
  <c r="O15" i="4"/>
  <c r="N32" i="3"/>
  <c r="H31" i="3"/>
  <c r="N16" i="3"/>
  <c r="O16" i="3"/>
  <c r="N31" i="1"/>
  <c r="H30" i="1"/>
  <c r="O17" i="1"/>
  <c r="N17" i="1"/>
  <c r="O16" i="1"/>
  <c r="N16" i="1"/>
  <c r="Z32" i="4"/>
  <c r="N17" i="2" l="1"/>
  <c r="H27" i="2" s="1"/>
  <c r="P13" i="2" s="1"/>
  <c r="AC32" i="4"/>
  <c r="N40" i="4" s="1"/>
  <c r="H18" i="4"/>
  <c r="E19" i="4"/>
  <c r="H19" i="4" s="1"/>
  <c r="N18" i="1"/>
  <c r="H28" i="1" s="1"/>
  <c r="Q17" i="1" s="1"/>
  <c r="O18" i="1"/>
  <c r="N29" i="5"/>
  <c r="H28" i="5"/>
  <c r="Q10" i="5"/>
  <c r="P10" i="5"/>
  <c r="P11" i="5"/>
  <c r="Q11" i="5"/>
  <c r="P12" i="5"/>
  <c r="Q12" i="5"/>
  <c r="P13" i="5"/>
  <c r="Q13" i="5"/>
  <c r="Q14" i="5"/>
  <c r="P14" i="5"/>
  <c r="Q15" i="5"/>
  <c r="P15" i="5"/>
  <c r="H34" i="5"/>
  <c r="H36" i="5" s="1"/>
  <c r="H38" i="5" s="1"/>
  <c r="N16" i="4"/>
  <c r="O16" i="4"/>
  <c r="H17" i="4"/>
  <c r="N19" i="3"/>
  <c r="H29" i="3" s="1"/>
  <c r="O19" i="3"/>
  <c r="Q16" i="1"/>
  <c r="Q10" i="1"/>
  <c r="P10" i="1"/>
  <c r="Q11" i="1"/>
  <c r="P11" i="1"/>
  <c r="P12" i="1"/>
  <c r="Q12" i="1"/>
  <c r="P13" i="1"/>
  <c r="Q14" i="1"/>
  <c r="P14" i="1"/>
  <c r="P15" i="1"/>
  <c r="Q15" i="1"/>
  <c r="P16" i="1"/>
  <c r="H36" i="1"/>
  <c r="H38" i="1" s="1"/>
  <c r="H40" i="1" s="1"/>
  <c r="P17" i="1"/>
  <c r="Q15" i="2" l="1"/>
  <c r="Q17" i="2" s="1"/>
  <c r="P25" i="2" s="1"/>
  <c r="Q11" i="2"/>
  <c r="Q12" i="2"/>
  <c r="P15" i="2"/>
  <c r="Q13" i="2"/>
  <c r="Q10" i="2"/>
  <c r="Q14" i="2"/>
  <c r="P14" i="2"/>
  <c r="P16" i="2"/>
  <c r="P10" i="2"/>
  <c r="Q16" i="2"/>
  <c r="P11" i="2"/>
  <c r="P12" i="2"/>
  <c r="H35" i="2"/>
  <c r="H37" i="2" s="1"/>
  <c r="H39" i="2" s="1"/>
  <c r="O19" i="4"/>
  <c r="N19" i="4"/>
  <c r="N18" i="4"/>
  <c r="O18" i="4"/>
  <c r="O20" i="4" s="1"/>
  <c r="Q13" i="1"/>
  <c r="P16" i="5"/>
  <c r="P21" i="5" s="1"/>
  <c r="Q16" i="5"/>
  <c r="P24" i="5" s="1"/>
  <c r="N17" i="4"/>
  <c r="N20" i="4" s="1"/>
  <c r="H30" i="4" s="1"/>
  <c r="O17" i="4"/>
  <c r="P17" i="3"/>
  <c r="Q17" i="3"/>
  <c r="P18" i="3"/>
  <c r="Q18" i="3"/>
  <c r="H37" i="3"/>
  <c r="H39" i="3" s="1"/>
  <c r="H41" i="3" s="1"/>
  <c r="Q10" i="3"/>
  <c r="P10" i="3"/>
  <c r="Q11" i="3"/>
  <c r="P11" i="3"/>
  <c r="Q12" i="3"/>
  <c r="P12" i="3"/>
  <c r="Q13" i="3"/>
  <c r="P13" i="3"/>
  <c r="Q14" i="3"/>
  <c r="P14" i="3"/>
  <c r="P15" i="3"/>
  <c r="Q15" i="3"/>
  <c r="Q16" i="3"/>
  <c r="P16" i="3"/>
  <c r="P18" i="1"/>
  <c r="P23" i="1" s="1"/>
  <c r="Q18" i="1"/>
  <c r="P26" i="1" s="1"/>
  <c r="P17" i="2" l="1"/>
  <c r="P22" i="2" s="1"/>
  <c r="H38" i="4"/>
  <c r="H40" i="4" s="1"/>
  <c r="H42" i="4" s="1"/>
  <c r="P18" i="4"/>
  <c r="P19" i="4"/>
  <c r="Q19" i="4"/>
  <c r="Q18" i="4"/>
  <c r="Q17" i="4"/>
  <c r="P10" i="4"/>
  <c r="P14" i="4"/>
  <c r="Q15" i="4"/>
  <c r="P11" i="4"/>
  <c r="P15" i="4"/>
  <c r="P12" i="4"/>
  <c r="Q16" i="4"/>
  <c r="P17" i="4"/>
  <c r="Q11" i="4"/>
  <c r="Q12" i="4"/>
  <c r="P16" i="4"/>
  <c r="Q13" i="4"/>
  <c r="Q14" i="4"/>
  <c r="Q10" i="4"/>
  <c r="P13" i="4"/>
  <c r="P19" i="3"/>
  <c r="P24" i="3" s="1"/>
  <c r="Q19" i="3"/>
  <c r="P27" i="3" s="1"/>
  <c r="Q20" i="4" l="1"/>
  <c r="P28" i="4" s="1"/>
  <c r="P20" i="4"/>
  <c r="P25" i="4" s="1"/>
</calcChain>
</file>

<file path=xl/sharedStrings.xml><?xml version="1.0" encoding="utf-8"?>
<sst xmlns="http://schemas.openxmlformats.org/spreadsheetml/2006/main" count="600" uniqueCount="92">
  <si>
    <t>En una calle de la ciudad se midió con radar la velocidad de 55 automóviles</t>
  </si>
  <si>
    <t>Construir una tabla de frecuencias descriptiva de estos datos utilizando ocho clases, y sus gráficas.</t>
  </si>
  <si>
    <t>c =</t>
  </si>
  <si>
    <t xml:space="preserve">  Precisión:</t>
  </si>
  <si>
    <t>Columnas auxiliares para el cálculo</t>
  </si>
  <si>
    <t>INTERVALOS DE CLASE</t>
  </si>
  <si>
    <t>FRONTERAS DE CLASE</t>
  </si>
  <si>
    <t>MARCAS DE CLASE</t>
  </si>
  <si>
    <t>FRECUENCIA</t>
  </si>
  <si>
    <t>FRECUENCIA ACUMULADA</t>
  </si>
  <si>
    <t>FRECUENCIA RELATIVA</t>
  </si>
  <si>
    <t>FRECUENCIA RELATIVA ACUMULADA</t>
  </si>
  <si>
    <t>Clase:</t>
  </si>
  <si>
    <t>Linf</t>
  </si>
  <si>
    <t>g1</t>
  </si>
  <si>
    <t>Lsup</t>
  </si>
  <si>
    <t>Límite
inferior</t>
  </si>
  <si>
    <t>g2</t>
  </si>
  <si>
    <t>Límite
superior</t>
  </si>
  <si>
    <r>
      <t>x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</si>
  <si>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</si>
  <si>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</si>
  <si>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</si>
  <si>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</si>
  <si>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*x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</si>
  <si>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2</t>
    </r>
  </si>
  <si>
    <r>
      <t xml:space="preserve"> 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-X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3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</si>
  <si>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-X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4</t>
    </r>
  </si>
  <si>
    <t>-</t>
  </si>
  <si>
    <t>SUMAS:</t>
  </si>
  <si>
    <t>Fracción</t>
  </si>
  <si>
    <t>Clase</t>
  </si>
  <si>
    <t>Límite inferior</t>
  </si>
  <si>
    <t>Frecuencia absoluta</t>
  </si>
  <si>
    <t>Frecuencia acumulada anterior</t>
  </si>
  <si>
    <t>Fractil</t>
  </si>
  <si>
    <t>Longitud de clase</t>
  </si>
  <si>
    <t>c</t>
  </si>
  <si>
    <t>=</t>
  </si>
  <si>
    <t>COEFICIENTE DE SESGO</t>
  </si>
  <si>
    <t>Clase que contiene al Q1</t>
  </si>
  <si>
    <t>Q1</t>
  </si>
  <si>
    <t>(Tercer momento estandarizado)</t>
  </si>
  <si>
    <r>
      <t>a</t>
    </r>
    <r>
      <rPr>
        <b/>
        <i/>
        <vertAlign val="subscript"/>
        <sz val="12"/>
        <rFont val="Arial"/>
        <family val="2"/>
      </rPr>
      <t>3</t>
    </r>
    <r>
      <rPr>
        <b/>
        <i/>
        <sz val="12"/>
        <rFont val="Arial"/>
        <family val="2"/>
      </rPr>
      <t xml:space="preserve"> =</t>
    </r>
  </si>
  <si>
    <t>Clase que contiene a la mediana:</t>
  </si>
  <si>
    <t>Q2</t>
  </si>
  <si>
    <t>Número de clases</t>
  </si>
  <si>
    <t>m</t>
  </si>
  <si>
    <t>Clase que contiene al Q3</t>
  </si>
  <si>
    <t>Q3</t>
  </si>
  <si>
    <t>COEFICIENTE DE CURTOSIS</t>
  </si>
  <si>
    <t>D1</t>
  </si>
  <si>
    <t>Total de datos</t>
  </si>
  <si>
    <t>N</t>
  </si>
  <si>
    <t>(Cuarto momento estandarizado)</t>
  </si>
  <si>
    <r>
      <t>a</t>
    </r>
    <r>
      <rPr>
        <b/>
        <i/>
        <vertAlign val="subscript"/>
        <sz val="12"/>
        <rFont val="Arial"/>
        <family val="2"/>
      </rPr>
      <t>4</t>
    </r>
    <r>
      <rPr>
        <b/>
        <i/>
        <sz val="12"/>
        <rFont val="Arial"/>
        <family val="2"/>
      </rPr>
      <t xml:space="preserve"> =</t>
    </r>
  </si>
  <si>
    <t>D2</t>
  </si>
  <si>
    <t>D3</t>
  </si>
  <si>
    <t>MEDIA</t>
  </si>
  <si>
    <t>X</t>
  </si>
  <si>
    <t>D7</t>
  </si>
  <si>
    <t>ALGUNOS FRACTILES:</t>
  </si>
  <si>
    <t>D8</t>
  </si>
  <si>
    <t>MEDIANA</t>
  </si>
  <si>
    <r>
      <t>Q</t>
    </r>
    <r>
      <rPr>
        <vertAlign val="subscript"/>
        <sz val="12"/>
        <rFont val="Arial"/>
        <family val="2"/>
      </rPr>
      <t>1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25</t>
    </r>
    <r>
      <rPr>
        <sz val="12"/>
        <rFont val="Arial"/>
        <family val="2"/>
      </rPr>
      <t xml:space="preserve"> =</t>
    </r>
  </si>
  <si>
    <t>D9</t>
  </si>
  <si>
    <r>
      <t>Q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50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=</t>
    </r>
  </si>
  <si>
    <t>MODA</t>
  </si>
  <si>
    <t>Mo</t>
  </si>
  <si>
    <r>
      <t>Q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75</t>
    </r>
    <r>
      <rPr>
        <sz val="12"/>
        <rFont val="Arial"/>
        <family val="2"/>
      </rPr>
      <t xml:space="preserve"> =</t>
    </r>
  </si>
  <si>
    <r>
      <t xml:space="preserve">ó </t>
    </r>
    <r>
      <rPr>
        <i/>
        <sz val="12"/>
        <rFont val="Times New Roman"/>
        <family val="1"/>
      </rPr>
      <t>x</t>
    </r>
    <r>
      <rPr>
        <vertAlign val="subscript"/>
        <sz val="10"/>
        <rFont val="Arial"/>
        <family val="2"/>
      </rPr>
      <t>mo</t>
    </r>
  </si>
  <si>
    <r>
      <t>P</t>
    </r>
    <r>
      <rPr>
        <vertAlign val="subscript"/>
        <sz val="12"/>
        <rFont val="Arial"/>
        <family val="2"/>
      </rPr>
      <t>10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1</t>
    </r>
    <r>
      <rPr>
        <sz val="12"/>
        <rFont val="Arial"/>
        <family val="2"/>
      </rPr>
      <t xml:space="preserve"> =</t>
    </r>
  </si>
  <si>
    <t>Clase que contiene a la moda</t>
  </si>
  <si>
    <t>RANGO:</t>
  </si>
  <si>
    <t>R</t>
  </si>
  <si>
    <r>
      <t>P</t>
    </r>
    <r>
      <rPr>
        <vertAlign val="subscript"/>
        <sz val="12"/>
        <rFont val="Arial"/>
        <family val="2"/>
      </rPr>
      <t>20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=</t>
    </r>
  </si>
  <si>
    <t>Frecuencia de la clase modal</t>
  </si>
  <si>
    <r>
      <t>P</t>
    </r>
    <r>
      <rPr>
        <vertAlign val="subscript"/>
        <sz val="12"/>
        <rFont val="Arial"/>
        <family val="2"/>
      </rPr>
      <t>30</t>
    </r>
    <r>
      <rPr>
        <sz val="12"/>
        <rFont val="Arial"/>
        <family val="2"/>
      </rPr>
      <t xml:space="preserve"> =</t>
    </r>
  </si>
  <si>
    <t>Frecuencia de la clase anterior a la modal</t>
  </si>
  <si>
    <t>VARIANZA</t>
  </si>
  <si>
    <r>
      <t>S</t>
    </r>
    <r>
      <rPr>
        <b/>
        <i/>
        <vertAlign val="superscript"/>
        <sz val="12"/>
        <rFont val="Times New Roman"/>
        <family val="1"/>
      </rPr>
      <t>2</t>
    </r>
  </si>
  <si>
    <r>
      <t>P</t>
    </r>
    <r>
      <rPr>
        <vertAlign val="subscript"/>
        <sz val="12"/>
        <rFont val="Arial"/>
        <family val="2"/>
      </rPr>
      <t>70</t>
    </r>
    <r>
      <rPr>
        <sz val="12"/>
        <rFont val="Arial"/>
        <family val="2"/>
      </rPr>
      <t xml:space="preserve"> =</t>
    </r>
  </si>
  <si>
    <t>Frecuencia de la clase posterior a la modal</t>
  </si>
  <si>
    <r>
      <t>P</t>
    </r>
    <r>
      <rPr>
        <vertAlign val="subscript"/>
        <sz val="12"/>
        <rFont val="Arial"/>
        <family val="2"/>
      </rPr>
      <t>80</t>
    </r>
    <r>
      <rPr>
        <sz val="12"/>
        <rFont val="Arial"/>
        <family val="2"/>
      </rPr>
      <t xml:space="preserve"> =</t>
    </r>
  </si>
  <si>
    <t>Límite inferior de la clase modal:</t>
  </si>
  <si>
    <t>DESV. EST.</t>
  </si>
  <si>
    <t>S</t>
  </si>
  <si>
    <r>
      <t>P</t>
    </r>
    <r>
      <rPr>
        <vertAlign val="subscript"/>
        <sz val="12"/>
        <rFont val="Arial"/>
        <family val="2"/>
      </rPr>
      <t>90</t>
    </r>
    <r>
      <rPr>
        <sz val="12"/>
        <rFont val="Arial"/>
        <family val="2"/>
      </rPr>
      <t xml:space="preserve"> =</t>
    </r>
  </si>
  <si>
    <t>Marca de la clase que contiene a la moda:</t>
  </si>
  <si>
    <t>COEF. DE VARIACIÓN</t>
  </si>
  <si>
    <t>CV</t>
  </si>
  <si>
    <t>Nota: estas medidas están calculadas bajo el supuesto de que el conjunto de datos es una población.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</si>
</sst>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b/>
      <i/>
      <sz val="16"/>
      <name val="Times New Roman"/>
      <family val="1"/>
    </font>
    <font>
      <b/>
      <i/>
      <vertAlign val="subscript"/>
      <sz val="16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i/>
      <sz val="12"/>
      <name val="Times New Roman"/>
      <family val="1"/>
    </font>
    <font>
      <b/>
      <sz val="11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i/>
      <sz val="12"/>
      <name val="Times New Roman"/>
      <family val="1"/>
    </font>
    <font>
      <vertAlign val="subscript"/>
      <sz val="10"/>
      <name val="Arial"/>
      <family val="2"/>
    </font>
    <font>
      <b/>
      <i/>
      <vertAlign val="superscript"/>
      <sz val="12"/>
      <name val="Times New Roman"/>
      <family val="1"/>
    </font>
    <font>
      <i/>
      <sz val="13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1" fillId="0" borderId="0" xfId="1"/>
    <xf numFmtId="0" fontId="0" fillId="0" borderId="0" xfId="0" quotePrefix="1" applyAlignment="1">
      <alignment horizontal="left"/>
    </xf>
    <xf numFmtId="0" fontId="1" fillId="0" borderId="1" xfId="1" applyBorder="1"/>
    <xf numFmtId="0" fontId="1" fillId="0" borderId="2" xfId="1" applyBorder="1"/>
    <xf numFmtId="0" fontId="1" fillId="2" borderId="3" xfId="1" applyFill="1" applyBorder="1"/>
    <xf numFmtId="0" fontId="1" fillId="0" borderId="0" xfId="1" quotePrefix="1" applyAlignment="1">
      <alignment horizontal="left"/>
    </xf>
    <xf numFmtId="2" fontId="2" fillId="2" borderId="0" xfId="1" applyNumberFormat="1" applyFont="1" applyFill="1"/>
    <xf numFmtId="0" fontId="1" fillId="0" borderId="0" xfId="1" applyAlignment="1">
      <alignment horizontal="centerContinuous"/>
    </xf>
    <xf numFmtId="0" fontId="2" fillId="0" borderId="4" xfId="1" applyFont="1" applyBorder="1" applyAlignment="1">
      <alignment horizontal="centerContinuous" vertical="center" wrapText="1"/>
    </xf>
    <xf numFmtId="0" fontId="2" fillId="0" borderId="5" xfId="1" applyFont="1" applyBorder="1" applyAlignment="1">
      <alignment horizontal="centerContinuous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horizontal="center"/>
    </xf>
    <xf numFmtId="0" fontId="3" fillId="0" borderId="9" xfId="1" quotePrefix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quotePrefix="1" applyFont="1" applyAlignment="1">
      <alignment horizontal="center" vertical="center" wrapText="1"/>
    </xf>
    <xf numFmtId="0" fontId="2" fillId="0" borderId="9" xfId="1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horizontal="center" vertical="center" wrapText="1"/>
    </xf>
    <xf numFmtId="0" fontId="5" fillId="0" borderId="9" xfId="1" quotePrefix="1" applyFont="1" applyBorder="1" applyAlignment="1">
      <alignment horizontal="center" wrapText="1"/>
    </xf>
    <xf numFmtId="0" fontId="5" fillId="0" borderId="9" xfId="1" quotePrefix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5" fillId="0" borderId="7" xfId="1" quotePrefix="1" applyFont="1" applyBorder="1" applyAlignment="1">
      <alignment horizontal="center" vertical="center" wrapText="1"/>
    </xf>
    <xf numFmtId="0" fontId="5" fillId="0" borderId="7" xfId="1" quotePrefix="1" applyFont="1" applyBorder="1" applyAlignment="1">
      <alignment horizontal="center" vertical="center"/>
    </xf>
    <xf numFmtId="0" fontId="1" fillId="0" borderId="0" xfId="1" applyAlignment="1">
      <alignment wrapText="1"/>
    </xf>
    <xf numFmtId="0" fontId="3" fillId="0" borderId="0" xfId="1" applyFont="1" applyAlignment="1">
      <alignment horizontal="center"/>
    </xf>
    <xf numFmtId="2" fontId="3" fillId="0" borderId="11" xfId="1" applyNumberFormat="1" applyFont="1" applyBorder="1" applyAlignment="1">
      <alignment horizontal="centerContinuous" wrapText="1"/>
    </xf>
    <xf numFmtId="0" fontId="3" fillId="0" borderId="12" xfId="1" applyFont="1" applyBorder="1" applyAlignment="1">
      <alignment horizontal="center" wrapText="1"/>
    </xf>
    <xf numFmtId="2" fontId="3" fillId="0" borderId="12" xfId="1" applyNumberFormat="1" applyFont="1" applyBorder="1" applyAlignment="1">
      <alignment horizontal="centerContinuous" wrapText="1"/>
    </xf>
    <xf numFmtId="164" fontId="3" fillId="0" borderId="11" xfId="1" applyNumberFormat="1" applyFont="1" applyBorder="1" applyAlignment="1">
      <alignment horizontal="center" wrapText="1"/>
    </xf>
    <xf numFmtId="164" fontId="3" fillId="0" borderId="12" xfId="1" applyNumberFormat="1" applyFont="1" applyBorder="1" applyAlignment="1">
      <alignment horizontal="center" wrapText="1"/>
    </xf>
    <xf numFmtId="164" fontId="3" fillId="0" borderId="11" xfId="1" quotePrefix="1" applyNumberFormat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4" fillId="3" borderId="7" xfId="1" applyFont="1" applyFill="1" applyBorder="1" applyAlignment="1">
      <alignment horizontal="center" wrapText="1"/>
    </xf>
    <xf numFmtId="0" fontId="1" fillId="0" borderId="14" xfId="1" applyBorder="1"/>
    <xf numFmtId="0" fontId="1" fillId="0" borderId="0" xfId="1" applyAlignment="1">
      <alignment horizontal="center" vertical="center"/>
    </xf>
    <xf numFmtId="1" fontId="1" fillId="2" borderId="9" xfId="1" applyNumberFormat="1" applyFill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65" fontId="1" fillId="0" borderId="9" xfId="1" quotePrefix="1" applyNumberForma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" fillId="0" borderId="9" xfId="1" applyBorder="1" applyAlignment="1">
      <alignment horizontal="center" vertical="center"/>
    </xf>
    <xf numFmtId="1" fontId="1" fillId="0" borderId="9" xfId="1" applyNumberFormat="1" applyBorder="1" applyAlignment="1">
      <alignment horizontal="center" vertical="center"/>
    </xf>
    <xf numFmtId="164" fontId="1" fillId="0" borderId="9" xfId="1" applyNumberFormat="1" applyBorder="1" applyAlignment="1">
      <alignment horizontal="center" vertical="center"/>
    </xf>
    <xf numFmtId="164" fontId="1" fillId="0" borderId="10" xfId="1" applyNumberFormat="1" applyBorder="1" applyAlignment="1">
      <alignment horizontal="center" vertical="center"/>
    </xf>
    <xf numFmtId="164" fontId="1" fillId="3" borderId="7" xfId="1" applyNumberFormat="1" applyFill="1" applyBorder="1" applyAlignment="1">
      <alignment horizontal="center" vertical="center"/>
    </xf>
    <xf numFmtId="0" fontId="1" fillId="0" borderId="0" xfId="1" applyAlignment="1">
      <alignment vertical="center"/>
    </xf>
    <xf numFmtId="165" fontId="1" fillId="0" borderId="9" xfId="1" applyNumberFormat="1" applyBorder="1" applyAlignment="1">
      <alignment horizontal="center" vertical="center"/>
    </xf>
    <xf numFmtId="1" fontId="1" fillId="0" borderId="15" xfId="1" applyNumberFormat="1" applyBorder="1" applyAlignment="1">
      <alignment horizontal="center" vertical="center"/>
    </xf>
    <xf numFmtId="2" fontId="1" fillId="0" borderId="16" xfId="1" applyNumberFormat="1" applyBorder="1" applyAlignment="1">
      <alignment horizontal="center" vertical="center"/>
    </xf>
    <xf numFmtId="1" fontId="1" fillId="0" borderId="16" xfId="1" applyNumberFormat="1" applyBorder="1" applyAlignment="1">
      <alignment horizontal="center" vertical="center"/>
    </xf>
    <xf numFmtId="165" fontId="1" fillId="0" borderId="15" xfId="1" applyNumberFormat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165" fontId="1" fillId="0" borderId="16" xfId="1" applyNumberFormat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164" fontId="1" fillId="0" borderId="17" xfId="1" applyNumberFormat="1" applyBorder="1" applyAlignment="1">
      <alignment horizontal="center" vertical="center"/>
    </xf>
    <xf numFmtId="164" fontId="1" fillId="3" borderId="18" xfId="1" applyNumberForma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13" xfId="1" applyFont="1" applyBorder="1" applyAlignment="1">
      <alignment horizontal="center" vertical="center"/>
    </xf>
    <xf numFmtId="164" fontId="1" fillId="0" borderId="19" xfId="1" applyNumberFormat="1" applyBorder="1" applyAlignment="1">
      <alignment horizontal="center" vertical="center"/>
    </xf>
    <xf numFmtId="164" fontId="11" fillId="0" borderId="13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/>
    </xf>
    <xf numFmtId="0" fontId="1" fillId="0" borderId="0" xfId="1" applyAlignment="1">
      <alignment horizontal="right"/>
    </xf>
    <xf numFmtId="0" fontId="12" fillId="4" borderId="1" xfId="1" quotePrefix="1" applyFont="1" applyFill="1" applyBorder="1" applyAlignment="1">
      <alignment horizontal="left"/>
    </xf>
    <xf numFmtId="0" fontId="12" fillId="4" borderId="2" xfId="1" applyFont="1" applyFill="1" applyBorder="1"/>
    <xf numFmtId="0" fontId="12" fillId="4" borderId="2" xfId="1" applyFont="1" applyFill="1" applyBorder="1" applyAlignment="1">
      <alignment horizontal="right"/>
    </xf>
    <xf numFmtId="0" fontId="12" fillId="4" borderId="3" xfId="1" applyFont="1" applyFill="1" applyBorder="1"/>
    <xf numFmtId="0" fontId="1" fillId="0" borderId="4" xfId="1" applyBorder="1"/>
    <xf numFmtId="0" fontId="1" fillId="0" borderId="5" xfId="1" applyBorder="1"/>
    <xf numFmtId="0" fontId="1" fillId="0" borderId="8" xfId="1" applyBorder="1"/>
    <xf numFmtId="0" fontId="1" fillId="0" borderId="5" xfId="1" applyBorder="1" applyAlignment="1">
      <alignment horizontal="right"/>
    </xf>
    <xf numFmtId="2" fontId="1" fillId="0" borderId="5" xfId="1" applyNumberFormat="1" applyBorder="1" applyAlignment="1">
      <alignment horizontal="left"/>
    </xf>
    <xf numFmtId="0" fontId="13" fillId="0" borderId="0" xfId="1" quotePrefix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2" fontId="1" fillId="0" borderId="9" xfId="1" applyNumberFormat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" fillId="0" borderId="0" xfId="1" quotePrefix="1" applyAlignment="1">
      <alignment horizontal="center"/>
    </xf>
    <xf numFmtId="2" fontId="15" fillId="0" borderId="0" xfId="1" applyNumberFormat="1" applyFont="1" applyAlignment="1">
      <alignment horizontal="left"/>
    </xf>
    <xf numFmtId="0" fontId="1" fillId="0" borderId="7" xfId="1" applyBorder="1"/>
    <xf numFmtId="1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0" fontId="1" fillId="0" borderId="9" xfId="1" applyBorder="1"/>
    <xf numFmtId="0" fontId="14" fillId="0" borderId="0" xfId="1" applyFont="1" applyAlignment="1">
      <alignment horizontal="center" vertical="center"/>
    </xf>
    <xf numFmtId="0" fontId="11" fillId="0" borderId="0" xfId="1" applyFont="1"/>
    <xf numFmtId="0" fontId="16" fillId="0" borderId="0" xfId="1" quotePrefix="1" applyFont="1" applyAlignment="1">
      <alignment horizontal="right"/>
    </xf>
    <xf numFmtId="166" fontId="15" fillId="0" borderId="0" xfId="1" applyNumberFormat="1" applyFont="1" applyAlignment="1">
      <alignment horizontal="left"/>
    </xf>
    <xf numFmtId="0" fontId="1" fillId="0" borderId="9" xfId="1" applyBorder="1" applyAlignment="1">
      <alignment horizontal="left"/>
    </xf>
    <xf numFmtId="0" fontId="15" fillId="0" borderId="0" xfId="1" applyFont="1" applyAlignment="1">
      <alignment horizontal="left"/>
    </xf>
    <xf numFmtId="0" fontId="1" fillId="0" borderId="12" xfId="1" applyBorder="1"/>
    <xf numFmtId="0" fontId="1" fillId="0" borderId="12" xfId="1" applyBorder="1" applyAlignment="1">
      <alignment horizontal="center"/>
    </xf>
    <xf numFmtId="1" fontId="1" fillId="0" borderId="12" xfId="1" applyNumberFormat="1" applyBorder="1" applyAlignment="1">
      <alignment horizontal="center"/>
    </xf>
    <xf numFmtId="166" fontId="1" fillId="0" borderId="12" xfId="1" applyNumberFormat="1" applyBorder="1" applyAlignment="1">
      <alignment horizontal="center"/>
    </xf>
    <xf numFmtId="0" fontId="1" fillId="0" borderId="9" xfId="1" quotePrefix="1" applyBorder="1" applyAlignment="1">
      <alignment horizontal="left"/>
    </xf>
    <xf numFmtId="1" fontId="15" fillId="0" borderId="0" xfId="1" applyNumberFormat="1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9" xfId="1" applyFont="1" applyBorder="1"/>
    <xf numFmtId="164" fontId="15" fillId="0" borderId="0" xfId="1" applyNumberFormat="1" applyFont="1" applyAlignment="1">
      <alignment horizontal="left"/>
    </xf>
    <xf numFmtId="0" fontId="1" fillId="0" borderId="7" xfId="1" applyBorder="1" applyAlignment="1">
      <alignment horizontal="left"/>
    </xf>
    <xf numFmtId="0" fontId="19" fillId="0" borderId="0" xfId="1" quotePrefix="1" applyFont="1" applyAlignment="1">
      <alignment horizontal="right"/>
    </xf>
    <xf numFmtId="0" fontId="0" fillId="0" borderId="0" xfId="0" quotePrefix="1" applyAlignment="1">
      <alignment horizontal="right"/>
    </xf>
    <xf numFmtId="0" fontId="14" fillId="0" borderId="0" xfId="1" quotePrefix="1" applyFont="1" applyAlignment="1">
      <alignment horizontal="center"/>
    </xf>
    <xf numFmtId="0" fontId="1" fillId="0" borderId="11" xfId="1" applyBorder="1"/>
    <xf numFmtId="0" fontId="14" fillId="0" borderId="12" xfId="1" applyFont="1" applyBorder="1" applyAlignment="1">
      <alignment horizontal="center"/>
    </xf>
    <xf numFmtId="0" fontId="11" fillId="0" borderId="12" xfId="1" applyFont="1" applyBorder="1" applyAlignment="1">
      <alignment horizontal="left"/>
    </xf>
    <xf numFmtId="0" fontId="1" fillId="0" borderId="0" xfId="1" applyAlignment="1">
      <alignment horizontal="left"/>
    </xf>
    <xf numFmtId="0" fontId="24" fillId="0" borderId="0" xfId="1" quotePrefix="1" applyFont="1" applyAlignment="1">
      <alignment horizontal="right"/>
    </xf>
    <xf numFmtId="0" fontId="25" fillId="0" borderId="0" xfId="1" applyFont="1" applyAlignment="1">
      <alignment horizontal="right"/>
    </xf>
    <xf numFmtId="164" fontId="1" fillId="0" borderId="13" xfId="1" applyNumberFormat="1" applyBorder="1" applyAlignment="1">
      <alignment horizontal="center" vertical="center"/>
    </xf>
    <xf numFmtId="164" fontId="1" fillId="0" borderId="15" xfId="1" applyNumberFormat="1" applyBorder="1" applyAlignment="1">
      <alignment horizontal="center" vertical="center"/>
    </xf>
    <xf numFmtId="0" fontId="2" fillId="2" borderId="0" xfId="1" applyNumberFormat="1" applyFont="1" applyFill="1"/>
    <xf numFmtId="165" fontId="1" fillId="2" borderId="9" xfId="1" applyNumberFormat="1" applyFill="1" applyBorder="1" applyAlignment="1">
      <alignment horizontal="center" vertical="center"/>
    </xf>
    <xf numFmtId="2" fontId="1" fillId="0" borderId="9" xfId="1" quotePrefix="1" applyNumberFormat="1" applyBorder="1" applyAlignment="1">
      <alignment horizontal="center" vertical="center"/>
    </xf>
    <xf numFmtId="2" fontId="1" fillId="0" borderId="9" xfId="1" applyNumberFormat="1" applyBorder="1" applyAlignment="1">
      <alignment horizontal="center" vertical="center"/>
    </xf>
    <xf numFmtId="2" fontId="1" fillId="0" borderId="15" xfId="1" applyNumberFormat="1" applyBorder="1" applyAlignment="1">
      <alignment horizontal="center" vertical="center"/>
    </xf>
  </cellXfs>
  <cellStyles count="2">
    <cellStyle name="Normal" xfId="0" builtinId="0"/>
    <cellStyle name="Normal_FormulasEstadDescr" xfId="1" xr:uid="{993A41DB-7E4F-4ED0-9AF6-3CD4772E41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825889DA-48DB-443F-9F63-5EA6DE6753C6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8B795A58-ADB7-4D47-98DB-F0A3CDD87833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25</xdr:row>
      <xdr:rowOff>9525</xdr:rowOff>
    </xdr:from>
    <xdr:to>
      <xdr:col>5</xdr:col>
      <xdr:colOff>190500</xdr:colOff>
      <xdr:row>25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32A2610F-E757-4982-852F-27A2151E47DC}"/>
            </a:ext>
          </a:extLst>
        </xdr:cNvPr>
        <xdr:cNvSpPr>
          <a:spLocks noChangeShapeType="1"/>
        </xdr:cNvSpPr>
      </xdr:nvSpPr>
      <xdr:spPr bwMode="auto">
        <a:xfrm>
          <a:off x="2114550" y="557212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26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F15FD6C4-D534-45D9-836E-86B16A7A5FC1}"/>
            </a:ext>
          </a:extLst>
        </xdr:cNvPr>
        <xdr:cNvSpPr txBox="1">
          <a:spLocks noChangeArrowheads="1"/>
        </xdr:cNvSpPr>
      </xdr:nvSpPr>
      <xdr:spPr bwMode="auto">
        <a:xfrm>
          <a:off x="2124075" y="587692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C3885E62-63E6-48C3-9AA5-2DFE9B757443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19788DE-030D-4D4B-B5A4-9D6117E453EB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26</xdr:row>
      <xdr:rowOff>9525</xdr:rowOff>
    </xdr:from>
    <xdr:to>
      <xdr:col>5</xdr:col>
      <xdr:colOff>190500</xdr:colOff>
      <xdr:row>26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DCF6E54-EF4F-43D1-996E-64D7A252EA71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27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8B3F4C9-90D4-4420-8938-868826221063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88924092-D933-4EFF-A4A0-3C077B1B67FD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87D645F6-8A50-402B-86D7-A444AAF8A0F1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27</xdr:row>
      <xdr:rowOff>9525</xdr:rowOff>
    </xdr:from>
    <xdr:to>
      <xdr:col>5</xdr:col>
      <xdr:colOff>190500</xdr:colOff>
      <xdr:row>27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B4418F49-5C5A-4497-81A3-17C54EFF9BAA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28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F4013FEE-BA6E-43BE-B6AD-8455C97B1FD4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3F152D37-B266-4861-BB04-0AC80B4F72D0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65BB307-337E-4401-9337-88DDC5BA2B61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28</xdr:row>
      <xdr:rowOff>9525</xdr:rowOff>
    </xdr:from>
    <xdr:to>
      <xdr:col>5</xdr:col>
      <xdr:colOff>190500</xdr:colOff>
      <xdr:row>28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99FF88AB-FBD9-46C4-BA19-F152EBCE6936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29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8E1AE0F6-806F-48EB-8A1A-C30F1A17E07E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8E3CCC8-EF9A-4B7C-BAB0-324C1CE343ED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D298FF1A-F9F5-4A21-B221-6F5565FFD5C4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29</xdr:row>
      <xdr:rowOff>9525</xdr:rowOff>
    </xdr:from>
    <xdr:to>
      <xdr:col>5</xdr:col>
      <xdr:colOff>190500</xdr:colOff>
      <xdr:row>29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1E96BC6A-E919-4634-B8D8-AD36B31E8C3C}"/>
            </a:ext>
          </a:extLst>
        </xdr:cNvPr>
        <xdr:cNvSpPr>
          <a:spLocks noChangeShapeType="1"/>
        </xdr:cNvSpPr>
      </xdr:nvSpPr>
      <xdr:spPr bwMode="auto">
        <a:xfrm>
          <a:off x="2114550" y="606742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30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D0AC6090-5EE5-48D4-B35F-B61601D8343D}"/>
            </a:ext>
          </a:extLst>
        </xdr:cNvPr>
        <xdr:cNvSpPr txBox="1">
          <a:spLocks noChangeArrowheads="1"/>
        </xdr:cNvSpPr>
      </xdr:nvSpPr>
      <xdr:spPr bwMode="auto">
        <a:xfrm>
          <a:off x="2124075" y="637222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E473-49CB-41AB-9A30-3ADC739F6415}">
  <sheetPr>
    <pageSetUpPr fitToPage="1"/>
  </sheetPr>
  <dimension ref="A1:AD55"/>
  <sheetViews>
    <sheetView showGridLines="0" tabSelected="1" topLeftCell="A17" zoomScale="75" workbookViewId="0">
      <selection activeCell="Z11" sqref="Z11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115">
        <v>0.1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20.100000000000001</v>
      </c>
      <c r="C9" s="32" t="s">
        <v>28</v>
      </c>
      <c r="D9" s="33">
        <f>D10-D4</f>
        <v>30</v>
      </c>
      <c r="E9" s="34">
        <f>E10-D4</f>
        <v>20.049999999999997</v>
      </c>
      <c r="F9" s="32" t="s">
        <v>28</v>
      </c>
      <c r="G9" s="35">
        <f>E10</f>
        <v>30.049999999999997</v>
      </c>
      <c r="H9" s="36">
        <f>H10-D4</f>
        <v>25.049999999999997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116">
        <v>30.1</v>
      </c>
      <c r="C10" s="46" t="s">
        <v>28</v>
      </c>
      <c r="D10" s="46">
        <f>B10+D4-G4</f>
        <v>40</v>
      </c>
      <c r="E10" s="117">
        <f>G10-$D$4</f>
        <v>30.049999999999997</v>
      </c>
      <c r="F10" s="43" t="s">
        <v>28</v>
      </c>
      <c r="G10" s="43">
        <f>(B11+D10)/2</f>
        <v>40.049999999999997</v>
      </c>
      <c r="H10" s="53">
        <f t="shared" ref="H10:H15" si="0">(E10+G10)/2</f>
        <v>35.049999999999997</v>
      </c>
      <c r="I10" s="47">
        <v>5</v>
      </c>
      <c r="J10" s="48">
        <f t="shared" ref="J10:J15" si="1">J9+I10</f>
        <v>5</v>
      </c>
      <c r="K10" s="49">
        <f t="shared" ref="K10:K15" si="2">I10/$I$16</f>
        <v>9.4339622641509441E-2</v>
      </c>
      <c r="L10" s="50">
        <f>K10</f>
        <v>9.4339622641509441E-2</v>
      </c>
      <c r="M10" s="51"/>
      <c r="N10" s="50">
        <f t="shared" ref="N10:N15" si="3">H10*I10</f>
        <v>175.25</v>
      </c>
      <c r="O10" s="50">
        <f t="shared" ref="O10:O15" si="4">(H10^2)*I10</f>
        <v>6142.5124999999989</v>
      </c>
      <c r="P10" s="50">
        <f t="shared" ref="P10:P15" si="5">I10*(H10-$H$26)^3</f>
        <v>-39999.999999999956</v>
      </c>
      <c r="Q10" s="50">
        <f t="shared" ref="Q10:Q15" si="6">I10*(H10-$H$26)^4</f>
        <v>799999.99999999884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53">
        <f t="shared" ref="B11:B15" si="7">B10+$D$4</f>
        <v>40.1</v>
      </c>
      <c r="C11" s="46" t="s">
        <v>28</v>
      </c>
      <c r="D11" s="46">
        <f t="shared" ref="D11:E15" si="8">D10+$D$4</f>
        <v>50</v>
      </c>
      <c r="E11" s="118">
        <f t="shared" si="8"/>
        <v>40.049999999999997</v>
      </c>
      <c r="F11" s="43" t="s">
        <v>28</v>
      </c>
      <c r="G11" s="43">
        <f t="shared" ref="G11:G15" si="9">G10+$D$4</f>
        <v>50.05</v>
      </c>
      <c r="H11" s="53">
        <f t="shared" si="0"/>
        <v>45.05</v>
      </c>
      <c r="I11" s="47">
        <v>17</v>
      </c>
      <c r="J11" s="48">
        <f t="shared" si="1"/>
        <v>22</v>
      </c>
      <c r="K11" s="49">
        <f t="shared" si="2"/>
        <v>0.32075471698113206</v>
      </c>
      <c r="L11" s="50">
        <f t="shared" ref="L11:L15" si="10">L10+K11</f>
        <v>0.41509433962264153</v>
      </c>
      <c r="M11" s="51"/>
      <c r="N11" s="50">
        <f t="shared" si="3"/>
        <v>765.84999999999991</v>
      </c>
      <c r="O11" s="50">
        <f t="shared" si="4"/>
        <v>34501.542499999996</v>
      </c>
      <c r="P11" s="50">
        <f t="shared" si="5"/>
        <v>-16999.999999999964</v>
      </c>
      <c r="Q11" s="50">
        <f t="shared" si="6"/>
        <v>169999.99999999951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53">
        <f t="shared" si="7"/>
        <v>50.1</v>
      </c>
      <c r="C12" s="46" t="s">
        <v>28</v>
      </c>
      <c r="D12" s="46">
        <f t="shared" si="8"/>
        <v>60</v>
      </c>
      <c r="E12" s="118">
        <f t="shared" si="8"/>
        <v>50.05</v>
      </c>
      <c r="F12" s="43" t="s">
        <v>28</v>
      </c>
      <c r="G12" s="43">
        <f t="shared" si="9"/>
        <v>60.05</v>
      </c>
      <c r="H12" s="53">
        <f t="shared" si="0"/>
        <v>55.05</v>
      </c>
      <c r="I12" s="47">
        <v>16</v>
      </c>
      <c r="J12" s="48">
        <f t="shared" si="1"/>
        <v>38</v>
      </c>
      <c r="K12" s="49">
        <f t="shared" si="2"/>
        <v>0.30188679245283018</v>
      </c>
      <c r="L12" s="50">
        <f t="shared" si="10"/>
        <v>0.71698113207547176</v>
      </c>
      <c r="M12" s="51"/>
      <c r="N12" s="50">
        <f t="shared" si="3"/>
        <v>880.8</v>
      </c>
      <c r="O12" s="50">
        <f t="shared" si="4"/>
        <v>48488.039999999994</v>
      </c>
      <c r="P12" s="50">
        <f t="shared" si="5"/>
        <v>5.7397185098744507E-42</v>
      </c>
      <c r="Q12" s="50">
        <f t="shared" si="6"/>
        <v>4.0783152924990778E-56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53">
        <f t="shared" si="7"/>
        <v>60.1</v>
      </c>
      <c r="C13" s="46" t="s">
        <v>28</v>
      </c>
      <c r="D13" s="46">
        <f t="shared" si="8"/>
        <v>70</v>
      </c>
      <c r="E13" s="118">
        <f t="shared" si="8"/>
        <v>60.05</v>
      </c>
      <c r="F13" s="43" t="s">
        <v>28</v>
      </c>
      <c r="G13" s="43">
        <f t="shared" si="9"/>
        <v>70.05</v>
      </c>
      <c r="H13" s="53">
        <f t="shared" si="0"/>
        <v>65.05</v>
      </c>
      <c r="I13" s="47">
        <v>7</v>
      </c>
      <c r="J13" s="48">
        <f t="shared" si="1"/>
        <v>45</v>
      </c>
      <c r="K13" s="49">
        <f t="shared" si="2"/>
        <v>0.13207547169811321</v>
      </c>
      <c r="L13" s="50">
        <f t="shared" si="10"/>
        <v>0.84905660377358494</v>
      </c>
      <c r="M13" s="51"/>
      <c r="N13" s="50">
        <f t="shared" si="3"/>
        <v>455.34999999999997</v>
      </c>
      <c r="O13" s="50">
        <f t="shared" si="4"/>
        <v>29620.517499999998</v>
      </c>
      <c r="P13" s="50">
        <f t="shared" si="5"/>
        <v>7000.0000000000155</v>
      </c>
      <c r="Q13" s="50">
        <f t="shared" si="6"/>
        <v>70000.000000000204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53">
        <f t="shared" si="7"/>
        <v>70.099999999999994</v>
      </c>
      <c r="C14" s="46" t="s">
        <v>28</v>
      </c>
      <c r="D14" s="46">
        <f t="shared" si="8"/>
        <v>80</v>
      </c>
      <c r="E14" s="118">
        <f t="shared" si="8"/>
        <v>70.05</v>
      </c>
      <c r="F14" s="43" t="s">
        <v>28</v>
      </c>
      <c r="G14" s="43">
        <f t="shared" si="9"/>
        <v>80.05</v>
      </c>
      <c r="H14" s="53">
        <f t="shared" si="0"/>
        <v>75.05</v>
      </c>
      <c r="I14" s="47">
        <v>4</v>
      </c>
      <c r="J14" s="48">
        <f t="shared" si="1"/>
        <v>49</v>
      </c>
      <c r="K14" s="49">
        <f t="shared" si="2"/>
        <v>7.5471698113207544E-2</v>
      </c>
      <c r="L14" s="50">
        <f t="shared" si="10"/>
        <v>0.92452830188679247</v>
      </c>
      <c r="M14" s="51"/>
      <c r="N14" s="50">
        <f t="shared" si="3"/>
        <v>300.2</v>
      </c>
      <c r="O14" s="50">
        <f t="shared" si="4"/>
        <v>22530.01</v>
      </c>
      <c r="P14" s="50">
        <f t="shared" si="5"/>
        <v>32000.000000000033</v>
      </c>
      <c r="Q14" s="50">
        <f t="shared" si="6"/>
        <v>640000.00000000093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thickBot="1" x14ac:dyDescent="0.25">
      <c r="A15" s="41">
        <v>6</v>
      </c>
      <c r="B15" s="57">
        <f t="shared" si="7"/>
        <v>80.099999999999994</v>
      </c>
      <c r="C15" s="59" t="s">
        <v>28</v>
      </c>
      <c r="D15" s="59">
        <f t="shared" si="8"/>
        <v>90</v>
      </c>
      <c r="E15" s="119">
        <f t="shared" si="8"/>
        <v>80.05</v>
      </c>
      <c r="F15" s="55" t="s">
        <v>28</v>
      </c>
      <c r="G15" s="55">
        <f t="shared" si="9"/>
        <v>90.05</v>
      </c>
      <c r="H15" s="57">
        <f t="shared" si="0"/>
        <v>85.05</v>
      </c>
      <c r="I15" s="60">
        <v>4</v>
      </c>
      <c r="J15" s="54">
        <f t="shared" si="1"/>
        <v>53</v>
      </c>
      <c r="K15" s="114">
        <f t="shared" si="2"/>
        <v>7.5471698113207544E-2</v>
      </c>
      <c r="L15" s="61">
        <f t="shared" si="10"/>
        <v>1</v>
      </c>
      <c r="M15" s="62"/>
      <c r="N15" s="61">
        <f t="shared" si="3"/>
        <v>340.2</v>
      </c>
      <c r="O15" s="61">
        <f t="shared" si="4"/>
        <v>28934.01</v>
      </c>
      <c r="P15" s="61">
        <f t="shared" si="5"/>
        <v>108000.00000000009</v>
      </c>
      <c r="Q15" s="61">
        <f t="shared" si="6"/>
        <v>3240000.0000000033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8.75" customHeight="1" thickTop="1" x14ac:dyDescent="0.2">
      <c r="A16" s="52"/>
      <c r="B16" s="52"/>
      <c r="C16" s="52"/>
      <c r="D16" s="52"/>
      <c r="E16" s="52"/>
      <c r="F16" s="52"/>
      <c r="G16" s="52"/>
      <c r="H16" s="63" t="s">
        <v>29</v>
      </c>
      <c r="I16" s="64">
        <f>SUM(I10:I15)</f>
        <v>53</v>
      </c>
      <c r="J16" s="41"/>
      <c r="K16" s="113">
        <f>SUM(K9:K15)</f>
        <v>1</v>
      </c>
      <c r="L16" s="41"/>
      <c r="M16" s="41"/>
      <c r="N16" s="66">
        <f>SUM(N10:N15)</f>
        <v>2917.6499999999996</v>
      </c>
      <c r="O16" s="67">
        <f>SUM(O10:O15)</f>
        <v>170216.63250000001</v>
      </c>
      <c r="P16" s="67">
        <f>SUM(P10:P15)</f>
        <v>90000.000000000218</v>
      </c>
      <c r="Q16" s="67">
        <f>SUM(Q10:Q15)</f>
        <v>4920000.0000000028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2:30" ht="6" customHeight="1" x14ac:dyDescent="0.2">
      <c r="K17" s="68"/>
    </row>
    <row r="18" spans="2:30" ht="18.75" customHeight="1" x14ac:dyDescent="0.2">
      <c r="B18" s="69" t="s">
        <v>91</v>
      </c>
      <c r="C18" s="70"/>
      <c r="D18" s="70"/>
      <c r="E18" s="70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2"/>
    </row>
    <row r="19" spans="2:30" ht="25.5" customHeight="1" x14ac:dyDescent="0.2">
      <c r="B19" s="73"/>
      <c r="C19" s="74"/>
      <c r="D19" s="74"/>
      <c r="E19" s="74"/>
      <c r="F19" s="74"/>
      <c r="G19" s="74"/>
      <c r="H19" s="74"/>
      <c r="I19" s="75"/>
      <c r="J19" s="74"/>
      <c r="K19" s="76"/>
      <c r="L19" s="77"/>
      <c r="M19" s="74"/>
      <c r="N19" s="74"/>
      <c r="O19" s="74"/>
      <c r="P19" s="74"/>
      <c r="Q19" s="75"/>
      <c r="X19" s="78" t="s">
        <v>30</v>
      </c>
      <c r="Y19" s="79" t="s">
        <v>31</v>
      </c>
      <c r="Z19" s="79" t="s">
        <v>32</v>
      </c>
      <c r="AA19" s="78" t="s">
        <v>33</v>
      </c>
      <c r="AB19" s="79" t="s">
        <v>34</v>
      </c>
      <c r="AC19" s="79" t="s">
        <v>35</v>
      </c>
    </row>
    <row r="20" spans="2:30" ht="15.75" x14ac:dyDescent="0.25">
      <c r="B20" s="80" t="s">
        <v>36</v>
      </c>
      <c r="F20" s="81" t="s">
        <v>37</v>
      </c>
      <c r="G20" s="82" t="s">
        <v>38</v>
      </c>
      <c r="H20" s="83">
        <f>G13-E13</f>
        <v>10</v>
      </c>
      <c r="I20" s="84"/>
      <c r="K20" s="6" t="s">
        <v>39</v>
      </c>
      <c r="Q20" s="84"/>
      <c r="T20" s="6" t="s">
        <v>40</v>
      </c>
      <c r="W20" s="1" t="s">
        <v>41</v>
      </c>
      <c r="X20" s="16">
        <f>1/4</f>
        <v>0.25</v>
      </c>
      <c r="Y20" s="85">
        <f>COUNTIF(L10:L15,"&lt;=0.25")+1</f>
        <v>2</v>
      </c>
      <c r="Z20" s="16">
        <f t="shared" ref="Z20:Z28" ca="1" si="11">INDIRECT(ADDRESS(9+$Y20,5))</f>
        <v>40.049999999999997</v>
      </c>
      <c r="AA20" s="16">
        <f t="shared" ref="AA20:AA28" ca="1" si="12">INDIRECT(ADDRESS(9+$Y20,9))</f>
        <v>17</v>
      </c>
      <c r="AB20" s="16">
        <f t="shared" ref="AB20:AB28" ca="1" si="13">INDIRECT(ADDRESS(9+$Y20-1,10))</f>
        <v>5</v>
      </c>
      <c r="AC20" s="86">
        <f t="shared" ref="AC20:AC28" ca="1" si="14">Z20+(  ($H$24*X20)-AB20  )*$H$20/AA20</f>
        <v>44.902941176470584</v>
      </c>
      <c r="AD20" s="1">
        <f t="shared" ref="AD20:AD28" si="15">MATCH(X20,$L$10:$L$15,1)+1</f>
        <v>2</v>
      </c>
    </row>
    <row r="21" spans="2:30" ht="18" x14ac:dyDescent="0.3">
      <c r="B21" s="87"/>
      <c r="C21" s="52"/>
      <c r="D21" s="43"/>
      <c r="E21" s="43"/>
      <c r="F21" s="88"/>
      <c r="G21" s="43"/>
      <c r="H21" s="89"/>
      <c r="I21" s="84"/>
      <c r="K21" s="6" t="s">
        <v>42</v>
      </c>
      <c r="O21" s="90" t="s">
        <v>43</v>
      </c>
      <c r="P21" s="91">
        <f>(P16/I16)/(H36^3)</f>
        <v>0.6965841601612035</v>
      </c>
      <c r="Q21" s="84"/>
      <c r="T21" s="6" t="s">
        <v>44</v>
      </c>
      <c r="W21" s="1" t="s">
        <v>45</v>
      </c>
      <c r="X21" s="16">
        <f>1/2</f>
        <v>0.5</v>
      </c>
      <c r="Y21" s="85">
        <f>COUNTIF(L10:L15,"&lt;=0.5")+1</f>
        <v>3</v>
      </c>
      <c r="Z21" s="16">
        <f t="shared" ca="1" si="11"/>
        <v>50.05</v>
      </c>
      <c r="AA21" s="16">
        <f t="shared" ca="1" si="12"/>
        <v>16</v>
      </c>
      <c r="AB21" s="16">
        <f t="shared" ca="1" si="13"/>
        <v>22</v>
      </c>
      <c r="AC21" s="86">
        <f t="shared" ca="1" si="14"/>
        <v>52.862499999999997</v>
      </c>
      <c r="AD21" s="1">
        <f t="shared" si="15"/>
        <v>3</v>
      </c>
    </row>
    <row r="22" spans="2:30" ht="15.75" x14ac:dyDescent="0.25">
      <c r="B22" s="92" t="s">
        <v>46</v>
      </c>
      <c r="F22" s="81" t="s">
        <v>47</v>
      </c>
      <c r="G22" s="82" t="s">
        <v>38</v>
      </c>
      <c r="H22" s="93">
        <f>COUNT(I10:I15)</f>
        <v>6</v>
      </c>
      <c r="I22" s="84"/>
      <c r="Q22" s="84"/>
      <c r="T22" s="6" t="s">
        <v>48</v>
      </c>
      <c r="W22" s="94" t="s">
        <v>49</v>
      </c>
      <c r="X22" s="95">
        <f>3/4</f>
        <v>0.75</v>
      </c>
      <c r="Y22" s="96">
        <f>COUNTIF(L10:L15,"&lt;=0.75")+1</f>
        <v>4</v>
      </c>
      <c r="Z22" s="95">
        <f t="shared" ca="1" si="11"/>
        <v>60.05</v>
      </c>
      <c r="AA22" s="95">
        <f t="shared" ca="1" si="12"/>
        <v>7</v>
      </c>
      <c r="AB22" s="95">
        <f t="shared" ca="1" si="13"/>
        <v>38</v>
      </c>
      <c r="AC22" s="97">
        <f t="shared" ca="1" si="14"/>
        <v>62.55</v>
      </c>
      <c r="AD22" s="1">
        <f t="shared" si="15"/>
        <v>4</v>
      </c>
    </row>
    <row r="23" spans="2:30" ht="15.75" x14ac:dyDescent="0.25">
      <c r="B23" s="92"/>
      <c r="F23" s="81"/>
      <c r="H23" s="89"/>
      <c r="I23" s="84"/>
      <c r="K23" s="6" t="s">
        <v>50</v>
      </c>
      <c r="Q23" s="84"/>
      <c r="W23" s="1" t="s">
        <v>51</v>
      </c>
      <c r="X23" s="16">
        <f>1/10</f>
        <v>0.1</v>
      </c>
      <c r="Y23" s="85">
        <f>COUNTIF(L10:L15,"&lt;=0.1")+1</f>
        <v>2</v>
      </c>
      <c r="Z23" s="16">
        <f t="shared" ca="1" si="11"/>
        <v>40.049999999999997</v>
      </c>
      <c r="AA23" s="16">
        <f t="shared" ca="1" si="12"/>
        <v>17</v>
      </c>
      <c r="AB23" s="16">
        <f t="shared" ca="1" si="13"/>
        <v>5</v>
      </c>
      <c r="AC23" s="86">
        <f t="shared" ca="1" si="14"/>
        <v>40.226470588235294</v>
      </c>
      <c r="AD23" s="1">
        <f t="shared" si="15"/>
        <v>2</v>
      </c>
    </row>
    <row r="24" spans="2:30" ht="18" x14ac:dyDescent="0.3">
      <c r="B24" s="98" t="s">
        <v>52</v>
      </c>
      <c r="F24" s="81" t="s">
        <v>53</v>
      </c>
      <c r="G24" s="82" t="s">
        <v>38</v>
      </c>
      <c r="H24" s="99">
        <f>I16</f>
        <v>53</v>
      </c>
      <c r="I24" s="84"/>
      <c r="K24" s="6" t="s">
        <v>54</v>
      </c>
      <c r="O24" s="90" t="s">
        <v>55</v>
      </c>
      <c r="P24" s="91">
        <f>(Q16/I16)/(H34^2)</f>
        <v>2.8294270833332837</v>
      </c>
      <c r="Q24" s="84"/>
      <c r="W24" s="1" t="s">
        <v>56</v>
      </c>
      <c r="X24" s="16">
        <f>2/10</f>
        <v>0.2</v>
      </c>
      <c r="Y24" s="85">
        <f>COUNTIF(L10:L15,"&lt;=0.20")+1</f>
        <v>2</v>
      </c>
      <c r="Z24" s="16">
        <f t="shared" ca="1" si="11"/>
        <v>40.049999999999997</v>
      </c>
      <c r="AA24" s="16">
        <f t="shared" ca="1" si="12"/>
        <v>17</v>
      </c>
      <c r="AB24" s="16">
        <f t="shared" ca="1" si="13"/>
        <v>5</v>
      </c>
      <c r="AC24" s="86">
        <f t="shared" ca="1" si="14"/>
        <v>43.344117647058823</v>
      </c>
      <c r="AD24" s="1">
        <f t="shared" si="15"/>
        <v>2</v>
      </c>
    </row>
    <row r="25" spans="2:30" ht="15.75" x14ac:dyDescent="0.25">
      <c r="B25" s="87"/>
      <c r="F25" s="81"/>
      <c r="H25" s="100"/>
      <c r="I25" s="84"/>
      <c r="Q25" s="84"/>
      <c r="W25" s="1" t="s">
        <v>57</v>
      </c>
      <c r="X25" s="16">
        <f>3/10</f>
        <v>0.3</v>
      </c>
      <c r="Y25" s="85">
        <f>COUNTIF(L10:L15,"&lt;=0.30")+1</f>
        <v>2</v>
      </c>
      <c r="Z25" s="16">
        <f t="shared" ca="1" si="11"/>
        <v>40.049999999999997</v>
      </c>
      <c r="AA25" s="16">
        <f t="shared" ca="1" si="12"/>
        <v>17</v>
      </c>
      <c r="AB25" s="16">
        <f t="shared" ca="1" si="13"/>
        <v>5</v>
      </c>
      <c r="AC25" s="86">
        <f t="shared" ca="1" si="14"/>
        <v>46.461764705882352</v>
      </c>
      <c r="AD25" s="1">
        <f t="shared" si="15"/>
        <v>2</v>
      </c>
    </row>
    <row r="26" spans="2:30" ht="15.75" x14ac:dyDescent="0.25">
      <c r="B26" s="101" t="s">
        <v>58</v>
      </c>
      <c r="F26" s="81" t="s">
        <v>59</v>
      </c>
      <c r="G26" s="82" t="s">
        <v>38</v>
      </c>
      <c r="H26" s="102">
        <f>N16/I16</f>
        <v>55.04999999999999</v>
      </c>
      <c r="I26" s="84"/>
      <c r="L26" s="6"/>
      <c r="P26" s="16"/>
      <c r="Q26" s="84"/>
      <c r="W26" s="1" t="s">
        <v>60</v>
      </c>
      <c r="X26" s="16">
        <f>7/10</f>
        <v>0.7</v>
      </c>
      <c r="Y26" s="85">
        <f>COUNTIF(L10:L15,"&lt;=0.70")+1</f>
        <v>3</v>
      </c>
      <c r="Z26" s="16">
        <f t="shared" ca="1" si="11"/>
        <v>50.05</v>
      </c>
      <c r="AA26" s="16">
        <f t="shared" ca="1" si="12"/>
        <v>16</v>
      </c>
      <c r="AB26" s="16">
        <f t="shared" ca="1" si="13"/>
        <v>22</v>
      </c>
      <c r="AC26" s="86">
        <f t="shared" ca="1" si="14"/>
        <v>59.487499999999997</v>
      </c>
      <c r="AD26" s="1">
        <f t="shared" si="15"/>
        <v>3</v>
      </c>
    </row>
    <row r="27" spans="2:30" ht="15.75" x14ac:dyDescent="0.25">
      <c r="B27" s="101"/>
      <c r="F27" s="81"/>
      <c r="H27" s="100"/>
      <c r="I27" s="84"/>
      <c r="K27" s="6" t="s">
        <v>61</v>
      </c>
      <c r="Q27" s="103"/>
      <c r="W27" s="1" t="s">
        <v>62</v>
      </c>
      <c r="X27" s="16">
        <f>8/10</f>
        <v>0.8</v>
      </c>
      <c r="Y27" s="85">
        <f>COUNTIF(L10:L15,"&lt;=0.80")+1</f>
        <v>4</v>
      </c>
      <c r="Z27" s="16">
        <f t="shared" ca="1" si="11"/>
        <v>60.05</v>
      </c>
      <c r="AA27" s="16">
        <f t="shared" ca="1" si="12"/>
        <v>7</v>
      </c>
      <c r="AB27" s="16">
        <f t="shared" ca="1" si="13"/>
        <v>38</v>
      </c>
      <c r="AC27" s="86">
        <f t="shared" ca="1" si="14"/>
        <v>66.335714285714289</v>
      </c>
      <c r="AD27" s="1">
        <f t="shared" si="15"/>
        <v>4</v>
      </c>
    </row>
    <row r="28" spans="2:30" ht="19.5" x14ac:dyDescent="0.35">
      <c r="B28" s="87" t="s">
        <v>63</v>
      </c>
      <c r="F28" s="81" t="s">
        <v>59</v>
      </c>
      <c r="G28" s="82" t="s">
        <v>38</v>
      </c>
      <c r="H28" s="91">
        <f ca="1">AC21</f>
        <v>52.862499999999997</v>
      </c>
      <c r="I28" s="84"/>
      <c r="L28" s="104" t="s">
        <v>64</v>
      </c>
      <c r="N28" s="91">
        <f ca="1">AC20</f>
        <v>44.902941176470584</v>
      </c>
      <c r="Q28" s="103"/>
      <c r="W28" s="1" t="s">
        <v>65</v>
      </c>
      <c r="X28" s="16">
        <f>9/10</f>
        <v>0.9</v>
      </c>
      <c r="Y28" s="85">
        <f>COUNTIF(L10:L15,"&lt;=0.90")+1</f>
        <v>5</v>
      </c>
      <c r="Z28" s="16">
        <f t="shared" ca="1" si="11"/>
        <v>70.05</v>
      </c>
      <c r="AA28" s="16">
        <f t="shared" ca="1" si="12"/>
        <v>4</v>
      </c>
      <c r="AB28" s="16">
        <f t="shared" ca="1" si="13"/>
        <v>45</v>
      </c>
      <c r="AC28" s="86">
        <f t="shared" ca="1" si="14"/>
        <v>76.800000000000011</v>
      </c>
      <c r="AD28" s="1">
        <f t="shared" si="15"/>
        <v>5</v>
      </c>
    </row>
    <row r="29" spans="2:30" ht="19.5" x14ac:dyDescent="0.35">
      <c r="B29" s="87"/>
      <c r="F29" s="81"/>
      <c r="H29" s="100"/>
      <c r="I29" s="84"/>
      <c r="L29" s="104" t="s">
        <v>66</v>
      </c>
      <c r="N29" s="91">
        <f t="shared" ref="N29:N36" ca="1" si="16">AC21</f>
        <v>52.862499999999997</v>
      </c>
      <c r="Q29" s="84"/>
      <c r="Z29" s="16"/>
    </row>
    <row r="30" spans="2:30" ht="19.5" x14ac:dyDescent="0.35">
      <c r="B30" s="87" t="s">
        <v>67</v>
      </c>
      <c r="F30" s="81" t="s">
        <v>68</v>
      </c>
      <c r="G30" s="82" t="s">
        <v>38</v>
      </c>
      <c r="H30" s="91">
        <f ca="1">Y35+ (  $H$20*(Y32-Y33) / ((Y32-Y33)+(Y32-Y34))  )</f>
        <v>49.280769230769224</v>
      </c>
      <c r="I30" s="84"/>
      <c r="L30" s="104" t="s">
        <v>69</v>
      </c>
      <c r="N30" s="91">
        <f t="shared" ca="1" si="16"/>
        <v>62.55</v>
      </c>
      <c r="Q30" s="84"/>
      <c r="Z30" s="16"/>
    </row>
    <row r="31" spans="2:30" ht="19.5" x14ac:dyDescent="0.35">
      <c r="B31" s="87"/>
      <c r="E31"/>
      <c r="F31" s="105" t="s">
        <v>70</v>
      </c>
      <c r="G31" s="82" t="s">
        <v>38</v>
      </c>
      <c r="H31" s="102">
        <f ca="1">Y36</f>
        <v>45.05</v>
      </c>
      <c r="I31" s="84"/>
      <c r="L31" s="104" t="s">
        <v>71</v>
      </c>
      <c r="N31" s="91">
        <f t="shared" ca="1" si="16"/>
        <v>40.226470588235294</v>
      </c>
      <c r="Q31" s="84"/>
      <c r="T31" s="1" t="s">
        <v>72</v>
      </c>
      <c r="Y31" s="16">
        <f>MATCH(MAX(I10:I15),I10:I15,0)</f>
        <v>2</v>
      </c>
      <c r="Z31" s="16"/>
    </row>
    <row r="32" spans="2:30" ht="19.5" x14ac:dyDescent="0.35">
      <c r="B32" s="92" t="s">
        <v>73</v>
      </c>
      <c r="D32" s="6"/>
      <c r="F32" s="81" t="s">
        <v>74</v>
      </c>
      <c r="G32" s="82" t="s">
        <v>38</v>
      </c>
      <c r="H32" s="83">
        <f>G15-E10</f>
        <v>60</v>
      </c>
      <c r="I32" s="84"/>
      <c r="L32" s="104" t="s">
        <v>75</v>
      </c>
      <c r="N32" s="91">
        <f t="shared" ca="1" si="16"/>
        <v>43.344117647058823</v>
      </c>
      <c r="Q32" s="84"/>
      <c r="T32" s="1" t="s">
        <v>76</v>
      </c>
      <c r="Y32" s="16">
        <f ca="1">INDIRECT(ADDRESS(9+$Y$31,9))</f>
        <v>17</v>
      </c>
      <c r="Z32" s="16"/>
    </row>
    <row r="33" spans="2:25" ht="19.5" x14ac:dyDescent="0.35">
      <c r="B33" s="87"/>
      <c r="F33" s="81"/>
      <c r="H33" s="100"/>
      <c r="I33" s="84"/>
      <c r="L33" s="104" t="s">
        <v>77</v>
      </c>
      <c r="N33" s="91">
        <f t="shared" ca="1" si="16"/>
        <v>46.461764705882352</v>
      </c>
      <c r="Q33" s="84"/>
      <c r="T33" s="6" t="s">
        <v>78</v>
      </c>
      <c r="Y33" s="16">
        <f ca="1">INDIRECT(ADDRESS(9+$Y$31-1,9))</f>
        <v>5</v>
      </c>
    </row>
    <row r="34" spans="2:25" ht="20.25" x14ac:dyDescent="0.35">
      <c r="B34" s="87" t="s">
        <v>79</v>
      </c>
      <c r="F34" s="106" t="s">
        <v>80</v>
      </c>
      <c r="G34" s="82" t="s">
        <v>38</v>
      </c>
      <c r="H34" s="91">
        <f>(O16-I16*(H26^2))/I16</f>
        <v>181.13207547169975</v>
      </c>
      <c r="I34" s="84"/>
      <c r="L34" s="104" t="s">
        <v>81</v>
      </c>
      <c r="N34" s="91">
        <f t="shared" ca="1" si="16"/>
        <v>59.487499999999997</v>
      </c>
      <c r="Q34" s="84"/>
      <c r="T34" s="6" t="s">
        <v>82</v>
      </c>
      <c r="Y34" s="16">
        <f ca="1">INDIRECT(ADDRESS(9+$Y$31+1,9))</f>
        <v>16</v>
      </c>
    </row>
    <row r="35" spans="2:25" ht="19.5" x14ac:dyDescent="0.35">
      <c r="B35" s="87"/>
      <c r="F35" s="81"/>
      <c r="H35" s="100"/>
      <c r="I35" s="84"/>
      <c r="L35" s="104" t="s">
        <v>83</v>
      </c>
      <c r="N35" s="91">
        <f t="shared" ca="1" si="16"/>
        <v>66.335714285714289</v>
      </c>
      <c r="Q35" s="84"/>
      <c r="T35" s="1" t="s">
        <v>84</v>
      </c>
      <c r="Y35" s="16">
        <f ca="1">INDIRECT(ADDRESS(9+$Y$31,5))</f>
        <v>40.049999999999997</v>
      </c>
    </row>
    <row r="36" spans="2:25" ht="19.5" x14ac:dyDescent="0.35">
      <c r="B36" s="87" t="s">
        <v>85</v>
      </c>
      <c r="F36" s="81" t="s">
        <v>86</v>
      </c>
      <c r="G36" s="82" t="s">
        <v>38</v>
      </c>
      <c r="H36" s="91">
        <f>SQRT(H34)</f>
        <v>13.458531698209123</v>
      </c>
      <c r="I36" s="84"/>
      <c r="L36" s="104" t="s">
        <v>87</v>
      </c>
      <c r="N36" s="91">
        <f t="shared" ca="1" si="16"/>
        <v>76.800000000000011</v>
      </c>
      <c r="Q36" s="84"/>
      <c r="T36" s="1" t="s">
        <v>88</v>
      </c>
      <c r="Y36" s="16">
        <f ca="1">INDIRECT(ADDRESS(9+$Y$31,8))</f>
        <v>45.05</v>
      </c>
    </row>
    <row r="37" spans="2:25" x14ac:dyDescent="0.2">
      <c r="B37" s="87"/>
      <c r="I37" s="84"/>
      <c r="Q37" s="84"/>
    </row>
    <row r="38" spans="2:25" ht="15.75" x14ac:dyDescent="0.25">
      <c r="B38" s="87" t="s">
        <v>89</v>
      </c>
      <c r="F38" s="81" t="s">
        <v>90</v>
      </c>
      <c r="G38" s="82" t="s">
        <v>38</v>
      </c>
      <c r="H38" s="91">
        <f>H36/H26</f>
        <v>0.2444783233098842</v>
      </c>
      <c r="I38" s="84"/>
      <c r="Q38" s="84"/>
    </row>
    <row r="39" spans="2:25" ht="15.75" x14ac:dyDescent="0.25">
      <c r="B39" s="107"/>
      <c r="C39" s="94"/>
      <c r="D39" s="94"/>
      <c r="E39" s="94"/>
      <c r="F39" s="108"/>
      <c r="G39" s="94"/>
      <c r="H39" s="109"/>
      <c r="I39" s="40"/>
      <c r="J39" s="94"/>
      <c r="K39" s="94"/>
      <c r="L39" s="94"/>
      <c r="M39" s="94"/>
      <c r="N39" s="94"/>
      <c r="O39" s="94"/>
      <c r="P39" s="94"/>
      <c r="Q39" s="40"/>
    </row>
    <row r="41" spans="2:25" ht="12.75" customHeight="1" x14ac:dyDescent="0.2">
      <c r="B41" s="110"/>
      <c r="C41" s="110"/>
      <c r="D41" s="68"/>
      <c r="E41" s="110"/>
      <c r="F41" s="110"/>
      <c r="G41" s="110"/>
      <c r="H41" s="110"/>
    </row>
    <row r="42" spans="2:25" ht="15.75" customHeight="1" x14ac:dyDescent="0.25">
      <c r="D42" s="111"/>
    </row>
    <row r="43" spans="2:25" ht="15.75" customHeight="1" x14ac:dyDescent="0.2">
      <c r="D43" s="112"/>
    </row>
    <row r="46" spans="2:25" ht="12.75" customHeight="1" x14ac:dyDescent="0.2">
      <c r="B46" s="89"/>
    </row>
    <row r="47" spans="2:25" ht="12.75" customHeight="1" x14ac:dyDescent="0.2">
      <c r="B47" s="89"/>
    </row>
    <row r="48" spans="2:25" ht="12.75" customHeight="1" x14ac:dyDescent="0.2">
      <c r="B48" s="89"/>
    </row>
    <row r="55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F5C-F7B4-4577-89F9-EC6D4D0F2FC1}">
  <sheetPr>
    <pageSetUpPr fitToPage="1"/>
  </sheetPr>
  <dimension ref="A1:AD56"/>
  <sheetViews>
    <sheetView showGridLines="0" zoomScale="75" workbookViewId="0">
      <selection activeCell="D5" sqref="D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115">
        <v>0.1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110</v>
      </c>
      <c r="C9" s="32" t="s">
        <v>28</v>
      </c>
      <c r="D9" s="33">
        <f>D10-D4</f>
        <v>119.9</v>
      </c>
      <c r="E9" s="34">
        <f>E10-D4</f>
        <v>109.94999999999999</v>
      </c>
      <c r="F9" s="32" t="s">
        <v>28</v>
      </c>
      <c r="G9" s="35">
        <f>E10</f>
        <v>119.94999999999999</v>
      </c>
      <c r="H9" s="36">
        <f>H10-D4</f>
        <v>114.94999999999999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120</v>
      </c>
      <c r="C10" s="43" t="s">
        <v>28</v>
      </c>
      <c r="D10" s="44">
        <f>B10+D4-G4</f>
        <v>129.9</v>
      </c>
      <c r="E10" s="45">
        <f>G10-$D$4</f>
        <v>119.94999999999999</v>
      </c>
      <c r="F10" s="41" t="s">
        <v>28</v>
      </c>
      <c r="G10" s="46">
        <f>(B11+D10)/2</f>
        <v>129.94999999999999</v>
      </c>
      <c r="H10" s="47">
        <f t="shared" ref="H10:H15" si="0">(E10+G10)/2</f>
        <v>124.94999999999999</v>
      </c>
      <c r="I10" s="47">
        <v>5</v>
      </c>
      <c r="J10" s="48">
        <f t="shared" ref="J10:J15" si="1">J9+I10</f>
        <v>5</v>
      </c>
      <c r="K10" s="49">
        <f t="shared" ref="K10:K16" si="2">I10/$I$17</f>
        <v>8.6206896551724144E-2</v>
      </c>
      <c r="L10" s="50">
        <f>K10</f>
        <v>8.6206896551724144E-2</v>
      </c>
      <c r="M10" s="51"/>
      <c r="N10" s="50">
        <f t="shared" ref="N10:N15" si="3">H10*I10</f>
        <v>624.75</v>
      </c>
      <c r="O10" s="50">
        <f t="shared" ref="O10:O15" si="4">(H10^2)*I10</f>
        <v>78062.512499999983</v>
      </c>
      <c r="P10" s="50">
        <f t="shared" ref="P10:P16" si="5">I10*(H10-$H$27)^3</f>
        <v>-64461.847554225169</v>
      </c>
      <c r="Q10" s="50">
        <f t="shared" ref="Q10:Q16" si="6">I10*(H10-$H$27)^4</f>
        <v>1511519.1840301068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6" si="7">B10+$D$4</f>
        <v>130</v>
      </c>
      <c r="C11" s="43" t="s">
        <v>28</v>
      </c>
      <c r="D11" s="44">
        <f t="shared" ref="D11:E16" si="8">D10+$D$4</f>
        <v>139.9</v>
      </c>
      <c r="E11" s="53">
        <f t="shared" si="8"/>
        <v>129.94999999999999</v>
      </c>
      <c r="F11" s="41" t="s">
        <v>28</v>
      </c>
      <c r="G11" s="46">
        <f t="shared" ref="G11:G16" si="9">G10+$D$4</f>
        <v>139.94999999999999</v>
      </c>
      <c r="H11" s="47">
        <f t="shared" si="0"/>
        <v>134.94999999999999</v>
      </c>
      <c r="I11" s="47">
        <v>17</v>
      </c>
      <c r="J11" s="48">
        <f t="shared" si="1"/>
        <v>22</v>
      </c>
      <c r="K11" s="49">
        <f t="shared" si="2"/>
        <v>0.29310344827586204</v>
      </c>
      <c r="L11" s="50">
        <f t="shared" ref="L11:L15" si="10">L10+K11</f>
        <v>0.37931034482758619</v>
      </c>
      <c r="M11" s="51"/>
      <c r="N11" s="50">
        <f t="shared" si="3"/>
        <v>2294.1499999999996</v>
      </c>
      <c r="O11" s="50">
        <f t="shared" si="4"/>
        <v>309595.54249999998</v>
      </c>
      <c r="P11" s="50">
        <f t="shared" si="5"/>
        <v>-41347.451720037614</v>
      </c>
      <c r="Q11" s="50">
        <f t="shared" si="6"/>
        <v>556051.93692464323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140</v>
      </c>
      <c r="C12" s="43" t="s">
        <v>28</v>
      </c>
      <c r="D12" s="44">
        <f t="shared" si="8"/>
        <v>149.9</v>
      </c>
      <c r="E12" s="53">
        <f t="shared" si="8"/>
        <v>139.94999999999999</v>
      </c>
      <c r="F12" s="41" t="s">
        <v>28</v>
      </c>
      <c r="G12" s="46">
        <f t="shared" si="9"/>
        <v>149.94999999999999</v>
      </c>
      <c r="H12" s="47">
        <f t="shared" si="0"/>
        <v>144.94999999999999</v>
      </c>
      <c r="I12" s="47">
        <v>16</v>
      </c>
      <c r="J12" s="48">
        <f t="shared" si="1"/>
        <v>38</v>
      </c>
      <c r="K12" s="49">
        <f t="shared" si="2"/>
        <v>0.27586206896551724</v>
      </c>
      <c r="L12" s="50">
        <f t="shared" si="10"/>
        <v>0.65517241379310343</v>
      </c>
      <c r="M12" s="51"/>
      <c r="N12" s="50">
        <f t="shared" si="3"/>
        <v>2319.1999999999998</v>
      </c>
      <c r="O12" s="50">
        <f t="shared" si="4"/>
        <v>336168.03999999992</v>
      </c>
      <c r="P12" s="50">
        <f t="shared" si="5"/>
        <v>-656.03345770633632</v>
      </c>
      <c r="Q12" s="50">
        <f t="shared" si="6"/>
        <v>2262.184336918393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150</v>
      </c>
      <c r="C13" s="43" t="s">
        <v>28</v>
      </c>
      <c r="D13" s="44">
        <f t="shared" si="8"/>
        <v>159.9</v>
      </c>
      <c r="E13" s="53">
        <f t="shared" si="8"/>
        <v>149.94999999999999</v>
      </c>
      <c r="F13" s="41" t="s">
        <v>28</v>
      </c>
      <c r="G13" s="46">
        <f t="shared" si="9"/>
        <v>159.94999999999999</v>
      </c>
      <c r="H13" s="47">
        <f t="shared" si="0"/>
        <v>154.94999999999999</v>
      </c>
      <c r="I13" s="47">
        <v>7</v>
      </c>
      <c r="J13" s="48">
        <f t="shared" si="1"/>
        <v>45</v>
      </c>
      <c r="K13" s="49">
        <f t="shared" si="2"/>
        <v>0.1206896551724138</v>
      </c>
      <c r="L13" s="50">
        <f t="shared" si="10"/>
        <v>0.77586206896551724</v>
      </c>
      <c r="M13" s="51"/>
      <c r="N13" s="50">
        <f t="shared" si="3"/>
        <v>1084.6499999999999</v>
      </c>
      <c r="O13" s="50">
        <f t="shared" si="4"/>
        <v>168066.51749999996</v>
      </c>
      <c r="P13" s="50">
        <f t="shared" si="5"/>
        <v>1968.6334003034262</v>
      </c>
      <c r="Q13" s="50">
        <f t="shared" si="6"/>
        <v>12897.942967505227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160</v>
      </c>
      <c r="C14" s="43" t="s">
        <v>28</v>
      </c>
      <c r="D14" s="44">
        <f t="shared" si="8"/>
        <v>169.9</v>
      </c>
      <c r="E14" s="53">
        <f t="shared" si="8"/>
        <v>159.94999999999999</v>
      </c>
      <c r="F14" s="41" t="s">
        <v>28</v>
      </c>
      <c r="G14" s="46">
        <f t="shared" si="9"/>
        <v>169.95</v>
      </c>
      <c r="H14" s="47">
        <f t="shared" si="0"/>
        <v>164.95</v>
      </c>
      <c r="I14" s="47">
        <v>4</v>
      </c>
      <c r="J14" s="48">
        <f t="shared" si="1"/>
        <v>49</v>
      </c>
      <c r="K14" s="49">
        <f t="shared" si="2"/>
        <v>6.8965517241379309E-2</v>
      </c>
      <c r="L14" s="50">
        <f t="shared" si="10"/>
        <v>0.84482758620689657</v>
      </c>
      <c r="M14" s="51"/>
      <c r="N14" s="50">
        <f t="shared" si="3"/>
        <v>659.8</v>
      </c>
      <c r="O14" s="50">
        <f t="shared" si="4"/>
        <v>108834.00999999998</v>
      </c>
      <c r="P14" s="50">
        <f t="shared" si="5"/>
        <v>18138.013038665009</v>
      </c>
      <c r="Q14" s="50">
        <f t="shared" si="6"/>
        <v>300215.3882261797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170</v>
      </c>
      <c r="C15" s="43" t="s">
        <v>28</v>
      </c>
      <c r="D15" s="44">
        <f t="shared" si="8"/>
        <v>179.9</v>
      </c>
      <c r="E15" s="53">
        <f t="shared" si="8"/>
        <v>169.95</v>
      </c>
      <c r="F15" s="41" t="s">
        <v>28</v>
      </c>
      <c r="G15" s="46">
        <f t="shared" si="9"/>
        <v>179.95</v>
      </c>
      <c r="H15" s="47">
        <f t="shared" si="0"/>
        <v>174.95</v>
      </c>
      <c r="I15" s="47">
        <v>4</v>
      </c>
      <c r="J15" s="48">
        <f t="shared" si="1"/>
        <v>53</v>
      </c>
      <c r="K15" s="49">
        <f t="shared" si="2"/>
        <v>6.8965517241379309E-2</v>
      </c>
      <c r="L15" s="50">
        <f t="shared" si="10"/>
        <v>0.91379310344827591</v>
      </c>
      <c r="M15" s="51"/>
      <c r="N15" s="50">
        <f t="shared" si="3"/>
        <v>699.8</v>
      </c>
      <c r="O15" s="50">
        <f t="shared" si="4"/>
        <v>122430.00999999998</v>
      </c>
      <c r="P15" s="50">
        <f t="shared" si="5"/>
        <v>74875.230636762572</v>
      </c>
      <c r="Q15" s="50">
        <f t="shared" si="6"/>
        <v>1988066.4686312829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thickBot="1" x14ac:dyDescent="0.25">
      <c r="A16" s="41">
        <v>7</v>
      </c>
      <c r="B16" s="54">
        <f t="shared" si="7"/>
        <v>180</v>
      </c>
      <c r="C16" s="55" t="s">
        <v>28</v>
      </c>
      <c r="D16" s="56">
        <f t="shared" si="8"/>
        <v>189.9</v>
      </c>
      <c r="E16" s="57">
        <f t="shared" si="8"/>
        <v>179.95</v>
      </c>
      <c r="F16" s="58" t="s">
        <v>28</v>
      </c>
      <c r="G16" s="59">
        <f t="shared" si="9"/>
        <v>189.95</v>
      </c>
      <c r="H16" s="60">
        <f t="shared" ref="H16" si="11">(E16+G16)/2</f>
        <v>184.95</v>
      </c>
      <c r="I16" s="60">
        <v>5</v>
      </c>
      <c r="J16" s="54">
        <f t="shared" ref="J16" si="12">J15+I16</f>
        <v>58</v>
      </c>
      <c r="K16" s="114">
        <f t="shared" si="2"/>
        <v>8.6206896551724144E-2</v>
      </c>
      <c r="L16" s="61">
        <f t="shared" ref="L16" si="13">L15+K16</f>
        <v>1</v>
      </c>
      <c r="M16" s="62"/>
      <c r="N16" s="61">
        <f t="shared" ref="N16" si="14">H16*I16</f>
        <v>924.75</v>
      </c>
      <c r="O16" s="61">
        <f t="shared" ref="O16" si="15">(H16^2)*I16</f>
        <v>171032.51249999998</v>
      </c>
      <c r="P16" s="61">
        <f t="shared" si="5"/>
        <v>244170.73270736833</v>
      </c>
      <c r="Q16" s="61">
        <f t="shared" si="6"/>
        <v>8924861.2644762248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8.75" customHeight="1" thickTop="1" x14ac:dyDescent="0.2">
      <c r="A17" s="52"/>
      <c r="B17" s="52"/>
      <c r="C17" s="52"/>
      <c r="D17" s="52"/>
      <c r="E17" s="52"/>
      <c r="F17" s="52"/>
      <c r="G17" s="52"/>
      <c r="H17" s="63" t="s">
        <v>29</v>
      </c>
      <c r="I17" s="64">
        <f>SUM(I10:I16)</f>
        <v>58</v>
      </c>
      <c r="J17" s="41"/>
      <c r="K17" s="113">
        <f>SUM(K9:K16)</f>
        <v>1</v>
      </c>
      <c r="L17" s="41"/>
      <c r="M17" s="41"/>
      <c r="N17" s="66">
        <f>SUM(N10:N16)</f>
        <v>8607.0999999999985</v>
      </c>
      <c r="O17" s="67">
        <f>SUM(O10:O16)</f>
        <v>1294189.1449999998</v>
      </c>
      <c r="P17" s="67">
        <f>SUM(P10:P16)</f>
        <v>232687.27705113022</v>
      </c>
      <c r="Q17" s="67">
        <f>SUM(Q10:Q16)</f>
        <v>13295874.36959286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6" customHeight="1" x14ac:dyDescent="0.2">
      <c r="K18" s="68"/>
    </row>
    <row r="19" spans="1:30" ht="18.75" customHeight="1" x14ac:dyDescent="0.2">
      <c r="B19" s="69" t="s">
        <v>91</v>
      </c>
      <c r="C19" s="70"/>
      <c r="D19" s="70"/>
      <c r="E19" s="70"/>
      <c r="F19" s="70"/>
      <c r="G19" s="70"/>
      <c r="H19" s="70"/>
      <c r="I19" s="70"/>
      <c r="J19" s="70"/>
      <c r="K19" s="71"/>
      <c r="L19" s="70"/>
      <c r="M19" s="70"/>
      <c r="N19" s="70"/>
      <c r="O19" s="70"/>
      <c r="P19" s="70"/>
      <c r="Q19" s="72"/>
    </row>
    <row r="20" spans="1:30" ht="25.5" customHeight="1" x14ac:dyDescent="0.2">
      <c r="B20" s="73"/>
      <c r="C20" s="74"/>
      <c r="D20" s="74"/>
      <c r="E20" s="74"/>
      <c r="F20" s="74"/>
      <c r="G20" s="74"/>
      <c r="H20" s="74"/>
      <c r="I20" s="75"/>
      <c r="J20" s="74"/>
      <c r="K20" s="76"/>
      <c r="L20" s="77"/>
      <c r="M20" s="74"/>
      <c r="N20" s="74"/>
      <c r="O20" s="74"/>
      <c r="P20" s="74"/>
      <c r="Q20" s="75"/>
      <c r="X20" s="78" t="s">
        <v>30</v>
      </c>
      <c r="Y20" s="79" t="s">
        <v>31</v>
      </c>
      <c r="Z20" s="79" t="s">
        <v>32</v>
      </c>
      <c r="AA20" s="78" t="s">
        <v>33</v>
      </c>
      <c r="AB20" s="79" t="s">
        <v>34</v>
      </c>
      <c r="AC20" s="79" t="s">
        <v>35</v>
      </c>
    </row>
    <row r="21" spans="1:30" ht="15.75" x14ac:dyDescent="0.25">
      <c r="B21" s="80" t="s">
        <v>36</v>
      </c>
      <c r="F21" s="81" t="s">
        <v>37</v>
      </c>
      <c r="G21" s="82" t="s">
        <v>38</v>
      </c>
      <c r="H21" s="83">
        <f>G13-E13</f>
        <v>10</v>
      </c>
      <c r="I21" s="84"/>
      <c r="K21" s="6" t="s">
        <v>39</v>
      </c>
      <c r="Q21" s="84"/>
      <c r="T21" s="6" t="s">
        <v>40</v>
      </c>
      <c r="W21" s="1" t="s">
        <v>41</v>
      </c>
      <c r="X21" s="16">
        <f>1/4</f>
        <v>0.25</v>
      </c>
      <c r="Y21" s="85">
        <f>COUNTIF(L10:L16,"&lt;=0.25")+1</f>
        <v>2</v>
      </c>
      <c r="Z21" s="16">
        <f t="shared" ref="Z21:Z29" ca="1" si="16">INDIRECT(ADDRESS(9+$Y21,5))</f>
        <v>129.94999999999999</v>
      </c>
      <c r="AA21" s="16">
        <f t="shared" ref="AA21:AA29" ca="1" si="17">INDIRECT(ADDRESS(9+$Y21,9))</f>
        <v>17</v>
      </c>
      <c r="AB21" s="16">
        <f t="shared" ref="AB21:AB29" ca="1" si="18">INDIRECT(ADDRESS(9+$Y21-1,10))</f>
        <v>5</v>
      </c>
      <c r="AC21" s="86">
        <f t="shared" ref="AC21:AC29" ca="1" si="19">Z21+(  ($H$25*X21)-AB21  )*$H$21/AA21</f>
        <v>135.53823529411764</v>
      </c>
      <c r="AD21" s="1">
        <f t="shared" ref="AD21:AD29" si="20">MATCH(X21,$L$10:$L$16,1)+1</f>
        <v>2</v>
      </c>
    </row>
    <row r="22" spans="1:30" ht="18" x14ac:dyDescent="0.3">
      <c r="B22" s="87"/>
      <c r="C22" s="52"/>
      <c r="D22" s="43"/>
      <c r="E22" s="43"/>
      <c r="F22" s="88"/>
      <c r="G22" s="43"/>
      <c r="H22" s="89"/>
      <c r="I22" s="84"/>
      <c r="K22" s="6" t="s">
        <v>42</v>
      </c>
      <c r="O22" s="90" t="s">
        <v>43</v>
      </c>
      <c r="P22" s="91">
        <f>(P17/I17)/(H37^3)</f>
        <v>0.80585691851590924</v>
      </c>
      <c r="Q22" s="84"/>
      <c r="T22" s="6" t="s">
        <v>44</v>
      </c>
      <c r="W22" s="1" t="s">
        <v>45</v>
      </c>
      <c r="X22" s="16">
        <f>1/2</f>
        <v>0.5</v>
      </c>
      <c r="Y22" s="85">
        <f>COUNTIF(L10:L16,"&lt;=0.5")+1</f>
        <v>3</v>
      </c>
      <c r="Z22" s="16">
        <f t="shared" ca="1" si="16"/>
        <v>139.94999999999999</v>
      </c>
      <c r="AA22" s="16">
        <f t="shared" ca="1" si="17"/>
        <v>16</v>
      </c>
      <c r="AB22" s="16">
        <f t="shared" ca="1" si="18"/>
        <v>22</v>
      </c>
      <c r="AC22" s="86">
        <f t="shared" ca="1" si="19"/>
        <v>144.32499999999999</v>
      </c>
      <c r="AD22" s="1">
        <f t="shared" si="20"/>
        <v>3</v>
      </c>
    </row>
    <row r="23" spans="1:30" ht="15.75" x14ac:dyDescent="0.25">
      <c r="B23" s="92" t="s">
        <v>46</v>
      </c>
      <c r="F23" s="81" t="s">
        <v>47</v>
      </c>
      <c r="G23" s="82" t="s">
        <v>38</v>
      </c>
      <c r="H23" s="93">
        <f>COUNT(I10:I16)</f>
        <v>7</v>
      </c>
      <c r="I23" s="84"/>
      <c r="Q23" s="84"/>
      <c r="T23" s="6" t="s">
        <v>48</v>
      </c>
      <c r="W23" s="94" t="s">
        <v>49</v>
      </c>
      <c r="X23" s="95">
        <f>3/4</f>
        <v>0.75</v>
      </c>
      <c r="Y23" s="96">
        <f>COUNTIF(L10:L16,"&lt;=0.75")+1</f>
        <v>4</v>
      </c>
      <c r="Z23" s="95">
        <f t="shared" ca="1" si="16"/>
        <v>149.94999999999999</v>
      </c>
      <c r="AA23" s="95">
        <f t="shared" ca="1" si="17"/>
        <v>7</v>
      </c>
      <c r="AB23" s="95">
        <f t="shared" ca="1" si="18"/>
        <v>38</v>
      </c>
      <c r="AC23" s="97">
        <f t="shared" ca="1" si="19"/>
        <v>157.80714285714285</v>
      </c>
      <c r="AD23" s="1">
        <f t="shared" si="20"/>
        <v>4</v>
      </c>
    </row>
    <row r="24" spans="1:30" ht="15.75" x14ac:dyDescent="0.25">
      <c r="B24" s="92"/>
      <c r="F24" s="81"/>
      <c r="H24" s="89"/>
      <c r="I24" s="84"/>
      <c r="K24" s="6" t="s">
        <v>50</v>
      </c>
      <c r="Q24" s="84"/>
      <c r="W24" s="1" t="s">
        <v>51</v>
      </c>
      <c r="X24" s="16">
        <f>1/10</f>
        <v>0.1</v>
      </c>
      <c r="Y24" s="85">
        <f>COUNTIF(L10:L16,"&lt;=0.1")+1</f>
        <v>2</v>
      </c>
      <c r="Z24" s="16">
        <f t="shared" ca="1" si="16"/>
        <v>129.94999999999999</v>
      </c>
      <c r="AA24" s="16">
        <f t="shared" ca="1" si="17"/>
        <v>17</v>
      </c>
      <c r="AB24" s="16">
        <f t="shared" ca="1" si="18"/>
        <v>5</v>
      </c>
      <c r="AC24" s="86">
        <f t="shared" ca="1" si="19"/>
        <v>130.4205882352941</v>
      </c>
      <c r="AD24" s="1">
        <f t="shared" si="20"/>
        <v>2</v>
      </c>
    </row>
    <row r="25" spans="1:30" ht="18" x14ac:dyDescent="0.3">
      <c r="B25" s="98" t="s">
        <v>52</v>
      </c>
      <c r="F25" s="81" t="s">
        <v>53</v>
      </c>
      <c r="G25" s="82" t="s">
        <v>38</v>
      </c>
      <c r="H25" s="99">
        <f>I17</f>
        <v>58</v>
      </c>
      <c r="I25" s="84"/>
      <c r="K25" s="6" t="s">
        <v>54</v>
      </c>
      <c r="O25" s="90" t="s">
        <v>55</v>
      </c>
      <c r="P25" s="91">
        <f>(Q17/I17)/(H35^2)</f>
        <v>2.6967455404782918</v>
      </c>
      <c r="Q25" s="84"/>
      <c r="W25" s="1" t="s">
        <v>56</v>
      </c>
      <c r="X25" s="16">
        <f>2/10</f>
        <v>0.2</v>
      </c>
      <c r="Y25" s="85">
        <f>COUNTIF(L10:L16,"&lt;=0.20")+1</f>
        <v>2</v>
      </c>
      <c r="Z25" s="16">
        <f t="shared" ca="1" si="16"/>
        <v>129.94999999999999</v>
      </c>
      <c r="AA25" s="16">
        <f t="shared" ca="1" si="17"/>
        <v>17</v>
      </c>
      <c r="AB25" s="16">
        <f t="shared" ca="1" si="18"/>
        <v>5</v>
      </c>
      <c r="AC25" s="86">
        <f t="shared" ca="1" si="19"/>
        <v>133.83235294117645</v>
      </c>
      <c r="AD25" s="1">
        <f t="shared" si="20"/>
        <v>2</v>
      </c>
    </row>
    <row r="26" spans="1:30" ht="15.75" x14ac:dyDescent="0.25">
      <c r="B26" s="87"/>
      <c r="F26" s="81"/>
      <c r="H26" s="100"/>
      <c r="I26" s="84"/>
      <c r="Q26" s="84"/>
      <c r="W26" s="1" t="s">
        <v>57</v>
      </c>
      <c r="X26" s="16">
        <f>3/10</f>
        <v>0.3</v>
      </c>
      <c r="Y26" s="85">
        <f>COUNTIF(L10:L16,"&lt;=0.30")+1</f>
        <v>2</v>
      </c>
      <c r="Z26" s="16">
        <f t="shared" ca="1" si="16"/>
        <v>129.94999999999999</v>
      </c>
      <c r="AA26" s="16">
        <f t="shared" ca="1" si="17"/>
        <v>17</v>
      </c>
      <c r="AB26" s="16">
        <f t="shared" ca="1" si="18"/>
        <v>5</v>
      </c>
      <c r="AC26" s="86">
        <f t="shared" ca="1" si="19"/>
        <v>137.2441176470588</v>
      </c>
      <c r="AD26" s="1">
        <f t="shared" si="20"/>
        <v>2</v>
      </c>
    </row>
    <row r="27" spans="1:30" ht="15.75" x14ac:dyDescent="0.25">
      <c r="B27" s="101" t="s">
        <v>58</v>
      </c>
      <c r="F27" s="81" t="s">
        <v>59</v>
      </c>
      <c r="G27" s="82" t="s">
        <v>38</v>
      </c>
      <c r="H27" s="102">
        <f>N17/I17</f>
        <v>148.39827586206894</v>
      </c>
      <c r="I27" s="84"/>
      <c r="L27" s="6"/>
      <c r="P27" s="16"/>
      <c r="Q27" s="84"/>
      <c r="W27" s="1" t="s">
        <v>60</v>
      </c>
      <c r="X27" s="16">
        <f>7/10</f>
        <v>0.7</v>
      </c>
      <c r="Y27" s="85">
        <f>COUNTIF(L10:L16,"&lt;=0.70")+1</f>
        <v>4</v>
      </c>
      <c r="Z27" s="16">
        <f t="shared" ca="1" si="16"/>
        <v>149.94999999999999</v>
      </c>
      <c r="AA27" s="16">
        <f t="shared" ca="1" si="17"/>
        <v>7</v>
      </c>
      <c r="AB27" s="16">
        <f t="shared" ca="1" si="18"/>
        <v>38</v>
      </c>
      <c r="AC27" s="86">
        <f t="shared" ca="1" si="19"/>
        <v>153.66428571428568</v>
      </c>
      <c r="AD27" s="1">
        <f t="shared" si="20"/>
        <v>4</v>
      </c>
    </row>
    <row r="28" spans="1:30" ht="15.75" x14ac:dyDescent="0.25">
      <c r="B28" s="101"/>
      <c r="F28" s="81"/>
      <c r="H28" s="100"/>
      <c r="I28" s="84"/>
      <c r="K28" s="6" t="s">
        <v>61</v>
      </c>
      <c r="Q28" s="103"/>
      <c r="W28" s="1" t="s">
        <v>62</v>
      </c>
      <c r="X28" s="16">
        <f>8/10</f>
        <v>0.8</v>
      </c>
      <c r="Y28" s="85">
        <f>COUNTIF(L10:L16,"&lt;=0.80")+1</f>
        <v>5</v>
      </c>
      <c r="Z28" s="16">
        <f t="shared" ca="1" si="16"/>
        <v>159.94999999999999</v>
      </c>
      <c r="AA28" s="16">
        <f t="shared" ca="1" si="17"/>
        <v>4</v>
      </c>
      <c r="AB28" s="16">
        <f t="shared" ca="1" si="18"/>
        <v>45</v>
      </c>
      <c r="AC28" s="86">
        <f t="shared" ca="1" si="19"/>
        <v>163.44999999999999</v>
      </c>
      <c r="AD28" s="1">
        <f t="shared" si="20"/>
        <v>5</v>
      </c>
    </row>
    <row r="29" spans="1:30" ht="19.5" x14ac:dyDescent="0.35">
      <c r="B29" s="87" t="s">
        <v>63</v>
      </c>
      <c r="F29" s="81" t="s">
        <v>59</v>
      </c>
      <c r="G29" s="82" t="s">
        <v>38</v>
      </c>
      <c r="H29" s="91">
        <f ca="1">AC22</f>
        <v>144.32499999999999</v>
      </c>
      <c r="I29" s="84"/>
      <c r="L29" s="104" t="s">
        <v>64</v>
      </c>
      <c r="N29" s="91">
        <f ca="1">AC21</f>
        <v>135.53823529411764</v>
      </c>
      <c r="Q29" s="103"/>
      <c r="W29" s="1" t="s">
        <v>65</v>
      </c>
      <c r="X29" s="16">
        <f>9/10</f>
        <v>0.9</v>
      </c>
      <c r="Y29" s="85">
        <f>COUNTIF(L10:L16,"&lt;=0.90")+1</f>
        <v>6</v>
      </c>
      <c r="Z29" s="16">
        <f t="shared" ca="1" si="16"/>
        <v>169.95</v>
      </c>
      <c r="AA29" s="16">
        <f t="shared" ca="1" si="17"/>
        <v>4</v>
      </c>
      <c r="AB29" s="16">
        <f t="shared" ca="1" si="18"/>
        <v>49</v>
      </c>
      <c r="AC29" s="86">
        <f t="shared" ca="1" si="19"/>
        <v>177.95</v>
      </c>
      <c r="AD29" s="1">
        <f t="shared" si="20"/>
        <v>6</v>
      </c>
    </row>
    <row r="30" spans="1:30" ht="19.5" x14ac:dyDescent="0.35">
      <c r="B30" s="87"/>
      <c r="F30" s="81"/>
      <c r="H30" s="100"/>
      <c r="I30" s="84"/>
      <c r="L30" s="104" t="s">
        <v>66</v>
      </c>
      <c r="N30" s="91">
        <f t="shared" ref="N30:N37" ca="1" si="21">AC22</f>
        <v>144.32499999999999</v>
      </c>
      <c r="Q30" s="84"/>
      <c r="Z30" s="16"/>
    </row>
    <row r="31" spans="1:30" ht="19.5" x14ac:dyDescent="0.35">
      <c r="B31" s="87" t="s">
        <v>67</v>
      </c>
      <c r="F31" s="81" t="s">
        <v>68</v>
      </c>
      <c r="G31" s="82" t="s">
        <v>38</v>
      </c>
      <c r="H31" s="91">
        <f ca="1">Y36+ (  $H$21*(Y33-Y34) / ((Y33-Y34)+(Y33-Y35))  )</f>
        <v>139.18076923076922</v>
      </c>
      <c r="I31" s="84"/>
      <c r="L31" s="104" t="s">
        <v>69</v>
      </c>
      <c r="N31" s="91">
        <f t="shared" ca="1" si="21"/>
        <v>157.80714285714285</v>
      </c>
      <c r="Q31" s="84"/>
      <c r="Z31" s="16"/>
    </row>
    <row r="32" spans="1:30" ht="19.5" x14ac:dyDescent="0.35">
      <c r="B32" s="87"/>
      <c r="E32"/>
      <c r="F32" s="105" t="s">
        <v>70</v>
      </c>
      <c r="G32" s="82" t="s">
        <v>38</v>
      </c>
      <c r="H32" s="102">
        <f ca="1">Y37</f>
        <v>134.94999999999999</v>
      </c>
      <c r="I32" s="84"/>
      <c r="L32" s="104" t="s">
        <v>71</v>
      </c>
      <c r="N32" s="91">
        <f t="shared" ca="1" si="21"/>
        <v>130.4205882352941</v>
      </c>
      <c r="Q32" s="84"/>
      <c r="T32" s="1" t="s">
        <v>72</v>
      </c>
      <c r="Y32" s="16">
        <f>MATCH(MAX(I10:I16),I10:I16,0)</f>
        <v>2</v>
      </c>
      <c r="Z32" s="16"/>
    </row>
    <row r="33" spans="2:26" ht="19.5" x14ac:dyDescent="0.35">
      <c r="B33" s="92" t="s">
        <v>73</v>
      </c>
      <c r="D33" s="6"/>
      <c r="F33" s="81" t="s">
        <v>74</v>
      </c>
      <c r="G33" s="82" t="s">
        <v>38</v>
      </c>
      <c r="H33" s="83">
        <f>G16-E10</f>
        <v>70</v>
      </c>
      <c r="I33" s="84"/>
      <c r="L33" s="104" t="s">
        <v>75</v>
      </c>
      <c r="N33" s="91">
        <f t="shared" ca="1" si="21"/>
        <v>133.83235294117645</v>
      </c>
      <c r="Q33" s="84"/>
      <c r="T33" s="1" t="s">
        <v>76</v>
      </c>
      <c r="Y33" s="16">
        <f ca="1">INDIRECT(ADDRESS(9+$Y$32,9))</f>
        <v>17</v>
      </c>
      <c r="Z33" s="16"/>
    </row>
    <row r="34" spans="2:26" ht="19.5" x14ac:dyDescent="0.35">
      <c r="B34" s="87"/>
      <c r="F34" s="81"/>
      <c r="H34" s="100"/>
      <c r="I34" s="84"/>
      <c r="L34" s="104" t="s">
        <v>77</v>
      </c>
      <c r="N34" s="91">
        <f t="shared" ca="1" si="21"/>
        <v>137.2441176470588</v>
      </c>
      <c r="Q34" s="84"/>
      <c r="T34" s="6" t="s">
        <v>78</v>
      </c>
      <c r="Y34" s="16">
        <f ca="1">INDIRECT(ADDRESS(9+$Y$32-1,9))</f>
        <v>5</v>
      </c>
    </row>
    <row r="35" spans="2:26" ht="20.25" x14ac:dyDescent="0.35">
      <c r="B35" s="87" t="s">
        <v>79</v>
      </c>
      <c r="F35" s="106" t="s">
        <v>80</v>
      </c>
      <c r="G35" s="82" t="s">
        <v>38</v>
      </c>
      <c r="H35" s="91">
        <f>(O17-I17*(H27^2))/I17</f>
        <v>291.55766944114345</v>
      </c>
      <c r="I35" s="84"/>
      <c r="L35" s="104" t="s">
        <v>81</v>
      </c>
      <c r="N35" s="91">
        <f t="shared" ca="1" si="21"/>
        <v>153.66428571428568</v>
      </c>
      <c r="Q35" s="84"/>
      <c r="T35" s="6" t="s">
        <v>82</v>
      </c>
      <c r="Y35" s="16">
        <f ca="1">INDIRECT(ADDRESS(9+$Y$32+1,9))</f>
        <v>16</v>
      </c>
    </row>
    <row r="36" spans="2:26" ht="19.5" x14ac:dyDescent="0.35">
      <c r="B36" s="87"/>
      <c r="F36" s="81"/>
      <c r="H36" s="100"/>
      <c r="I36" s="84"/>
      <c r="L36" s="104" t="s">
        <v>83</v>
      </c>
      <c r="N36" s="91">
        <f t="shared" ca="1" si="21"/>
        <v>163.44999999999999</v>
      </c>
      <c r="Q36" s="84"/>
      <c r="T36" s="1" t="s">
        <v>84</v>
      </c>
      <c r="Y36" s="16">
        <f ca="1">INDIRECT(ADDRESS(9+$Y$32,5))</f>
        <v>129.94999999999999</v>
      </c>
    </row>
    <row r="37" spans="2:26" ht="19.5" x14ac:dyDescent="0.35">
      <c r="B37" s="87" t="s">
        <v>85</v>
      </c>
      <c r="F37" s="81" t="s">
        <v>86</v>
      </c>
      <c r="G37" s="82" t="s">
        <v>38</v>
      </c>
      <c r="H37" s="91">
        <f>SQRT(H35)</f>
        <v>17.075059866399986</v>
      </c>
      <c r="I37" s="84"/>
      <c r="L37" s="104" t="s">
        <v>87</v>
      </c>
      <c r="N37" s="91">
        <f t="shared" ca="1" si="21"/>
        <v>177.95</v>
      </c>
      <c r="Q37" s="84"/>
      <c r="T37" s="1" t="s">
        <v>88</v>
      </c>
      <c r="Y37" s="16">
        <f ca="1">INDIRECT(ADDRESS(9+$Y$32,8))</f>
        <v>134.94999999999999</v>
      </c>
    </row>
    <row r="38" spans="2:26" x14ac:dyDescent="0.2">
      <c r="B38" s="87"/>
      <c r="I38" s="84"/>
      <c r="Q38" s="84"/>
    </row>
    <row r="39" spans="2:26" ht="15.75" x14ac:dyDescent="0.25">
      <c r="B39" s="87" t="s">
        <v>89</v>
      </c>
      <c r="F39" s="81" t="s">
        <v>90</v>
      </c>
      <c r="G39" s="82" t="s">
        <v>38</v>
      </c>
      <c r="H39" s="91">
        <f>H37/H27</f>
        <v>0.11506238712820803</v>
      </c>
      <c r="I39" s="84"/>
      <c r="Q39" s="84"/>
    </row>
    <row r="40" spans="2:26" ht="15.75" x14ac:dyDescent="0.25">
      <c r="B40" s="107"/>
      <c r="C40" s="94"/>
      <c r="D40" s="94"/>
      <c r="E40" s="94"/>
      <c r="F40" s="108"/>
      <c r="G40" s="94"/>
      <c r="H40" s="109"/>
      <c r="I40" s="40"/>
      <c r="J40" s="94"/>
      <c r="K40" s="94"/>
      <c r="L40" s="94"/>
      <c r="M40" s="94"/>
      <c r="N40" s="94"/>
      <c r="O40" s="94"/>
      <c r="P40" s="94"/>
      <c r="Q40" s="40"/>
    </row>
    <row r="42" spans="2:26" ht="12.75" customHeight="1" x14ac:dyDescent="0.2">
      <c r="B42" s="110"/>
      <c r="C42" s="110"/>
      <c r="D42" s="68"/>
      <c r="E42" s="110"/>
      <c r="F42" s="110"/>
      <c r="G42" s="110"/>
      <c r="H42" s="110"/>
    </row>
    <row r="43" spans="2:26" ht="15.75" customHeight="1" x14ac:dyDescent="0.25">
      <c r="D43" s="111"/>
    </row>
    <row r="44" spans="2:26" ht="15.75" customHeight="1" x14ac:dyDescent="0.2">
      <c r="D44" s="112"/>
    </row>
    <row r="47" spans="2:26" ht="12.75" customHeight="1" x14ac:dyDescent="0.2">
      <c r="B47" s="89"/>
    </row>
    <row r="48" spans="2:26" ht="12.75" customHeight="1" x14ac:dyDescent="0.2">
      <c r="B48" s="89"/>
    </row>
    <row r="49" spans="2:2" ht="12.75" customHeight="1" x14ac:dyDescent="0.2">
      <c r="B49" s="89"/>
    </row>
    <row r="56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9621-B075-4CF1-BCAF-76608EBA9FDB}">
  <sheetPr>
    <pageSetUpPr fitToPage="1"/>
  </sheetPr>
  <dimension ref="A1:AD57"/>
  <sheetViews>
    <sheetView showGridLines="0" zoomScale="75" workbookViewId="0">
      <selection activeCell="H32" sqref="H32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8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8</v>
      </c>
      <c r="C9" s="32" t="s">
        <v>28</v>
      </c>
      <c r="D9" s="33">
        <f>D10-D4</f>
        <v>15</v>
      </c>
      <c r="E9" s="34">
        <f>E10-D4</f>
        <v>7.5</v>
      </c>
      <c r="F9" s="32" t="s">
        <v>28</v>
      </c>
      <c r="G9" s="35">
        <f>E10</f>
        <v>15.5</v>
      </c>
      <c r="H9" s="36">
        <f>H10-D4</f>
        <v>11.5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23</v>
      </c>
      <c r="E10" s="45">
        <f>G10-$D$4</f>
        <v>15.5</v>
      </c>
      <c r="F10" s="41" t="s">
        <v>28</v>
      </c>
      <c r="G10" s="46">
        <f>(B11+D10)/2</f>
        <v>23.5</v>
      </c>
      <c r="H10" s="47">
        <f t="shared" ref="H10:H17" si="0">(E10+G10)/2</f>
        <v>19.5</v>
      </c>
      <c r="I10" s="47">
        <v>5</v>
      </c>
      <c r="J10" s="48">
        <f t="shared" ref="J10:J17" si="1">J9+I10</f>
        <v>5</v>
      </c>
      <c r="K10" s="49">
        <f t="shared" ref="K10:K17" si="2">I10/$I$18</f>
        <v>9.0909090909090912E-2</v>
      </c>
      <c r="L10" s="50">
        <f>K10</f>
        <v>9.0909090909090912E-2</v>
      </c>
      <c r="M10" s="51"/>
      <c r="N10" s="50">
        <f t="shared" ref="N10:N17" si="3">H10*I10</f>
        <v>97.5</v>
      </c>
      <c r="O10" s="50">
        <f t="shared" ref="O10:O17" si="4">(H10^2)*I10</f>
        <v>1901.25</v>
      </c>
      <c r="P10" s="50">
        <f t="shared" ref="P10:P17" si="5">I10*(H10-$H$28)^3</f>
        <v>-25929.418722764854</v>
      </c>
      <c r="Q10" s="50">
        <f t="shared" ref="Q10:Q17" si="6">I10*(H10-$H$28)^4</f>
        <v>448814.66589222086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7" si="7">B10+$D$4</f>
        <v>24</v>
      </c>
      <c r="C11" s="43" t="s">
        <v>28</v>
      </c>
      <c r="D11" s="44">
        <f t="shared" ref="D11:E17" si="8">D10+$D$4</f>
        <v>31</v>
      </c>
      <c r="E11" s="53">
        <f t="shared" si="8"/>
        <v>23.5</v>
      </c>
      <c r="F11" s="41" t="s">
        <v>28</v>
      </c>
      <c r="G11" s="46">
        <f t="shared" ref="G11:G17" si="9">G10+$D$4</f>
        <v>31.5</v>
      </c>
      <c r="H11" s="47">
        <f t="shared" si="0"/>
        <v>27.5</v>
      </c>
      <c r="I11" s="47">
        <v>17</v>
      </c>
      <c r="J11" s="48">
        <f t="shared" si="1"/>
        <v>22</v>
      </c>
      <c r="K11" s="49">
        <f t="shared" si="2"/>
        <v>0.30909090909090908</v>
      </c>
      <c r="L11" s="50">
        <f t="shared" ref="L11:L17" si="10">L10+K11</f>
        <v>0.4</v>
      </c>
      <c r="M11" s="51"/>
      <c r="N11" s="50">
        <f t="shared" si="3"/>
        <v>467.5</v>
      </c>
      <c r="O11" s="50">
        <f t="shared" si="4"/>
        <v>12856.25</v>
      </c>
      <c r="P11" s="50">
        <f t="shared" si="5"/>
        <v>-13714.208120210384</v>
      </c>
      <c r="Q11" s="50">
        <f t="shared" si="6"/>
        <v>127666.81013723125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32</v>
      </c>
      <c r="C12" s="43" t="s">
        <v>28</v>
      </c>
      <c r="D12" s="44">
        <f t="shared" si="8"/>
        <v>39</v>
      </c>
      <c r="E12" s="53">
        <f t="shared" si="8"/>
        <v>31.5</v>
      </c>
      <c r="F12" s="41" t="s">
        <v>28</v>
      </c>
      <c r="G12" s="46">
        <f t="shared" si="9"/>
        <v>39.5</v>
      </c>
      <c r="H12" s="47">
        <f t="shared" si="0"/>
        <v>35.5</v>
      </c>
      <c r="I12" s="47">
        <v>16</v>
      </c>
      <c r="J12" s="48">
        <f t="shared" si="1"/>
        <v>38</v>
      </c>
      <c r="K12" s="49">
        <f t="shared" si="2"/>
        <v>0.29090909090909089</v>
      </c>
      <c r="L12" s="50">
        <f t="shared" si="10"/>
        <v>0.69090909090909092</v>
      </c>
      <c r="M12" s="51"/>
      <c r="N12" s="50">
        <f t="shared" si="3"/>
        <v>568</v>
      </c>
      <c r="O12" s="50">
        <f t="shared" si="4"/>
        <v>20164</v>
      </c>
      <c r="P12" s="50">
        <f t="shared" si="5"/>
        <v>-35.894623591285004</v>
      </c>
      <c r="Q12" s="50">
        <f t="shared" si="6"/>
        <v>46.989325428591386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40</v>
      </c>
      <c r="C13" s="43" t="s">
        <v>28</v>
      </c>
      <c r="D13" s="44">
        <f t="shared" si="8"/>
        <v>47</v>
      </c>
      <c r="E13" s="53">
        <f t="shared" si="8"/>
        <v>39.5</v>
      </c>
      <c r="F13" s="41" t="s">
        <v>28</v>
      </c>
      <c r="G13" s="46">
        <f t="shared" si="9"/>
        <v>47.5</v>
      </c>
      <c r="H13" s="47">
        <f t="shared" si="0"/>
        <v>43.5</v>
      </c>
      <c r="I13" s="47">
        <v>7</v>
      </c>
      <c r="J13" s="48">
        <f t="shared" si="1"/>
        <v>45</v>
      </c>
      <c r="K13" s="49">
        <f t="shared" si="2"/>
        <v>0.12727272727272726</v>
      </c>
      <c r="L13" s="50">
        <f t="shared" si="10"/>
        <v>0.81818181818181812</v>
      </c>
      <c r="M13" s="51"/>
      <c r="N13" s="50">
        <f t="shared" si="3"/>
        <v>304.5</v>
      </c>
      <c r="O13" s="50">
        <f t="shared" si="4"/>
        <v>13245.75</v>
      </c>
      <c r="P13" s="50">
        <f t="shared" si="5"/>
        <v>2096.7827137490581</v>
      </c>
      <c r="Q13" s="50">
        <f t="shared" si="6"/>
        <v>14029.382521084599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48</v>
      </c>
      <c r="C14" s="43" t="s">
        <v>28</v>
      </c>
      <c r="D14" s="44">
        <f t="shared" si="8"/>
        <v>55</v>
      </c>
      <c r="E14" s="53">
        <f t="shared" si="8"/>
        <v>47.5</v>
      </c>
      <c r="F14" s="41" t="s">
        <v>28</v>
      </c>
      <c r="G14" s="46">
        <f t="shared" si="9"/>
        <v>55.5</v>
      </c>
      <c r="H14" s="47">
        <f t="shared" si="0"/>
        <v>51.5</v>
      </c>
      <c r="I14" s="47">
        <v>4</v>
      </c>
      <c r="J14" s="48">
        <f t="shared" si="1"/>
        <v>49</v>
      </c>
      <c r="K14" s="49">
        <f t="shared" si="2"/>
        <v>7.2727272727272724E-2</v>
      </c>
      <c r="L14" s="50">
        <f t="shared" si="10"/>
        <v>0.89090909090909087</v>
      </c>
      <c r="M14" s="51"/>
      <c r="N14" s="50">
        <f t="shared" si="3"/>
        <v>206</v>
      </c>
      <c r="O14" s="50">
        <f t="shared" si="4"/>
        <v>10609</v>
      </c>
      <c r="P14" s="50">
        <f t="shared" si="5"/>
        <v>12682.533120961674</v>
      </c>
      <c r="Q14" s="50">
        <f t="shared" si="6"/>
        <v>186317.94112249147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56</v>
      </c>
      <c r="C15" s="43" t="s">
        <v>28</v>
      </c>
      <c r="D15" s="44">
        <f t="shared" si="8"/>
        <v>63</v>
      </c>
      <c r="E15" s="53">
        <f t="shared" si="8"/>
        <v>55.5</v>
      </c>
      <c r="F15" s="41" t="s">
        <v>28</v>
      </c>
      <c r="G15" s="46">
        <f t="shared" si="9"/>
        <v>63.5</v>
      </c>
      <c r="H15" s="47">
        <f t="shared" si="0"/>
        <v>59.5</v>
      </c>
      <c r="I15" s="47">
        <v>4</v>
      </c>
      <c r="J15" s="48">
        <f t="shared" si="1"/>
        <v>53</v>
      </c>
      <c r="K15" s="49">
        <f t="shared" si="2"/>
        <v>7.2727272727272724E-2</v>
      </c>
      <c r="L15" s="50">
        <f t="shared" si="10"/>
        <v>0.96363636363636362</v>
      </c>
      <c r="M15" s="51"/>
      <c r="N15" s="50">
        <f t="shared" si="3"/>
        <v>238</v>
      </c>
      <c r="O15" s="50">
        <f t="shared" si="4"/>
        <v>14161</v>
      </c>
      <c r="P15" s="50">
        <f t="shared" si="5"/>
        <v>46732.141054845961</v>
      </c>
      <c r="Q15" s="50">
        <f t="shared" si="6"/>
        <v>1060394.76429905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64</v>
      </c>
      <c r="C16" s="43" t="s">
        <v>28</v>
      </c>
      <c r="D16" s="44">
        <f t="shared" si="8"/>
        <v>71</v>
      </c>
      <c r="E16" s="53">
        <f t="shared" si="8"/>
        <v>63.5</v>
      </c>
      <c r="F16" s="41" t="s">
        <v>28</v>
      </c>
      <c r="G16" s="46">
        <f t="shared" si="9"/>
        <v>71.5</v>
      </c>
      <c r="H16" s="47">
        <f t="shared" si="0"/>
        <v>67.5</v>
      </c>
      <c r="I16" s="47">
        <v>1</v>
      </c>
      <c r="J16" s="48">
        <f t="shared" si="1"/>
        <v>54</v>
      </c>
      <c r="K16" s="49">
        <f t="shared" si="2"/>
        <v>1.8181818181818181E-2</v>
      </c>
      <c r="L16" s="50">
        <f t="shared" si="10"/>
        <v>0.98181818181818181</v>
      </c>
      <c r="M16" s="51"/>
      <c r="N16" s="50">
        <f t="shared" si="3"/>
        <v>67.5</v>
      </c>
      <c r="O16" s="50">
        <f t="shared" si="4"/>
        <v>4556.25</v>
      </c>
      <c r="P16" s="50">
        <f t="shared" si="5"/>
        <v>28908.746338091649</v>
      </c>
      <c r="Q16" s="50">
        <f t="shared" si="6"/>
        <v>887235.70579452184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thickBot="1" x14ac:dyDescent="0.25">
      <c r="A17" s="41">
        <v>8</v>
      </c>
      <c r="B17" s="54">
        <f t="shared" si="7"/>
        <v>72</v>
      </c>
      <c r="C17" s="55" t="s">
        <v>28</v>
      </c>
      <c r="D17" s="56">
        <f t="shared" si="8"/>
        <v>79</v>
      </c>
      <c r="E17" s="57">
        <f t="shared" si="8"/>
        <v>71.5</v>
      </c>
      <c r="F17" s="58" t="s">
        <v>28</v>
      </c>
      <c r="G17" s="59">
        <f t="shared" si="9"/>
        <v>79.5</v>
      </c>
      <c r="H17" s="60">
        <f t="shared" si="0"/>
        <v>75.5</v>
      </c>
      <c r="I17" s="60">
        <v>1</v>
      </c>
      <c r="J17" s="54">
        <f t="shared" si="1"/>
        <v>55</v>
      </c>
      <c r="K17" s="49">
        <f t="shared" si="2"/>
        <v>1.8181818181818181E-2</v>
      </c>
      <c r="L17" s="61">
        <f t="shared" si="10"/>
        <v>1</v>
      </c>
      <c r="M17" s="62"/>
      <c r="N17" s="61">
        <f t="shared" si="3"/>
        <v>75.5</v>
      </c>
      <c r="O17" s="61">
        <f t="shared" si="4"/>
        <v>5700.25</v>
      </c>
      <c r="P17" s="61">
        <f t="shared" si="5"/>
        <v>57919.766503380903</v>
      </c>
      <c r="Q17" s="61">
        <f t="shared" si="6"/>
        <v>2240968.4203489916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8.75" customHeight="1" thickTop="1" x14ac:dyDescent="0.2">
      <c r="A18" s="52"/>
      <c r="B18" s="52"/>
      <c r="C18" s="52"/>
      <c r="D18" s="52"/>
      <c r="E18" s="52"/>
      <c r="F18" s="52"/>
      <c r="G18" s="52"/>
      <c r="H18" s="63" t="s">
        <v>29</v>
      </c>
      <c r="I18" s="64">
        <f>SUM(I10:I17)</f>
        <v>55</v>
      </c>
      <c r="J18" s="41"/>
      <c r="K18" s="65">
        <f>SUM(K9:K17)</f>
        <v>1</v>
      </c>
      <c r="L18" s="41"/>
      <c r="M18" s="41"/>
      <c r="N18" s="66">
        <f>SUM(N10:N17)</f>
        <v>2024.5</v>
      </c>
      <c r="O18" s="67">
        <f>SUM(O10:O17)</f>
        <v>83193.75</v>
      </c>
      <c r="P18" s="67">
        <f>SUM(P10:P17)</f>
        <v>108660.44826446273</v>
      </c>
      <c r="Q18" s="67">
        <f>SUM(Q10:Q17)</f>
        <v>4965474.6794410199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6" customHeight="1" x14ac:dyDescent="0.2">
      <c r="K19" s="68"/>
    </row>
    <row r="20" spans="1:30" ht="18.75" customHeight="1" x14ac:dyDescent="0.2">
      <c r="B20" s="69" t="s">
        <v>91</v>
      </c>
      <c r="C20" s="70"/>
      <c r="D20" s="70"/>
      <c r="E20" s="70"/>
      <c r="F20" s="70"/>
      <c r="G20" s="70"/>
      <c r="H20" s="70"/>
      <c r="I20" s="70"/>
      <c r="J20" s="70"/>
      <c r="K20" s="71"/>
      <c r="L20" s="70"/>
      <c r="M20" s="70"/>
      <c r="N20" s="70"/>
      <c r="O20" s="70"/>
      <c r="P20" s="70"/>
      <c r="Q20" s="72"/>
    </row>
    <row r="21" spans="1:30" ht="25.5" customHeight="1" x14ac:dyDescent="0.2">
      <c r="B21" s="73"/>
      <c r="C21" s="74"/>
      <c r="D21" s="74"/>
      <c r="E21" s="74"/>
      <c r="F21" s="74"/>
      <c r="G21" s="74"/>
      <c r="H21" s="74"/>
      <c r="I21" s="75"/>
      <c r="J21" s="74"/>
      <c r="K21" s="76"/>
      <c r="L21" s="77"/>
      <c r="M21" s="74"/>
      <c r="N21" s="74"/>
      <c r="O21" s="74"/>
      <c r="P21" s="74"/>
      <c r="Q21" s="75"/>
      <c r="X21" s="78" t="s">
        <v>30</v>
      </c>
      <c r="Y21" s="79" t="s">
        <v>31</v>
      </c>
      <c r="Z21" s="79" t="s">
        <v>32</v>
      </c>
      <c r="AA21" s="78" t="s">
        <v>33</v>
      </c>
      <c r="AB21" s="79" t="s">
        <v>34</v>
      </c>
      <c r="AC21" s="79" t="s">
        <v>35</v>
      </c>
    </row>
    <row r="22" spans="1:30" ht="15.75" x14ac:dyDescent="0.25">
      <c r="B22" s="80" t="s">
        <v>36</v>
      </c>
      <c r="F22" s="81" t="s">
        <v>37</v>
      </c>
      <c r="G22" s="82" t="s">
        <v>38</v>
      </c>
      <c r="H22" s="83">
        <f>G13-E13</f>
        <v>8</v>
      </c>
      <c r="I22" s="84"/>
      <c r="K22" s="6" t="s">
        <v>39</v>
      </c>
      <c r="Q22" s="84"/>
      <c r="T22" s="6" t="s">
        <v>40</v>
      </c>
      <c r="W22" s="1" t="s">
        <v>41</v>
      </c>
      <c r="X22" s="16">
        <f>1/4</f>
        <v>0.25</v>
      </c>
      <c r="Y22" s="85">
        <f>COUNTIF(L10:L17,"&lt;=0.25")+1</f>
        <v>2</v>
      </c>
      <c r="Z22" s="16">
        <f t="shared" ref="Z22:Z30" ca="1" si="11">INDIRECT(ADDRESS(9+$Y22,5))</f>
        <v>23.5</v>
      </c>
      <c r="AA22" s="16">
        <f t="shared" ref="AA22:AA30" ca="1" si="12">INDIRECT(ADDRESS(9+$Y22,9))</f>
        <v>17</v>
      </c>
      <c r="AB22" s="16">
        <f t="shared" ref="AB22:AB30" ca="1" si="13">INDIRECT(ADDRESS(9+$Y22-1,10))</f>
        <v>5</v>
      </c>
      <c r="AC22" s="86">
        <f t="shared" ref="AC22:AC30" ca="1" si="14">Z22+(  ($H$26*X22)-AB22  )*$H$22/AA22</f>
        <v>27.617647058823529</v>
      </c>
      <c r="AD22" s="1">
        <f>MATCH(X22,$L$10:$L$17,1)+1</f>
        <v>2</v>
      </c>
    </row>
    <row r="23" spans="1:30" ht="18" x14ac:dyDescent="0.3">
      <c r="B23" s="87"/>
      <c r="C23" s="52"/>
      <c r="D23" s="43"/>
      <c r="E23" s="43"/>
      <c r="F23" s="88"/>
      <c r="G23" s="43"/>
      <c r="H23" s="89"/>
      <c r="I23" s="84"/>
      <c r="K23" s="6" t="s">
        <v>42</v>
      </c>
      <c r="O23" s="90" t="s">
        <v>43</v>
      </c>
      <c r="P23" s="91">
        <f>(P18/I18)/(H38^3)</f>
        <v>0.9975687311830671</v>
      </c>
      <c r="Q23" s="84"/>
      <c r="T23" s="6" t="s">
        <v>44</v>
      </c>
      <c r="W23" s="1" t="s">
        <v>45</v>
      </c>
      <c r="X23" s="16">
        <f>1/2</f>
        <v>0.5</v>
      </c>
      <c r="Y23" s="85">
        <f>COUNTIF(L10:L17,"&lt;=0.5")+1</f>
        <v>3</v>
      </c>
      <c r="Z23" s="16">
        <f t="shared" ca="1" si="11"/>
        <v>31.5</v>
      </c>
      <c r="AA23" s="16">
        <f t="shared" ca="1" si="12"/>
        <v>16</v>
      </c>
      <c r="AB23" s="16">
        <f t="shared" ca="1" si="13"/>
        <v>22</v>
      </c>
      <c r="AC23" s="86">
        <f t="shared" ca="1" si="14"/>
        <v>34.25</v>
      </c>
      <c r="AD23" s="1">
        <f t="shared" ref="AD23:AD30" si="15">MATCH(X23,$L$10:$L$17,1)+1</f>
        <v>3</v>
      </c>
    </row>
    <row r="24" spans="1:30" ht="15.75" x14ac:dyDescent="0.25">
      <c r="B24" s="92" t="s">
        <v>46</v>
      </c>
      <c r="F24" s="81" t="s">
        <v>47</v>
      </c>
      <c r="G24" s="82" t="s">
        <v>38</v>
      </c>
      <c r="H24" s="93">
        <f>COUNT(I10:I17)</f>
        <v>8</v>
      </c>
      <c r="I24" s="84"/>
      <c r="Q24" s="84"/>
      <c r="T24" s="6" t="s">
        <v>48</v>
      </c>
      <c r="W24" s="94" t="s">
        <v>49</v>
      </c>
      <c r="X24" s="95">
        <f>3/4</f>
        <v>0.75</v>
      </c>
      <c r="Y24" s="96">
        <f>COUNTIF(L10:L17,"&lt;=0.75")+1</f>
        <v>4</v>
      </c>
      <c r="Z24" s="95">
        <f t="shared" ca="1" si="11"/>
        <v>39.5</v>
      </c>
      <c r="AA24" s="95">
        <f t="shared" ca="1" si="12"/>
        <v>7</v>
      </c>
      <c r="AB24" s="95">
        <f t="shared" ca="1" si="13"/>
        <v>38</v>
      </c>
      <c r="AC24" s="97">
        <f t="shared" ca="1" si="14"/>
        <v>43.214285714285715</v>
      </c>
      <c r="AD24" s="1">
        <f t="shared" si="15"/>
        <v>4</v>
      </c>
    </row>
    <row r="25" spans="1:30" ht="15.75" x14ac:dyDescent="0.25">
      <c r="B25" s="92"/>
      <c r="F25" s="81"/>
      <c r="H25" s="89"/>
      <c r="I25" s="84"/>
      <c r="K25" s="6" t="s">
        <v>50</v>
      </c>
      <c r="Q25" s="84"/>
      <c r="W25" s="1" t="s">
        <v>51</v>
      </c>
      <c r="X25" s="16">
        <f>1/10</f>
        <v>0.1</v>
      </c>
      <c r="Y25" s="85">
        <f>COUNTIF(L10:L17,"&lt;=0.1")+1</f>
        <v>2</v>
      </c>
      <c r="Z25" s="16">
        <f t="shared" ca="1" si="11"/>
        <v>23.5</v>
      </c>
      <c r="AA25" s="16">
        <f t="shared" ca="1" si="12"/>
        <v>17</v>
      </c>
      <c r="AB25" s="16">
        <f t="shared" ca="1" si="13"/>
        <v>5</v>
      </c>
      <c r="AC25" s="86">
        <f t="shared" ca="1" si="14"/>
        <v>23.735294117647058</v>
      </c>
      <c r="AD25" s="1">
        <f t="shared" si="15"/>
        <v>2</v>
      </c>
    </row>
    <row r="26" spans="1:30" ht="18" x14ac:dyDescent="0.3">
      <c r="B26" s="98" t="s">
        <v>52</v>
      </c>
      <c r="F26" s="81" t="s">
        <v>53</v>
      </c>
      <c r="G26" s="82" t="s">
        <v>38</v>
      </c>
      <c r="H26" s="99">
        <f>I18</f>
        <v>55</v>
      </c>
      <c r="I26" s="84"/>
      <c r="K26" s="6" t="s">
        <v>54</v>
      </c>
      <c r="O26" s="90" t="s">
        <v>55</v>
      </c>
      <c r="P26" s="91">
        <f>(Q18/I18)/(H36^2)</f>
        <v>3.6300291731150174</v>
      </c>
      <c r="Q26" s="84"/>
      <c r="W26" s="1" t="s">
        <v>56</v>
      </c>
      <c r="X26" s="16">
        <f>2/10</f>
        <v>0.2</v>
      </c>
      <c r="Y26" s="85">
        <f>COUNTIF(L10:L17,"&lt;=0.20")+1</f>
        <v>2</v>
      </c>
      <c r="Z26" s="16">
        <f t="shared" ca="1" si="11"/>
        <v>23.5</v>
      </c>
      <c r="AA26" s="16">
        <f t="shared" ca="1" si="12"/>
        <v>17</v>
      </c>
      <c r="AB26" s="16">
        <f t="shared" ca="1" si="13"/>
        <v>5</v>
      </c>
      <c r="AC26" s="86">
        <f t="shared" ca="1" si="14"/>
        <v>26.323529411764707</v>
      </c>
      <c r="AD26" s="1">
        <f t="shared" si="15"/>
        <v>2</v>
      </c>
    </row>
    <row r="27" spans="1:30" ht="15.75" x14ac:dyDescent="0.25">
      <c r="B27" s="87"/>
      <c r="F27" s="81"/>
      <c r="H27" s="100"/>
      <c r="I27" s="84"/>
      <c r="Q27" s="84"/>
      <c r="W27" s="1" t="s">
        <v>57</v>
      </c>
      <c r="X27" s="16">
        <f>3/10</f>
        <v>0.3</v>
      </c>
      <c r="Y27" s="85">
        <f>COUNTIF(L10:L17,"&lt;=0.30")+1</f>
        <v>2</v>
      </c>
      <c r="Z27" s="16">
        <f t="shared" ca="1" si="11"/>
        <v>23.5</v>
      </c>
      <c r="AA27" s="16">
        <f t="shared" ca="1" si="12"/>
        <v>17</v>
      </c>
      <c r="AB27" s="16">
        <f t="shared" ca="1" si="13"/>
        <v>5</v>
      </c>
      <c r="AC27" s="86">
        <f t="shared" ca="1" si="14"/>
        <v>28.911764705882355</v>
      </c>
      <c r="AD27" s="1">
        <f t="shared" si="15"/>
        <v>2</v>
      </c>
    </row>
    <row r="28" spans="1:30" ht="15.75" x14ac:dyDescent="0.25">
      <c r="B28" s="101" t="s">
        <v>58</v>
      </c>
      <c r="F28" s="81" t="s">
        <v>59</v>
      </c>
      <c r="G28" s="82" t="s">
        <v>38</v>
      </c>
      <c r="H28" s="102">
        <f>N18/I18</f>
        <v>36.809090909090912</v>
      </c>
      <c r="I28" s="84"/>
      <c r="L28" s="6"/>
      <c r="P28" s="16"/>
      <c r="Q28" s="84"/>
      <c r="W28" s="1" t="s">
        <v>60</v>
      </c>
      <c r="X28" s="16">
        <f>7/10</f>
        <v>0.7</v>
      </c>
      <c r="Y28" s="85">
        <f>COUNTIF(L10:L17,"&lt;=0.70")+1</f>
        <v>4</v>
      </c>
      <c r="Z28" s="16">
        <f t="shared" ca="1" si="11"/>
        <v>39.5</v>
      </c>
      <c r="AA28" s="16">
        <f t="shared" ca="1" si="12"/>
        <v>7</v>
      </c>
      <c r="AB28" s="16">
        <f t="shared" ca="1" si="13"/>
        <v>38</v>
      </c>
      <c r="AC28" s="86">
        <f t="shared" ca="1" si="14"/>
        <v>40.071428571428569</v>
      </c>
      <c r="AD28" s="1">
        <f t="shared" si="15"/>
        <v>4</v>
      </c>
    </row>
    <row r="29" spans="1:30" ht="15.75" x14ac:dyDescent="0.25">
      <c r="B29" s="101"/>
      <c r="F29" s="81"/>
      <c r="H29" s="100"/>
      <c r="I29" s="84"/>
      <c r="K29" s="6" t="s">
        <v>61</v>
      </c>
      <c r="Q29" s="103"/>
      <c r="W29" s="1" t="s">
        <v>62</v>
      </c>
      <c r="X29" s="16">
        <f>8/10</f>
        <v>0.8</v>
      </c>
      <c r="Y29" s="85">
        <f>COUNTIF(L10:L17,"&lt;=0.80")+1</f>
        <v>4</v>
      </c>
      <c r="Z29" s="16">
        <f t="shared" ca="1" si="11"/>
        <v>39.5</v>
      </c>
      <c r="AA29" s="16">
        <f t="shared" ca="1" si="12"/>
        <v>7</v>
      </c>
      <c r="AB29" s="16">
        <f t="shared" ca="1" si="13"/>
        <v>38</v>
      </c>
      <c r="AC29" s="86">
        <f t="shared" ca="1" si="14"/>
        <v>46.357142857142854</v>
      </c>
      <c r="AD29" s="1">
        <f t="shared" si="15"/>
        <v>4</v>
      </c>
    </row>
    <row r="30" spans="1:30" ht="19.5" x14ac:dyDescent="0.35">
      <c r="B30" s="87" t="s">
        <v>63</v>
      </c>
      <c r="F30" s="81" t="s">
        <v>59</v>
      </c>
      <c r="G30" s="82" t="s">
        <v>38</v>
      </c>
      <c r="H30" s="91">
        <f ca="1">AC23</f>
        <v>34.25</v>
      </c>
      <c r="I30" s="84"/>
      <c r="L30" s="104" t="s">
        <v>64</v>
      </c>
      <c r="N30" s="91">
        <f ca="1">AC22</f>
        <v>27.617647058823529</v>
      </c>
      <c r="Q30" s="103"/>
      <c r="W30" s="1" t="s">
        <v>65</v>
      </c>
      <c r="X30" s="16">
        <f>9/10</f>
        <v>0.9</v>
      </c>
      <c r="Y30" s="85">
        <f>COUNTIF(L10:L17,"&lt;=0.90")+1</f>
        <v>6</v>
      </c>
      <c r="Z30" s="16">
        <f t="shared" ca="1" si="11"/>
        <v>55.5</v>
      </c>
      <c r="AA30" s="16">
        <f t="shared" ca="1" si="12"/>
        <v>4</v>
      </c>
      <c r="AB30" s="16">
        <f t="shared" ca="1" si="13"/>
        <v>49</v>
      </c>
      <c r="AC30" s="86">
        <f t="shared" ca="1" si="14"/>
        <v>56.5</v>
      </c>
      <c r="AD30" s="1">
        <f t="shared" si="15"/>
        <v>6</v>
      </c>
    </row>
    <row r="31" spans="1:30" ht="19.5" x14ac:dyDescent="0.35">
      <c r="B31" s="87"/>
      <c r="F31" s="81"/>
      <c r="H31" s="100"/>
      <c r="I31" s="84"/>
      <c r="L31" s="104" t="s">
        <v>66</v>
      </c>
      <c r="N31" s="91">
        <f t="shared" ref="N31:N38" ca="1" si="16">AC23</f>
        <v>34.25</v>
      </c>
      <c r="Q31" s="84"/>
      <c r="Z31" s="16"/>
    </row>
    <row r="32" spans="1:30" ht="19.5" x14ac:dyDescent="0.35">
      <c r="B32" s="87" t="s">
        <v>67</v>
      </c>
      <c r="F32" s="81" t="s">
        <v>68</v>
      </c>
      <c r="G32" s="82" t="s">
        <v>38</v>
      </c>
      <c r="H32" s="91">
        <f ca="1">Y37+ (  $H$22*(Y34-Y35) / ((Y34-Y35)+(Y34-Y36))  )</f>
        <v>30.884615384615387</v>
      </c>
      <c r="I32" s="84"/>
      <c r="L32" s="104" t="s">
        <v>69</v>
      </c>
      <c r="N32" s="91">
        <f t="shared" ca="1" si="16"/>
        <v>43.214285714285715</v>
      </c>
      <c r="Q32" s="84"/>
      <c r="Z32" s="16"/>
    </row>
    <row r="33" spans="2:26" ht="19.5" x14ac:dyDescent="0.35">
      <c r="B33" s="87"/>
      <c r="E33"/>
      <c r="F33" s="105" t="s">
        <v>70</v>
      </c>
      <c r="G33" s="82" t="s">
        <v>38</v>
      </c>
      <c r="H33" s="102">
        <f ca="1">Y38</f>
        <v>27.5</v>
      </c>
      <c r="I33" s="84"/>
      <c r="L33" s="104" t="s">
        <v>71</v>
      </c>
      <c r="N33" s="91">
        <f t="shared" ca="1" si="16"/>
        <v>23.735294117647058</v>
      </c>
      <c r="Q33" s="84"/>
      <c r="T33" s="1" t="s">
        <v>72</v>
      </c>
      <c r="Y33" s="16">
        <f>MATCH(MAX(I10:I17),I10:I17,0)</f>
        <v>2</v>
      </c>
      <c r="Z33" s="16"/>
    </row>
    <row r="34" spans="2:26" ht="19.5" x14ac:dyDescent="0.35">
      <c r="B34" s="92" t="s">
        <v>73</v>
      </c>
      <c r="D34" s="6"/>
      <c r="F34" s="81" t="s">
        <v>74</v>
      </c>
      <c r="G34" s="82" t="s">
        <v>38</v>
      </c>
      <c r="H34" s="83">
        <f>G17-E10</f>
        <v>64</v>
      </c>
      <c r="I34" s="84"/>
      <c r="L34" s="104" t="s">
        <v>75</v>
      </c>
      <c r="N34" s="91">
        <f t="shared" ca="1" si="16"/>
        <v>26.323529411764707</v>
      </c>
      <c r="Q34" s="84"/>
      <c r="T34" s="1" t="s">
        <v>76</v>
      </c>
      <c r="Y34" s="16">
        <f ca="1">INDIRECT(ADDRESS(9+$Y$33,9))</f>
        <v>17</v>
      </c>
      <c r="Z34" s="16"/>
    </row>
    <row r="35" spans="2:26" ht="19.5" x14ac:dyDescent="0.35">
      <c r="B35" s="87"/>
      <c r="F35" s="81"/>
      <c r="H35" s="100"/>
      <c r="I35" s="84"/>
      <c r="L35" s="104" t="s">
        <v>77</v>
      </c>
      <c r="N35" s="91">
        <f t="shared" ca="1" si="16"/>
        <v>28.911764705882355</v>
      </c>
      <c r="Q35" s="84"/>
      <c r="T35" s="6" t="s">
        <v>78</v>
      </c>
      <c r="Y35" s="16">
        <f ca="1">INDIRECT(ADDRESS(9+$Y$33-1,9))</f>
        <v>5</v>
      </c>
    </row>
    <row r="36" spans="2:26" ht="20.25" x14ac:dyDescent="0.35">
      <c r="B36" s="87" t="s">
        <v>79</v>
      </c>
      <c r="F36" s="106" t="s">
        <v>80</v>
      </c>
      <c r="G36" s="82" t="s">
        <v>38</v>
      </c>
      <c r="H36" s="91">
        <f>(O18-I18*(H28^2))/I18</f>
        <v>157.70446280991706</v>
      </c>
      <c r="I36" s="84"/>
      <c r="L36" s="104" t="s">
        <v>81</v>
      </c>
      <c r="N36" s="91">
        <f t="shared" ca="1" si="16"/>
        <v>40.071428571428569</v>
      </c>
      <c r="Q36" s="84"/>
      <c r="T36" s="6" t="s">
        <v>82</v>
      </c>
      <c r="Y36" s="16">
        <f ca="1">INDIRECT(ADDRESS(9+$Y$33+1,9))</f>
        <v>16</v>
      </c>
    </row>
    <row r="37" spans="2:26" ht="19.5" x14ac:dyDescent="0.35">
      <c r="B37" s="87"/>
      <c r="F37" s="81"/>
      <c r="H37" s="100"/>
      <c r="I37" s="84"/>
      <c r="L37" s="104" t="s">
        <v>83</v>
      </c>
      <c r="N37" s="91">
        <f t="shared" ca="1" si="16"/>
        <v>46.357142857142854</v>
      </c>
      <c r="Q37" s="84"/>
      <c r="T37" s="1" t="s">
        <v>84</v>
      </c>
      <c r="Y37" s="16">
        <f ca="1">INDIRECT(ADDRESS(9+$Y$33,5))</f>
        <v>23.5</v>
      </c>
    </row>
    <row r="38" spans="2:26" ht="19.5" x14ac:dyDescent="0.35">
      <c r="B38" s="87" t="s">
        <v>85</v>
      </c>
      <c r="F38" s="81" t="s">
        <v>86</v>
      </c>
      <c r="G38" s="82" t="s">
        <v>38</v>
      </c>
      <c r="H38" s="91">
        <f>SQRT(H36)</f>
        <v>12.558043749323263</v>
      </c>
      <c r="I38" s="84"/>
      <c r="L38" s="104" t="s">
        <v>87</v>
      </c>
      <c r="N38" s="91">
        <f t="shared" ca="1" si="16"/>
        <v>56.5</v>
      </c>
      <c r="Q38" s="84"/>
      <c r="T38" s="1" t="s">
        <v>88</v>
      </c>
      <c r="Y38" s="16">
        <f ca="1">INDIRECT(ADDRESS(9+$Y$33,8))</f>
        <v>27.5</v>
      </c>
    </row>
    <row r="39" spans="2:26" x14ac:dyDescent="0.2">
      <c r="B39" s="87"/>
      <c r="I39" s="84"/>
      <c r="Q39" s="84"/>
    </row>
    <row r="40" spans="2:26" ht="15.75" x14ac:dyDescent="0.25">
      <c r="B40" s="87" t="s">
        <v>89</v>
      </c>
      <c r="F40" s="81" t="s">
        <v>90</v>
      </c>
      <c r="G40" s="82" t="s">
        <v>38</v>
      </c>
      <c r="H40" s="91">
        <f>H38/H28</f>
        <v>0.34116690847753983</v>
      </c>
      <c r="I40" s="84"/>
      <c r="Q40" s="84"/>
    </row>
    <row r="41" spans="2:26" ht="15.75" x14ac:dyDescent="0.25">
      <c r="B41" s="107"/>
      <c r="C41" s="94"/>
      <c r="D41" s="94"/>
      <c r="E41" s="94"/>
      <c r="F41" s="108"/>
      <c r="G41" s="94"/>
      <c r="H41" s="109"/>
      <c r="I41" s="40"/>
      <c r="J41" s="94"/>
      <c r="K41" s="94"/>
      <c r="L41" s="94"/>
      <c r="M41" s="94"/>
      <c r="N41" s="94"/>
      <c r="O41" s="94"/>
      <c r="P41" s="94"/>
      <c r="Q41" s="40"/>
    </row>
    <row r="43" spans="2:26" ht="12.75" customHeight="1" x14ac:dyDescent="0.2">
      <c r="B43" s="110"/>
      <c r="C43" s="110"/>
      <c r="D43" s="68"/>
      <c r="E43" s="110"/>
      <c r="F43" s="110"/>
      <c r="G43" s="110"/>
      <c r="H43" s="110"/>
    </row>
    <row r="44" spans="2:26" ht="15.75" customHeight="1" x14ac:dyDescent="0.25">
      <c r="D44" s="111"/>
    </row>
    <row r="45" spans="2:26" ht="15.75" customHeight="1" x14ac:dyDescent="0.2">
      <c r="D45" s="112"/>
    </row>
    <row r="48" spans="2:26" ht="12.75" customHeight="1" x14ac:dyDescent="0.2">
      <c r="B48" s="89"/>
    </row>
    <row r="49" spans="2:2" ht="12.75" customHeight="1" x14ac:dyDescent="0.2">
      <c r="B49" s="89"/>
    </row>
    <row r="50" spans="2:2" ht="12.75" customHeight="1" x14ac:dyDescent="0.2">
      <c r="B50" s="89"/>
    </row>
    <row r="57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A0CF-1A76-41F6-A69A-EDAF971B602E}">
  <sheetPr>
    <pageSetUpPr fitToPage="1"/>
  </sheetPr>
  <dimension ref="A1:AD58"/>
  <sheetViews>
    <sheetView showGridLines="0" zoomScale="75" workbookViewId="0">
      <selection activeCell="D5" sqref="D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9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7</v>
      </c>
      <c r="C9" s="32" t="s">
        <v>28</v>
      </c>
      <c r="D9" s="33">
        <f>D10-D4</f>
        <v>15</v>
      </c>
      <c r="E9" s="34">
        <f>E10-D4</f>
        <v>6.5</v>
      </c>
      <c r="F9" s="32" t="s">
        <v>28</v>
      </c>
      <c r="G9" s="35">
        <f>E10</f>
        <v>15.5</v>
      </c>
      <c r="H9" s="36">
        <f>H10-D4</f>
        <v>11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24</v>
      </c>
      <c r="E10" s="45">
        <f>G10-$D$4</f>
        <v>15.5</v>
      </c>
      <c r="F10" s="41" t="s">
        <v>28</v>
      </c>
      <c r="G10" s="46">
        <f>(B11+D10)/2</f>
        <v>24.5</v>
      </c>
      <c r="H10" s="47">
        <f t="shared" ref="H10:H16" si="0">(E10+G10)/2</f>
        <v>20</v>
      </c>
      <c r="I10" s="47">
        <v>5</v>
      </c>
      <c r="J10" s="48">
        <f t="shared" ref="J10:J16" si="1">J9+I10</f>
        <v>5</v>
      </c>
      <c r="K10" s="49">
        <f t="shared" ref="K10:K16" si="2">I10/$I$19</f>
        <v>8.4745762711864403E-2</v>
      </c>
      <c r="L10" s="50">
        <f>K10</f>
        <v>8.4745762711864403E-2</v>
      </c>
      <c r="M10" s="51"/>
      <c r="N10" s="50">
        <f t="shared" ref="N10:N16" si="3">H10*I10</f>
        <v>100</v>
      </c>
      <c r="O10" s="50">
        <f t="shared" ref="O10:O16" si="4">(H10^2)*I10</f>
        <v>2000</v>
      </c>
      <c r="P10" s="50">
        <f t="shared" ref="P10:P16" si="5">I10*(H10-$H$29)^3</f>
        <v>-59898.407334732372</v>
      </c>
      <c r="Q10" s="50">
        <f t="shared" ref="Q10:Q16" si="6">I10*(H10-$H$29)^4</f>
        <v>1370556.7779981135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8" si="7">B10+$D$4</f>
        <v>25</v>
      </c>
      <c r="C11" s="43" t="s">
        <v>28</v>
      </c>
      <c r="D11" s="44">
        <f t="shared" ref="D11:E16" si="8">D10+$D$4</f>
        <v>33</v>
      </c>
      <c r="E11" s="53">
        <f t="shared" si="8"/>
        <v>24.5</v>
      </c>
      <c r="F11" s="41" t="s">
        <v>28</v>
      </c>
      <c r="G11" s="46">
        <f t="shared" ref="G11:G18" si="9">G10+$D$4</f>
        <v>33.5</v>
      </c>
      <c r="H11" s="47">
        <f t="shared" si="0"/>
        <v>29</v>
      </c>
      <c r="I11" s="47">
        <v>17</v>
      </c>
      <c r="J11" s="48">
        <f t="shared" si="1"/>
        <v>22</v>
      </c>
      <c r="K11" s="49">
        <f t="shared" si="2"/>
        <v>0.28813559322033899</v>
      </c>
      <c r="L11" s="50">
        <f t="shared" ref="L11:L16" si="10">L10+K11</f>
        <v>0.3728813559322034</v>
      </c>
      <c r="M11" s="51"/>
      <c r="N11" s="50">
        <f t="shared" si="3"/>
        <v>493</v>
      </c>
      <c r="O11" s="50">
        <f t="shared" si="4"/>
        <v>14297</v>
      </c>
      <c r="P11" s="50">
        <f t="shared" si="5"/>
        <v>-45472.056067076002</v>
      </c>
      <c r="Q11" s="50">
        <f t="shared" si="6"/>
        <v>631213.79523619078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34</v>
      </c>
      <c r="C12" s="43" t="s">
        <v>28</v>
      </c>
      <c r="D12" s="44">
        <f t="shared" si="8"/>
        <v>42</v>
      </c>
      <c r="E12" s="53">
        <f t="shared" si="8"/>
        <v>33.5</v>
      </c>
      <c r="F12" s="41" t="s">
        <v>28</v>
      </c>
      <c r="G12" s="46">
        <f t="shared" si="9"/>
        <v>42.5</v>
      </c>
      <c r="H12" s="47">
        <f t="shared" si="0"/>
        <v>38</v>
      </c>
      <c r="I12" s="47">
        <v>16</v>
      </c>
      <c r="J12" s="48">
        <f t="shared" si="1"/>
        <v>38</v>
      </c>
      <c r="K12" s="49">
        <f t="shared" si="2"/>
        <v>0.2711864406779661</v>
      </c>
      <c r="L12" s="50">
        <f t="shared" si="10"/>
        <v>0.64406779661016955</v>
      </c>
      <c r="M12" s="51"/>
      <c r="N12" s="50">
        <f t="shared" si="3"/>
        <v>608</v>
      </c>
      <c r="O12" s="50">
        <f t="shared" si="4"/>
        <v>23104</v>
      </c>
      <c r="P12" s="50">
        <f t="shared" si="5"/>
        <v>-1860.9787368718335</v>
      </c>
      <c r="Q12" s="50">
        <f t="shared" si="6"/>
        <v>9084.0995969336964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43</v>
      </c>
      <c r="C13" s="43" t="s">
        <v>28</v>
      </c>
      <c r="D13" s="44">
        <f t="shared" si="8"/>
        <v>51</v>
      </c>
      <c r="E13" s="53">
        <f t="shared" si="8"/>
        <v>42.5</v>
      </c>
      <c r="F13" s="41" t="s">
        <v>28</v>
      </c>
      <c r="G13" s="46">
        <f t="shared" si="9"/>
        <v>51.5</v>
      </c>
      <c r="H13" s="47">
        <f t="shared" si="0"/>
        <v>47</v>
      </c>
      <c r="I13" s="47">
        <v>7</v>
      </c>
      <c r="J13" s="48">
        <f t="shared" si="1"/>
        <v>45</v>
      </c>
      <c r="K13" s="49">
        <f t="shared" si="2"/>
        <v>0.11864406779661017</v>
      </c>
      <c r="L13" s="50">
        <f t="shared" si="10"/>
        <v>0.76271186440677974</v>
      </c>
      <c r="M13" s="51"/>
      <c r="N13" s="50">
        <f t="shared" si="3"/>
        <v>329</v>
      </c>
      <c r="O13" s="50">
        <f t="shared" si="4"/>
        <v>15463</v>
      </c>
      <c r="P13" s="50">
        <f t="shared" si="5"/>
        <v>489.05851620662247</v>
      </c>
      <c r="Q13" s="50">
        <f t="shared" si="6"/>
        <v>2014.2579565798171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52</v>
      </c>
      <c r="C14" s="43" t="s">
        <v>28</v>
      </c>
      <c r="D14" s="44">
        <f t="shared" si="8"/>
        <v>60</v>
      </c>
      <c r="E14" s="53">
        <f t="shared" si="8"/>
        <v>51.5</v>
      </c>
      <c r="F14" s="41" t="s">
        <v>28</v>
      </c>
      <c r="G14" s="46">
        <f t="shared" si="9"/>
        <v>60.5</v>
      </c>
      <c r="H14" s="47">
        <f t="shared" si="0"/>
        <v>56</v>
      </c>
      <c r="I14" s="47">
        <v>4</v>
      </c>
      <c r="J14" s="48">
        <f t="shared" si="1"/>
        <v>49</v>
      </c>
      <c r="K14" s="49">
        <f t="shared" si="2"/>
        <v>6.7796610169491525E-2</v>
      </c>
      <c r="L14" s="50">
        <f t="shared" si="10"/>
        <v>0.8305084745762713</v>
      </c>
      <c r="M14" s="51"/>
      <c r="N14" s="50">
        <f t="shared" si="3"/>
        <v>224</v>
      </c>
      <c r="O14" s="50">
        <f t="shared" si="4"/>
        <v>12544</v>
      </c>
      <c r="P14" s="50">
        <f t="shared" si="5"/>
        <v>9030.8127705364204</v>
      </c>
      <c r="Q14" s="50">
        <f t="shared" si="6"/>
        <v>118472.01837957949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61</v>
      </c>
      <c r="C15" s="43" t="s">
        <v>28</v>
      </c>
      <c r="D15" s="44">
        <f t="shared" si="8"/>
        <v>69</v>
      </c>
      <c r="E15" s="53">
        <f t="shared" si="8"/>
        <v>60.5</v>
      </c>
      <c r="F15" s="41" t="s">
        <v>28</v>
      </c>
      <c r="G15" s="46">
        <f t="shared" si="9"/>
        <v>69.5</v>
      </c>
      <c r="H15" s="47">
        <f t="shared" si="0"/>
        <v>65</v>
      </c>
      <c r="I15" s="47">
        <v>4</v>
      </c>
      <c r="J15" s="48">
        <f t="shared" si="1"/>
        <v>53</v>
      </c>
      <c r="K15" s="49">
        <f t="shared" si="2"/>
        <v>6.7796610169491525E-2</v>
      </c>
      <c r="L15" s="50">
        <f t="shared" si="10"/>
        <v>0.89830508474576287</v>
      </c>
      <c r="M15" s="51"/>
      <c r="N15" s="50">
        <f t="shared" si="3"/>
        <v>260</v>
      </c>
      <c r="O15" s="50">
        <f t="shared" si="4"/>
        <v>16900</v>
      </c>
      <c r="P15" s="50">
        <f t="shared" si="5"/>
        <v>43284.807599608517</v>
      </c>
      <c r="Q15" s="50">
        <f t="shared" si="6"/>
        <v>957401.25283879857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70</v>
      </c>
      <c r="C16" s="43" t="s">
        <v>28</v>
      </c>
      <c r="D16" s="44">
        <f t="shared" si="8"/>
        <v>78</v>
      </c>
      <c r="E16" s="53">
        <f t="shared" si="8"/>
        <v>69.5</v>
      </c>
      <c r="F16" s="41" t="s">
        <v>28</v>
      </c>
      <c r="G16" s="46">
        <f t="shared" si="9"/>
        <v>78.5</v>
      </c>
      <c r="H16" s="47">
        <f t="shared" si="0"/>
        <v>74</v>
      </c>
      <c r="I16" s="47">
        <v>1</v>
      </c>
      <c r="J16" s="48">
        <f t="shared" si="1"/>
        <v>54</v>
      </c>
      <c r="K16" s="49">
        <f t="shared" si="2"/>
        <v>1.6949152542372881E-2</v>
      </c>
      <c r="L16" s="50">
        <f t="shared" si="10"/>
        <v>0.91525423728813571</v>
      </c>
      <c r="M16" s="51"/>
      <c r="N16" s="50">
        <f t="shared" si="3"/>
        <v>74</v>
      </c>
      <c r="O16" s="50">
        <f t="shared" si="4"/>
        <v>5476</v>
      </c>
      <c r="P16" s="50">
        <f t="shared" si="5"/>
        <v>30134.361624119309</v>
      </c>
      <c r="Q16" s="50">
        <f t="shared" si="6"/>
        <v>937740.47359123814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x14ac:dyDescent="0.2">
      <c r="A17" s="41">
        <v>8</v>
      </c>
      <c r="B17" s="48">
        <f t="shared" si="7"/>
        <v>79</v>
      </c>
      <c r="C17" s="43" t="s">
        <v>28</v>
      </c>
      <c r="D17" s="44">
        <f t="shared" ref="D17:E17" si="11">D16+$D$4</f>
        <v>87</v>
      </c>
      <c r="E17" s="53">
        <f t="shared" si="11"/>
        <v>78.5</v>
      </c>
      <c r="F17" s="41" t="s">
        <v>28</v>
      </c>
      <c r="G17" s="46">
        <f t="shared" si="9"/>
        <v>87.5</v>
      </c>
      <c r="H17" s="47">
        <f t="shared" ref="H17:H18" si="12">(E17+G17)/2</f>
        <v>83</v>
      </c>
      <c r="I17" s="47">
        <v>2</v>
      </c>
      <c r="J17" s="48">
        <f t="shared" ref="J17:J18" si="13">J16+I17</f>
        <v>56</v>
      </c>
      <c r="K17" s="49">
        <f t="shared" ref="K17:K18" si="14">I17/$I$19</f>
        <v>3.3898305084745763E-2</v>
      </c>
      <c r="L17" s="50">
        <f t="shared" ref="L17:L18" si="15">L16+K17</f>
        <v>0.94915254237288149</v>
      </c>
      <c r="M17" s="51"/>
      <c r="N17" s="50">
        <f t="shared" ref="N17:N18" si="16">H17*I17</f>
        <v>166</v>
      </c>
      <c r="O17" s="50">
        <f t="shared" ref="O17:O18" si="17">(H17^2)*I17</f>
        <v>13778</v>
      </c>
      <c r="P17" s="50">
        <f t="shared" ref="P17:P18" si="18">I17*(H17-$H$29)^3</f>
        <v>129142.36473057128</v>
      </c>
      <c r="Q17" s="50">
        <f t="shared" ref="Q17:Q18" si="19">I17*(H17-$H$29)^4</f>
        <v>5181016.5646993602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9.5" customHeight="1" thickBot="1" x14ac:dyDescent="0.25">
      <c r="A18" s="41">
        <v>9</v>
      </c>
      <c r="B18" s="54">
        <f t="shared" si="7"/>
        <v>88</v>
      </c>
      <c r="C18" s="55" t="s">
        <v>28</v>
      </c>
      <c r="D18" s="56">
        <f t="shared" ref="D18:E18" si="20">D17+$D$4</f>
        <v>96</v>
      </c>
      <c r="E18" s="57">
        <f t="shared" si="20"/>
        <v>87.5</v>
      </c>
      <c r="F18" s="58" t="s">
        <v>28</v>
      </c>
      <c r="G18" s="59">
        <f t="shared" si="9"/>
        <v>96.5</v>
      </c>
      <c r="H18" s="60">
        <f t="shared" si="12"/>
        <v>92</v>
      </c>
      <c r="I18" s="60">
        <v>3</v>
      </c>
      <c r="J18" s="54">
        <f t="shared" si="13"/>
        <v>59</v>
      </c>
      <c r="K18" s="114">
        <f t="shared" si="14"/>
        <v>5.0847457627118647E-2</v>
      </c>
      <c r="L18" s="61">
        <f t="shared" si="15"/>
        <v>1.0000000000000002</v>
      </c>
      <c r="M18" s="62"/>
      <c r="N18" s="61">
        <f t="shared" si="16"/>
        <v>276</v>
      </c>
      <c r="O18" s="61">
        <f t="shared" si="17"/>
        <v>25392</v>
      </c>
      <c r="P18" s="61">
        <f t="shared" si="18"/>
        <v>355516.99237020331</v>
      </c>
      <c r="Q18" s="61">
        <f t="shared" si="19"/>
        <v>17462512.608285576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8.75" customHeight="1" thickTop="1" x14ac:dyDescent="0.2">
      <c r="A19" s="52"/>
      <c r="B19" s="52"/>
      <c r="C19" s="52"/>
      <c r="D19" s="52"/>
      <c r="E19" s="52"/>
      <c r="F19" s="52"/>
      <c r="G19" s="52"/>
      <c r="H19" s="63" t="s">
        <v>29</v>
      </c>
      <c r="I19" s="64">
        <f>SUM(I10:I18)</f>
        <v>59</v>
      </c>
      <c r="J19" s="41"/>
      <c r="K19" s="113">
        <f>SUM(K9:K18)</f>
        <v>1.0000000000000002</v>
      </c>
      <c r="L19" s="41"/>
      <c r="M19" s="41"/>
      <c r="N19" s="66">
        <f>SUM(N10:N18)</f>
        <v>2530</v>
      </c>
      <c r="O19" s="67">
        <f>SUM(O10:O18)</f>
        <v>128954</v>
      </c>
      <c r="P19" s="67">
        <f>SUM(P10:P18)</f>
        <v>460366.95547256526</v>
      </c>
      <c r="Q19" s="67">
        <f>SUM(Q10:Q18)</f>
        <v>26670011.848582372</v>
      </c>
      <c r="R19" s="52"/>
      <c r="S19" s="52"/>
      <c r="T19"/>
      <c r="U19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ht="6" customHeight="1" x14ac:dyDescent="0.2">
      <c r="K20" s="68"/>
    </row>
    <row r="21" spans="1:30" ht="18.75" customHeight="1" x14ac:dyDescent="0.2">
      <c r="B21" s="69" t="s">
        <v>91</v>
      </c>
      <c r="C21" s="70"/>
      <c r="D21" s="70"/>
      <c r="E21" s="70"/>
      <c r="F21" s="70"/>
      <c r="G21" s="70"/>
      <c r="H21" s="70"/>
      <c r="I21" s="70"/>
      <c r="J21" s="70"/>
      <c r="K21" s="71"/>
      <c r="L21" s="70"/>
      <c r="M21" s="70"/>
      <c r="N21" s="70"/>
      <c r="O21" s="70"/>
      <c r="P21" s="70"/>
      <c r="Q21" s="72"/>
    </row>
    <row r="22" spans="1:30" ht="25.5" customHeight="1" x14ac:dyDescent="0.2">
      <c r="B22" s="73"/>
      <c r="C22" s="74"/>
      <c r="D22" s="74"/>
      <c r="E22" s="74"/>
      <c r="F22" s="74"/>
      <c r="G22" s="74"/>
      <c r="H22" s="74"/>
      <c r="I22" s="75"/>
      <c r="J22" s="74"/>
      <c r="K22" s="76"/>
      <c r="L22" s="77"/>
      <c r="M22" s="74"/>
      <c r="N22" s="74"/>
      <c r="O22" s="74"/>
      <c r="P22" s="74"/>
      <c r="Q22" s="75"/>
      <c r="X22" s="78" t="s">
        <v>30</v>
      </c>
      <c r="Y22" s="79" t="s">
        <v>31</v>
      </c>
      <c r="Z22" s="79" t="s">
        <v>32</v>
      </c>
      <c r="AA22" s="78" t="s">
        <v>33</v>
      </c>
      <c r="AB22" s="79" t="s">
        <v>34</v>
      </c>
      <c r="AC22" s="79" t="s">
        <v>35</v>
      </c>
    </row>
    <row r="23" spans="1:30" ht="15.75" x14ac:dyDescent="0.25">
      <c r="B23" s="80" t="s">
        <v>36</v>
      </c>
      <c r="F23" s="81" t="s">
        <v>37</v>
      </c>
      <c r="G23" s="82" t="s">
        <v>38</v>
      </c>
      <c r="H23" s="83">
        <f>G13-E13</f>
        <v>9</v>
      </c>
      <c r="I23" s="84"/>
      <c r="K23" s="6" t="s">
        <v>39</v>
      </c>
      <c r="Q23" s="84"/>
      <c r="T23" s="6" t="s">
        <v>40</v>
      </c>
      <c r="W23" s="1" t="s">
        <v>41</v>
      </c>
      <c r="X23" s="16">
        <f>1/4</f>
        <v>0.25</v>
      </c>
      <c r="Y23" s="85">
        <f>COUNTIF(L10:L18,"&lt;=0.25")+1</f>
        <v>2</v>
      </c>
      <c r="Z23" s="16">
        <f t="shared" ref="Z23:Z31" ca="1" si="21">INDIRECT(ADDRESS(9+$Y23,5))</f>
        <v>24.5</v>
      </c>
      <c r="AA23" s="16">
        <f t="shared" ref="AA23:AA31" ca="1" si="22">INDIRECT(ADDRESS(9+$Y23,9))</f>
        <v>17</v>
      </c>
      <c r="AB23" s="16">
        <f t="shared" ref="AB23:AB31" ca="1" si="23">INDIRECT(ADDRESS(9+$Y23-1,10))</f>
        <v>5</v>
      </c>
      <c r="AC23" s="86">
        <f t="shared" ref="AC23:AC31" ca="1" si="24">Z23+(  ($H$27*X23)-AB23  )*$H$23/AA23</f>
        <v>29.661764705882355</v>
      </c>
      <c r="AD23" s="1">
        <f t="shared" ref="AD23:AD31" si="25">MATCH(X23,$L$10:$L$18,1)+1</f>
        <v>2</v>
      </c>
    </row>
    <row r="24" spans="1:30" ht="18" x14ac:dyDescent="0.3">
      <c r="B24" s="87"/>
      <c r="C24" s="52"/>
      <c r="D24" s="43"/>
      <c r="E24" s="43"/>
      <c r="F24" s="88"/>
      <c r="G24" s="43"/>
      <c r="H24" s="89"/>
      <c r="I24" s="84"/>
      <c r="K24" s="6" t="s">
        <v>42</v>
      </c>
      <c r="O24" s="90" t="s">
        <v>43</v>
      </c>
      <c r="P24" s="91">
        <f>(P19/I19)/(H39^3)</f>
        <v>1.2079221986855451</v>
      </c>
      <c r="Q24" s="84"/>
      <c r="T24" s="6" t="s">
        <v>44</v>
      </c>
      <c r="W24" s="1" t="s">
        <v>45</v>
      </c>
      <c r="X24" s="16">
        <f>1/2</f>
        <v>0.5</v>
      </c>
      <c r="Y24" s="85">
        <f>COUNTIF(L10:L18,"&lt;=0.5")+1</f>
        <v>3</v>
      </c>
      <c r="Z24" s="16">
        <f t="shared" ca="1" si="21"/>
        <v>33.5</v>
      </c>
      <c r="AA24" s="16">
        <f t="shared" ca="1" si="22"/>
        <v>16</v>
      </c>
      <c r="AB24" s="16">
        <f t="shared" ca="1" si="23"/>
        <v>22</v>
      </c>
      <c r="AC24" s="86">
        <f t="shared" ca="1" si="24"/>
        <v>37.71875</v>
      </c>
      <c r="AD24" s="1">
        <f t="shared" si="25"/>
        <v>3</v>
      </c>
    </row>
    <row r="25" spans="1:30" ht="15.75" x14ac:dyDescent="0.25">
      <c r="B25" s="92" t="s">
        <v>46</v>
      </c>
      <c r="F25" s="81" t="s">
        <v>47</v>
      </c>
      <c r="G25" s="82" t="s">
        <v>38</v>
      </c>
      <c r="H25" s="93">
        <f>COUNT(I10:I18)</f>
        <v>9</v>
      </c>
      <c r="I25" s="84"/>
      <c r="Q25" s="84"/>
      <c r="T25" s="6" t="s">
        <v>48</v>
      </c>
      <c r="W25" s="94" t="s">
        <v>49</v>
      </c>
      <c r="X25" s="95">
        <f>3/4</f>
        <v>0.75</v>
      </c>
      <c r="Y25" s="96">
        <f>COUNTIF(L10:L18,"&lt;=0.75")+1</f>
        <v>4</v>
      </c>
      <c r="Z25" s="95">
        <f t="shared" ca="1" si="21"/>
        <v>42.5</v>
      </c>
      <c r="AA25" s="95">
        <f t="shared" ca="1" si="22"/>
        <v>7</v>
      </c>
      <c r="AB25" s="95">
        <f t="shared" ca="1" si="23"/>
        <v>38</v>
      </c>
      <c r="AC25" s="97">
        <f t="shared" ca="1" si="24"/>
        <v>50.535714285714285</v>
      </c>
      <c r="AD25" s="1">
        <f t="shared" si="25"/>
        <v>4</v>
      </c>
    </row>
    <row r="26" spans="1:30" ht="15.75" x14ac:dyDescent="0.25">
      <c r="B26" s="92"/>
      <c r="F26" s="81"/>
      <c r="H26" s="89"/>
      <c r="I26" s="84"/>
      <c r="K26" s="6" t="s">
        <v>50</v>
      </c>
      <c r="Q26" s="84"/>
      <c r="W26" s="1" t="s">
        <v>51</v>
      </c>
      <c r="X26" s="16">
        <f>1/10</f>
        <v>0.1</v>
      </c>
      <c r="Y26" s="85">
        <f>COUNTIF(L10:L18,"&lt;=0.1")+1</f>
        <v>2</v>
      </c>
      <c r="Z26" s="16">
        <f t="shared" ca="1" si="21"/>
        <v>24.5</v>
      </c>
      <c r="AA26" s="16">
        <f t="shared" ca="1" si="22"/>
        <v>17</v>
      </c>
      <c r="AB26" s="16">
        <f t="shared" ca="1" si="23"/>
        <v>5</v>
      </c>
      <c r="AC26" s="86">
        <f t="shared" ca="1" si="24"/>
        <v>24.976470588235294</v>
      </c>
      <c r="AD26" s="1">
        <f t="shared" si="25"/>
        <v>2</v>
      </c>
    </row>
    <row r="27" spans="1:30" ht="18" x14ac:dyDescent="0.3">
      <c r="B27" s="98" t="s">
        <v>52</v>
      </c>
      <c r="F27" s="81" t="s">
        <v>53</v>
      </c>
      <c r="G27" s="82" t="s">
        <v>38</v>
      </c>
      <c r="H27" s="99">
        <f>I19</f>
        <v>59</v>
      </c>
      <c r="I27" s="84"/>
      <c r="K27" s="6" t="s">
        <v>54</v>
      </c>
      <c r="O27" s="90" t="s">
        <v>55</v>
      </c>
      <c r="P27" s="91">
        <f>(Q19/I19)/(H37^2)</f>
        <v>3.7573960286645556</v>
      </c>
      <c r="Q27" s="84"/>
      <c r="W27" s="1" t="s">
        <v>56</v>
      </c>
      <c r="X27" s="16">
        <f>2/10</f>
        <v>0.2</v>
      </c>
      <c r="Y27" s="85">
        <f>COUNTIF(L10:L18,"&lt;=0.20")+1</f>
        <v>2</v>
      </c>
      <c r="Z27" s="16">
        <f t="shared" ca="1" si="21"/>
        <v>24.5</v>
      </c>
      <c r="AA27" s="16">
        <f t="shared" ca="1" si="22"/>
        <v>17</v>
      </c>
      <c r="AB27" s="16">
        <f t="shared" ca="1" si="23"/>
        <v>5</v>
      </c>
      <c r="AC27" s="86">
        <f t="shared" ca="1" si="24"/>
        <v>28.1</v>
      </c>
      <c r="AD27" s="1">
        <f t="shared" si="25"/>
        <v>2</v>
      </c>
    </row>
    <row r="28" spans="1:30" ht="15.75" x14ac:dyDescent="0.25">
      <c r="B28" s="87"/>
      <c r="F28" s="81"/>
      <c r="H28" s="100"/>
      <c r="I28" s="84"/>
      <c r="Q28" s="84"/>
      <c r="W28" s="1" t="s">
        <v>57</v>
      </c>
      <c r="X28" s="16">
        <f>3/10</f>
        <v>0.3</v>
      </c>
      <c r="Y28" s="85">
        <f>COUNTIF(L10:L18,"&lt;=0.30")+1</f>
        <v>2</v>
      </c>
      <c r="Z28" s="16">
        <f t="shared" ca="1" si="21"/>
        <v>24.5</v>
      </c>
      <c r="AA28" s="16">
        <f t="shared" ca="1" si="22"/>
        <v>17</v>
      </c>
      <c r="AB28" s="16">
        <f t="shared" ca="1" si="23"/>
        <v>5</v>
      </c>
      <c r="AC28" s="86">
        <f t="shared" ca="1" si="24"/>
        <v>31.223529411764705</v>
      </c>
      <c r="AD28" s="1">
        <f t="shared" si="25"/>
        <v>2</v>
      </c>
    </row>
    <row r="29" spans="1:30" ht="15.75" x14ac:dyDescent="0.25">
      <c r="B29" s="101" t="s">
        <v>58</v>
      </c>
      <c r="F29" s="81" t="s">
        <v>59</v>
      </c>
      <c r="G29" s="82" t="s">
        <v>38</v>
      </c>
      <c r="H29" s="102">
        <f>N19/I19</f>
        <v>42.881355932203391</v>
      </c>
      <c r="I29" s="84"/>
      <c r="L29" s="6"/>
      <c r="P29" s="16"/>
      <c r="Q29" s="84"/>
      <c r="W29" s="1" t="s">
        <v>60</v>
      </c>
      <c r="X29" s="16">
        <f>7/10</f>
        <v>0.7</v>
      </c>
      <c r="Y29" s="85">
        <f>COUNTIF(L10:L18,"&lt;=0.70")+1</f>
        <v>4</v>
      </c>
      <c r="Z29" s="16">
        <f t="shared" ca="1" si="21"/>
        <v>42.5</v>
      </c>
      <c r="AA29" s="16">
        <f t="shared" ca="1" si="22"/>
        <v>7</v>
      </c>
      <c r="AB29" s="16">
        <f t="shared" ca="1" si="23"/>
        <v>38</v>
      </c>
      <c r="AC29" s="86">
        <f t="shared" ca="1" si="24"/>
        <v>46.74285714285714</v>
      </c>
      <c r="AD29" s="1">
        <f t="shared" si="25"/>
        <v>4</v>
      </c>
    </row>
    <row r="30" spans="1:30" ht="15.75" x14ac:dyDescent="0.25">
      <c r="B30" s="101"/>
      <c r="F30" s="81"/>
      <c r="H30" s="100"/>
      <c r="I30" s="84"/>
      <c r="K30" s="6" t="s">
        <v>61</v>
      </c>
      <c r="Q30" s="103"/>
      <c r="W30" s="1" t="s">
        <v>62</v>
      </c>
      <c r="X30" s="16">
        <f>8/10</f>
        <v>0.8</v>
      </c>
      <c r="Y30" s="85">
        <f>COUNTIF(L10:L18,"&lt;=0.80")+1</f>
        <v>5</v>
      </c>
      <c r="Z30" s="16">
        <f t="shared" ca="1" si="21"/>
        <v>51.5</v>
      </c>
      <c r="AA30" s="16">
        <f t="shared" ca="1" si="22"/>
        <v>4</v>
      </c>
      <c r="AB30" s="16">
        <f t="shared" ca="1" si="23"/>
        <v>45</v>
      </c>
      <c r="AC30" s="86">
        <f t="shared" ca="1" si="24"/>
        <v>56.45</v>
      </c>
      <c r="AD30" s="1">
        <f t="shared" si="25"/>
        <v>5</v>
      </c>
    </row>
    <row r="31" spans="1:30" ht="19.5" x14ac:dyDescent="0.35">
      <c r="B31" s="87" t="s">
        <v>63</v>
      </c>
      <c r="F31" s="81" t="s">
        <v>59</v>
      </c>
      <c r="G31" s="82" t="s">
        <v>38</v>
      </c>
      <c r="H31" s="91">
        <f ca="1">AC24</f>
        <v>37.71875</v>
      </c>
      <c r="I31" s="84"/>
      <c r="L31" s="104" t="s">
        <v>64</v>
      </c>
      <c r="N31" s="91">
        <f ca="1">AC23</f>
        <v>29.661764705882355</v>
      </c>
      <c r="Q31" s="103"/>
      <c r="W31" s="1" t="s">
        <v>65</v>
      </c>
      <c r="X31" s="16">
        <f>9/10</f>
        <v>0.9</v>
      </c>
      <c r="Y31" s="85">
        <f>COUNTIF(L10:L18,"&lt;=0.90")+1</f>
        <v>7</v>
      </c>
      <c r="Z31" s="16">
        <f t="shared" ca="1" si="21"/>
        <v>69.5</v>
      </c>
      <c r="AA31" s="16">
        <f t="shared" ca="1" si="22"/>
        <v>1</v>
      </c>
      <c r="AB31" s="16">
        <f t="shared" ca="1" si="23"/>
        <v>53</v>
      </c>
      <c r="AC31" s="86">
        <f t="shared" ca="1" si="24"/>
        <v>70.400000000000006</v>
      </c>
      <c r="AD31" s="1">
        <f t="shared" si="25"/>
        <v>7</v>
      </c>
    </row>
    <row r="32" spans="1:30" ht="19.5" x14ac:dyDescent="0.35">
      <c r="B32" s="87"/>
      <c r="F32" s="81"/>
      <c r="H32" s="100"/>
      <c r="I32" s="84"/>
      <c r="L32" s="104" t="s">
        <v>66</v>
      </c>
      <c r="N32" s="91">
        <f t="shared" ref="N32:N39" ca="1" si="26">AC24</f>
        <v>37.71875</v>
      </c>
      <c r="Q32" s="84"/>
      <c r="Z32" s="16"/>
    </row>
    <row r="33" spans="2:26" ht="19.5" x14ac:dyDescent="0.35">
      <c r="B33" s="87" t="s">
        <v>67</v>
      </c>
      <c r="F33" s="81" t="s">
        <v>68</v>
      </c>
      <c r="G33" s="82" t="s">
        <v>38</v>
      </c>
      <c r="H33" s="91">
        <f ca="1">Y38+ (  $H$23*(Y35-Y36) / ((Y35-Y36)+(Y35-Y37))  )</f>
        <v>32.807692307692307</v>
      </c>
      <c r="I33" s="84"/>
      <c r="L33" s="104" t="s">
        <v>69</v>
      </c>
      <c r="N33" s="91">
        <f t="shared" ca="1" si="26"/>
        <v>50.535714285714285</v>
      </c>
      <c r="Q33" s="84"/>
      <c r="Z33" s="16"/>
    </row>
    <row r="34" spans="2:26" ht="19.5" x14ac:dyDescent="0.35">
      <c r="B34" s="87"/>
      <c r="E34"/>
      <c r="F34" s="105" t="s">
        <v>70</v>
      </c>
      <c r="G34" s="82" t="s">
        <v>38</v>
      </c>
      <c r="H34" s="102">
        <f ca="1">Y39</f>
        <v>29</v>
      </c>
      <c r="I34" s="84"/>
      <c r="L34" s="104" t="s">
        <v>71</v>
      </c>
      <c r="N34" s="91">
        <f t="shared" ca="1" si="26"/>
        <v>24.976470588235294</v>
      </c>
      <c r="Q34" s="84"/>
      <c r="T34" s="1" t="s">
        <v>72</v>
      </c>
      <c r="Y34" s="16">
        <f>MATCH(MAX(I10:I18),I10:I18,0)</f>
        <v>2</v>
      </c>
      <c r="Z34" s="16"/>
    </row>
    <row r="35" spans="2:26" ht="19.5" x14ac:dyDescent="0.35">
      <c r="B35" s="92" t="s">
        <v>73</v>
      </c>
      <c r="D35" s="6"/>
      <c r="F35" s="81" t="s">
        <v>74</v>
      </c>
      <c r="G35" s="82" t="s">
        <v>38</v>
      </c>
      <c r="H35" s="83">
        <f>G18-E10</f>
        <v>81</v>
      </c>
      <c r="I35" s="84"/>
      <c r="L35" s="104" t="s">
        <v>75</v>
      </c>
      <c r="N35" s="91">
        <f t="shared" ca="1" si="26"/>
        <v>28.1</v>
      </c>
      <c r="Q35" s="84"/>
      <c r="T35" s="1" t="s">
        <v>76</v>
      </c>
      <c r="Y35" s="16">
        <f ca="1">INDIRECT(ADDRESS(9+$Y$34,9))</f>
        <v>17</v>
      </c>
      <c r="Z35" s="16"/>
    </row>
    <row r="36" spans="2:26" ht="19.5" x14ac:dyDescent="0.35">
      <c r="B36" s="87"/>
      <c r="F36" s="81"/>
      <c r="H36" s="100"/>
      <c r="I36" s="84"/>
      <c r="L36" s="104" t="s">
        <v>77</v>
      </c>
      <c r="N36" s="91">
        <f t="shared" ca="1" si="26"/>
        <v>31.223529411764705</v>
      </c>
      <c r="Q36" s="84"/>
      <c r="T36" s="6" t="s">
        <v>78</v>
      </c>
      <c r="Y36" s="16">
        <f ca="1">INDIRECT(ADDRESS(9+$Y$34-1,9))</f>
        <v>5</v>
      </c>
    </row>
    <row r="37" spans="2:26" ht="20.25" x14ac:dyDescent="0.35">
      <c r="B37" s="87" t="s">
        <v>79</v>
      </c>
      <c r="F37" s="106" t="s">
        <v>80</v>
      </c>
      <c r="G37" s="82" t="s">
        <v>38</v>
      </c>
      <c r="H37" s="91">
        <f>(O19-I19*(H29^2))/I19</f>
        <v>346.85033036483759</v>
      </c>
      <c r="I37" s="84"/>
      <c r="L37" s="104" t="s">
        <v>81</v>
      </c>
      <c r="N37" s="91">
        <f t="shared" ca="1" si="26"/>
        <v>46.74285714285714</v>
      </c>
      <c r="Q37" s="84"/>
      <c r="T37" s="6" t="s">
        <v>82</v>
      </c>
      <c r="Y37" s="16">
        <f ca="1">INDIRECT(ADDRESS(9+$Y$34+1,9))</f>
        <v>16</v>
      </c>
    </row>
    <row r="38" spans="2:26" ht="19.5" x14ac:dyDescent="0.35">
      <c r="B38" s="87"/>
      <c r="F38" s="81"/>
      <c r="H38" s="100"/>
      <c r="I38" s="84"/>
      <c r="L38" s="104" t="s">
        <v>83</v>
      </c>
      <c r="N38" s="91">
        <f t="shared" ca="1" si="26"/>
        <v>56.45</v>
      </c>
      <c r="Q38" s="84"/>
      <c r="T38" s="1" t="s">
        <v>84</v>
      </c>
      <c r="Y38" s="16">
        <f ca="1">INDIRECT(ADDRESS(9+$Y$34,5))</f>
        <v>24.5</v>
      </c>
    </row>
    <row r="39" spans="2:26" ht="19.5" x14ac:dyDescent="0.35">
      <c r="B39" s="87" t="s">
        <v>85</v>
      </c>
      <c r="F39" s="81" t="s">
        <v>86</v>
      </c>
      <c r="G39" s="82" t="s">
        <v>38</v>
      </c>
      <c r="H39" s="91">
        <f>SQRT(H37)</f>
        <v>18.623918233412581</v>
      </c>
      <c r="I39" s="84"/>
      <c r="L39" s="104" t="s">
        <v>87</v>
      </c>
      <c r="N39" s="91">
        <f t="shared" ca="1" si="26"/>
        <v>70.400000000000006</v>
      </c>
      <c r="Q39" s="84"/>
      <c r="T39" s="1" t="s">
        <v>88</v>
      </c>
      <c r="Y39" s="16">
        <f ca="1">INDIRECT(ADDRESS(9+$Y$34,8))</f>
        <v>29</v>
      </c>
    </row>
    <row r="40" spans="2:26" x14ac:dyDescent="0.2">
      <c r="B40" s="87"/>
      <c r="I40" s="84"/>
      <c r="Q40" s="84"/>
    </row>
    <row r="41" spans="2:26" ht="15.75" x14ac:dyDescent="0.25">
      <c r="B41" s="87" t="s">
        <v>89</v>
      </c>
      <c r="F41" s="81" t="s">
        <v>90</v>
      </c>
      <c r="G41" s="82" t="s">
        <v>38</v>
      </c>
      <c r="H41" s="91">
        <f>H39/H29</f>
        <v>0.43431271769618274</v>
      </c>
      <c r="I41" s="84"/>
      <c r="Q41" s="84"/>
    </row>
    <row r="42" spans="2:26" ht="15.75" x14ac:dyDescent="0.25">
      <c r="B42" s="107"/>
      <c r="C42" s="94"/>
      <c r="D42" s="94"/>
      <c r="E42" s="94"/>
      <c r="F42" s="108"/>
      <c r="G42" s="94"/>
      <c r="H42" s="109"/>
      <c r="I42" s="40"/>
      <c r="J42" s="94"/>
      <c r="K42" s="94"/>
      <c r="L42" s="94"/>
      <c r="M42" s="94"/>
      <c r="N42" s="94"/>
      <c r="O42" s="94"/>
      <c r="P42" s="94"/>
      <c r="Q42" s="40"/>
    </row>
    <row r="44" spans="2:26" ht="12.75" customHeight="1" x14ac:dyDescent="0.2">
      <c r="B44" s="110"/>
      <c r="C44" s="110"/>
      <c r="D44" s="68"/>
      <c r="E44" s="110"/>
      <c r="F44" s="110"/>
      <c r="G44" s="110"/>
      <c r="H44" s="110"/>
    </row>
    <row r="45" spans="2:26" ht="15.75" customHeight="1" x14ac:dyDescent="0.25">
      <c r="D45" s="111"/>
    </row>
    <row r="46" spans="2:26" ht="15.75" customHeight="1" x14ac:dyDescent="0.2">
      <c r="D46" s="112"/>
    </row>
    <row r="49" spans="2:2" ht="12.75" customHeight="1" x14ac:dyDescent="0.2">
      <c r="B49" s="89"/>
    </row>
    <row r="50" spans="2:2" ht="12.75" customHeight="1" x14ac:dyDescent="0.2">
      <c r="B50" s="89"/>
    </row>
    <row r="51" spans="2:2" ht="12.75" customHeight="1" x14ac:dyDescent="0.2">
      <c r="B51" s="89"/>
    </row>
    <row r="58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8C9C-85A8-457A-9133-C2E3084E90C6}">
  <sheetPr>
    <pageSetUpPr fitToPage="1"/>
  </sheetPr>
  <dimension ref="A1:AD59"/>
  <sheetViews>
    <sheetView showGridLines="0" zoomScale="75" workbookViewId="0">
      <selection activeCell="X15" sqref="X1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6</v>
      </c>
      <c r="C9" s="32" t="s">
        <v>28</v>
      </c>
      <c r="D9" s="33">
        <f>D10-D4</f>
        <v>15</v>
      </c>
      <c r="E9" s="34">
        <f>E10-D4</f>
        <v>5.5</v>
      </c>
      <c r="F9" s="32" t="s">
        <v>28</v>
      </c>
      <c r="G9" s="35">
        <f>E10</f>
        <v>15.5</v>
      </c>
      <c r="H9" s="36">
        <f>H10-D4</f>
        <v>10.5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25</v>
      </c>
      <c r="E10" s="45">
        <f>G10-$D$4</f>
        <v>15.5</v>
      </c>
      <c r="F10" s="41" t="s">
        <v>28</v>
      </c>
      <c r="G10" s="46">
        <f>(B11+D10)/2</f>
        <v>25.5</v>
      </c>
      <c r="H10" s="47">
        <f t="shared" ref="H10:H17" si="0">(E10+G10)/2</f>
        <v>20.5</v>
      </c>
      <c r="I10" s="47">
        <v>5</v>
      </c>
      <c r="J10" s="48">
        <f t="shared" ref="J10:J17" si="1">J9+I10</f>
        <v>5</v>
      </c>
      <c r="K10" s="49">
        <f t="shared" ref="K10:K19" si="2">I10/$I$20</f>
        <v>7.9365079365079361E-2</v>
      </c>
      <c r="L10" s="50">
        <f>K10</f>
        <v>7.9365079365079361E-2</v>
      </c>
      <c r="M10" s="51"/>
      <c r="N10" s="50">
        <f t="shared" ref="N10:N17" si="3">H10*I10</f>
        <v>102.5</v>
      </c>
      <c r="O10" s="50">
        <f t="shared" ref="O10:O17" si="4">(H10^2)*I10</f>
        <v>2101.25</v>
      </c>
      <c r="P10" s="50">
        <f t="shared" ref="P10:P19" si="5">I10*(H10-$H$30)^3</f>
        <v>-128672.92948925604</v>
      </c>
      <c r="Q10" s="50">
        <f t="shared" ref="Q10:Q19" si="6">I10*(H10-$H$30)^4</f>
        <v>3798915.0611113687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9" si="7">B10+$D$4</f>
        <v>26</v>
      </c>
      <c r="C11" s="43" t="s">
        <v>28</v>
      </c>
      <c r="D11" s="44">
        <f t="shared" ref="D11:E17" si="8">D10+$D$4</f>
        <v>35</v>
      </c>
      <c r="E11" s="53">
        <f t="shared" si="8"/>
        <v>25.5</v>
      </c>
      <c r="F11" s="41" t="s">
        <v>28</v>
      </c>
      <c r="G11" s="46">
        <f t="shared" ref="G11:G19" si="9">G10+$D$4</f>
        <v>35.5</v>
      </c>
      <c r="H11" s="47">
        <f t="shared" si="0"/>
        <v>30.5</v>
      </c>
      <c r="I11" s="47">
        <v>17</v>
      </c>
      <c r="J11" s="48">
        <f t="shared" si="1"/>
        <v>22</v>
      </c>
      <c r="K11" s="49">
        <f t="shared" si="2"/>
        <v>0.26984126984126983</v>
      </c>
      <c r="L11" s="50">
        <f t="shared" ref="L11:L17" si="10">L10+K11</f>
        <v>0.34920634920634919</v>
      </c>
      <c r="M11" s="51"/>
      <c r="N11" s="50">
        <f t="shared" si="3"/>
        <v>518.5</v>
      </c>
      <c r="O11" s="50">
        <f t="shared" si="4"/>
        <v>15814.25</v>
      </c>
      <c r="P11" s="50">
        <f t="shared" si="5"/>
        <v>-126515.17114782425</v>
      </c>
      <c r="Q11" s="50">
        <f t="shared" si="6"/>
        <v>2470058.1033622832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36</v>
      </c>
      <c r="C12" s="43" t="s">
        <v>28</v>
      </c>
      <c r="D12" s="44">
        <f t="shared" si="8"/>
        <v>45</v>
      </c>
      <c r="E12" s="53">
        <f t="shared" si="8"/>
        <v>35.5</v>
      </c>
      <c r="F12" s="41" t="s">
        <v>28</v>
      </c>
      <c r="G12" s="46">
        <f t="shared" si="9"/>
        <v>45.5</v>
      </c>
      <c r="H12" s="47">
        <f t="shared" si="0"/>
        <v>40.5</v>
      </c>
      <c r="I12" s="47">
        <v>16</v>
      </c>
      <c r="J12" s="48">
        <f t="shared" si="1"/>
        <v>38</v>
      </c>
      <c r="K12" s="49">
        <f t="shared" si="2"/>
        <v>0.25396825396825395</v>
      </c>
      <c r="L12" s="50">
        <f t="shared" si="10"/>
        <v>0.60317460317460314</v>
      </c>
      <c r="M12" s="51"/>
      <c r="N12" s="50">
        <f t="shared" si="3"/>
        <v>648</v>
      </c>
      <c r="O12" s="50">
        <f t="shared" si="4"/>
        <v>26244</v>
      </c>
      <c r="P12" s="50">
        <f t="shared" si="5"/>
        <v>-13821.401576503626</v>
      </c>
      <c r="Q12" s="50">
        <f t="shared" si="6"/>
        <v>131632.39596670124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46</v>
      </c>
      <c r="C13" s="43" t="s">
        <v>28</v>
      </c>
      <c r="D13" s="44">
        <f t="shared" si="8"/>
        <v>55</v>
      </c>
      <c r="E13" s="53">
        <f t="shared" si="8"/>
        <v>45.5</v>
      </c>
      <c r="F13" s="41" t="s">
        <v>28</v>
      </c>
      <c r="G13" s="46">
        <f t="shared" si="9"/>
        <v>55.5</v>
      </c>
      <c r="H13" s="47">
        <f t="shared" si="0"/>
        <v>50.5</v>
      </c>
      <c r="I13" s="47">
        <v>7</v>
      </c>
      <c r="J13" s="48">
        <f t="shared" si="1"/>
        <v>45</v>
      </c>
      <c r="K13" s="49">
        <f t="shared" si="2"/>
        <v>0.1111111111111111</v>
      </c>
      <c r="L13" s="50">
        <f t="shared" si="10"/>
        <v>0.71428571428571419</v>
      </c>
      <c r="M13" s="51"/>
      <c r="N13" s="50">
        <f t="shared" si="3"/>
        <v>353.5</v>
      </c>
      <c r="O13" s="50">
        <f t="shared" si="4"/>
        <v>17851.75</v>
      </c>
      <c r="P13" s="50">
        <f t="shared" si="5"/>
        <v>0.7558578987150335</v>
      </c>
      <c r="Q13" s="50">
        <f t="shared" si="6"/>
        <v>0.35993233272144332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56</v>
      </c>
      <c r="C14" s="43" t="s">
        <v>28</v>
      </c>
      <c r="D14" s="44">
        <f t="shared" si="8"/>
        <v>65</v>
      </c>
      <c r="E14" s="53">
        <f t="shared" si="8"/>
        <v>55.5</v>
      </c>
      <c r="F14" s="41" t="s">
        <v>28</v>
      </c>
      <c r="G14" s="46">
        <f t="shared" si="9"/>
        <v>65.5</v>
      </c>
      <c r="H14" s="47">
        <f t="shared" si="0"/>
        <v>60.5</v>
      </c>
      <c r="I14" s="47">
        <v>4</v>
      </c>
      <c r="J14" s="48">
        <f t="shared" si="1"/>
        <v>49</v>
      </c>
      <c r="K14" s="49">
        <f t="shared" si="2"/>
        <v>6.3492063492063489E-2</v>
      </c>
      <c r="L14" s="50">
        <f t="shared" si="10"/>
        <v>0.77777777777777768</v>
      </c>
      <c r="M14" s="51"/>
      <c r="N14" s="50">
        <f t="shared" si="3"/>
        <v>242</v>
      </c>
      <c r="O14" s="50">
        <f t="shared" si="4"/>
        <v>14641</v>
      </c>
      <c r="P14" s="50">
        <f t="shared" si="5"/>
        <v>4599.0713745815765</v>
      </c>
      <c r="Q14" s="50">
        <f t="shared" si="6"/>
        <v>48180.747733711753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66</v>
      </c>
      <c r="C15" s="43" t="s">
        <v>28</v>
      </c>
      <c r="D15" s="44">
        <f t="shared" si="8"/>
        <v>75</v>
      </c>
      <c r="E15" s="53">
        <f t="shared" si="8"/>
        <v>65.5</v>
      </c>
      <c r="F15" s="41" t="s">
        <v>28</v>
      </c>
      <c r="G15" s="46">
        <f t="shared" si="9"/>
        <v>75.5</v>
      </c>
      <c r="H15" s="47">
        <f t="shared" si="0"/>
        <v>70.5</v>
      </c>
      <c r="I15" s="47">
        <v>4</v>
      </c>
      <c r="J15" s="48">
        <f t="shared" si="1"/>
        <v>53</v>
      </c>
      <c r="K15" s="49">
        <f t="shared" si="2"/>
        <v>6.3492063492063489E-2</v>
      </c>
      <c r="L15" s="50">
        <f t="shared" si="10"/>
        <v>0.84126984126984117</v>
      </c>
      <c r="M15" s="51"/>
      <c r="N15" s="50">
        <f t="shared" si="3"/>
        <v>282</v>
      </c>
      <c r="O15" s="50">
        <f t="shared" si="4"/>
        <v>19881</v>
      </c>
      <c r="P15" s="50">
        <f t="shared" si="5"/>
        <v>34340.567973221026</v>
      </c>
      <c r="Q15" s="50">
        <f t="shared" si="6"/>
        <v>703164.01088024001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76</v>
      </c>
      <c r="C16" s="43" t="s">
        <v>28</v>
      </c>
      <c r="D16" s="44">
        <f t="shared" si="8"/>
        <v>85</v>
      </c>
      <c r="E16" s="53">
        <f t="shared" si="8"/>
        <v>75.5</v>
      </c>
      <c r="F16" s="41" t="s">
        <v>28</v>
      </c>
      <c r="G16" s="46">
        <f t="shared" si="9"/>
        <v>85.5</v>
      </c>
      <c r="H16" s="47">
        <f t="shared" si="0"/>
        <v>80.5</v>
      </c>
      <c r="I16" s="47">
        <v>1</v>
      </c>
      <c r="J16" s="48">
        <f t="shared" si="1"/>
        <v>54</v>
      </c>
      <c r="K16" s="49">
        <f t="shared" si="2"/>
        <v>1.5873015873015872E-2</v>
      </c>
      <c r="L16" s="50">
        <f t="shared" si="10"/>
        <v>0.85714285714285698</v>
      </c>
      <c r="M16" s="51"/>
      <c r="N16" s="50">
        <f t="shared" si="3"/>
        <v>80.5</v>
      </c>
      <c r="O16" s="50">
        <f t="shared" si="4"/>
        <v>6480.25</v>
      </c>
      <c r="P16" s="50">
        <f t="shared" si="5"/>
        <v>28306.230428679406</v>
      </c>
      <c r="Q16" s="50">
        <f t="shared" si="6"/>
        <v>862666.07020737231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x14ac:dyDescent="0.2">
      <c r="A17" s="41">
        <v>8</v>
      </c>
      <c r="B17" s="48">
        <f t="shared" si="7"/>
        <v>86</v>
      </c>
      <c r="C17" s="43" t="s">
        <v>28</v>
      </c>
      <c r="D17" s="44">
        <f t="shared" si="8"/>
        <v>95</v>
      </c>
      <c r="E17" s="53">
        <f t="shared" si="8"/>
        <v>85.5</v>
      </c>
      <c r="F17" s="41" t="s">
        <v>28</v>
      </c>
      <c r="G17" s="46">
        <f t="shared" si="9"/>
        <v>95.5</v>
      </c>
      <c r="H17" s="47">
        <f t="shared" si="0"/>
        <v>90.5</v>
      </c>
      <c r="I17" s="47">
        <v>2</v>
      </c>
      <c r="J17" s="48">
        <f t="shared" si="1"/>
        <v>56</v>
      </c>
      <c r="K17" s="49">
        <f t="shared" si="2"/>
        <v>3.1746031746031744E-2</v>
      </c>
      <c r="L17" s="50">
        <f t="shared" si="10"/>
        <v>0.88888888888888873</v>
      </c>
      <c r="M17" s="51"/>
      <c r="N17" s="50">
        <f t="shared" si="3"/>
        <v>181</v>
      </c>
      <c r="O17" s="50">
        <f t="shared" si="4"/>
        <v>16380.5</v>
      </c>
      <c r="P17" s="50">
        <f t="shared" si="5"/>
        <v>132626.06629953568</v>
      </c>
      <c r="Q17" s="50">
        <f t="shared" si="6"/>
        <v>5368197.9216478728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9.5" customHeight="1" x14ac:dyDescent="0.2">
      <c r="A18" s="41">
        <v>9</v>
      </c>
      <c r="B18" s="48">
        <f t="shared" si="7"/>
        <v>96</v>
      </c>
      <c r="C18" s="43" t="s">
        <v>28</v>
      </c>
      <c r="D18" s="44">
        <f t="shared" ref="D18:E18" si="11">D17+$D$4</f>
        <v>105</v>
      </c>
      <c r="E18" s="53">
        <f t="shared" si="11"/>
        <v>95.5</v>
      </c>
      <c r="F18" s="41" t="s">
        <v>28</v>
      </c>
      <c r="G18" s="46">
        <f t="shared" si="9"/>
        <v>105.5</v>
      </c>
      <c r="H18" s="47">
        <f t="shared" ref="H18:H19" si="12">(E18+G18)/2</f>
        <v>100.5</v>
      </c>
      <c r="I18" s="47">
        <v>3</v>
      </c>
      <c r="J18" s="48">
        <f t="shared" ref="J18:J19" si="13">J17+I18</f>
        <v>59</v>
      </c>
      <c r="K18" s="49">
        <f t="shared" si="2"/>
        <v>4.7619047619047616E-2</v>
      </c>
      <c r="L18" s="50">
        <f t="shared" ref="L18:L19" si="14">L17+K18</f>
        <v>0.93650793650793629</v>
      </c>
      <c r="M18" s="51"/>
      <c r="N18" s="50">
        <f t="shared" ref="N18:N19" si="15">H18*I18</f>
        <v>301.5</v>
      </c>
      <c r="O18" s="50">
        <f t="shared" ref="O18:O19" si="16">(H18^2)*I18</f>
        <v>30300.75</v>
      </c>
      <c r="P18" s="50">
        <f t="shared" si="5"/>
        <v>385816.65046971169</v>
      </c>
      <c r="Q18" s="50">
        <f t="shared" si="6"/>
        <v>19474554.737994973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9.5" customHeight="1" thickBot="1" x14ac:dyDescent="0.25">
      <c r="A19" s="41">
        <v>10</v>
      </c>
      <c r="B19" s="54">
        <f t="shared" si="7"/>
        <v>106</v>
      </c>
      <c r="C19" s="55" t="s">
        <v>28</v>
      </c>
      <c r="D19" s="56">
        <f t="shared" ref="D19:E19" si="17">D18+$D$4</f>
        <v>115</v>
      </c>
      <c r="E19" s="57">
        <f t="shared" si="17"/>
        <v>105.5</v>
      </c>
      <c r="F19" s="58" t="s">
        <v>28</v>
      </c>
      <c r="G19" s="59">
        <f t="shared" si="9"/>
        <v>115.5</v>
      </c>
      <c r="H19" s="60">
        <f t="shared" si="12"/>
        <v>110.5</v>
      </c>
      <c r="I19" s="60">
        <v>4</v>
      </c>
      <c r="J19" s="54">
        <f t="shared" si="13"/>
        <v>63</v>
      </c>
      <c r="K19" s="114">
        <f t="shared" si="2"/>
        <v>6.3492063492063489E-2</v>
      </c>
      <c r="L19" s="61">
        <f t="shared" si="14"/>
        <v>0.99999999999999978</v>
      </c>
      <c r="M19" s="62"/>
      <c r="N19" s="61">
        <f t="shared" si="15"/>
        <v>442</v>
      </c>
      <c r="O19" s="61">
        <f t="shared" si="16"/>
        <v>48841</v>
      </c>
      <c r="P19" s="61">
        <f t="shared" si="5"/>
        <v>884735.12579635018</v>
      </c>
      <c r="Q19" s="61">
        <f t="shared" si="6"/>
        <v>53505409.988636412</v>
      </c>
      <c r="R19" s="52"/>
      <c r="S19" s="52"/>
      <c r="T19"/>
      <c r="U19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ht="18.75" customHeight="1" thickTop="1" x14ac:dyDescent="0.2">
      <c r="A20" s="52"/>
      <c r="B20" s="52"/>
      <c r="C20" s="52"/>
      <c r="D20" s="52"/>
      <c r="E20" s="52"/>
      <c r="F20" s="52"/>
      <c r="G20" s="52"/>
      <c r="H20" s="63" t="s">
        <v>29</v>
      </c>
      <c r="I20" s="64">
        <f>SUM(I10:I19)</f>
        <v>63</v>
      </c>
      <c r="J20" s="41"/>
      <c r="K20" s="113">
        <f>SUM(K9:K19)</f>
        <v>0.99999999999999978</v>
      </c>
      <c r="L20" s="41"/>
      <c r="M20" s="41"/>
      <c r="N20" s="66">
        <f>SUM(N10:N19)</f>
        <v>3151.5</v>
      </c>
      <c r="O20" s="67">
        <f>SUM(O10:O19)</f>
        <v>198535.75</v>
      </c>
      <c r="P20" s="67">
        <f>SUM(P10:P19)</f>
        <v>1201414.9659863943</v>
      </c>
      <c r="Q20" s="67">
        <f>SUM(Q10:Q19)</f>
        <v>86362779.397473276</v>
      </c>
      <c r="R20" s="52"/>
      <c r="S20" s="52"/>
      <c r="T20"/>
      <c r="U20"/>
      <c r="V20" s="52"/>
      <c r="W20" s="52"/>
      <c r="X20" s="52"/>
      <c r="Y20" s="52"/>
      <c r="Z20" s="52"/>
      <c r="AA20" s="52"/>
      <c r="AB20" s="52"/>
      <c r="AC20" s="52"/>
      <c r="AD20" s="52"/>
    </row>
    <row r="21" spans="1:30" ht="6" customHeight="1" x14ac:dyDescent="0.2">
      <c r="K21" s="68"/>
    </row>
    <row r="22" spans="1:30" ht="18.75" customHeight="1" x14ac:dyDescent="0.2">
      <c r="B22" s="69" t="s">
        <v>91</v>
      </c>
      <c r="C22" s="70"/>
      <c r="D22" s="70"/>
      <c r="E22" s="70"/>
      <c r="F22" s="70"/>
      <c r="G22" s="70"/>
      <c r="H22" s="70"/>
      <c r="I22" s="70"/>
      <c r="J22" s="70"/>
      <c r="K22" s="71"/>
      <c r="L22" s="70"/>
      <c r="M22" s="70"/>
      <c r="N22" s="70"/>
      <c r="O22" s="70"/>
      <c r="P22" s="70"/>
      <c r="Q22" s="72"/>
    </row>
    <row r="23" spans="1:30" ht="25.5" customHeight="1" x14ac:dyDescent="0.2">
      <c r="B23" s="73"/>
      <c r="C23" s="74"/>
      <c r="D23" s="74"/>
      <c r="E23" s="74"/>
      <c r="F23" s="74"/>
      <c r="G23" s="74"/>
      <c r="H23" s="74"/>
      <c r="I23" s="75"/>
      <c r="J23" s="74"/>
      <c r="K23" s="76"/>
      <c r="L23" s="77"/>
      <c r="M23" s="74"/>
      <c r="N23" s="74"/>
      <c r="O23" s="74"/>
      <c r="P23" s="74"/>
      <c r="Q23" s="75"/>
      <c r="X23" s="78" t="s">
        <v>30</v>
      </c>
      <c r="Y23" s="79" t="s">
        <v>31</v>
      </c>
      <c r="Z23" s="79" t="s">
        <v>32</v>
      </c>
      <c r="AA23" s="78" t="s">
        <v>33</v>
      </c>
      <c r="AB23" s="79" t="s">
        <v>34</v>
      </c>
      <c r="AC23" s="79" t="s">
        <v>35</v>
      </c>
    </row>
    <row r="24" spans="1:30" ht="15.75" x14ac:dyDescent="0.25">
      <c r="B24" s="80" t="s">
        <v>36</v>
      </c>
      <c r="F24" s="81" t="s">
        <v>37</v>
      </c>
      <c r="G24" s="82" t="s">
        <v>38</v>
      </c>
      <c r="H24" s="83">
        <f>G13-E13</f>
        <v>10</v>
      </c>
      <c r="I24" s="84"/>
      <c r="K24" s="6" t="s">
        <v>39</v>
      </c>
      <c r="Q24" s="84"/>
      <c r="T24" s="6" t="s">
        <v>40</v>
      </c>
      <c r="W24" s="1" t="s">
        <v>41</v>
      </c>
      <c r="X24" s="16">
        <f>1/4</f>
        <v>0.25</v>
      </c>
      <c r="Y24" s="85">
        <f>COUNTIF(L10:L19,"&lt;=0.25")+1</f>
        <v>2</v>
      </c>
      <c r="Z24" s="16">
        <f t="shared" ref="Z24:Z32" ca="1" si="18">INDIRECT(ADDRESS(9+$Y24,5))</f>
        <v>25.5</v>
      </c>
      <c r="AA24" s="16">
        <f t="shared" ref="AA24:AA32" ca="1" si="19">INDIRECT(ADDRESS(9+$Y24,9))</f>
        <v>17</v>
      </c>
      <c r="AB24" s="16">
        <f t="shared" ref="AB24:AB32" ca="1" si="20">INDIRECT(ADDRESS(9+$Y24-1,10))</f>
        <v>5</v>
      </c>
      <c r="AC24" s="86">
        <f t="shared" ref="AC24:AC32" ca="1" si="21">Z24+(  ($H$28*X24)-AB24  )*$H$24/AA24</f>
        <v>31.823529411764707</v>
      </c>
      <c r="AD24" s="1">
        <f t="shared" ref="AD24:AD32" si="22">MATCH(X24,$L$10:$L$19,1)+1</f>
        <v>2</v>
      </c>
    </row>
    <row r="25" spans="1:30" ht="18" x14ac:dyDescent="0.3">
      <c r="B25" s="87"/>
      <c r="C25" s="52"/>
      <c r="D25" s="43"/>
      <c r="E25" s="43"/>
      <c r="F25" s="88"/>
      <c r="G25" s="43"/>
      <c r="H25" s="89"/>
      <c r="I25" s="84"/>
      <c r="K25" s="6" t="s">
        <v>42</v>
      </c>
      <c r="O25" s="90" t="s">
        <v>43</v>
      </c>
      <c r="P25" s="91">
        <f>(P20/I20)/(H40^3)</f>
        <v>1.1534690029104093</v>
      </c>
      <c r="Q25" s="84"/>
      <c r="T25" s="6" t="s">
        <v>44</v>
      </c>
      <c r="W25" s="1" t="s">
        <v>45</v>
      </c>
      <c r="X25" s="16">
        <f>1/2</f>
        <v>0.5</v>
      </c>
      <c r="Y25" s="85">
        <f>COUNTIF(L10:L19,"&lt;=0.5")+1</f>
        <v>3</v>
      </c>
      <c r="Z25" s="16">
        <f t="shared" ca="1" si="18"/>
        <v>35.5</v>
      </c>
      <c r="AA25" s="16">
        <f t="shared" ca="1" si="19"/>
        <v>16</v>
      </c>
      <c r="AB25" s="16">
        <f t="shared" ca="1" si="20"/>
        <v>22</v>
      </c>
      <c r="AC25" s="86">
        <f t="shared" ca="1" si="21"/>
        <v>41.4375</v>
      </c>
      <c r="AD25" s="1">
        <f t="shared" si="22"/>
        <v>3</v>
      </c>
    </row>
    <row r="26" spans="1:30" ht="15.75" x14ac:dyDescent="0.25">
      <c r="B26" s="92" t="s">
        <v>46</v>
      </c>
      <c r="F26" s="81" t="s">
        <v>47</v>
      </c>
      <c r="G26" s="82" t="s">
        <v>38</v>
      </c>
      <c r="H26" s="93">
        <f>COUNT(I10:I19)</f>
        <v>10</v>
      </c>
      <c r="I26" s="84"/>
      <c r="Q26" s="84"/>
      <c r="T26" s="6" t="s">
        <v>48</v>
      </c>
      <c r="W26" s="94" t="s">
        <v>49</v>
      </c>
      <c r="X26" s="95">
        <f>3/4</f>
        <v>0.75</v>
      </c>
      <c r="Y26" s="96">
        <f>COUNTIF(L10:L19,"&lt;=0.75")+1</f>
        <v>5</v>
      </c>
      <c r="Z26" s="95">
        <f t="shared" ca="1" si="18"/>
        <v>55.5</v>
      </c>
      <c r="AA26" s="95">
        <f t="shared" ca="1" si="19"/>
        <v>4</v>
      </c>
      <c r="AB26" s="95">
        <f t="shared" ca="1" si="20"/>
        <v>45</v>
      </c>
      <c r="AC26" s="97">
        <f t="shared" ca="1" si="21"/>
        <v>61.125</v>
      </c>
      <c r="AD26" s="1">
        <f t="shared" si="22"/>
        <v>5</v>
      </c>
    </row>
    <row r="27" spans="1:30" ht="15.75" x14ac:dyDescent="0.25">
      <c r="B27" s="92"/>
      <c r="F27" s="81"/>
      <c r="H27" s="89"/>
      <c r="I27" s="84"/>
      <c r="K27" s="6" t="s">
        <v>50</v>
      </c>
      <c r="Q27" s="84"/>
      <c r="W27" s="1" t="s">
        <v>51</v>
      </c>
      <c r="X27" s="16">
        <f>1/10</f>
        <v>0.1</v>
      </c>
      <c r="Y27" s="85">
        <f>COUNTIF(L10:L19,"&lt;=0.1")+1</f>
        <v>2</v>
      </c>
      <c r="Z27" s="16">
        <f t="shared" ca="1" si="18"/>
        <v>25.5</v>
      </c>
      <c r="AA27" s="16">
        <f t="shared" ca="1" si="19"/>
        <v>17</v>
      </c>
      <c r="AB27" s="16">
        <f t="shared" ca="1" si="20"/>
        <v>5</v>
      </c>
      <c r="AC27" s="86">
        <f t="shared" ca="1" si="21"/>
        <v>26.264705882352942</v>
      </c>
      <c r="AD27" s="1">
        <f t="shared" si="22"/>
        <v>2</v>
      </c>
    </row>
    <row r="28" spans="1:30" ht="18" x14ac:dyDescent="0.3">
      <c r="B28" s="98" t="s">
        <v>52</v>
      </c>
      <c r="F28" s="81" t="s">
        <v>53</v>
      </c>
      <c r="G28" s="82" t="s">
        <v>38</v>
      </c>
      <c r="H28" s="99">
        <f>I20</f>
        <v>63</v>
      </c>
      <c r="I28" s="84"/>
      <c r="K28" s="6" t="s">
        <v>54</v>
      </c>
      <c r="O28" s="90" t="s">
        <v>55</v>
      </c>
      <c r="P28" s="91">
        <f>(Q20/I20)/(H38^2)</f>
        <v>3.2547975569414582</v>
      </c>
      <c r="Q28" s="84"/>
      <c r="W28" s="1" t="s">
        <v>56</v>
      </c>
      <c r="X28" s="16">
        <f>2/10</f>
        <v>0.2</v>
      </c>
      <c r="Y28" s="85">
        <f>COUNTIF(L10:L19,"&lt;=0.20")+1</f>
        <v>2</v>
      </c>
      <c r="Z28" s="16">
        <f t="shared" ca="1" si="18"/>
        <v>25.5</v>
      </c>
      <c r="AA28" s="16">
        <f t="shared" ca="1" si="19"/>
        <v>17</v>
      </c>
      <c r="AB28" s="16">
        <f t="shared" ca="1" si="20"/>
        <v>5</v>
      </c>
      <c r="AC28" s="86">
        <f t="shared" ca="1" si="21"/>
        <v>29.97058823529412</v>
      </c>
      <c r="AD28" s="1">
        <f t="shared" si="22"/>
        <v>2</v>
      </c>
    </row>
    <row r="29" spans="1:30" ht="15.75" x14ac:dyDescent="0.25">
      <c r="B29" s="87"/>
      <c r="F29" s="81"/>
      <c r="H29" s="100"/>
      <c r="I29" s="84"/>
      <c r="Q29" s="84"/>
      <c r="W29" s="1" t="s">
        <v>57</v>
      </c>
      <c r="X29" s="16">
        <f>3/10</f>
        <v>0.3</v>
      </c>
      <c r="Y29" s="85">
        <f>COUNTIF(L10:L19,"&lt;=0.30")+1</f>
        <v>2</v>
      </c>
      <c r="Z29" s="16">
        <f t="shared" ca="1" si="18"/>
        <v>25.5</v>
      </c>
      <c r="AA29" s="16">
        <f t="shared" ca="1" si="19"/>
        <v>17</v>
      </c>
      <c r="AB29" s="16">
        <f t="shared" ca="1" si="20"/>
        <v>5</v>
      </c>
      <c r="AC29" s="86">
        <f t="shared" ca="1" si="21"/>
        <v>33.67647058823529</v>
      </c>
      <c r="AD29" s="1">
        <f t="shared" si="22"/>
        <v>2</v>
      </c>
    </row>
    <row r="30" spans="1:30" ht="15.75" x14ac:dyDescent="0.25">
      <c r="B30" s="101" t="s">
        <v>58</v>
      </c>
      <c r="F30" s="81" t="s">
        <v>59</v>
      </c>
      <c r="G30" s="82" t="s">
        <v>38</v>
      </c>
      <c r="H30" s="102">
        <f>N20/I20</f>
        <v>50.023809523809526</v>
      </c>
      <c r="I30" s="84"/>
      <c r="L30" s="6"/>
      <c r="P30" s="16"/>
      <c r="Q30" s="84"/>
      <c r="W30" s="1" t="s">
        <v>60</v>
      </c>
      <c r="X30" s="16">
        <f>7/10</f>
        <v>0.7</v>
      </c>
      <c r="Y30" s="85">
        <f>COUNTIF(L10:L19,"&lt;=0.70")+1</f>
        <v>4</v>
      </c>
      <c r="Z30" s="16">
        <f t="shared" ca="1" si="18"/>
        <v>45.5</v>
      </c>
      <c r="AA30" s="16">
        <f t="shared" ca="1" si="19"/>
        <v>7</v>
      </c>
      <c r="AB30" s="16">
        <f t="shared" ca="1" si="20"/>
        <v>38</v>
      </c>
      <c r="AC30" s="86">
        <f t="shared" ca="1" si="21"/>
        <v>54.214285714285708</v>
      </c>
      <c r="AD30" s="1">
        <f t="shared" si="22"/>
        <v>4</v>
      </c>
    </row>
    <row r="31" spans="1:30" ht="15.75" x14ac:dyDescent="0.25">
      <c r="B31" s="101"/>
      <c r="F31" s="81"/>
      <c r="H31" s="100"/>
      <c r="I31" s="84"/>
      <c r="K31" s="6" t="s">
        <v>61</v>
      </c>
      <c r="Q31" s="103"/>
      <c r="W31" s="1" t="s">
        <v>62</v>
      </c>
      <c r="X31" s="16">
        <f>8/10</f>
        <v>0.8</v>
      </c>
      <c r="Y31" s="85">
        <f>COUNTIF(L10:L19,"&lt;=0.80")+1</f>
        <v>6</v>
      </c>
      <c r="Z31" s="16">
        <f t="shared" ca="1" si="18"/>
        <v>65.5</v>
      </c>
      <c r="AA31" s="16">
        <f t="shared" ca="1" si="19"/>
        <v>4</v>
      </c>
      <c r="AB31" s="16">
        <f t="shared" ca="1" si="20"/>
        <v>49</v>
      </c>
      <c r="AC31" s="86">
        <f t="shared" ca="1" si="21"/>
        <v>69.000000000000014</v>
      </c>
      <c r="AD31" s="1">
        <f t="shared" si="22"/>
        <v>6</v>
      </c>
    </row>
    <row r="32" spans="1:30" ht="19.5" x14ac:dyDescent="0.35">
      <c r="B32" s="87" t="s">
        <v>63</v>
      </c>
      <c r="F32" s="81" t="s">
        <v>59</v>
      </c>
      <c r="G32" s="82" t="s">
        <v>38</v>
      </c>
      <c r="H32" s="91">
        <f ca="1">AC25</f>
        <v>41.4375</v>
      </c>
      <c r="I32" s="84"/>
      <c r="L32" s="104" t="s">
        <v>64</v>
      </c>
      <c r="N32" s="91">
        <f ca="1">AC24</f>
        <v>31.823529411764707</v>
      </c>
      <c r="Q32" s="103"/>
      <c r="W32" s="1" t="s">
        <v>65</v>
      </c>
      <c r="X32" s="16">
        <f>9/10</f>
        <v>0.9</v>
      </c>
      <c r="Y32" s="85">
        <f>COUNTIF(L10:L19,"&lt;=0.90")+1</f>
        <v>9</v>
      </c>
      <c r="Z32" s="16">
        <f t="shared" ca="1" si="18"/>
        <v>95.5</v>
      </c>
      <c r="AA32" s="16">
        <f t="shared" ca="1" si="19"/>
        <v>3</v>
      </c>
      <c r="AB32" s="16">
        <f t="shared" ca="1" si="20"/>
        <v>56</v>
      </c>
      <c r="AC32" s="86">
        <f t="shared" ca="1" si="21"/>
        <v>97.833333333333343</v>
      </c>
      <c r="AD32" s="1">
        <f t="shared" si="22"/>
        <v>9</v>
      </c>
    </row>
    <row r="33" spans="2:26" ht="19.5" x14ac:dyDescent="0.35">
      <c r="B33" s="87"/>
      <c r="F33" s="81"/>
      <c r="H33" s="100"/>
      <c r="I33" s="84"/>
      <c r="L33" s="104" t="s">
        <v>66</v>
      </c>
      <c r="N33" s="91">
        <f t="shared" ref="N33:N40" ca="1" si="23">AC25</f>
        <v>41.4375</v>
      </c>
      <c r="Q33" s="84"/>
      <c r="Z33" s="16"/>
    </row>
    <row r="34" spans="2:26" ht="19.5" x14ac:dyDescent="0.35">
      <c r="B34" s="87" t="s">
        <v>67</v>
      </c>
      <c r="F34" s="81" t="s">
        <v>68</v>
      </c>
      <c r="G34" s="82" t="s">
        <v>38</v>
      </c>
      <c r="H34" s="91">
        <f ca="1">Y39+ (  $H$24*(Y36-Y37) / ((Y36-Y37)+(Y36-Y38))  )</f>
        <v>34.730769230769226</v>
      </c>
      <c r="I34" s="84"/>
      <c r="L34" s="104" t="s">
        <v>69</v>
      </c>
      <c r="N34" s="91">
        <f t="shared" ca="1" si="23"/>
        <v>61.125</v>
      </c>
      <c r="Q34" s="84"/>
      <c r="Z34" s="16"/>
    </row>
    <row r="35" spans="2:26" ht="19.5" x14ac:dyDescent="0.35">
      <c r="B35" s="87"/>
      <c r="E35"/>
      <c r="F35" s="105" t="s">
        <v>70</v>
      </c>
      <c r="G35" s="82" t="s">
        <v>38</v>
      </c>
      <c r="H35" s="102">
        <f ca="1">Y40</f>
        <v>30.5</v>
      </c>
      <c r="I35" s="84"/>
      <c r="L35" s="104" t="s">
        <v>71</v>
      </c>
      <c r="N35" s="91">
        <f t="shared" ca="1" si="23"/>
        <v>26.264705882352942</v>
      </c>
      <c r="Q35" s="84"/>
      <c r="T35" s="1" t="s">
        <v>72</v>
      </c>
      <c r="Y35" s="16">
        <f>MATCH(MAX(I10:I19),I10:I19,0)</f>
        <v>2</v>
      </c>
      <c r="Z35" s="16"/>
    </row>
    <row r="36" spans="2:26" ht="19.5" x14ac:dyDescent="0.35">
      <c r="B36" s="92" t="s">
        <v>73</v>
      </c>
      <c r="D36" s="6"/>
      <c r="F36" s="81" t="s">
        <v>74</v>
      </c>
      <c r="G36" s="82" t="s">
        <v>38</v>
      </c>
      <c r="H36" s="83">
        <f>G19-E10</f>
        <v>100</v>
      </c>
      <c r="I36" s="84"/>
      <c r="L36" s="104" t="s">
        <v>75</v>
      </c>
      <c r="N36" s="91">
        <f t="shared" ca="1" si="23"/>
        <v>29.97058823529412</v>
      </c>
      <c r="Q36" s="84"/>
      <c r="T36" s="1" t="s">
        <v>76</v>
      </c>
      <c r="Y36" s="16">
        <f ca="1">INDIRECT(ADDRESS(9+$Y$35,9))</f>
        <v>17</v>
      </c>
      <c r="Z36" s="16"/>
    </row>
    <row r="37" spans="2:26" ht="19.5" x14ac:dyDescent="0.35">
      <c r="B37" s="87"/>
      <c r="F37" s="81"/>
      <c r="H37" s="100"/>
      <c r="I37" s="84"/>
      <c r="L37" s="104" t="s">
        <v>77</v>
      </c>
      <c r="N37" s="91">
        <f t="shared" ca="1" si="23"/>
        <v>33.67647058823529</v>
      </c>
      <c r="Q37" s="84"/>
      <c r="T37" s="6" t="s">
        <v>78</v>
      </c>
      <c r="Y37" s="16">
        <f ca="1">INDIRECT(ADDRESS(9+$Y$35-1,9))</f>
        <v>5</v>
      </c>
    </row>
    <row r="38" spans="2:26" ht="20.25" x14ac:dyDescent="0.35">
      <c r="B38" s="87" t="s">
        <v>79</v>
      </c>
      <c r="F38" s="106" t="s">
        <v>80</v>
      </c>
      <c r="G38" s="82" t="s">
        <v>38</v>
      </c>
      <c r="H38" s="91">
        <f>(O20-I20*(H30^2))/I20</f>
        <v>648.97959183673481</v>
      </c>
      <c r="I38" s="84"/>
      <c r="L38" s="104" t="s">
        <v>81</v>
      </c>
      <c r="N38" s="91">
        <f t="shared" ca="1" si="23"/>
        <v>54.214285714285708</v>
      </c>
      <c r="Q38" s="84"/>
      <c r="T38" s="6" t="s">
        <v>82</v>
      </c>
      <c r="Y38" s="16">
        <f ca="1">INDIRECT(ADDRESS(9+$Y$35+1,9))</f>
        <v>16</v>
      </c>
    </row>
    <row r="39" spans="2:26" ht="19.5" x14ac:dyDescent="0.35">
      <c r="B39" s="87"/>
      <c r="F39" s="81"/>
      <c r="H39" s="100"/>
      <c r="I39" s="84"/>
      <c r="L39" s="104" t="s">
        <v>83</v>
      </c>
      <c r="N39" s="91">
        <f t="shared" ca="1" si="23"/>
        <v>69.000000000000014</v>
      </c>
      <c r="Q39" s="84"/>
      <c r="T39" s="1" t="s">
        <v>84</v>
      </c>
      <c r="Y39" s="16">
        <f ca="1">INDIRECT(ADDRESS(9+$Y$35,5))</f>
        <v>25.5</v>
      </c>
    </row>
    <row r="40" spans="2:26" ht="19.5" x14ac:dyDescent="0.35">
      <c r="B40" s="87" t="s">
        <v>85</v>
      </c>
      <c r="F40" s="81" t="s">
        <v>86</v>
      </c>
      <c r="G40" s="82" t="s">
        <v>38</v>
      </c>
      <c r="H40" s="91">
        <f>SQRT(H38)</f>
        <v>25.475077857324298</v>
      </c>
      <c r="I40" s="84"/>
      <c r="L40" s="104" t="s">
        <v>87</v>
      </c>
      <c r="N40" s="91">
        <f t="shared" ca="1" si="23"/>
        <v>97.833333333333343</v>
      </c>
      <c r="Q40" s="84"/>
      <c r="T40" s="1" t="s">
        <v>88</v>
      </c>
      <c r="Y40" s="16">
        <f ca="1">INDIRECT(ADDRESS(9+$Y$35,8))</f>
        <v>30.5</v>
      </c>
    </row>
    <row r="41" spans="2:26" x14ac:dyDescent="0.2">
      <c r="B41" s="87"/>
      <c r="I41" s="84"/>
      <c r="Q41" s="84"/>
    </row>
    <row r="42" spans="2:26" ht="15.75" x14ac:dyDescent="0.25">
      <c r="B42" s="87" t="s">
        <v>89</v>
      </c>
      <c r="F42" s="81" t="s">
        <v>90</v>
      </c>
      <c r="G42" s="82" t="s">
        <v>38</v>
      </c>
      <c r="H42" s="91">
        <f>H40/H30</f>
        <v>0.50925905283561179</v>
      </c>
      <c r="I42" s="84"/>
      <c r="Q42" s="84"/>
    </row>
    <row r="43" spans="2:26" ht="15.75" x14ac:dyDescent="0.25">
      <c r="B43" s="107"/>
      <c r="C43" s="94"/>
      <c r="D43" s="94"/>
      <c r="E43" s="94"/>
      <c r="F43" s="108"/>
      <c r="G43" s="94"/>
      <c r="H43" s="109"/>
      <c r="I43" s="40"/>
      <c r="J43" s="94"/>
      <c r="K43" s="94"/>
      <c r="L43" s="94"/>
      <c r="M43" s="94"/>
      <c r="N43" s="94"/>
      <c r="O43" s="94"/>
      <c r="P43" s="94"/>
      <c r="Q43" s="40"/>
    </row>
    <row r="45" spans="2:26" ht="12.75" customHeight="1" x14ac:dyDescent="0.2">
      <c r="B45" s="110"/>
      <c r="C45" s="110"/>
      <c r="D45" s="68"/>
      <c r="E45" s="110"/>
      <c r="F45" s="110"/>
      <c r="G45" s="110"/>
      <c r="H45" s="110"/>
    </row>
    <row r="46" spans="2:26" ht="15.75" customHeight="1" x14ac:dyDescent="0.25">
      <c r="D46" s="111"/>
    </row>
    <row r="47" spans="2:26" ht="15.75" customHeight="1" x14ac:dyDescent="0.2">
      <c r="D47" s="112"/>
    </row>
    <row r="50" spans="2:2" ht="12.75" customHeight="1" x14ac:dyDescent="0.2">
      <c r="B50" s="89"/>
    </row>
    <row r="51" spans="2:2" ht="12.75" customHeight="1" x14ac:dyDescent="0.2">
      <c r="B51" s="89"/>
    </row>
    <row r="52" spans="2:2" ht="12.75" customHeight="1" x14ac:dyDescent="0.2">
      <c r="B52" s="89"/>
    </row>
    <row r="59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6_Clases</vt:lpstr>
      <vt:lpstr>7_Clases</vt:lpstr>
      <vt:lpstr>8_Clases</vt:lpstr>
      <vt:lpstr>9_Clases</vt:lpstr>
      <vt:lpstr>10_Clases</vt:lpstr>
      <vt:lpstr>'10_Clases'!Print_Area</vt:lpstr>
      <vt:lpstr>'6_Clases'!Print_Area</vt:lpstr>
      <vt:lpstr>'7_Clases'!Print_Area</vt:lpstr>
      <vt:lpstr>'8_Clases'!Print_Area</vt:lpstr>
      <vt:lpstr>'9_Clases'!Print_Area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Alfonso Murrieta</cp:lastModifiedBy>
  <dcterms:created xsi:type="dcterms:W3CDTF">2019-02-12T14:15:52Z</dcterms:created>
  <dcterms:modified xsi:type="dcterms:W3CDTF">2019-03-21T11:44:05Z</dcterms:modified>
</cp:coreProperties>
</file>